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wmf" ContentType="image/x-wmf"/>
  <Default Extension="emf" ContentType="image/x-emf"/>
  <Override PartName="/xl/theme/themeOverride1.xml" ContentType="application/vnd.openxmlformats-officedocument.themeOverride+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0056" yWindow="180" windowWidth="9156" windowHeight="11808" tabRatio="695" activeTab="1"/>
  </bookViews>
  <sheets>
    <sheet name="Instructions" sheetId="14" r:id="rId1"/>
    <sheet name="Design Calculator" sheetId="1" r:id="rId2"/>
    <sheet name="Device Parmaters" sheetId="6" state="hidden" r:id="rId3"/>
    <sheet name="Equations" sheetId="3" state="hidden" r:id="rId4"/>
    <sheet name="Start_up" sheetId="13" state="hidden" r:id="rId5"/>
    <sheet name="SOA" sheetId="7" state="hidden" r:id="rId6"/>
    <sheet name="WorstCaseAnalysis" sheetId="16" state="hidden" r:id="rId7"/>
    <sheet name="RMS_Analysis" sheetId="18" state="hidden" r:id="rId8"/>
    <sheet name="comparison" sheetId="19" state="hidden" r:id="rId9"/>
  </sheets>
  <externalReferences>
    <externalReference r:id="rId10"/>
    <externalReference r:id="rId11"/>
  </externalReferences>
  <definedNames>
    <definedName name="C_ISS">'Design Calculator'!#REF!</definedName>
    <definedName name="CLMAX">Equations!$E$7</definedName>
    <definedName name="CLMAX_Threshold">Equations!$E$17</definedName>
    <definedName name="CLMIN">Equations!$E$5</definedName>
    <definedName name="CLMIN_Threshold">Equations!$E$15</definedName>
    <definedName name="CLNOM">Equations!$E$6</definedName>
    <definedName name="CLNOM_Threshold">Equations!$E$16</definedName>
    <definedName name="COUTMAX">'Design Calculator'!$F$31</definedName>
    <definedName name="CTIMER">'Design Calculator'!#REF!</definedName>
    <definedName name="FBmax">'Device Parmaters'!#REF!</definedName>
    <definedName name="FETPDISS">'Design Calculator'!$F$68</definedName>
    <definedName name="FoldBack_max">'Device Parmaters'!$D$12</definedName>
    <definedName name="I_Cout_ss">Equations!#REF!</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LIM_tgt">'Design Calculator'!$F$38</definedName>
    <definedName name="IOUTMAX">'Design Calculator'!$F$30</definedName>
    <definedName name="MaxFETPW">'Design Calculator'!#REF!</definedName>
    <definedName name="NUMFETS">'Design Calculator'!$F$60</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RDIV1">'Design Calculator'!$F$46</definedName>
    <definedName name="RDIV2">'Design Calculator'!#REF!</definedName>
    <definedName name="RDSON">'Design Calculator'!$AN$61</definedName>
    <definedName name="RIMON">'Design Calculator'!$F$46</definedName>
    <definedName name="Rimon_recom">Equations!$E$11</definedName>
    <definedName name="RPROG">'Design Calculator'!$F$73</definedName>
    <definedName name="RPWR">'Design Calculator'!$F$73</definedName>
    <definedName name="Rrflt" localSheetId="5">[1]ILIM_SOA_considerations!$C$46</definedName>
    <definedName name="Rrflt">[2]ILIM_SOA_considerations!$C$46</definedName>
    <definedName name="Rs">'Design Calculator'!$F$42</definedName>
    <definedName name="RsEFF">Equations!$E$4</definedName>
    <definedName name="Rsense" localSheetId="5">[1]ILIM_SOA_considerations!$C$30</definedName>
    <definedName name="Rsense">[2]ILIM_SOA_considerations!$C$30</definedName>
    <definedName name="Rset_recom">Equations!$E$10</definedName>
    <definedName name="RsMAX">'Design Calculator'!$F$40</definedName>
    <definedName name="SOA_av" localSheetId="5">[1]ILIM_SOA_considerations!$C$52</definedName>
    <definedName name="SOA_av">[2]ILIM_SOA_considerations!$C$52</definedName>
    <definedName name="solver_adj" localSheetId="5" hidden="1">SOA!$J$8</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SOA!$J$27</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ourcing_Current">'Device Parmaters'!$D$23</definedName>
    <definedName name="ss_rate">Equations!$F$55</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Calculator'!$F$33</definedName>
    <definedName name="Tfault">'Design Calculator'!$F$85</definedName>
    <definedName name="Tfaultmax">'Design Calculator'!#REF!</definedName>
    <definedName name="ThetaJA">'Design Calculator'!$F$59</definedName>
    <definedName name="Timer_Sourcing_Current">'Device Parmaters'!$D$19,'Device Parmaters'!$B$19</definedName>
    <definedName name="TINSERT">'Design Calculator'!#REF!</definedName>
    <definedName name="TINSERTMAX">Equations!#REF!</definedName>
    <definedName name="TINSERTMIN">Equations!#REF!</definedName>
    <definedName name="TJ">'Design Calculator'!$F$69</definedName>
    <definedName name="TJMAX">'Design Calculator'!$AN$62</definedName>
    <definedName name="trial">Equations!$H$21</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Upper_Threshold">'Device Parmaters'!$D$17,'Device Parmaters'!$B$17</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Vsns_min">'Device Parmaters'!$D$14</definedName>
    <definedName name="yesno">'Design Calculator'!$AR$16:$AR$17</definedName>
    <definedName name="_xlnm.Print_Area" localSheetId="1">'Design Calculator'!$A$1:$M$228</definedName>
  </definedNames>
  <calcPr calcId="124519"/>
</workbook>
</file>

<file path=xl/calcChain.xml><?xml version="1.0" encoding="utf-8"?>
<calcChain xmlns="http://schemas.openxmlformats.org/spreadsheetml/2006/main">
  <c r="C92" i="3"/>
  <c r="C67" i="6" l="1"/>
  <c r="C65"/>
  <c r="F94" i="3"/>
  <c r="C94"/>
  <c r="F131" i="1"/>
  <c r="D31" i="7"/>
  <c r="D29"/>
  <c r="AO86" i="1"/>
  <c r="F125"/>
  <c r="F126"/>
  <c r="P27" i="18"/>
  <c r="I48" s="1"/>
  <c r="P27" i="16"/>
  <c r="P32" i="18"/>
  <c r="P31" i="16"/>
  <c r="F44" i="3"/>
  <c r="F28"/>
  <c r="H22"/>
  <c r="E153"/>
  <c r="C96" l="1"/>
  <c r="C98" s="1"/>
  <c r="C100" s="1"/>
  <c r="C102" s="1"/>
  <c r="C103" s="1"/>
  <c r="F104" i="1" s="1"/>
  <c r="F155" s="1"/>
  <c r="I47" i="18"/>
  <c r="F166" i="1"/>
  <c r="F161"/>
  <c r="D161"/>
  <c r="D166"/>
  <c r="D98" i="18"/>
  <c r="S23"/>
  <c r="S22"/>
  <c r="S21"/>
  <c r="S17"/>
  <c r="G14"/>
  <c r="E84" s="1"/>
  <c r="G13"/>
  <c r="E81" s="1"/>
  <c r="G12"/>
  <c r="E80" s="1"/>
  <c r="E11"/>
  <c r="S10"/>
  <c r="G10"/>
  <c r="S9"/>
  <c r="G9"/>
  <c r="S8"/>
  <c r="G8"/>
  <c r="G7"/>
  <c r="G6"/>
  <c r="E6"/>
  <c r="E20" s="1"/>
  <c r="G14" i="16"/>
  <c r="E83" s="1"/>
  <c r="G13"/>
  <c r="E80" s="1"/>
  <c r="G12"/>
  <c r="E79" s="1"/>
  <c r="G10"/>
  <c r="G6"/>
  <c r="G7"/>
  <c r="G8"/>
  <c r="G9"/>
  <c r="F52" i="1"/>
  <c r="E160" s="1"/>
  <c r="E6" i="16"/>
  <c r="E20" s="1"/>
  <c r="D97"/>
  <c r="F103" i="1" l="1"/>
  <c r="E45" i="18"/>
  <c r="E71" s="1"/>
  <c r="E44" i="16"/>
  <c r="E70" s="1"/>
  <c r="F32" i="18"/>
  <c r="F23"/>
  <c r="F24"/>
  <c r="E23"/>
  <c r="E24"/>
  <c r="I46" i="16"/>
  <c r="E11"/>
  <c r="S22"/>
  <c r="S23"/>
  <c r="S21"/>
  <c r="E27" i="18" l="1"/>
  <c r="E26"/>
  <c r="I47" i="16"/>
  <c r="F23"/>
  <c r="E23"/>
  <c r="F31"/>
  <c r="F24"/>
  <c r="E24"/>
  <c r="E29" i="18" l="1"/>
  <c r="E26" i="16"/>
  <c r="E27"/>
  <c r="E30" i="18" l="1"/>
  <c r="G32"/>
  <c r="E32"/>
  <c r="E29" i="16"/>
  <c r="E31" l="1"/>
  <c r="G31"/>
  <c r="S17"/>
  <c r="S9"/>
  <c r="S10"/>
  <c r="S8"/>
  <c r="F55" i="1" l="1"/>
  <c r="F151" l="1"/>
  <c r="F150"/>
  <c r="AN39" l="1"/>
  <c r="E84" l="1"/>
  <c r="E85"/>
  <c r="F30" i="3"/>
  <c r="E10"/>
  <c r="E3"/>
  <c r="F40" i="1" s="1"/>
  <c r="E13" i="3" l="1"/>
  <c r="F133" i="1" l="1"/>
  <c r="E166" s="1"/>
  <c r="C167"/>
  <c r="F149"/>
  <c r="F148"/>
  <c r="F147"/>
  <c r="F146"/>
  <c r="F145"/>
  <c r="F144"/>
  <c r="F143"/>
  <c r="F142"/>
  <c r="F141"/>
  <c r="F140"/>
  <c r="F139"/>
  <c r="F138"/>
  <c r="F137"/>
  <c r="E150"/>
  <c r="F50" i="3"/>
  <c r="F51" s="1"/>
  <c r="F90" i="1" s="1"/>
  <c r="E168" s="1"/>
  <c r="F49" i="3"/>
  <c r="F88" i="1" s="1"/>
  <c r="E83"/>
  <c r="E82"/>
  <c r="F57"/>
  <c r="E161" s="1"/>
  <c r="F127"/>
  <c r="F129"/>
  <c r="E165" s="1"/>
  <c r="F95" i="16" s="1"/>
  <c r="G58" i="3"/>
  <c r="G64" s="1"/>
  <c r="G66"/>
  <c r="G65"/>
  <c r="C67"/>
  <c r="D66"/>
  <c r="B66"/>
  <c r="C64"/>
  <c r="C65" s="1"/>
  <c r="D64"/>
  <c r="B64"/>
  <c r="F119" i="1"/>
  <c r="F122"/>
  <c r="F123" s="1"/>
  <c r="F121"/>
  <c r="F91" i="16" l="1"/>
  <c r="F92" i="18"/>
  <c r="E10" i="16"/>
  <c r="F32" s="1"/>
  <c r="F90" s="1"/>
  <c r="E10" i="18"/>
  <c r="E8" i="16"/>
  <c r="E8" i="18"/>
  <c r="E9" i="16"/>
  <c r="E54" s="1"/>
  <c r="E58" s="1"/>
  <c r="E9" i="18"/>
  <c r="E55" s="1"/>
  <c r="F96" i="16"/>
  <c r="F97" i="18"/>
  <c r="E7" i="16"/>
  <c r="E7" i="18"/>
  <c r="F96"/>
  <c r="F98" i="16"/>
  <c r="E98" s="1"/>
  <c r="F99" i="18"/>
  <c r="G77" i="3"/>
  <c r="F77" s="1"/>
  <c r="E164" i="1" s="1"/>
  <c r="E169"/>
  <c r="F100" i="18" s="1"/>
  <c r="F128" i="1"/>
  <c r="G71" i="3"/>
  <c r="F71" s="1"/>
  <c r="E163" i="1" s="1"/>
  <c r="G80" i="3"/>
  <c r="F80" s="1"/>
  <c r="G70"/>
  <c r="F70" s="1"/>
  <c r="G76"/>
  <c r="F76" s="1"/>
  <c r="G72"/>
  <c r="F72" s="1"/>
  <c r="G78"/>
  <c r="F78" s="1"/>
  <c r="G74"/>
  <c r="F74" s="1"/>
  <c r="D67"/>
  <c r="G81" s="1"/>
  <c r="F81" s="1"/>
  <c r="B65"/>
  <c r="G73" s="1"/>
  <c r="F73" s="1"/>
  <c r="D65"/>
  <c r="G75" s="1"/>
  <c r="F75" s="1"/>
  <c r="G57"/>
  <c r="G60" s="1"/>
  <c r="G59" s="1"/>
  <c r="B67"/>
  <c r="G79" s="1"/>
  <c r="F79" s="1"/>
  <c r="F115" i="1"/>
  <c r="F120" s="1"/>
  <c r="F27" i="3"/>
  <c r="AN67" i="1"/>
  <c r="AN62"/>
  <c r="AN63"/>
  <c r="B4" i="7" s="1"/>
  <c r="AN64" i="1"/>
  <c r="C4" i="7" s="1"/>
  <c r="AN65" i="1"/>
  <c r="AN66"/>
  <c r="AN61"/>
  <c r="F68" s="1"/>
  <c r="F69" s="1"/>
  <c r="C23" i="7" s="1"/>
  <c r="AN38" i="1"/>
  <c r="AN34"/>
  <c r="F47"/>
  <c r="F53"/>
  <c r="E32" i="16" l="1"/>
  <c r="E90" s="1"/>
  <c r="F57"/>
  <c r="G32"/>
  <c r="G90" s="1"/>
  <c r="E57"/>
  <c r="E61" s="1"/>
  <c r="F58"/>
  <c r="E37"/>
  <c r="E67" s="1"/>
  <c r="E68" s="1"/>
  <c r="F94"/>
  <c r="E94" s="1"/>
  <c r="F95" i="18"/>
  <c r="E38"/>
  <c r="E39" s="1"/>
  <c r="E43" s="1"/>
  <c r="E49" s="1"/>
  <c r="I52" s="1"/>
  <c r="F59"/>
  <c r="E59"/>
  <c r="F58"/>
  <c r="E58"/>
  <c r="F33"/>
  <c r="F91" s="1"/>
  <c r="G33"/>
  <c r="G91" s="1"/>
  <c r="F160" i="1" s="1"/>
  <c r="E33" i="18"/>
  <c r="E91" s="1"/>
  <c r="D160" i="1" s="1"/>
  <c r="F93" i="16"/>
  <c r="G93" s="1"/>
  <c r="F94" i="18"/>
  <c r="E99"/>
  <c r="D168" i="1" s="1"/>
  <c r="G99" i="18"/>
  <c r="F168" i="1" s="1"/>
  <c r="G98" i="16"/>
  <c r="E170" i="1"/>
  <c r="F99" i="16"/>
  <c r="C24" i="7"/>
  <c r="F130" i="1"/>
  <c r="AO81"/>
  <c r="J41" i="18" l="1"/>
  <c r="E60" i="16"/>
  <c r="E63" s="1"/>
  <c r="E64" s="1"/>
  <c r="E72" s="1"/>
  <c r="E68" i="18"/>
  <c r="E69" s="1"/>
  <c r="F75" i="16"/>
  <c r="F92" s="1"/>
  <c r="G94"/>
  <c r="E61" i="18"/>
  <c r="J40" i="16"/>
  <c r="F89" s="1"/>
  <c r="E41"/>
  <c r="E47" s="1"/>
  <c r="E103" s="1"/>
  <c r="E38"/>
  <c r="E42" s="1"/>
  <c r="E48" s="1"/>
  <c r="E42" i="18"/>
  <c r="E48" s="1"/>
  <c r="G95"/>
  <c r="F164" i="1" s="1"/>
  <c r="E95" i="18"/>
  <c r="D164" i="1" s="1"/>
  <c r="E62" i="18"/>
  <c r="F100" i="16"/>
  <c r="F101" i="18"/>
  <c r="F104"/>
  <c r="F175" i="1" s="1"/>
  <c r="F105" i="18"/>
  <c r="F176" i="1" s="1"/>
  <c r="F90" i="18"/>
  <c r="E93" i="16"/>
  <c r="G94" i="18"/>
  <c r="F163" i="1" s="1"/>
  <c r="E94" i="18"/>
  <c r="D163" i="1" s="1"/>
  <c r="J17" i="3"/>
  <c r="E11"/>
  <c r="E4"/>
  <c r="F76" i="18" l="1"/>
  <c r="F93" s="1"/>
  <c r="I51"/>
  <c r="E105" s="1"/>
  <c r="E176" i="1" s="1"/>
  <c r="I37" i="16"/>
  <c r="I40" s="1"/>
  <c r="E89" s="1"/>
  <c r="E75"/>
  <c r="E92" s="1"/>
  <c r="E64" i="18"/>
  <c r="E65" s="1"/>
  <c r="E73" s="1"/>
  <c r="G76" s="1"/>
  <c r="G93" s="1"/>
  <c r="F162" i="1" s="1"/>
  <c r="E104" i="18"/>
  <c r="E175" i="1" s="1"/>
  <c r="I50" i="16"/>
  <c r="E104" s="1"/>
  <c r="I38" i="18"/>
  <c r="I41" s="1"/>
  <c r="E90" s="1"/>
  <c r="D159" i="1" s="1"/>
  <c r="F41"/>
  <c r="E152" i="3"/>
  <c r="I51" i="16"/>
  <c r="F104" s="1"/>
  <c r="F103"/>
  <c r="G75"/>
  <c r="G92" s="1"/>
  <c r="E16" i="3"/>
  <c r="F43" i="1"/>
  <c r="K40" i="16" l="1"/>
  <c r="G89" s="1"/>
  <c r="K41" i="18"/>
  <c r="G90" s="1"/>
  <c r="F159" i="1" s="1"/>
  <c r="E76" i="18"/>
  <c r="E93" s="1"/>
  <c r="D162" i="1" s="1"/>
  <c r="F26" i="3"/>
  <c r="F70" i="1" s="1"/>
  <c r="E15" i="3"/>
  <c r="G15" s="1"/>
  <c r="E17"/>
  <c r="G17" s="1"/>
  <c r="E6"/>
  <c r="F50" i="1" s="1"/>
  <c r="E159" s="1"/>
  <c r="F42" i="3" l="1"/>
  <c r="E5" l="1"/>
  <c r="F49" i="1" s="1"/>
  <c r="E7" i="3"/>
  <c r="F51" i="1" l="1"/>
  <c r="E8" i="3"/>
  <c r="F95" i="1" l="1"/>
  <c r="F94" l="1"/>
  <c r="F83"/>
  <c r="F29" i="3" l="1"/>
  <c r="F45" i="1"/>
  <c r="F35" i="3" l="1"/>
  <c r="F4" i="7"/>
  <c r="F34" i="3" l="1"/>
  <c r="F36"/>
  <c r="Q2" i="13"/>
  <c r="P2"/>
  <c r="A112"/>
  <c r="B112"/>
  <c r="A111"/>
  <c r="B111"/>
  <c r="A110"/>
  <c r="B110"/>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8"/>
  <c r="H2"/>
  <c r="O149" i="3" l="1"/>
  <c r="F45"/>
  <c r="F46" s="1"/>
  <c r="F85" i="1" s="1"/>
  <c r="D2" i="13" l="1"/>
  <c r="G2"/>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X20"/>
  <c r="X13"/>
  <c r="X16" s="1"/>
  <c r="E167" i="1" l="1"/>
  <c r="C8" i="7"/>
  <c r="C112" i="13"/>
  <c r="C111"/>
  <c r="C110"/>
  <c r="C78"/>
  <c r="C60"/>
  <c r="C109"/>
  <c r="C73"/>
  <c r="C41"/>
  <c r="C93"/>
  <c r="C89"/>
  <c r="C100"/>
  <c r="C74"/>
  <c r="C70"/>
  <c r="C13"/>
  <c r="C9"/>
  <c r="C99"/>
  <c r="C98"/>
  <c r="C96"/>
  <c r="C88"/>
  <c r="C77"/>
  <c r="C72"/>
  <c r="C56"/>
  <c r="C52"/>
  <c r="C47"/>
  <c r="C45"/>
  <c r="C37"/>
  <c r="C30"/>
  <c r="C21"/>
  <c r="C17"/>
  <c r="C108"/>
  <c r="C107"/>
  <c r="C105"/>
  <c r="C97"/>
  <c r="C94"/>
  <c r="C82"/>
  <c r="C80"/>
  <c r="C67"/>
  <c r="C65"/>
  <c r="C63"/>
  <c r="C61"/>
  <c r="C57"/>
  <c r="C34"/>
  <c r="C18"/>
  <c r="C103"/>
  <c r="C101"/>
  <c r="C90"/>
  <c r="C86"/>
  <c r="C85"/>
  <c r="C81"/>
  <c r="C69"/>
  <c r="C66"/>
  <c r="C64"/>
  <c r="C55"/>
  <c r="C53"/>
  <c r="C49"/>
  <c r="C44"/>
  <c r="C42"/>
  <c r="C38"/>
  <c r="C33"/>
  <c r="C29"/>
  <c r="C25"/>
  <c r="C48"/>
  <c r="C26"/>
  <c r="C22"/>
  <c r="C14"/>
  <c r="C10"/>
  <c r="C106"/>
  <c r="C92"/>
  <c r="C75"/>
  <c r="C104"/>
  <c r="C91"/>
  <c r="C84"/>
  <c r="C102"/>
  <c r="C83"/>
  <c r="C76"/>
  <c r="C95"/>
  <c r="C87"/>
  <c r="C79"/>
  <c r="C71"/>
  <c r="C59"/>
  <c r="C51"/>
  <c r="C68"/>
  <c r="C58"/>
  <c r="C50"/>
  <c r="C62"/>
  <c r="C54"/>
  <c r="C46"/>
  <c r="C43"/>
  <c r="C40"/>
  <c r="C39"/>
  <c r="C36"/>
  <c r="C35"/>
  <c r="C32"/>
  <c r="C31"/>
  <c r="C28"/>
  <c r="C27"/>
  <c r="C24"/>
  <c r="C23"/>
  <c r="C20"/>
  <c r="C19"/>
  <c r="C16"/>
  <c r="C15"/>
  <c r="C12"/>
  <c r="C11"/>
  <c r="X22"/>
  <c r="C8"/>
  <c r="F97" i="16" l="1"/>
  <c r="G97" s="1"/>
  <c r="F98" i="18"/>
  <c r="C10" i="7"/>
  <c r="C11" s="1"/>
  <c r="J8"/>
  <c r="E97" i="16" l="1"/>
  <c r="G98" i="18"/>
  <c r="F167" i="1" s="1"/>
  <c r="E98" i="18"/>
  <c r="D167" i="1" s="1"/>
  <c r="E4" i="7"/>
  <c r="D4"/>
  <c r="I40" l="1"/>
  <c r="I39" s="1"/>
  <c r="H40"/>
  <c r="G40"/>
  <c r="J40"/>
  <c r="C13"/>
  <c r="C12"/>
  <c r="K4"/>
  <c r="J4"/>
  <c r="L4"/>
  <c r="G39" l="1"/>
  <c r="J39"/>
  <c r="H39"/>
  <c r="F72" i="1" l="1"/>
  <c r="I2" i="13"/>
  <c r="F117" i="3"/>
  <c r="F74" i="1" l="1"/>
  <c r="C2" i="13"/>
  <c r="E112" s="1"/>
  <c r="G112" s="1"/>
  <c r="J9" i="7"/>
  <c r="H13"/>
  <c r="G12"/>
  <c r="C9"/>
  <c r="B2" i="13" l="1"/>
  <c r="D8" s="1"/>
  <c r="E162" i="1"/>
  <c r="F122" i="3"/>
  <c r="F138" s="1"/>
  <c r="G138" s="1"/>
  <c r="L112" i="13"/>
  <c r="E110"/>
  <c r="G110" s="1"/>
  <c r="E109"/>
  <c r="G109" s="1"/>
  <c r="E111"/>
  <c r="G111" s="1"/>
  <c r="H12" i="7"/>
  <c r="G13"/>
  <c r="G18" s="1"/>
  <c r="G17" s="1"/>
  <c r="D112" i="13" l="1"/>
  <c r="D12"/>
  <c r="E12" s="1"/>
  <c r="G12" s="1"/>
  <c r="D66"/>
  <c r="E66" s="1"/>
  <c r="G66" s="1"/>
  <c r="D23"/>
  <c r="E23" s="1"/>
  <c r="G23" s="1"/>
  <c r="D70"/>
  <c r="E70" s="1"/>
  <c r="G70" s="1"/>
  <c r="D30"/>
  <c r="E30" s="1"/>
  <c r="G30" s="1"/>
  <c r="D67"/>
  <c r="E67" s="1"/>
  <c r="G67" s="1"/>
  <c r="D49"/>
  <c r="E49" s="1"/>
  <c r="G49" s="1"/>
  <c r="D95"/>
  <c r="E95" s="1"/>
  <c r="G95" s="1"/>
  <c r="D29"/>
  <c r="E29" s="1"/>
  <c r="G29" s="1"/>
  <c r="D24"/>
  <c r="E24" s="1"/>
  <c r="G24" s="1"/>
  <c r="D32"/>
  <c r="E32" s="1"/>
  <c r="G32" s="1"/>
  <c r="D37"/>
  <c r="E37" s="1"/>
  <c r="G37" s="1"/>
  <c r="D68"/>
  <c r="E68" s="1"/>
  <c r="G68" s="1"/>
  <c r="D50"/>
  <c r="E50" s="1"/>
  <c r="G50" s="1"/>
  <c r="D38"/>
  <c r="E38" s="1"/>
  <c r="G38" s="1"/>
  <c r="D47"/>
  <c r="E47" s="1"/>
  <c r="G47" s="1"/>
  <c r="D98"/>
  <c r="E98" s="1"/>
  <c r="G98" s="1"/>
  <c r="D46"/>
  <c r="E46" s="1"/>
  <c r="G46" s="1"/>
  <c r="D58"/>
  <c r="E58" s="1"/>
  <c r="G58" s="1"/>
  <c r="D39"/>
  <c r="E39" s="1"/>
  <c r="G39" s="1"/>
  <c r="D87"/>
  <c r="D34"/>
  <c r="D77"/>
  <c r="E77" s="1"/>
  <c r="G77" s="1"/>
  <c r="D76"/>
  <c r="E76" s="1"/>
  <c r="G76" s="1"/>
  <c r="D54"/>
  <c r="E54" s="1"/>
  <c r="G54" s="1"/>
  <c r="D61"/>
  <c r="E61" s="1"/>
  <c r="G61" s="1"/>
  <c r="D65"/>
  <c r="E65" s="1"/>
  <c r="G65" s="1"/>
  <c r="D59"/>
  <c r="E59" s="1"/>
  <c r="G59" s="1"/>
  <c r="D19"/>
  <c r="E19" s="1"/>
  <c r="G19" s="1"/>
  <c r="D93"/>
  <c r="E93" s="1"/>
  <c r="G93" s="1"/>
  <c r="D53"/>
  <c r="E53" s="1"/>
  <c r="G53" s="1"/>
  <c r="D92"/>
  <c r="E92" s="1"/>
  <c r="G92" s="1"/>
  <c r="D28"/>
  <c r="E28" s="1"/>
  <c r="G28" s="1"/>
  <c r="D86"/>
  <c r="E86" s="1"/>
  <c r="G86" s="1"/>
  <c r="D42"/>
  <c r="E42" s="1"/>
  <c r="G42" s="1"/>
  <c r="D107"/>
  <c r="E107" s="1"/>
  <c r="G107" s="1"/>
  <c r="D22"/>
  <c r="E22" s="1"/>
  <c r="G22" s="1"/>
  <c r="D55"/>
  <c r="E55" s="1"/>
  <c r="G55" s="1"/>
  <c r="D13"/>
  <c r="E13" s="1"/>
  <c r="G13" s="1"/>
  <c r="D64"/>
  <c r="E64" s="1"/>
  <c r="G64" s="1"/>
  <c r="D14"/>
  <c r="E14" s="1"/>
  <c r="G14" s="1"/>
  <c r="D60"/>
  <c r="E60" s="1"/>
  <c r="G60" s="1"/>
  <c r="D78"/>
  <c r="E78" s="1"/>
  <c r="G78" s="1"/>
  <c r="D72"/>
  <c r="E72" s="1"/>
  <c r="G72" s="1"/>
  <c r="D96"/>
  <c r="E96" s="1"/>
  <c r="G96" s="1"/>
  <c r="D83"/>
  <c r="E83" s="1"/>
  <c r="G83" s="1"/>
  <c r="D25"/>
  <c r="E25" s="1"/>
  <c r="G25" s="1"/>
  <c r="D40"/>
  <c r="E40" s="1"/>
  <c r="G40" s="1"/>
  <c r="D20"/>
  <c r="E20" s="1"/>
  <c r="G20" s="1"/>
  <c r="D91"/>
  <c r="E91" s="1"/>
  <c r="G91" s="1"/>
  <c r="D102"/>
  <c r="E102" s="1"/>
  <c r="G102" s="1"/>
  <c r="D16"/>
  <c r="E16" s="1"/>
  <c r="G16" s="1"/>
  <c r="D79"/>
  <c r="E79" s="1"/>
  <c r="G79" s="1"/>
  <c r="D84"/>
  <c r="E84" s="1"/>
  <c r="G84" s="1"/>
  <c r="D101"/>
  <c r="E101" s="1"/>
  <c r="G101" s="1"/>
  <c r="D80"/>
  <c r="E80" s="1"/>
  <c r="G80" s="1"/>
  <c r="D90"/>
  <c r="E90" s="1"/>
  <c r="G90" s="1"/>
  <c r="D15"/>
  <c r="E15" s="1"/>
  <c r="G15" s="1"/>
  <c r="D106"/>
  <c r="E106" s="1"/>
  <c r="G106" s="1"/>
  <c r="D111"/>
  <c r="D44"/>
  <c r="E44" s="1"/>
  <c r="G44" s="1"/>
  <c r="D52"/>
  <c r="E52" s="1"/>
  <c r="G52" s="1"/>
  <c r="D82"/>
  <c r="E82" s="1"/>
  <c r="G82" s="1"/>
  <c r="D103"/>
  <c r="E103" s="1"/>
  <c r="G103" s="1"/>
  <c r="D48"/>
  <c r="E48" s="1"/>
  <c r="G48" s="1"/>
  <c r="D88"/>
  <c r="E88" s="1"/>
  <c r="G88" s="1"/>
  <c r="D74"/>
  <c r="E74" s="1"/>
  <c r="G74" s="1"/>
  <c r="D85"/>
  <c r="E85" s="1"/>
  <c r="G85" s="1"/>
  <c r="D99"/>
  <c r="E99" s="1"/>
  <c r="G99" s="1"/>
  <c r="D33"/>
  <c r="E33" s="1"/>
  <c r="G33" s="1"/>
  <c r="D41"/>
  <c r="E41" s="1"/>
  <c r="G41" s="1"/>
  <c r="D108"/>
  <c r="E108" s="1"/>
  <c r="G108" s="1"/>
  <c r="D56"/>
  <c r="E56" s="1"/>
  <c r="G56" s="1"/>
  <c r="D57"/>
  <c r="E57" s="1"/>
  <c r="G57" s="1"/>
  <c r="D9"/>
  <c r="E9" s="1"/>
  <c r="G9" s="1"/>
  <c r="D69"/>
  <c r="E69" s="1"/>
  <c r="G69" s="1"/>
  <c r="D31"/>
  <c r="E31" s="1"/>
  <c r="G31" s="1"/>
  <c r="D71"/>
  <c r="E71" s="1"/>
  <c r="G71" s="1"/>
  <c r="D75"/>
  <c r="E75" s="1"/>
  <c r="G75" s="1"/>
  <c r="D45"/>
  <c r="E45" s="1"/>
  <c r="G45" s="1"/>
  <c r="D110"/>
  <c r="D81"/>
  <c r="E81" s="1"/>
  <c r="G81" s="1"/>
  <c r="D62"/>
  <c r="E62" s="1"/>
  <c r="G62" s="1"/>
  <c r="D17"/>
  <c r="E17" s="1"/>
  <c r="G17" s="1"/>
  <c r="D94"/>
  <c r="E94" s="1"/>
  <c r="G94" s="1"/>
  <c r="D36"/>
  <c r="E36" s="1"/>
  <c r="G36" s="1"/>
  <c r="D104"/>
  <c r="E104" s="1"/>
  <c r="G104" s="1"/>
  <c r="D27"/>
  <c r="E27" s="1"/>
  <c r="G27" s="1"/>
  <c r="D26"/>
  <c r="E26" s="1"/>
  <c r="G26" s="1"/>
  <c r="D100"/>
  <c r="E100" s="1"/>
  <c r="G100" s="1"/>
  <c r="D97"/>
  <c r="E97" s="1"/>
  <c r="G97" s="1"/>
  <c r="D89"/>
  <c r="E89" s="1"/>
  <c r="G89" s="1"/>
  <c r="D11"/>
  <c r="E11" s="1"/>
  <c r="G11" s="1"/>
  <c r="D18"/>
  <c r="E18" s="1"/>
  <c r="G18" s="1"/>
  <c r="D51"/>
  <c r="E51" s="1"/>
  <c r="G51" s="1"/>
  <c r="D10"/>
  <c r="E10" s="1"/>
  <c r="G10" s="1"/>
  <c r="D35"/>
  <c r="E35" s="1"/>
  <c r="G35" s="1"/>
  <c r="D105"/>
  <c r="E105" s="1"/>
  <c r="G105" s="1"/>
  <c r="D63"/>
  <c r="E63" s="1"/>
  <c r="G63" s="1"/>
  <c r="D43"/>
  <c r="E43" s="1"/>
  <c r="G43" s="1"/>
  <c r="D73"/>
  <c r="E73" s="1"/>
  <c r="G73" s="1"/>
  <c r="D109"/>
  <c r="D21"/>
  <c r="E21" s="1"/>
  <c r="G21" s="1"/>
  <c r="F146" i="3"/>
  <c r="B146" s="1"/>
  <c r="F133"/>
  <c r="B133" s="1"/>
  <c r="F141"/>
  <c r="B141" s="1"/>
  <c r="E138"/>
  <c r="F132"/>
  <c r="G132" s="1"/>
  <c r="F147"/>
  <c r="G147" s="1"/>
  <c r="F143"/>
  <c r="E143" s="1"/>
  <c r="B138"/>
  <c r="F135"/>
  <c r="B135" s="1"/>
  <c r="F142"/>
  <c r="E142" s="1"/>
  <c r="F144"/>
  <c r="E144" s="1"/>
  <c r="F137"/>
  <c r="B137" s="1"/>
  <c r="F139"/>
  <c r="B139" s="1"/>
  <c r="F140"/>
  <c r="E140" s="1"/>
  <c r="F136"/>
  <c r="E136" s="1"/>
  <c r="F134"/>
  <c r="G134" s="1"/>
  <c r="F145"/>
  <c r="E145" s="1"/>
  <c r="F131"/>
  <c r="F121"/>
  <c r="F123"/>
  <c r="L110" i="13"/>
  <c r="L111"/>
  <c r="L109"/>
  <c r="L13"/>
  <c r="L45"/>
  <c r="E87"/>
  <c r="G87" s="1"/>
  <c r="E34"/>
  <c r="G34" s="1"/>
  <c r="E8"/>
  <c r="G8" s="1"/>
  <c r="H18" i="7"/>
  <c r="H17" s="1"/>
  <c r="L21" i="13" l="1"/>
  <c r="L35"/>
  <c r="G146" i="3"/>
  <c r="E146"/>
  <c r="E131"/>
  <c r="E133"/>
  <c r="G133"/>
  <c r="G141"/>
  <c r="E137"/>
  <c r="E141"/>
  <c r="E147"/>
  <c r="G137"/>
  <c r="E134"/>
  <c r="G142"/>
  <c r="G143"/>
  <c r="B144"/>
  <c r="B143"/>
  <c r="E132"/>
  <c r="B142"/>
  <c r="B147"/>
  <c r="B132"/>
  <c r="B131"/>
  <c r="E135"/>
  <c r="G135"/>
  <c r="G144"/>
  <c r="E139"/>
  <c r="B136"/>
  <c r="G131"/>
  <c r="B140"/>
  <c r="G139"/>
  <c r="G140"/>
  <c r="G136"/>
  <c r="B134"/>
  <c r="G145"/>
  <c r="B145"/>
  <c r="L49" i="13"/>
  <c r="L33"/>
  <c r="L77"/>
  <c r="L97"/>
  <c r="L32"/>
  <c r="L16"/>
  <c r="L103"/>
  <c r="L15"/>
  <c r="L51"/>
  <c r="L53"/>
  <c r="L59"/>
  <c r="L88"/>
  <c r="L14"/>
  <c r="L50"/>
  <c r="L104"/>
  <c r="L64"/>
  <c r="L31"/>
  <c r="L57"/>
  <c r="L67"/>
  <c r="L98"/>
  <c r="L54"/>
  <c r="L70"/>
  <c r="L43"/>
  <c r="L69"/>
  <c r="L24"/>
  <c r="L66"/>
  <c r="L29"/>
  <c r="L72"/>
  <c r="L44"/>
  <c r="L9"/>
  <c r="L36"/>
  <c r="L34"/>
  <c r="L71"/>
  <c r="L18"/>
  <c r="L91"/>
  <c r="L25"/>
  <c r="L76"/>
  <c r="L39"/>
  <c r="L11"/>
  <c r="L94"/>
  <c r="L75"/>
  <c r="L58"/>
  <c r="L28"/>
  <c r="L93"/>
  <c r="L65"/>
  <c r="L48"/>
  <c r="L63"/>
  <c r="L23"/>
  <c r="L92"/>
  <c r="L19"/>
  <c r="L61"/>
  <c r="L78"/>
  <c r="L38"/>
  <c r="L89"/>
  <c r="L17"/>
  <c r="L87"/>
  <c r="L56"/>
  <c r="L74"/>
  <c r="L55"/>
  <c r="L47"/>
  <c r="L42"/>
  <c r="L20"/>
  <c r="L83"/>
  <c r="L106"/>
  <c r="L105"/>
  <c r="L86"/>
  <c r="L102"/>
  <c r="L40"/>
  <c r="L62"/>
  <c r="L82"/>
  <c r="L90"/>
  <c r="L100"/>
  <c r="L96"/>
  <c r="L10"/>
  <c r="L46"/>
  <c r="L68"/>
  <c r="L30"/>
  <c r="L60"/>
  <c r="L101"/>
  <c r="L26"/>
  <c r="L37"/>
  <c r="L22"/>
  <c r="L84"/>
  <c r="L108"/>
  <c r="L99"/>
  <c r="L8"/>
  <c r="L95"/>
  <c r="L73"/>
  <c r="L80"/>
  <c r="L79"/>
  <c r="L41"/>
  <c r="L85"/>
  <c r="L81"/>
  <c r="L52"/>
  <c r="L107"/>
  <c r="L27"/>
  <c r="L12"/>
  <c r="G77" i="1" l="1"/>
  <c r="O154" i="3" l="1"/>
  <c r="O153" l="1"/>
  <c r="O150"/>
  <c r="O152"/>
  <c r="O151"/>
  <c r="F115"/>
  <c r="F114"/>
  <c r="F113"/>
  <c r="F119"/>
  <c r="U150" l="1"/>
  <c r="F118"/>
  <c r="K131" s="1"/>
  <c r="T147"/>
  <c r="T148"/>
  <c r="T149"/>
  <c r="T150"/>
  <c r="S147"/>
  <c r="U147"/>
  <c r="S148"/>
  <c r="U148"/>
  <c r="S149"/>
  <c r="U149"/>
  <c r="S150"/>
  <c r="T131" l="1"/>
  <c r="K133"/>
  <c r="T133" s="1"/>
  <c r="K135"/>
  <c r="T135" s="1"/>
  <c r="K137"/>
  <c r="T137" s="1"/>
  <c r="K139"/>
  <c r="T139" s="1"/>
  <c r="K141"/>
  <c r="T141" s="1"/>
  <c r="K143"/>
  <c r="T143" s="1"/>
  <c r="K145"/>
  <c r="T145" s="1"/>
  <c r="K147"/>
  <c r="K132"/>
  <c r="T132" s="1"/>
  <c r="K134"/>
  <c r="T134" s="1"/>
  <c r="K136"/>
  <c r="T136" s="1"/>
  <c r="K138"/>
  <c r="T138" s="1"/>
  <c r="K140"/>
  <c r="T140" s="1"/>
  <c r="K142"/>
  <c r="T142" s="1"/>
  <c r="K144"/>
  <c r="T144" s="1"/>
  <c r="K146"/>
  <c r="T146" s="1"/>
  <c r="L137" l="1"/>
  <c r="U137" s="1"/>
  <c r="L141"/>
  <c r="U141" s="1"/>
  <c r="L145"/>
  <c r="U145" s="1"/>
  <c r="L138"/>
  <c r="U138" s="1"/>
  <c r="L142"/>
  <c r="U142" s="1"/>
  <c r="L146"/>
  <c r="U146" s="1"/>
  <c r="L135"/>
  <c r="U135" s="1"/>
  <c r="L139"/>
  <c r="U139" s="1"/>
  <c r="L143"/>
  <c r="U143" s="1"/>
  <c r="L132"/>
  <c r="U132" s="1"/>
  <c r="L136"/>
  <c r="U136" s="1"/>
  <c r="J131"/>
  <c r="S131" s="1"/>
  <c r="J139"/>
  <c r="S139" s="1"/>
  <c r="J147"/>
  <c r="J136"/>
  <c r="S136" s="1"/>
  <c r="J144"/>
  <c r="S144" s="1"/>
  <c r="J133"/>
  <c r="S133" s="1"/>
  <c r="J137"/>
  <c r="S137" s="1"/>
  <c r="J145"/>
  <c r="S145" s="1"/>
  <c r="J138"/>
  <c r="S138" s="1"/>
  <c r="J146"/>
  <c r="S146" s="1"/>
  <c r="J135"/>
  <c r="S135" s="1"/>
  <c r="L131"/>
  <c r="U131" s="1"/>
  <c r="L147"/>
  <c r="J134"/>
  <c r="S134" s="1"/>
  <c r="L140"/>
  <c r="U140" s="1"/>
  <c r="L144"/>
  <c r="U144" s="1"/>
  <c r="L133"/>
  <c r="U133" s="1"/>
  <c r="L134"/>
  <c r="U134" s="1"/>
  <c r="J132"/>
  <c r="S132" s="1"/>
  <c r="J142"/>
  <c r="S142" s="1"/>
  <c r="J141"/>
  <c r="S141" s="1"/>
  <c r="J140"/>
  <c r="S140" s="1"/>
  <c r="J143"/>
  <c r="S143" s="1"/>
  <c r="C18" i="7" l="1"/>
  <c r="C17" s="1"/>
  <c r="C19" s="1"/>
  <c r="C21" s="1"/>
  <c r="C25" s="1"/>
  <c r="F47" i="3" s="1"/>
  <c r="F86" i="1" s="1"/>
  <c r="X131" i="3" l="1"/>
  <c r="O144"/>
  <c r="O135"/>
  <c r="O139"/>
  <c r="V132" l="1"/>
  <c r="V131"/>
  <c r="V134"/>
  <c r="V133"/>
  <c r="O147"/>
  <c r="O145"/>
  <c r="O146"/>
  <c r="O148"/>
  <c r="O141"/>
  <c r="O140"/>
  <c r="O142"/>
  <c r="O143"/>
  <c r="O137"/>
  <c r="O136"/>
  <c r="O138"/>
  <c r="V147"/>
  <c r="V149"/>
  <c r="V143"/>
  <c r="V150"/>
  <c r="V136"/>
  <c r="V148"/>
  <c r="V141"/>
  <c r="V135"/>
  <c r="V142"/>
  <c r="V138"/>
  <c r="V144"/>
  <c r="V146"/>
  <c r="V137"/>
  <c r="V145"/>
  <c r="V139"/>
  <c r="V140"/>
  <c r="H42" i="13" l="1"/>
  <c r="K42" s="1"/>
  <c r="N84"/>
  <c r="N49"/>
  <c r="N111"/>
  <c r="H110"/>
  <c r="H76"/>
  <c r="I76" s="1"/>
  <c r="M76" s="1"/>
  <c r="H91"/>
  <c r="H28"/>
  <c r="H79"/>
  <c r="N89"/>
  <c r="N29"/>
  <c r="N10"/>
  <c r="N66"/>
  <c r="H24"/>
  <c r="N38"/>
  <c r="N60"/>
  <c r="N71"/>
  <c r="N20"/>
  <c r="H58"/>
  <c r="H44"/>
  <c r="I44" s="1"/>
  <c r="M44" s="1"/>
  <c r="N47"/>
  <c r="H36"/>
  <c r="K36" s="1"/>
  <c r="H54"/>
  <c r="N85"/>
  <c r="N103"/>
  <c r="N101"/>
  <c r="H96"/>
  <c r="N68"/>
  <c r="H45"/>
  <c r="N13"/>
  <c r="H21"/>
  <c r="N27"/>
  <c r="H52"/>
  <c r="I52" s="1"/>
  <c r="M52" s="1"/>
  <c r="H33"/>
  <c r="N12"/>
  <c r="N53"/>
  <c r="N104"/>
  <c r="N56"/>
  <c r="N81"/>
  <c r="N61"/>
  <c r="H74"/>
  <c r="N16"/>
  <c r="H72"/>
  <c r="K72" s="1"/>
  <c r="N39"/>
  <c r="N40"/>
  <c r="H51"/>
  <c r="N46"/>
  <c r="H86"/>
  <c r="I86" s="1"/>
  <c r="M86" s="1"/>
  <c r="N94"/>
  <c r="H32"/>
  <c r="N14"/>
  <c r="N8"/>
  <c r="H40" l="1"/>
  <c r="I40" s="1"/>
  <c r="M40" s="1"/>
  <c r="N112"/>
  <c r="H112"/>
  <c r="I112" s="1"/>
  <c r="M112" s="1"/>
  <c r="N9"/>
  <c r="H9"/>
  <c r="I9" s="1"/>
  <c r="M9" s="1"/>
  <c r="I32"/>
  <c r="M32" s="1"/>
  <c r="K32"/>
  <c r="H8"/>
  <c r="H60"/>
  <c r="K60" s="1"/>
  <c r="N36"/>
  <c r="H61"/>
  <c r="K61" s="1"/>
  <c r="H53"/>
  <c r="I53" s="1"/>
  <c r="M53" s="1"/>
  <c r="H47"/>
  <c r="K47" s="1"/>
  <c r="H66"/>
  <c r="I66" s="1"/>
  <c r="M66" s="1"/>
  <c r="H87"/>
  <c r="N87"/>
  <c r="I91"/>
  <c r="M91" s="1"/>
  <c r="K91"/>
  <c r="N15"/>
  <c r="H15"/>
  <c r="N37"/>
  <c r="H37"/>
  <c r="I37" s="1"/>
  <c r="M37" s="1"/>
  <c r="N18"/>
  <c r="H18"/>
  <c r="I18" s="1"/>
  <c r="M18" s="1"/>
  <c r="H106"/>
  <c r="I106" s="1"/>
  <c r="M106" s="1"/>
  <c r="N106"/>
  <c r="K79"/>
  <c r="I79"/>
  <c r="M79" s="1"/>
  <c r="N35"/>
  <c r="H35"/>
  <c r="H83"/>
  <c r="N83"/>
  <c r="N31"/>
  <c r="H31"/>
  <c r="N11"/>
  <c r="H11"/>
  <c r="I11" s="1"/>
  <c r="M11" s="1"/>
  <c r="N88"/>
  <c r="H88"/>
  <c r="I88" s="1"/>
  <c r="M88" s="1"/>
  <c r="N19"/>
  <c r="H19"/>
  <c r="I19" s="1"/>
  <c r="M19" s="1"/>
  <c r="N25"/>
  <c r="H25"/>
  <c r="N107"/>
  <c r="H107"/>
  <c r="H104"/>
  <c r="N79"/>
  <c r="K44"/>
  <c r="N72"/>
  <c r="I72"/>
  <c r="M72" s="1"/>
  <c r="H38"/>
  <c r="H29"/>
  <c r="K29" s="1"/>
  <c r="H111"/>
  <c r="I111" s="1"/>
  <c r="M111" s="1"/>
  <c r="H89"/>
  <c r="H14"/>
  <c r="K14" s="1"/>
  <c r="N32"/>
  <c r="H94"/>
  <c r="H81"/>
  <c r="I81" s="1"/>
  <c r="M81" s="1"/>
  <c r="H27"/>
  <c r="K27" s="1"/>
  <c r="H16"/>
  <c r="K16" s="1"/>
  <c r="N44"/>
  <c r="H20"/>
  <c r="I20" s="1"/>
  <c r="M20" s="1"/>
  <c r="H10"/>
  <c r="N42"/>
  <c r="N78"/>
  <c r="H78"/>
  <c r="I74"/>
  <c r="M74" s="1"/>
  <c r="K74"/>
  <c r="H98"/>
  <c r="N98"/>
  <c r="N82"/>
  <c r="H82"/>
  <c r="H43"/>
  <c r="N43"/>
  <c r="N17"/>
  <c r="H17"/>
  <c r="N63"/>
  <c r="H63"/>
  <c r="N62"/>
  <c r="H62"/>
  <c r="N100"/>
  <c r="H100"/>
  <c r="I96"/>
  <c r="M96" s="1"/>
  <c r="K96"/>
  <c r="I21"/>
  <c r="M21" s="1"/>
  <c r="K21"/>
  <c r="N64"/>
  <c r="H64"/>
  <c r="N102"/>
  <c r="H102"/>
  <c r="I51"/>
  <c r="M51" s="1"/>
  <c r="K51"/>
  <c r="H105"/>
  <c r="N105"/>
  <c r="N74"/>
  <c r="I54"/>
  <c r="M54" s="1"/>
  <c r="K54"/>
  <c r="N80"/>
  <c r="H80"/>
  <c r="N23"/>
  <c r="H23"/>
  <c r="H85"/>
  <c r="K110"/>
  <c r="I110"/>
  <c r="M110" s="1"/>
  <c r="N110"/>
  <c r="N77"/>
  <c r="H77"/>
  <c r="H30"/>
  <c r="N30"/>
  <c r="H56"/>
  <c r="I45"/>
  <c r="M45" s="1"/>
  <c r="K45"/>
  <c r="H69"/>
  <c r="N69"/>
  <c r="N96"/>
  <c r="N52"/>
  <c r="I36"/>
  <c r="M36" s="1"/>
  <c r="N59"/>
  <c r="H59"/>
  <c r="I33"/>
  <c r="M33" s="1"/>
  <c r="K33"/>
  <c r="H92"/>
  <c r="N92"/>
  <c r="N75"/>
  <c r="H75"/>
  <c r="N93"/>
  <c r="H93"/>
  <c r="N109"/>
  <c r="H109"/>
  <c r="N41"/>
  <c r="H41"/>
  <c r="N34"/>
  <c r="H34"/>
  <c r="N22"/>
  <c r="H22"/>
  <c r="I24"/>
  <c r="M24" s="1"/>
  <c r="K24"/>
  <c r="N24"/>
  <c r="N54"/>
  <c r="N57"/>
  <c r="H57"/>
  <c r="N55"/>
  <c r="H55"/>
  <c r="N108"/>
  <c r="H108"/>
  <c r="H67"/>
  <c r="N67"/>
  <c r="N65"/>
  <c r="H65"/>
  <c r="I28"/>
  <c r="M28" s="1"/>
  <c r="K28"/>
  <c r="H71"/>
  <c r="K52"/>
  <c r="N21"/>
  <c r="N86"/>
  <c r="N73"/>
  <c r="H73"/>
  <c r="N95"/>
  <c r="H95"/>
  <c r="N48"/>
  <c r="H48"/>
  <c r="N90"/>
  <c r="H90"/>
  <c r="I58"/>
  <c r="M58" s="1"/>
  <c r="K58"/>
  <c r="N45"/>
  <c r="N97"/>
  <c r="H97"/>
  <c r="N50"/>
  <c r="H50"/>
  <c r="N70"/>
  <c r="H70"/>
  <c r="H46"/>
  <c r="H39"/>
  <c r="H12"/>
  <c r="H13"/>
  <c r="H68"/>
  <c r="H101"/>
  <c r="H103"/>
  <c r="N26"/>
  <c r="H26"/>
  <c r="N58"/>
  <c r="H84"/>
  <c r="N51"/>
  <c r="N28"/>
  <c r="K86"/>
  <c r="N33"/>
  <c r="H99"/>
  <c r="N99"/>
  <c r="K76"/>
  <c r="H49"/>
  <c r="N76"/>
  <c r="I42"/>
  <c r="M42" s="1"/>
  <c r="N91"/>
  <c r="K88" l="1"/>
  <c r="K40"/>
  <c r="I60"/>
  <c r="M60" s="1"/>
  <c r="K66"/>
  <c r="I16"/>
  <c r="M16" s="1"/>
  <c r="I29"/>
  <c r="M29" s="1"/>
  <c r="K11"/>
  <c r="K53"/>
  <c r="I27"/>
  <c r="M27" s="1"/>
  <c r="K112"/>
  <c r="K20"/>
  <c r="K106"/>
  <c r="K9"/>
  <c r="I47"/>
  <c r="M47" s="1"/>
  <c r="I61"/>
  <c r="M61" s="1"/>
  <c r="K111"/>
  <c r="K8"/>
  <c r="I8"/>
  <c r="M8" s="1"/>
  <c r="K107"/>
  <c r="I107"/>
  <c r="M107" s="1"/>
  <c r="K15"/>
  <c r="I15"/>
  <c r="M15" s="1"/>
  <c r="I14"/>
  <c r="M14" s="1"/>
  <c r="K38"/>
  <c r="I38"/>
  <c r="M38" s="1"/>
  <c r="K83"/>
  <c r="I83"/>
  <c r="M83" s="1"/>
  <c r="K87"/>
  <c r="I87"/>
  <c r="M87" s="1"/>
  <c r="K19"/>
  <c r="K81"/>
  <c r="K94"/>
  <c r="I94"/>
  <c r="M94" s="1"/>
  <c r="I89"/>
  <c r="M89" s="1"/>
  <c r="K89"/>
  <c r="K25"/>
  <c r="I25"/>
  <c r="M25" s="1"/>
  <c r="K31"/>
  <c r="I31"/>
  <c r="M31" s="1"/>
  <c r="K35"/>
  <c r="I35"/>
  <c r="M35" s="1"/>
  <c r="K18"/>
  <c r="K37"/>
  <c r="P4"/>
  <c r="K10"/>
  <c r="I10"/>
  <c r="M10" s="1"/>
  <c r="I104"/>
  <c r="M104" s="1"/>
  <c r="K104"/>
  <c r="K68"/>
  <c r="I68"/>
  <c r="M68" s="1"/>
  <c r="I71"/>
  <c r="M71" s="1"/>
  <c r="K71"/>
  <c r="I41"/>
  <c r="M41" s="1"/>
  <c r="K41"/>
  <c r="K93"/>
  <c r="I93"/>
  <c r="M93" s="1"/>
  <c r="I56"/>
  <c r="M56" s="1"/>
  <c r="K56"/>
  <c r="K99"/>
  <c r="I99"/>
  <c r="M99" s="1"/>
  <c r="I13"/>
  <c r="M13" s="1"/>
  <c r="K13"/>
  <c r="I95"/>
  <c r="M95" s="1"/>
  <c r="K95"/>
  <c r="K55"/>
  <c r="I55"/>
  <c r="M55" s="1"/>
  <c r="K69"/>
  <c r="I69"/>
  <c r="M69" s="1"/>
  <c r="K105"/>
  <c r="I105"/>
  <c r="M105" s="1"/>
  <c r="I100"/>
  <c r="M100" s="1"/>
  <c r="K100"/>
  <c r="I63"/>
  <c r="M63" s="1"/>
  <c r="K63"/>
  <c r="K78"/>
  <c r="I78"/>
  <c r="M78" s="1"/>
  <c r="I103"/>
  <c r="M103" s="1"/>
  <c r="K103"/>
  <c r="I30"/>
  <c r="M30" s="1"/>
  <c r="K30"/>
  <c r="I85"/>
  <c r="M85" s="1"/>
  <c r="K85"/>
  <c r="K43"/>
  <c r="I43"/>
  <c r="M43" s="1"/>
  <c r="K98"/>
  <c r="I98"/>
  <c r="M98" s="1"/>
  <c r="K26"/>
  <c r="I26"/>
  <c r="M26" s="1"/>
  <c r="K39"/>
  <c r="I39"/>
  <c r="M39" s="1"/>
  <c r="K50"/>
  <c r="I50"/>
  <c r="M50" s="1"/>
  <c r="K92"/>
  <c r="I92"/>
  <c r="M92" s="1"/>
  <c r="I59"/>
  <c r="M59" s="1"/>
  <c r="K59"/>
  <c r="I46"/>
  <c r="M46" s="1"/>
  <c r="K46"/>
  <c r="K90"/>
  <c r="I90"/>
  <c r="M90" s="1"/>
  <c r="K22"/>
  <c r="I22"/>
  <c r="M22" s="1"/>
  <c r="I80"/>
  <c r="M80" s="1"/>
  <c r="K80"/>
  <c r="I49"/>
  <c r="M49" s="1"/>
  <c r="K49"/>
  <c r="K70"/>
  <c r="I70"/>
  <c r="M70" s="1"/>
  <c r="K97"/>
  <c r="I97"/>
  <c r="M97" s="1"/>
  <c r="I67"/>
  <c r="M67" s="1"/>
  <c r="K67"/>
  <c r="K109"/>
  <c r="I109"/>
  <c r="M109" s="1"/>
  <c r="I75"/>
  <c r="M75" s="1"/>
  <c r="K75"/>
  <c r="K84"/>
  <c r="I84"/>
  <c r="M84" s="1"/>
  <c r="K101"/>
  <c r="I101"/>
  <c r="M101" s="1"/>
  <c r="K12"/>
  <c r="I12"/>
  <c r="M12" s="1"/>
  <c r="K48"/>
  <c r="I48"/>
  <c r="M48" s="1"/>
  <c r="K73"/>
  <c r="I73"/>
  <c r="M73" s="1"/>
  <c r="I65"/>
  <c r="M65" s="1"/>
  <c r="K65"/>
  <c r="K108"/>
  <c r="I108"/>
  <c r="M108" s="1"/>
  <c r="K57"/>
  <c r="I57"/>
  <c r="M57" s="1"/>
  <c r="K34"/>
  <c r="I34"/>
  <c r="M34" s="1"/>
  <c r="K77"/>
  <c r="I77"/>
  <c r="M77" s="1"/>
  <c r="I23"/>
  <c r="M23" s="1"/>
  <c r="K23"/>
  <c r="K102"/>
  <c r="I102"/>
  <c r="M102" s="1"/>
  <c r="K64"/>
  <c r="I64"/>
  <c r="M64" s="1"/>
  <c r="I62"/>
  <c r="M62" s="1"/>
  <c r="K62"/>
  <c r="I17"/>
  <c r="M17" s="1"/>
  <c r="K17"/>
  <c r="I82"/>
  <c r="M82" s="1"/>
  <c r="K82"/>
  <c r="M5" l="1"/>
  <c r="N2"/>
  <c r="F79" i="1" s="1"/>
  <c r="J8" i="13"/>
  <c r="J9" s="1"/>
  <c r="J10" s="1"/>
  <c r="J11" s="1"/>
  <c r="J12" s="1"/>
  <c r="J13" s="1"/>
  <c r="J14" s="1"/>
  <c r="J15" s="1"/>
  <c r="J16" s="1"/>
  <c r="J17" s="1"/>
  <c r="J18" s="1"/>
  <c r="J19" s="1"/>
  <c r="J20" s="1"/>
  <c r="J21" s="1"/>
  <c r="J22" s="1"/>
  <c r="J23" s="1"/>
  <c r="J24" s="1"/>
  <c r="J25" s="1"/>
  <c r="J26" s="1"/>
  <c r="J27" s="1"/>
  <c r="J28" s="1"/>
  <c r="J29" s="1"/>
  <c r="J30" s="1"/>
  <c r="J31" s="1"/>
  <c r="J32" s="1"/>
  <c r="J33" s="1"/>
  <c r="J34" s="1"/>
  <c r="J35" s="1"/>
  <c r="J36" s="1"/>
  <c r="J37" s="1"/>
  <c r="J38" s="1"/>
  <c r="J39" s="1"/>
  <c r="J40" s="1"/>
  <c r="J41" s="1"/>
  <c r="J42" s="1"/>
  <c r="J43" s="1"/>
  <c r="J44" s="1"/>
  <c r="J45" s="1"/>
  <c r="J46" s="1"/>
  <c r="J47" s="1"/>
  <c r="J48" s="1"/>
  <c r="J49" s="1"/>
  <c r="J50" s="1"/>
  <c r="J51" s="1"/>
  <c r="J52" s="1"/>
  <c r="J53" s="1"/>
  <c r="J54" s="1"/>
  <c r="J55" s="1"/>
  <c r="J56" s="1"/>
  <c r="J57" s="1"/>
  <c r="J58" s="1"/>
  <c r="J59" s="1"/>
  <c r="J60" s="1"/>
  <c r="J61" s="1"/>
  <c r="J62" s="1"/>
  <c r="J63" s="1"/>
  <c r="J64" s="1"/>
  <c r="J65" s="1"/>
  <c r="J66" s="1"/>
  <c r="J67" s="1"/>
  <c r="J68" s="1"/>
  <c r="J69" s="1"/>
  <c r="J70" s="1"/>
  <c r="J71" s="1"/>
  <c r="J72" s="1"/>
  <c r="J73" s="1"/>
  <c r="J74" s="1"/>
  <c r="J75" s="1"/>
  <c r="J76" s="1"/>
  <c r="J77" s="1"/>
  <c r="J78" s="1"/>
  <c r="J79" s="1"/>
  <c r="J80" s="1"/>
  <c r="J81" s="1"/>
  <c r="J82" s="1"/>
  <c r="J83" s="1"/>
  <c r="J84" s="1"/>
  <c r="J85" s="1"/>
  <c r="J86" s="1"/>
  <c r="J87" s="1"/>
  <c r="J88" s="1"/>
  <c r="J89" s="1"/>
  <c r="J90" s="1"/>
  <c r="J91" s="1"/>
  <c r="J92" s="1"/>
  <c r="J93" s="1"/>
  <c r="J94" s="1"/>
  <c r="J95" s="1"/>
  <c r="J96" s="1"/>
  <c r="J97" s="1"/>
  <c r="J98" s="1"/>
  <c r="J99" s="1"/>
  <c r="J100" s="1"/>
  <c r="J101" s="1"/>
  <c r="J102" s="1"/>
  <c r="J103" s="1"/>
  <c r="J104" s="1"/>
  <c r="J105" s="1"/>
  <c r="J106" s="1"/>
  <c r="J107" s="1"/>
  <c r="J108" s="1"/>
  <c r="J109" s="1"/>
  <c r="J110" s="1"/>
  <c r="J111" s="1"/>
  <c r="J112" s="1"/>
  <c r="L2" s="1"/>
  <c r="F78" i="1" l="1"/>
  <c r="F80" s="1"/>
  <c r="F41" i="3"/>
  <c r="F43" s="1"/>
  <c r="J11" i="7" l="1"/>
  <c r="J13" s="1"/>
  <c r="J10"/>
  <c r="J12" s="1"/>
  <c r="J18" l="1"/>
  <c r="J17" s="1"/>
  <c r="J19" s="1"/>
  <c r="J21" s="1"/>
  <c r="J25" s="1"/>
  <c r="J27" s="1"/>
</calcChain>
</file>

<file path=xl/comments1.xml><?xml version="1.0" encoding="utf-8"?>
<comments xmlns="http://schemas.openxmlformats.org/spreadsheetml/2006/main">
  <authors>
    <author>Timothy Hegarty</author>
    <author>dmorgan</author>
    <author>Naveen, Bevara</author>
    <author>a0272042</author>
    <author>TI User</author>
    <author>bdemsc</author>
  </authors>
  <commentList>
    <comment ref="L2" authorId="0">
      <text>
        <r>
          <rPr>
            <b/>
            <u/>
            <sz val="11"/>
            <color indexed="10"/>
            <rFont val="Tahoma"/>
            <family val="2"/>
          </rPr>
          <t>Texas Instruments</t>
        </r>
        <r>
          <rPr>
            <sz val="11"/>
            <color indexed="10"/>
            <rFont val="Tahoma"/>
            <family val="2"/>
          </rPr>
          <t>:</t>
        </r>
        <r>
          <rPr>
            <sz val="9"/>
            <color indexed="81"/>
            <rFont val="Tahoma"/>
            <family val="2"/>
          </rPr>
          <t xml:space="preserve">
</t>
        </r>
        <r>
          <rPr>
            <b/>
            <sz val="9"/>
            <color indexed="81"/>
            <rFont val="Tahoma"/>
            <family val="2"/>
          </rPr>
          <t>Limited Use Policy</t>
        </r>
        <r>
          <rPr>
            <sz val="9"/>
            <color indexed="81"/>
            <rFont val="Tahoma"/>
            <family val="2"/>
          </rPr>
          <t xml:space="preserve">
You must treat this software and documentation like any other copyrighted material.
</t>
        </r>
        <r>
          <rPr>
            <b/>
            <sz val="9"/>
            <color indexed="81"/>
            <rFont val="Tahoma"/>
            <family val="2"/>
          </rPr>
          <t>You may not:</t>
        </r>
        <r>
          <rPr>
            <sz val="9"/>
            <color indexed="81"/>
            <rFont val="Tahoma"/>
            <family val="2"/>
          </rPr>
          <t xml:space="preserve">
- Copy documentation of the software
- Copy this software except to make archival or backup copies
- Reverse engineer, disassemble, decompile or make any attempt to discover the source code of the Software 
- Place the software onto a server so that it is accessible via a public network such as the internet 
- Sublicense, rent, lease or lend any portion of the software or documentation.
Texas Instruments is not responsible for the validity of any design created with this software and urges all designs to be fully tested and carefully verified. Refer to the TPS24720 product datasheet(s) for more detail.
</t>
        </r>
        <r>
          <rPr>
            <b/>
            <sz val="9"/>
            <color indexed="81"/>
            <rFont val="Tahoma"/>
            <family val="2"/>
          </rPr>
          <t>Rev 2, Naveen Bevara/Artem Rogachev, Texas Instruments, Inc.</t>
        </r>
      </text>
    </comment>
    <comment ref="F27" authorId="1">
      <text>
        <r>
          <rPr>
            <b/>
            <sz val="8"/>
            <color indexed="81"/>
            <rFont val="Tahoma"/>
            <family val="2"/>
          </rPr>
          <t>The minimum system voltage must be no less than 2.9V.</t>
        </r>
      </text>
    </comment>
    <comment ref="F29" authorId="1">
      <text>
        <r>
          <rPr>
            <b/>
            <sz val="8"/>
            <color indexed="81"/>
            <rFont val="Tahoma"/>
            <family val="2"/>
          </rPr>
          <t>The maximum system voltage must be no greater than 17V.</t>
        </r>
      </text>
    </comment>
    <comment ref="F31" authorId="1">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8" authorId="2">
      <text>
        <r>
          <rPr>
            <sz val="9"/>
            <color indexed="81"/>
            <rFont val="Tahoma"/>
            <family val="2"/>
          </rPr>
          <t xml:space="preserve">It's recommended to set this &gt;10% above max load current. </t>
        </r>
      </text>
    </comment>
    <comment ref="F42" authorId="2">
      <text>
        <r>
          <rPr>
            <sz val="9"/>
            <color indexed="81"/>
            <rFont val="Tahoma"/>
            <family val="2"/>
          </rPr>
          <t xml:space="preserve">Pick a sense resistor in the recommended range. 
Higher Rsns will lead to better Power limit, current limit, and current monitoring accuracy. Lower Rsns will lead to better efficiency. </t>
        </r>
      </text>
    </comment>
    <comment ref="F53" authorId="1">
      <text>
        <r>
          <rPr>
            <b/>
            <sz val="8"/>
            <color indexed="81"/>
            <rFont val="Tahoma"/>
            <family val="2"/>
          </rPr>
          <t>The power dissipation is calculated using the maximum normal load current.
Ensure the selected resistor is rated for this power dissipation.</t>
        </r>
      </text>
    </comment>
    <comment ref="F61" authorId="3">
      <text>
        <r>
          <rPr>
            <b/>
            <sz val="9"/>
            <color indexed="81"/>
            <rFont val="Tahoma"/>
            <family val="2"/>
          </rPr>
          <t>This number may need to be adjusted iteratively based on the result of cell C44.</t>
        </r>
        <r>
          <rPr>
            <sz val="9"/>
            <color indexed="81"/>
            <rFont val="Tahoma"/>
            <family val="2"/>
          </rPr>
          <t xml:space="preserve">
</t>
        </r>
      </text>
    </comment>
    <comment ref="F69" authorId="3">
      <text>
        <r>
          <rPr>
            <sz val="9"/>
            <color indexed="81"/>
            <rFont val="Tahoma"/>
            <family val="2"/>
          </rPr>
          <t xml:space="preserve">If FET temperature is too high, increase the # of FETs, reduce the load, or reduce the RθJA by adding more heat sinking to MOSFETs. 
</t>
        </r>
      </text>
    </comment>
    <comment ref="F71" authorId="3">
      <text>
        <r>
          <rPr>
            <sz val="9"/>
            <color indexed="81"/>
            <rFont val="Tahoma"/>
            <family val="2"/>
          </rPr>
          <t xml:space="preserve">Ensure that Target Power Limit is higher than Minimum power limit. 
Note that a lower Plim can be used with a higher Rsns. 
Usually this can be set to PLIM,MIN.  If a load is present during start-up a higher Plim, may be preferred. </t>
        </r>
      </text>
    </comment>
    <comment ref="F74" authorId="3">
      <text>
        <r>
          <rPr>
            <sz val="9"/>
            <color indexed="81"/>
            <rFont val="Tahoma"/>
            <family val="2"/>
          </rPr>
          <t xml:space="preserve">Cell turns Red if the actual power limit is below Minimum Power Limit (cell F46)
</t>
        </r>
      </text>
    </comment>
    <comment ref="I74" authorId="4">
      <text>
        <r>
          <rPr>
            <sz val="9"/>
            <color indexed="81"/>
            <rFont val="Tahoma"/>
            <family val="2"/>
          </rPr>
          <t>3 Parameters:
Step 1: Max Ambient Operating Temperature 
Step 3: Estimated MOSFET RQJA
Step 3: FET Power Dissipation at full load 
**This includes air flow</t>
        </r>
        <r>
          <rPr>
            <sz val="9"/>
            <color indexed="81"/>
            <rFont val="Tahoma"/>
            <family val="2"/>
          </rPr>
          <t xml:space="preserve">
</t>
        </r>
      </text>
    </comment>
    <comment ref="F76" authorId="5">
      <text>
        <r>
          <rPr>
            <b/>
            <sz val="8"/>
            <color indexed="81"/>
            <rFont val="Tahoma"/>
            <family val="2"/>
          </rPr>
          <t>Select if the load will draw current during start-up. 
For no Load, choose constant current and set to zero</t>
        </r>
      </text>
    </comment>
    <comment ref="F78" authorId="3">
      <text>
        <r>
          <rPr>
            <b/>
            <sz val="9"/>
            <color indexed="81"/>
            <rFont val="Tahoma"/>
            <family val="2"/>
          </rPr>
          <t xml:space="preserve">Note: This value is computed based on discretization to support the start-up with load current feature. Results may differ slightly from the DS equation which is relies on a closed form integral. </t>
        </r>
        <r>
          <rPr>
            <sz val="9"/>
            <color indexed="81"/>
            <rFont val="Tahoma"/>
            <family val="2"/>
          </rPr>
          <t xml:space="preserve">
</t>
        </r>
      </text>
    </comment>
    <comment ref="F79" authorId="3">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82" authorId="2">
      <text>
        <r>
          <rPr>
            <b/>
            <sz val="9"/>
            <color indexed="81"/>
            <rFont val="Tahoma"/>
            <family val="2"/>
          </rPr>
          <t>Select the value greater than Target Fault Timer but less than the value that is suitable for MOSFET for the Maximum load current based on SOA of MOSFET (F63 should not be red)</t>
        </r>
      </text>
    </comment>
    <comment ref="F84" authorId="3">
      <text>
        <r>
          <rPr>
            <b/>
            <sz val="9"/>
            <color indexed="81"/>
            <rFont val="Tahoma"/>
            <family val="2"/>
          </rPr>
          <t>Pick closest capacitor that is larger than the Target capacitance</t>
        </r>
        <r>
          <rPr>
            <sz val="9"/>
            <color indexed="81"/>
            <rFont val="Tahoma"/>
            <family val="2"/>
          </rPr>
          <t xml:space="preserve">
</t>
        </r>
      </text>
    </comment>
    <comment ref="F86" authorId="3">
      <text>
        <r>
          <rPr>
            <sz val="9"/>
            <color indexed="81"/>
            <rFont val="Tahoma"/>
            <family val="2"/>
          </rPr>
          <t xml:space="preserve">A ratio over 1.3x is recommended
If the margin is poor try reducing the timer, reducing the power limit, using more FETs in parallel, or using a FET with better SOA. </t>
        </r>
      </text>
    </comment>
    <comment ref="F91" authorId="1">
      <text>
        <r>
          <rPr>
            <b/>
            <sz val="8"/>
            <color indexed="81"/>
            <rFont val="Tahoma"/>
            <family val="2"/>
          </rPr>
          <t>This threshold must be greater than 2.9V.</t>
        </r>
      </text>
    </comment>
    <comment ref="F92" authorId="1">
      <text>
        <r>
          <rPr>
            <b/>
            <sz val="8"/>
            <color indexed="81"/>
            <rFont val="Tahoma"/>
            <family val="2"/>
          </rPr>
          <t>This threshold must be less than 17V.</t>
        </r>
      </text>
    </comment>
    <comment ref="F93" authorId="2">
      <text>
        <r>
          <rPr>
            <sz val="9"/>
            <color indexed="81"/>
            <rFont val="Tahoma"/>
            <family val="2"/>
          </rPr>
          <t xml:space="preserve">Assumed Value
</t>
        </r>
      </text>
    </comment>
    <comment ref="F100" authorId="1">
      <text>
        <r>
          <rPr>
            <b/>
            <sz val="8"/>
            <color indexed="81"/>
            <rFont val="Tahoma"/>
            <family val="2"/>
          </rPr>
          <t>This threshold must be greater than 2.9V.</t>
        </r>
      </text>
    </comment>
    <comment ref="F101" authorId="1">
      <text>
        <r>
          <rPr>
            <b/>
            <sz val="8"/>
            <color indexed="81"/>
            <rFont val="Tahoma"/>
            <family val="2"/>
          </rPr>
          <t>This threshold must be less than 17V.</t>
        </r>
      </text>
    </comment>
    <comment ref="F115" authorId="3">
      <text>
        <r>
          <rPr>
            <sz val="9"/>
            <color indexed="81"/>
            <rFont val="Tahoma"/>
            <family val="2"/>
          </rPr>
          <t xml:space="preserve">uses difference between max and typ to compute this. 
</t>
        </r>
      </text>
    </comment>
  </commentList>
</comments>
</file>

<file path=xl/sharedStrings.xml><?xml version="1.0" encoding="utf-8"?>
<sst xmlns="http://schemas.openxmlformats.org/spreadsheetml/2006/main" count="1094" uniqueCount="503">
  <si>
    <t>Max Rs =</t>
  </si>
  <si>
    <t>Min. Current limit =</t>
  </si>
  <si>
    <t>Typ. Current limit =</t>
  </si>
  <si>
    <t>Max. Current limit =</t>
  </si>
  <si>
    <t>Rs Power Diss. =</t>
  </si>
  <si>
    <t>Resulting Typical Power Limit =</t>
  </si>
  <si>
    <t>Resulting Minimum Power Limit =</t>
  </si>
  <si>
    <t>Resulting Maximum Power Limit =</t>
  </si>
  <si>
    <t>ms</t>
  </si>
  <si>
    <t>A</t>
  </si>
  <si>
    <t>UVLO lower is F41</t>
  </si>
  <si>
    <t>OVLO upper is F42</t>
  </si>
  <si>
    <t>OVLO lower is F43</t>
  </si>
  <si>
    <t xml:space="preserve">R3 = </t>
  </si>
  <si>
    <t xml:space="preserve">R2 = </t>
  </si>
  <si>
    <t xml:space="preserve">R1 = </t>
  </si>
  <si>
    <t>R2 is F49</t>
  </si>
  <si>
    <t>R3 is F50</t>
  </si>
  <si>
    <t>R4 is F51</t>
  </si>
  <si>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</si>
  <si>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</si>
  <si>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</si>
  <si>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</si>
  <si>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</si>
  <si>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</si>
  <si>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</si>
  <si>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</si>
  <si>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</si>
  <si>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</si>
  <si>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</si>
  <si>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</si>
  <si>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</si>
  <si>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</si>
  <si>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</si>
  <si>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</si>
  <si>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</si>
  <si>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</si>
  <si>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</si>
  <si>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</si>
  <si>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</si>
  <si>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</si>
  <si>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</si>
  <si>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</si>
  <si>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</si>
  <si>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</si>
  <si>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</si>
  <si>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</si>
  <si>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</si>
  <si>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</si>
  <si>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</si>
  <si>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</si>
  <si>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</si>
  <si>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</si>
  <si>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t>Resulting Minimum Current Limit</t>
  </si>
  <si>
    <t>Resulting Typical Current Limit</t>
  </si>
  <si>
    <t>Resulting Maximum Current Limit</t>
  </si>
  <si>
    <t>Calculated Values are shown in White Cells</t>
  </si>
  <si>
    <t>www.ti.com/hotswap</t>
  </si>
  <si>
    <t xml:space="preserve">Enter the Resistance for R2 </t>
  </si>
  <si>
    <t xml:space="preserve">Enter the Resistance for R3 </t>
  </si>
  <si>
    <r>
      <t>Minimum Input Operating Voltage: V</t>
    </r>
    <r>
      <rPr>
        <vertAlign val="subscript"/>
        <sz val="10"/>
        <rFont val="Arial"/>
        <family val="2"/>
      </rPr>
      <t>IN(MIN)</t>
    </r>
  </si>
  <si>
    <r>
      <t>Maximum Input Operating Voltage: V</t>
    </r>
    <r>
      <rPr>
        <vertAlign val="subscript"/>
        <sz val="10"/>
        <rFont val="Arial"/>
        <family val="2"/>
      </rPr>
      <t>IN(MAX)</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</si>
  <si>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</si>
  <si>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</si>
  <si>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</si>
  <si>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</si>
  <si>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</si>
  <si>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</si>
  <si>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</si>
  <si>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</si>
  <si>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</si>
  <si>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1ms SOA Current Maximum Input Voltage</t>
  </si>
  <si>
    <t>10ms SOA Current Maximum Input Voltage</t>
  </si>
  <si>
    <t>100ms or DC SOA Current at Maximum Input Voltage</t>
  </si>
  <si>
    <t>Pick your MOSFET</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</si>
  <si>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</si>
  <si>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</si>
  <si>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</si>
  <si>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</si>
  <si>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</si>
  <si>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</si>
  <si>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</si>
  <si>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</si>
  <si>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</si>
  <si>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</si>
  <si>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</si>
  <si>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</si>
  <si>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</si>
  <si>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</si>
  <si>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</si>
  <si>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</si>
  <si>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</si>
  <si>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</si>
  <si>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</si>
  <si>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</si>
  <si>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</si>
  <si>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Operating Conditions</t>
  </si>
  <si>
    <t>Input Voltage</t>
  </si>
  <si>
    <t>Units</t>
  </si>
  <si>
    <t>uA</t>
  </si>
  <si>
    <t>Timer</t>
  </si>
  <si>
    <t>Upper Threshold</t>
  </si>
  <si>
    <t>ICAP</t>
  </si>
  <si>
    <t>Junction Temperature</t>
  </si>
  <si>
    <t>VIN</t>
  </si>
  <si>
    <t>Power Limit</t>
  </si>
  <si>
    <t>mV</t>
  </si>
  <si>
    <t>Minimum Power Limit=</t>
  </si>
  <si>
    <t>Look Up</t>
  </si>
  <si>
    <t>1ms</t>
  </si>
  <si>
    <t>10ms</t>
  </si>
  <si>
    <t>100ms</t>
  </si>
  <si>
    <t>Final SOA</t>
  </si>
  <si>
    <t>SOA Predictor</t>
  </si>
  <si>
    <t>time</t>
  </si>
  <si>
    <t>Voltage</t>
  </si>
  <si>
    <t>Lower time</t>
  </si>
  <si>
    <t>Higher timer</t>
  </si>
  <si>
    <t>I (lower time)</t>
  </si>
  <si>
    <t>I (higher time)</t>
  </si>
  <si>
    <t>P = a * t^m</t>
  </si>
  <si>
    <t>a</t>
  </si>
  <si>
    <t>a = P1/t1^m</t>
  </si>
  <si>
    <t>m</t>
  </si>
  <si>
    <t>m = log(P1/P2)/log(t1/t2)</t>
  </si>
  <si>
    <t>Extr. I</t>
  </si>
  <si>
    <t>Final Power</t>
  </si>
  <si>
    <t>&lt;= covers Time &lt; 1ms case</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</si>
  <si>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</si>
  <si>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</si>
  <si>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</si>
  <si>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</si>
  <si>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</si>
  <si>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</si>
  <si>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</si>
  <si>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</si>
  <si>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</si>
  <si>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</si>
  <si>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Yes</t>
  </si>
  <si>
    <t>Gate</t>
  </si>
  <si>
    <t>CLMAX =</t>
  </si>
  <si>
    <t xml:space="preserve">CLNOM = </t>
  </si>
  <si>
    <t>CLMIN =</t>
  </si>
  <si>
    <t>Design Summary</t>
  </si>
  <si>
    <t>Current limit</t>
  </si>
  <si>
    <t>100us</t>
  </si>
  <si>
    <r>
      <t>Maximum Output Load Capacitance: C</t>
    </r>
    <r>
      <rPr>
        <vertAlign val="subscript"/>
        <sz val="10"/>
        <rFont val="Arial"/>
        <family val="2"/>
      </rPr>
      <t>LOAD</t>
    </r>
  </si>
  <si>
    <r>
      <t>Estimated MOSFET R</t>
    </r>
    <r>
      <rPr>
        <sz val="10"/>
        <rFont val="Symbol"/>
        <family val="1"/>
        <charset val="2"/>
      </rPr>
      <t>Q</t>
    </r>
    <r>
      <rPr>
        <vertAlign val="subscript"/>
        <sz val="10"/>
        <rFont val="Arial"/>
        <family val="2"/>
      </rPr>
      <t>JA</t>
    </r>
  </si>
  <si>
    <t>Values Used</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</si>
  <si>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</si>
  <si>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</si>
  <si>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Rpwr</t>
  </si>
  <si>
    <t>Plim (Vds) = Plim (Vin,max) + (Vds - Vin,max)*Vos,syst/Rs</t>
  </si>
  <si>
    <t>Target Power Limit</t>
  </si>
  <si>
    <t>Target PLIM</t>
  </si>
  <si>
    <t>k-ohm</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</si>
  <si>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</si>
  <si>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</si>
  <si>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</si>
  <si>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</si>
  <si>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</si>
  <si>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</si>
  <si>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</si>
  <si>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</si>
  <si>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</si>
  <si>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</si>
  <si>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</si>
  <si>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</si>
  <si>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</si>
  <si>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Typical Start Time with Vinmax (Tstart)</t>
  </si>
  <si>
    <t>Typical Start time</t>
  </si>
  <si>
    <t>Target Fault Timer</t>
  </si>
  <si>
    <t>Target Timer capacitance</t>
  </si>
  <si>
    <t>Selected Timer capacitance</t>
  </si>
  <si>
    <t>IFET - ILOAD margin (lowest for Vout range)</t>
  </si>
  <si>
    <t>Note: I added an adjustment for the systematic offset</t>
  </si>
  <si>
    <t>Vos syst</t>
  </si>
  <si>
    <t>Rs (ohm)</t>
  </si>
  <si>
    <t>Vin, max</t>
  </si>
  <si>
    <t>Plim tolerance</t>
  </si>
  <si>
    <t>Temp Derated SOA</t>
  </si>
  <si>
    <t>Derated SOA / PLIM</t>
  </si>
  <si>
    <t>SOA / PLIM</t>
  </si>
  <si>
    <t>IFET_PLIM</t>
  </si>
  <si>
    <t>FET Power dissapation at full load (per FET)</t>
  </si>
  <si>
    <t>FET_ENERGY</t>
  </si>
  <si>
    <t>J</t>
  </si>
  <si>
    <t>Max _allowed SS_rate</t>
  </si>
  <si>
    <t>Power (W)</t>
  </si>
  <si>
    <t>I_g(hi/nom)</t>
  </si>
  <si>
    <t>I_g(low/nom)</t>
  </si>
  <si>
    <t>max_power_typ</t>
  </si>
  <si>
    <t>SOA Check - Based on Timer</t>
  </si>
  <si>
    <t>Enter Values in Green Shaded Cells</t>
  </si>
  <si>
    <t>1s/DC</t>
  </si>
  <si>
    <r>
      <t>100</t>
    </r>
    <r>
      <rPr>
        <sz val="10"/>
        <rFont val="Symbol"/>
        <family val="1"/>
        <charset val="2"/>
      </rPr>
      <t>m</t>
    </r>
    <r>
      <rPr>
        <sz val="10"/>
        <rFont val="Arial"/>
        <family val="2"/>
      </rPr>
      <t>s SOA Current (re-use 1ms data if unavailable) @ Maximum Input Voltage</t>
    </r>
  </si>
  <si>
    <t>1s or DC SOA Current at Maximum Input Voltage</t>
  </si>
  <si>
    <t>FET_Energy</t>
  </si>
  <si>
    <t>C</t>
  </si>
  <si>
    <t>Lower Threshold</t>
  </si>
  <si>
    <t>Sinking Current, VTIMER = 2V</t>
  </si>
  <si>
    <t>mA</t>
  </si>
  <si>
    <t>Gate Sourcing Current, VGATE = 12V</t>
  </si>
  <si>
    <t>OV</t>
  </si>
  <si>
    <t>Threshold Voltage, Rising</t>
  </si>
  <si>
    <t>Hysteresis</t>
  </si>
  <si>
    <t>VCC</t>
  </si>
  <si>
    <t>UVLO threshold, rising</t>
  </si>
  <si>
    <t>UVLO threshold, falling</t>
  </si>
  <si>
    <t>EN</t>
  </si>
  <si>
    <t>Threshold Voltage, falling</t>
  </si>
  <si>
    <t>Threshold</t>
  </si>
  <si>
    <t>PGb</t>
  </si>
  <si>
    <t>ENSD</t>
  </si>
  <si>
    <t>Threshold (Rising or Falling Edge)</t>
  </si>
  <si>
    <t>FLTb</t>
  </si>
  <si>
    <t>Output low voltage</t>
  </si>
  <si>
    <t>mA Sinking Current</t>
  </si>
  <si>
    <t>FFLTb</t>
  </si>
  <si>
    <t>VIMON threshold</t>
  </si>
  <si>
    <t>PROG</t>
  </si>
  <si>
    <t>Bias voltage</t>
  </si>
  <si>
    <t>Enter the Value of Sense Resistor</t>
  </si>
  <si>
    <t>Min Recommenede Vsns</t>
  </si>
  <si>
    <t>Recommended V(CC-SENSE)</t>
  </si>
  <si>
    <t xml:space="preserve">Rset = </t>
  </si>
  <si>
    <t xml:space="preserve">Rimon = </t>
  </si>
  <si>
    <t>Ω</t>
  </si>
  <si>
    <t>Rprog</t>
  </si>
  <si>
    <t>Rprog actual</t>
  </si>
  <si>
    <t>Time to reach gate of MOSFET to 5.9V</t>
  </si>
  <si>
    <t xml:space="preserve">Yellow and Red cells highlight pottential issues with the design. </t>
  </si>
  <si>
    <t xml:space="preserve">Red highlights items that are higher risk. </t>
  </si>
  <si>
    <t>SOA Coefficients</t>
  </si>
  <si>
    <t>0.1 to 1 ms</t>
  </si>
  <si>
    <t>1 to 10ms</t>
  </si>
  <si>
    <t>10ms to 100 ms</t>
  </si>
  <si>
    <t>100 ms to 1s</t>
  </si>
  <si>
    <t>t1</t>
  </si>
  <si>
    <t>t2</t>
  </si>
  <si>
    <t>Step 5: UVLO &amp; OVLO Thresholds</t>
  </si>
  <si>
    <t xml:space="preserve">Resulting Rising UVLO Threshold (min) = </t>
  </si>
  <si>
    <t xml:space="preserve">Resulting Rising UVLO Threshold (typ) = </t>
  </si>
  <si>
    <t xml:space="preserve">Resulting Rising UVLO Threshold (max) = </t>
  </si>
  <si>
    <t xml:space="preserve">Resulting falling UVLO Threshold (min) = </t>
  </si>
  <si>
    <t xml:space="preserve">Resulting falling UVLO Threshold (typ) = </t>
  </si>
  <si>
    <t xml:space="preserve">Resulting falling UVLO Threshold (max) = </t>
  </si>
  <si>
    <t xml:space="preserve">Resulting Rising OVLO Threshold (min) = </t>
  </si>
  <si>
    <t xml:space="preserve">Resulting Rising OVLO Threshold (typ) = </t>
  </si>
  <si>
    <t xml:space="preserve">Resulting Rising OVLO Threshold (max) = </t>
  </si>
  <si>
    <t xml:space="preserve">Resulting falling OVLO Threshold (min) = </t>
  </si>
  <si>
    <t xml:space="preserve">Resulting falling OVLO Threshold (typ) = </t>
  </si>
  <si>
    <t xml:space="preserve">Resulting falling OVLO Threshold (max) = </t>
  </si>
  <si>
    <t>Desired Rising OVLO Threshold</t>
  </si>
  <si>
    <t>Target Timer (1.5x typical)</t>
  </si>
  <si>
    <t xml:space="preserve">CL = </t>
  </si>
  <si>
    <t>Select Resistance  R1</t>
  </si>
  <si>
    <t>Recommended value of R2</t>
  </si>
  <si>
    <t>Recommended value of R3</t>
  </si>
  <si>
    <t>Recommended Rsns (max)</t>
  </si>
  <si>
    <t>Recommended Rsns (min)</t>
  </si>
  <si>
    <t>&lt;= % Error varies with Vsns</t>
  </si>
  <si>
    <t>Offset Error</t>
  </si>
  <si>
    <t>Gain Error</t>
  </si>
  <si>
    <t>% error</t>
  </si>
  <si>
    <t>&lt;= I bumped this up</t>
  </si>
  <si>
    <t>Min Rs =</t>
  </si>
  <si>
    <t>Maximum Allowed Foldback</t>
  </si>
  <si>
    <t>&lt;= I bumped this up too</t>
  </si>
  <si>
    <t>Step 2: RSENSE, RSET, RIMON, and Rfstrp</t>
  </si>
  <si>
    <t xml:space="preserve">RSNS Power dissipaiton at Max load. </t>
  </si>
  <si>
    <t>Target Current Limit  (ILIM)</t>
  </si>
  <si>
    <t>Fast Trip Threshold</t>
  </si>
  <si>
    <t>Calculated value of Rimon</t>
  </si>
  <si>
    <t>Enter the value of Rset</t>
  </si>
  <si>
    <t>Enter the value of Rimon</t>
  </si>
  <si>
    <t>Calculated value of Rset</t>
  </si>
  <si>
    <t>Calculated Rfstp</t>
  </si>
  <si>
    <t>Enter the value of Rfstp</t>
  </si>
  <si>
    <t>Calculated RPLIM</t>
  </si>
  <si>
    <t>Actual RPLIM</t>
  </si>
  <si>
    <r>
      <t>Minimum Power Limit to Ensure Vsns &gt; 1.5mV (P</t>
    </r>
    <r>
      <rPr>
        <vertAlign val="subscript"/>
        <sz val="10"/>
        <rFont val="Arial"/>
        <family val="2"/>
      </rPr>
      <t>LIM,MIN</t>
    </r>
    <r>
      <rPr>
        <sz val="10"/>
        <rFont val="Arial"/>
        <family val="2"/>
      </rPr>
      <t>)</t>
    </r>
  </si>
  <si>
    <t>Desired Rising UVLO Threshold</t>
  </si>
  <si>
    <t>Target Reverse Trip Threshold</t>
  </si>
  <si>
    <t>Oring FET Rdson (max) - 25C</t>
  </si>
  <si>
    <t>Oring FET Rdson (typ) - 25C</t>
  </si>
  <si>
    <t>Oring FET Rdson (min) - 25C</t>
  </si>
  <si>
    <t>Oring FET</t>
  </si>
  <si>
    <t># FETs</t>
  </si>
  <si>
    <r>
      <t>Minimum Ambient Operating Temperature: T</t>
    </r>
    <r>
      <rPr>
        <vertAlign val="subscript"/>
        <sz val="10"/>
        <rFont val="Arial"/>
        <family val="2"/>
      </rPr>
      <t>MIN</t>
    </r>
  </si>
  <si>
    <t>Normalized FET Rdson (@TMIN)</t>
  </si>
  <si>
    <t>Normalized FET Rdson (@TJMAX)</t>
  </si>
  <si>
    <t>Maximum Junction Temperature (TJMAX)</t>
  </si>
  <si>
    <t>Min Rdson (over temp)</t>
  </si>
  <si>
    <t>Max Rdson (over temp)</t>
  </si>
  <si>
    <t>Calculated Reverse Voltage Threshold (Vrv)</t>
  </si>
  <si>
    <t>Calculated Rrv</t>
  </si>
  <si>
    <t>Actual Rrv</t>
  </si>
  <si>
    <t>Reverse Voltage</t>
  </si>
  <si>
    <t>offset</t>
  </si>
  <si>
    <t>typ</t>
  </si>
  <si>
    <t>min</t>
  </si>
  <si>
    <t>max</t>
  </si>
  <si>
    <t>UVLO_f</t>
  </si>
  <si>
    <t>UVLO_r</t>
  </si>
  <si>
    <t>OVLO_r</t>
  </si>
  <si>
    <t>OVLO_f</t>
  </si>
  <si>
    <t>Computed values</t>
  </si>
  <si>
    <t>Programed values</t>
  </si>
  <si>
    <t>R2+R3</t>
  </si>
  <si>
    <t>Programming Current</t>
  </si>
  <si>
    <t>Minimum Reverse VoltageTrip Threshold</t>
  </si>
  <si>
    <t>Typical Reverse Voltage Trip Threshold</t>
  </si>
  <si>
    <t>Maximum Reverse Voltage Trip Threshold</t>
  </si>
  <si>
    <t>Typical Reverse Current Trip Threshold</t>
  </si>
  <si>
    <t>Maximum Reverse Current Trip Threshold</t>
  </si>
  <si>
    <t>Minimum Reverse Current Trip Threshold</t>
  </si>
  <si>
    <t>Filtering time constant</t>
  </si>
  <si>
    <t>µs</t>
  </si>
  <si>
    <t>Target Filtering time constant</t>
  </si>
  <si>
    <t>Rplim</t>
  </si>
  <si>
    <t>Single Timer or Dual Timer</t>
  </si>
  <si>
    <t>single</t>
  </si>
  <si>
    <t>dual</t>
  </si>
  <si>
    <t>calculated Cfst</t>
  </si>
  <si>
    <t>actual Cfst</t>
  </si>
  <si>
    <t>Resulting filtering  time constant</t>
  </si>
  <si>
    <t>Target Fast Trip (&gt;1.25 x ILIM is recommended)</t>
  </si>
  <si>
    <t>Select Fault timer</t>
  </si>
  <si>
    <t>Calculated Cflt</t>
  </si>
  <si>
    <t>Target Fault Capacitance</t>
  </si>
  <si>
    <t>Selected capacitance</t>
  </si>
  <si>
    <t>Final Fault timer</t>
  </si>
  <si>
    <t>Final Inrush timer</t>
  </si>
  <si>
    <t>Selected Cflt</t>
  </si>
  <si>
    <t>Resulting TFLT</t>
  </si>
  <si>
    <t>Component</t>
  </si>
  <si>
    <t>units</t>
  </si>
  <si>
    <t>Value</t>
  </si>
  <si>
    <t>Device Setting</t>
  </si>
  <si>
    <t>Rsens</t>
  </si>
  <si>
    <t>HS FET</t>
  </si>
  <si>
    <t># HS FETs</t>
  </si>
  <si>
    <t>OR FET</t>
  </si>
  <si>
    <t># OR FET</t>
  </si>
  <si>
    <t>C1</t>
  </si>
  <si>
    <t>Ccp</t>
  </si>
  <si>
    <t>Rrv</t>
  </si>
  <si>
    <t>Rset</t>
  </si>
  <si>
    <t>Rfst</t>
  </si>
  <si>
    <t>Rimon</t>
  </si>
  <si>
    <t>Cflt</t>
  </si>
  <si>
    <t>R1</t>
  </si>
  <si>
    <t>R2</t>
  </si>
  <si>
    <t>R3</t>
  </si>
  <si>
    <t>Rising UV threshold</t>
  </si>
  <si>
    <t>Rising OV threshold</t>
  </si>
  <si>
    <t>Fast Trip Filtering</t>
  </si>
  <si>
    <t>Iload vs Vimon</t>
  </si>
  <si>
    <t>Iload vs Vimonbuff</t>
  </si>
  <si>
    <t>mV/A</t>
  </si>
  <si>
    <t>fault timer</t>
  </si>
  <si>
    <t>Reverse Current Threshold</t>
  </si>
  <si>
    <t>Reverse Current Filtering</t>
  </si>
  <si>
    <t>target crv</t>
  </si>
  <si>
    <t>actual crv</t>
  </si>
  <si>
    <t>Reverse Current Filtering Time Constant</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</si>
  <si>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</si>
  <si>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</si>
  <si>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</si>
  <si>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</si>
  <si>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</si>
  <si>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</si>
  <si>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</si>
  <si>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</si>
  <si>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</si>
  <si>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</si>
  <si>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</si>
  <si>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</si>
  <si>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</si>
  <si>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IC option</t>
  </si>
  <si>
    <t>Temp for derating</t>
  </si>
  <si>
    <t>Number of MOSFETs</t>
  </si>
  <si>
    <t>Rsns</t>
  </si>
  <si>
    <t>value</t>
  </si>
  <si>
    <t>tolerance</t>
  </si>
  <si>
    <t>ohm</t>
  </si>
  <si>
    <t>m-ohm</t>
  </si>
  <si>
    <t>%</t>
  </si>
  <si>
    <t>Copied Values</t>
  </si>
  <si>
    <t>Vimon</t>
  </si>
  <si>
    <t>Plim Spec (vds = 12V)</t>
  </si>
  <si>
    <t>error</t>
  </si>
  <si>
    <t>uV</t>
  </si>
  <si>
    <t>IC tolerances</t>
  </si>
  <si>
    <t>Servo Spec</t>
  </si>
  <si>
    <t xml:space="preserve">ILIM </t>
  </si>
  <si>
    <t>Ilim tolerance</t>
  </si>
  <si>
    <t>Fast Trip</t>
  </si>
  <si>
    <t xml:space="preserve">min </t>
  </si>
  <si>
    <t>type</t>
  </si>
  <si>
    <t>Calculations</t>
  </si>
  <si>
    <t>1) Fast Trip Tolerances</t>
  </si>
  <si>
    <t>Vfst</t>
  </si>
  <si>
    <t>value (mV)</t>
  </si>
  <si>
    <t>tolerance (mV)</t>
  </si>
  <si>
    <t>Lower target</t>
  </si>
  <si>
    <t>Upper target</t>
  </si>
  <si>
    <t>weight1</t>
  </si>
  <si>
    <t>weight2</t>
  </si>
  <si>
    <t>Tolerance</t>
  </si>
  <si>
    <t>Ifst</t>
  </si>
  <si>
    <t>2) Current Monitoring</t>
  </si>
  <si>
    <t>Full scale</t>
  </si>
  <si>
    <t>20% sclae</t>
  </si>
  <si>
    <t>Full scale error</t>
  </si>
  <si>
    <t>20% scale error</t>
  </si>
  <si>
    <t xml:space="preserve">IC only: </t>
  </si>
  <si>
    <t>Component Error</t>
  </si>
  <si>
    <t>Total error</t>
  </si>
  <si>
    <t>Vin</t>
  </si>
  <si>
    <t>Error</t>
  </si>
  <si>
    <t>Ilim</t>
  </si>
  <si>
    <t>3)</t>
  </si>
  <si>
    <t>4) Imon_buf</t>
  </si>
  <si>
    <t xml:space="preserve">Full Scale </t>
  </si>
  <si>
    <t>Just buffer error</t>
  </si>
  <si>
    <t>total error</t>
  </si>
  <si>
    <t>full scale</t>
  </si>
  <si>
    <t>Imonbuff</t>
  </si>
  <si>
    <t>gain</t>
  </si>
  <si>
    <t>Vimon_min</t>
  </si>
  <si>
    <t>Multiplier</t>
  </si>
  <si>
    <t>Servo</t>
  </si>
  <si>
    <t>Vsns_min</t>
  </si>
  <si>
    <t>IC_errr</t>
  </si>
  <si>
    <t>comp error</t>
  </si>
  <si>
    <t>Total Error</t>
  </si>
  <si>
    <t>power limit</t>
  </si>
  <si>
    <t>5) Power Limit</t>
  </si>
  <si>
    <t>UV OV</t>
  </si>
  <si>
    <t>Timers</t>
  </si>
  <si>
    <t>6) Timer tolerance</t>
  </si>
  <si>
    <t>7) UV/OV tolerance</t>
  </si>
  <si>
    <t>NA</t>
  </si>
  <si>
    <t>Use Worst Case or RMS (Root Mean Square) for Error Calculation</t>
  </si>
  <si>
    <t>worst case</t>
  </si>
  <si>
    <t>R1 / R2 / R3</t>
  </si>
  <si>
    <t>Summary:</t>
  </si>
  <si>
    <t>20% full scale</t>
  </si>
  <si>
    <t>Imon accuracy</t>
  </si>
  <si>
    <t>Imonbuff accuracy</t>
  </si>
  <si>
    <t>TINR</t>
  </si>
  <si>
    <t>TFLT</t>
  </si>
  <si>
    <t>Cinr</t>
  </si>
  <si>
    <t>IC + comp</t>
  </si>
  <si>
    <t>inrush timer</t>
  </si>
  <si>
    <t>Current Monitoring Accuracy</t>
  </si>
  <si>
    <t>Full Scale</t>
  </si>
  <si>
    <t>imon</t>
  </si>
  <si>
    <t>imonbuff</t>
  </si>
  <si>
    <t>Timer Sourcing Current</t>
  </si>
  <si>
    <t>Step 6: Insure Stability</t>
  </si>
  <si>
    <t>Step 7: Reverse Current Threshold</t>
  </si>
  <si>
    <t>S</t>
  </si>
  <si>
    <t>Hot Swap FET Ciss</t>
  </si>
  <si>
    <t xml:space="preserve">External Cgs Requred? </t>
  </si>
  <si>
    <t>Target External Cgs</t>
  </si>
  <si>
    <t>Actual External Cgs</t>
  </si>
  <si>
    <r>
      <t>R</t>
    </r>
    <r>
      <rPr>
        <vertAlign val="subscript"/>
        <sz val="10"/>
        <rFont val="Arial"/>
        <family val="2"/>
      </rPr>
      <t>HG</t>
    </r>
    <r>
      <rPr>
        <sz val="10"/>
        <rFont val="Arial"/>
        <family val="2"/>
      </rPr>
      <t>, R</t>
    </r>
    <r>
      <rPr>
        <vertAlign val="subscript"/>
        <sz val="10"/>
        <rFont val="Arial"/>
        <family val="2"/>
      </rPr>
      <t>BG</t>
    </r>
  </si>
  <si>
    <t>Cgs, ext</t>
  </si>
  <si>
    <t>Stability Check</t>
  </si>
  <si>
    <t>gm'</t>
  </si>
  <si>
    <t>Cgs,min</t>
  </si>
  <si>
    <t>Rimon/Rset</t>
  </si>
  <si>
    <t>Cgs, ext, tgt</t>
  </si>
  <si>
    <r>
      <t xml:space="preserve">                    </t>
    </r>
    <r>
      <rPr>
        <sz val="22"/>
        <color theme="0"/>
        <rFont val="Arial"/>
        <family val="2"/>
      </rPr>
      <t>TPS2474x Hot Swap and ORing Design Tool</t>
    </r>
  </si>
  <si>
    <t>Version 2</t>
  </si>
  <si>
    <t>Hot Swap FET  Transconductance (gm,  gfs)</t>
  </si>
  <si>
    <t>Ids at gm above</t>
  </si>
  <si>
    <t>© 2015</t>
  </si>
  <si>
    <t>Robust Hot Swap Design</t>
  </si>
  <si>
    <t xml:space="preserve">    If not, try changing start-up conditions (soft start values, timer values), add more FETs in parallel, or switch to FET with better SOA.</t>
  </si>
  <si>
    <t>TPS24740 Datasheet (See "Application Informatoin")</t>
  </si>
  <si>
    <t>3. Enter MOSFET SOA characteristics &amp; power limit.</t>
  </si>
  <si>
    <t>4. Select start up conditions (load / no load). Check whether FET is operating with reasonable margin, within the SOA curve.</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</si>
  <si>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</si>
  <si>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</si>
  <si>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</si>
  <si>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</si>
  <si>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</si>
  <si>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</si>
  <si>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</si>
  <si>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</si>
  <si>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</si>
  <si>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</si>
  <si>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TPS2474 Datasheet</t>
  </si>
  <si>
    <t>Steps 1 &amp; 2: Operating Conditions, Current Limit, &amp; Circuit Breaker</t>
  </si>
  <si>
    <t>Step 5: UVLO, OVLO &amp; PGD Thresholds</t>
  </si>
  <si>
    <r>
      <rPr>
        <b/>
        <u/>
        <sz val="10"/>
        <color rgb="FFFF0000"/>
        <rFont val="Arial"/>
        <family val="2"/>
      </rPr>
      <t>Note:</t>
    </r>
    <r>
      <rPr>
        <b/>
        <sz val="10"/>
        <color rgb="FFFF0000"/>
        <rFont val="Arial"/>
        <family val="2"/>
      </rPr>
      <t xml:space="preserve"> Hover here to see the 3 values affecting this curve, consult a thermal expert if you are unsure! </t>
    </r>
  </si>
  <si>
    <t>TPS2474x Design-in Calculation Tool- Rev. B</t>
  </si>
  <si>
    <t>'42 - ILO</t>
  </si>
  <si>
    <t>IPLU300N04S4</t>
  </si>
</sst>
</file>

<file path=xl/styles.xml><?xml version="1.0" encoding="utf-8"?>
<styleSheet xmlns="http://schemas.openxmlformats.org/spreadsheetml/2006/main">
  <numFmts count="6">
    <numFmt numFmtId="164" formatCode="0.000"/>
    <numFmt numFmtId="165" formatCode="0.0"/>
    <numFmt numFmtId="166" formatCode="##0.00E+0"/>
    <numFmt numFmtId="167" formatCode="0.0000"/>
    <numFmt numFmtId="168" formatCode="0.000%"/>
    <numFmt numFmtId="169" formatCode="0.0%"/>
  </numFmts>
  <fonts count="59">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sz val="10"/>
      <color indexed="55"/>
      <name val="Arial"/>
      <family val="2"/>
    </font>
    <font>
      <sz val="10"/>
      <name val="Symbol"/>
      <family val="1"/>
      <charset val="2"/>
    </font>
    <font>
      <b/>
      <sz val="9"/>
      <color indexed="81"/>
      <name val="Tahoma"/>
      <family val="2"/>
    </font>
    <font>
      <b/>
      <u/>
      <sz val="11"/>
      <color indexed="10"/>
      <name val="Tahoma"/>
      <family val="2"/>
    </font>
    <font>
      <sz val="11"/>
      <color indexed="10"/>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b/>
      <sz val="11"/>
      <name val="Arial"/>
      <family val="2"/>
    </font>
    <font>
      <b/>
      <sz val="8"/>
      <color indexed="81"/>
      <name val="Arial"/>
      <family val="2"/>
    </font>
    <font>
      <vertAlign val="superscript"/>
      <sz val="10"/>
      <name val="Arial"/>
      <family val="2"/>
    </font>
    <font>
      <b/>
      <u/>
      <sz val="10"/>
      <name val="Arial"/>
      <family val="2"/>
    </font>
    <font>
      <b/>
      <sz val="11"/>
      <color theme="1"/>
      <name val="Calibri"/>
      <family val="2"/>
      <scheme val="minor"/>
    </font>
    <font>
      <u/>
      <sz val="11"/>
      <color theme="1"/>
      <name val="Calibri"/>
      <family val="2"/>
      <scheme val="minor"/>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sz val="10"/>
      <name val="Arial"/>
      <family val="2"/>
    </font>
    <font>
      <sz val="11"/>
      <color theme="0"/>
      <name val="Calibri"/>
      <family val="2"/>
      <scheme val="minor"/>
    </font>
    <font>
      <sz val="11"/>
      <name val="Calibri"/>
      <family val="2"/>
      <scheme val="minor"/>
    </font>
    <font>
      <sz val="10"/>
      <name val="Times New Roman"/>
      <family val="1"/>
    </font>
    <font>
      <b/>
      <sz val="11"/>
      <color theme="1"/>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u/>
      <sz val="10"/>
      <color rgb="FF0000FF"/>
      <name val="Arial"/>
      <family val="2"/>
    </font>
    <font>
      <u/>
      <sz val="12"/>
      <color rgb="FF0000FF"/>
      <name val="Arial"/>
      <family val="2"/>
    </font>
    <font>
      <sz val="11"/>
      <name val="Arial"/>
      <family val="2"/>
    </font>
    <font>
      <u/>
      <sz val="11"/>
      <color theme="10"/>
      <name val="Arial"/>
      <family val="2"/>
    </font>
    <font>
      <b/>
      <u/>
      <sz val="10"/>
      <color rgb="FFFF0000"/>
      <name val="Arial"/>
      <family val="2"/>
    </font>
    <font>
      <b/>
      <sz val="10"/>
      <color rgb="FFFF0000"/>
      <name val="Arial"/>
      <family val="2"/>
    </font>
    <font>
      <sz val="16"/>
      <color rgb="FF000000"/>
      <name val="Arial"/>
      <family val="2"/>
      <charset val="204"/>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39997558519241921"/>
        <bgColor indexed="65"/>
      </patternFill>
    </fill>
    <fill>
      <patternFill patternType="solid">
        <fgColor indexed="13"/>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3"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indexed="64"/>
      </right>
      <top style="medium">
        <color indexed="64"/>
      </top>
      <bottom/>
      <diagonal/>
    </border>
    <border>
      <left style="thin">
        <color indexed="64"/>
      </left>
      <right/>
      <top/>
      <bottom style="medium">
        <color indexed="64"/>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4">
    <xf numFmtId="0" fontId="0" fillId="0" borderId="0"/>
    <xf numFmtId="0" fontId="16" fillId="0" borderId="0" applyNumberFormat="0" applyFill="0" applyBorder="0" applyAlignment="0" applyProtection="0">
      <alignment vertical="top"/>
      <protection locked="0"/>
    </xf>
    <xf numFmtId="0" fontId="3" fillId="0" borderId="0"/>
    <xf numFmtId="0" fontId="35" fillId="2" borderId="0">
      <alignment horizontal="center"/>
    </xf>
    <xf numFmtId="0" fontId="36" fillId="9" borderId="0" applyNumberFormat="0" applyBorder="0" applyAlignment="0" applyProtection="0"/>
    <xf numFmtId="0" fontId="3" fillId="2" borderId="0">
      <alignment horizontal="center"/>
    </xf>
    <xf numFmtId="0" fontId="3" fillId="5" borderId="1">
      <alignment horizontal="center" vertical="center"/>
      <protection locked="0"/>
    </xf>
    <xf numFmtId="0" fontId="3" fillId="8" borderId="1">
      <alignment horizontal="center" vertical="center"/>
      <protection locked="0"/>
    </xf>
    <xf numFmtId="0" fontId="3" fillId="0" borderId="13"/>
    <xf numFmtId="0" fontId="3" fillId="8" borderId="1">
      <alignment horizontal="center" vertical="center"/>
      <protection locked="0"/>
    </xf>
    <xf numFmtId="0" fontId="3" fillId="8" borderId="1">
      <alignment horizontal="center" vertical="center"/>
      <protection locked="0"/>
    </xf>
    <xf numFmtId="0" fontId="3" fillId="8" borderId="1">
      <alignment horizontal="center" vertical="center"/>
      <protection locked="0"/>
    </xf>
    <xf numFmtId="0" fontId="2" fillId="0" borderId="0"/>
    <xf numFmtId="0" fontId="1" fillId="0" borderId="0"/>
  </cellStyleXfs>
  <cellXfs count="386">
    <xf numFmtId="0" fontId="0" fillId="0" borderId="0" xfId="0"/>
    <xf numFmtId="0" fontId="0" fillId="0" borderId="0" xfId="0" applyAlignment="1">
      <alignment horizontal="center"/>
    </xf>
    <xf numFmtId="0" fontId="0" fillId="0" borderId="0" xfId="0"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6" xfId="0" applyBorder="1"/>
    <xf numFmtId="0" fontId="0" fillId="0" borderId="8" xfId="0" applyBorder="1"/>
    <xf numFmtId="0" fontId="0" fillId="0" borderId="9" xfId="0" applyBorder="1"/>
    <xf numFmtId="2" fontId="0" fillId="0" borderId="0" xfId="0" applyNumberFormat="1" applyAlignment="1">
      <alignment horizontal="center"/>
    </xf>
    <xf numFmtId="0" fontId="0" fillId="0" borderId="1" xfId="0" applyFill="1" applyBorder="1" applyAlignment="1">
      <alignment horizontal="center"/>
    </xf>
    <xf numFmtId="0" fontId="4" fillId="0" borderId="0" xfId="0" applyFont="1"/>
    <xf numFmtId="2" fontId="0" fillId="0" borderId="1" xfId="0" applyNumberFormat="1" applyBorder="1" applyAlignment="1">
      <alignment horizontal="center"/>
    </xf>
    <xf numFmtId="0" fontId="0" fillId="0" borderId="14" xfId="0" applyFill="1" applyBorder="1" applyAlignment="1">
      <alignment horizontal="center"/>
    </xf>
    <xf numFmtId="0" fontId="3" fillId="0" borderId="0" xfId="0" applyFont="1"/>
    <xf numFmtId="0" fontId="3" fillId="0" borderId="0" xfId="0" applyFont="1" applyAlignment="1">
      <alignment horizontal="right"/>
    </xf>
    <xf numFmtId="0" fontId="17" fillId="2" borderId="0" xfId="1" applyFont="1" applyFill="1" applyAlignment="1" applyProtection="1"/>
    <xf numFmtId="0" fontId="18" fillId="3" borderId="0" xfId="0" applyFont="1" applyFill="1" applyProtection="1"/>
    <xf numFmtId="0" fontId="21" fillId="3" borderId="0" xfId="0" applyFont="1" applyFill="1" applyBorder="1" applyProtection="1"/>
    <xf numFmtId="0" fontId="21" fillId="3" borderId="0" xfId="0" applyFont="1" applyFill="1" applyProtection="1"/>
    <xf numFmtId="0" fontId="20" fillId="3" borderId="18" xfId="0" applyFont="1" applyFill="1" applyBorder="1" applyAlignment="1" applyProtection="1">
      <alignment horizontal="center" vertical="center"/>
    </xf>
    <xf numFmtId="0" fontId="3" fillId="2" borderId="0" xfId="0" applyFont="1" applyFill="1" applyAlignment="1">
      <alignment horizontal="right"/>
    </xf>
    <xf numFmtId="0" fontId="0" fillId="0" borderId="1" xfId="0" applyFill="1" applyBorder="1" applyAlignment="1" applyProtection="1">
      <alignment horizontal="center" vertical="center"/>
      <protection locked="0"/>
    </xf>
    <xf numFmtId="0" fontId="3" fillId="0" borderId="0" xfId="2" applyAlignment="1" applyProtection="1">
      <alignment horizontal="center"/>
    </xf>
    <xf numFmtId="0" fontId="3" fillId="0" borderId="0" xfId="2"/>
    <xf numFmtId="164" fontId="3" fillId="0" borderId="0" xfId="2" applyNumberFormat="1" applyAlignment="1" applyProtection="1">
      <alignment horizontal="center"/>
    </xf>
    <xf numFmtId="166" fontId="3" fillId="0" borderId="0" xfId="2" applyNumberFormat="1" applyAlignment="1" applyProtection="1">
      <alignment horizontal="center"/>
    </xf>
    <xf numFmtId="2" fontId="3" fillId="0" borderId="19" xfId="2" applyNumberFormat="1" applyBorder="1" applyAlignment="1" applyProtection="1">
      <alignment horizontal="center"/>
    </xf>
    <xf numFmtId="0" fontId="3" fillId="0" borderId="1" xfId="2" applyFont="1" applyBorder="1"/>
    <xf numFmtId="0" fontId="3" fillId="0" borderId="1" xfId="2" applyBorder="1"/>
    <xf numFmtId="0" fontId="3" fillId="0" borderId="0" xfId="0" applyFont="1" applyFill="1" applyBorder="1"/>
    <xf numFmtId="0" fontId="0" fillId="0" borderId="0" xfId="0" applyFill="1" applyBorder="1" applyAlignment="1" applyProtection="1">
      <alignment horizontal="center" vertical="center"/>
      <protection locked="0"/>
    </xf>
    <xf numFmtId="0" fontId="3" fillId="0" borderId="0" xfId="0" applyFont="1" applyFill="1" applyAlignment="1">
      <alignment horizontal="right"/>
    </xf>
    <xf numFmtId="166" fontId="3" fillId="0" borderId="0" xfId="2" applyNumberFormat="1" applyAlignment="1">
      <alignment horizontal="center"/>
    </xf>
    <xf numFmtId="0" fontId="3" fillId="0" borderId="0" xfId="0" applyFont="1" applyAlignment="1">
      <alignment horizontal="center"/>
    </xf>
    <xf numFmtId="0" fontId="0" fillId="0" borderId="1" xfId="0" applyBorder="1"/>
    <xf numFmtId="0" fontId="0" fillId="0" borderId="0" xfId="0" applyFill="1" applyBorder="1" applyAlignment="1">
      <alignment horizontal="center"/>
    </xf>
    <xf numFmtId="0" fontId="3"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0" fontId="29" fillId="0" borderId="0" xfId="0" applyFont="1" applyBorder="1"/>
    <xf numFmtId="2" fontId="0" fillId="0" borderId="0" xfId="0" applyNumberFormat="1" applyBorder="1" applyAlignment="1">
      <alignment horizontal="center"/>
    </xf>
    <xf numFmtId="0" fontId="3" fillId="0" borderId="0" xfId="0" applyFont="1" applyBorder="1"/>
    <xf numFmtId="0" fontId="30" fillId="0" borderId="0" xfId="0" applyFont="1"/>
    <xf numFmtId="0" fontId="31" fillId="0" borderId="0" xfId="0" applyFont="1" applyBorder="1" applyAlignment="1">
      <alignment horizontal="center"/>
    </xf>
    <xf numFmtId="0" fontId="28" fillId="0" borderId="0" xfId="0" applyFont="1" applyBorder="1"/>
    <xf numFmtId="0" fontId="0" fillId="0" borderId="0" xfId="0" applyBorder="1" applyAlignment="1">
      <alignment horizontal="center"/>
    </xf>
    <xf numFmtId="0" fontId="0" fillId="0" borderId="0" xfId="0" applyFont="1" applyBorder="1"/>
    <xf numFmtId="2" fontId="0" fillId="0" borderId="0" xfId="0" applyNumberFormat="1" applyBorder="1"/>
    <xf numFmtId="0" fontId="3" fillId="0" borderId="0" xfId="0" applyFont="1" applyBorder="1" applyAlignment="1">
      <alignment horizontal="right"/>
    </xf>
    <xf numFmtId="2" fontId="3" fillId="0" borderId="0" xfId="0" applyNumberFormat="1" applyFont="1" applyBorder="1" applyAlignment="1">
      <alignment horizontal="left"/>
    </xf>
    <xf numFmtId="0" fontId="3" fillId="0" borderId="0" xfId="0" applyFont="1" applyBorder="1" applyAlignment="1">
      <alignment horizontal="center"/>
    </xf>
    <xf numFmtId="0" fontId="0" fillId="0" borderId="0" xfId="0" applyAlignment="1">
      <alignment horizontal="left"/>
    </xf>
    <xf numFmtId="2" fontId="3" fillId="0" borderId="1" xfId="0" applyNumberFormat="1" applyFont="1" applyFill="1" applyBorder="1" applyAlignment="1" applyProtection="1">
      <alignment horizontal="center" vertical="center"/>
    </xf>
    <xf numFmtId="0" fontId="0" fillId="0" borderId="0" xfId="0" applyFill="1" applyBorder="1" applyAlignment="1" applyProtection="1">
      <alignment horizontal="center"/>
    </xf>
    <xf numFmtId="0" fontId="18" fillId="0" borderId="0" xfId="0" applyFont="1" applyFill="1" applyBorder="1" applyProtection="1"/>
    <xf numFmtId="2" fontId="0" fillId="3" borderId="1" xfId="0" applyNumberFormat="1" applyFill="1" applyBorder="1" applyAlignment="1" applyProtection="1">
      <alignment horizontal="center" vertical="center"/>
    </xf>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left"/>
    </xf>
    <xf numFmtId="167" fontId="0" fillId="0" borderId="0" xfId="0" applyNumberFormat="1"/>
    <xf numFmtId="1" fontId="0" fillId="0" borderId="0" xfId="0" applyNumberFormat="1"/>
    <xf numFmtId="2" fontId="3" fillId="0" borderId="0" xfId="2" applyNumberFormat="1"/>
    <xf numFmtId="0" fontId="27" fillId="0" borderId="0" xfId="2" applyFont="1"/>
    <xf numFmtId="0" fontId="27" fillId="0" borderId="0" xfId="2" applyFont="1" applyAlignment="1" applyProtection="1">
      <alignment horizontal="center"/>
    </xf>
    <xf numFmtId="0" fontId="27" fillId="0" borderId="0" xfId="2" applyFont="1" applyAlignment="1">
      <alignment horizontal="center"/>
    </xf>
    <xf numFmtId="10" fontId="3" fillId="0" borderId="0" xfId="2" applyNumberFormat="1"/>
    <xf numFmtId="0" fontId="3" fillId="0" borderId="0" xfId="0" applyFont="1" applyAlignment="1">
      <alignment horizontal="center"/>
    </xf>
    <xf numFmtId="0" fontId="3" fillId="0" borderId="1" xfId="0" applyFont="1" applyFill="1" applyBorder="1" applyAlignment="1">
      <alignment horizontal="center"/>
    </xf>
    <xf numFmtId="0" fontId="3" fillId="0" borderId="6" xfId="0" applyFont="1" applyFill="1" applyBorder="1" applyAlignment="1">
      <alignment horizontal="center"/>
    </xf>
    <xf numFmtId="0" fontId="30" fillId="0" borderId="0" xfId="2" applyFont="1"/>
    <xf numFmtId="165" fontId="0" fillId="0" borderId="1" xfId="0" applyNumberFormat="1" applyFill="1" applyBorder="1" applyAlignment="1" applyProtection="1">
      <alignment horizontal="center" vertical="center"/>
    </xf>
    <xf numFmtId="0" fontId="4" fillId="0" borderId="0" xfId="0" applyFont="1" applyAlignment="1">
      <alignment horizontal="center"/>
    </xf>
    <xf numFmtId="2" fontId="0" fillId="0" borderId="0" xfId="0" applyNumberFormat="1" applyBorder="1" applyAlignment="1">
      <alignment horizontal="center"/>
    </xf>
    <xf numFmtId="0" fontId="30" fillId="0" borderId="0" xfId="0" applyFont="1" applyBorder="1" applyAlignment="1">
      <alignment horizontal="center"/>
    </xf>
    <xf numFmtId="0" fontId="3" fillId="0" borderId="0" xfId="0" applyFont="1" applyFill="1" applyBorder="1" applyAlignment="1">
      <alignment horizontal="right"/>
    </xf>
    <xf numFmtId="0" fontId="30" fillId="0" borderId="0" xfId="0" applyFont="1" applyBorder="1" applyAlignment="1">
      <alignment horizontal="left"/>
    </xf>
    <xf numFmtId="0" fontId="0" fillId="0" borderId="0" xfId="0" applyAlignment="1">
      <alignment horizontal="center"/>
    </xf>
    <xf numFmtId="0" fontId="0" fillId="8" borderId="15" xfId="0"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11" xfId="0" applyBorder="1"/>
    <xf numFmtId="0" fontId="3" fillId="0" borderId="1" xfId="0" applyFont="1" applyFill="1" applyBorder="1"/>
    <xf numFmtId="0"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vertical="center"/>
    </xf>
    <xf numFmtId="0" fontId="3"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2" fontId="30" fillId="0" borderId="0" xfId="0" applyNumberFormat="1" applyFont="1" applyBorder="1" applyAlignment="1">
      <alignment horizontal="center"/>
    </xf>
    <xf numFmtId="0" fontId="3" fillId="0" borderId="5" xfId="0" applyFont="1" applyFill="1" applyBorder="1" applyAlignment="1">
      <alignment horizontal="right"/>
    </xf>
    <xf numFmtId="0" fontId="3" fillId="0" borderId="7" xfId="0" applyFont="1" applyFill="1" applyBorder="1" applyAlignment="1">
      <alignment horizontal="right"/>
    </xf>
    <xf numFmtId="0" fontId="3" fillId="0" borderId="10" xfId="0" applyFont="1" applyFill="1" applyBorder="1" applyAlignment="1">
      <alignment horizontal="right"/>
    </xf>
    <xf numFmtId="0" fontId="0" fillId="8" borderId="11" xfId="0" applyFill="1" applyBorder="1" applyAlignment="1" applyProtection="1">
      <alignment horizontal="center" vertical="center"/>
      <protection locked="0"/>
    </xf>
    <xf numFmtId="0" fontId="0" fillId="0" borderId="0" xfId="0"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3" fillId="0" borderId="0" xfId="0" applyFont="1" applyAlignment="1">
      <alignment horizontal="center"/>
    </xf>
    <xf numFmtId="0" fontId="37" fillId="9" borderId="1" xfId="4" applyNumberFormat="1" applyFont="1" applyBorder="1" applyAlignment="1" applyProtection="1">
      <alignment horizontal="center"/>
      <protection locked="0"/>
    </xf>
    <xf numFmtId="0" fontId="0" fillId="6" borderId="1" xfId="0" applyNumberFormat="1" applyFill="1" applyBorder="1" applyAlignment="1" applyProtection="1">
      <alignment horizontal="center"/>
      <protection locked="0"/>
    </xf>
    <xf numFmtId="0" fontId="0" fillId="6" borderId="1" xfId="0" applyFill="1" applyBorder="1" applyAlignment="1" applyProtection="1">
      <alignment horizontal="center"/>
      <protection locked="0"/>
    </xf>
    <xf numFmtId="10" fontId="0" fillId="0" borderId="0" xfId="0" applyNumberFormat="1" applyAlignment="1">
      <alignment horizontal="center"/>
    </xf>
    <xf numFmtId="2" fontId="0" fillId="3" borderId="11" xfId="0" applyNumberFormat="1" applyFill="1" applyBorder="1" applyAlignment="1" applyProtection="1">
      <alignment horizontal="center" vertical="center"/>
    </xf>
    <xf numFmtId="0" fontId="37" fillId="9" borderId="14" xfId="4" applyNumberFormat="1" applyFont="1" applyBorder="1" applyAlignment="1" applyProtection="1">
      <alignment horizontal="center" vertical="center"/>
      <protection locked="0"/>
    </xf>
    <xf numFmtId="0" fontId="0" fillId="10" borderId="29" xfId="0" applyFill="1" applyBorder="1" applyProtection="1"/>
    <xf numFmtId="0" fontId="0" fillId="10" borderId="30" xfId="0" applyFill="1" applyBorder="1" applyProtection="1"/>
    <xf numFmtId="0" fontId="0" fillId="10" borderId="31" xfId="0" applyFill="1" applyBorder="1" applyProtection="1"/>
    <xf numFmtId="0" fontId="0" fillId="10" borderId="32" xfId="0" applyFill="1" applyBorder="1" applyProtection="1"/>
    <xf numFmtId="0" fontId="0" fillId="10" borderId="0" xfId="0" applyFill="1" applyBorder="1" applyProtection="1"/>
    <xf numFmtId="0" fontId="0" fillId="10" borderId="33" xfId="0" applyFill="1" applyBorder="1" applyProtection="1"/>
    <xf numFmtId="0" fontId="40" fillId="10" borderId="0" xfId="0" applyFont="1" applyFill="1" applyBorder="1" applyProtection="1"/>
    <xf numFmtId="0" fontId="41" fillId="10" borderId="0" xfId="0" applyFont="1" applyFill="1" applyBorder="1" applyProtection="1"/>
    <xf numFmtId="0" fontId="42" fillId="10" borderId="0" xfId="0" applyFont="1" applyFill="1" applyBorder="1" applyProtection="1"/>
    <xf numFmtId="0" fontId="3" fillId="10" borderId="0" xfId="0" applyFont="1" applyFill="1" applyBorder="1" applyProtection="1"/>
    <xf numFmtId="0" fontId="0" fillId="10" borderId="34" xfId="0" applyFill="1" applyBorder="1" applyProtection="1"/>
    <xf numFmtId="0" fontId="0" fillId="10" borderId="35" xfId="0" applyFill="1" applyBorder="1" applyProtection="1"/>
    <xf numFmtId="0" fontId="0" fillId="10" borderId="36" xfId="0" applyFill="1" applyBorder="1" applyProtection="1"/>
    <xf numFmtId="0" fontId="0" fillId="11" borderId="0" xfId="0" applyFill="1"/>
    <xf numFmtId="0" fontId="3" fillId="0" borderId="0" xfId="0" applyFont="1" applyFill="1"/>
    <xf numFmtId="0" fontId="3" fillId="12" borderId="0" xfId="0" applyFont="1" applyFill="1"/>
    <xf numFmtId="0" fontId="4" fillId="11" borderId="0" xfId="0" applyFont="1" applyFill="1"/>
    <xf numFmtId="0" fontId="4" fillId="0" borderId="0" xfId="0" applyFont="1" applyFill="1"/>
    <xf numFmtId="0" fontId="0" fillId="12" borderId="0" xfId="0" applyFill="1"/>
    <xf numFmtId="0" fontId="0" fillId="12" borderId="0" xfId="0" applyFill="1" applyAlignment="1">
      <alignment horizontal="right"/>
    </xf>
    <xf numFmtId="0" fontId="0" fillId="13" borderId="0" xfId="0" applyFill="1"/>
    <xf numFmtId="0" fontId="37" fillId="9" borderId="1" xfId="4" applyFont="1" applyBorder="1" applyAlignment="1" applyProtection="1">
      <alignment horizontal="center" vertical="center"/>
      <protection locked="0"/>
    </xf>
    <xf numFmtId="0" fontId="3" fillId="6" borderId="14" xfId="0" applyFont="1" applyFill="1" applyBorder="1" applyAlignment="1" applyProtection="1">
      <alignment horizontal="center" vertical="center"/>
      <protection locked="0"/>
    </xf>
    <xf numFmtId="0" fontId="37" fillId="6" borderId="1" xfId="4" applyFont="1" applyFill="1" applyBorder="1" applyAlignment="1" applyProtection="1">
      <alignment horizontal="center"/>
      <protection locked="0"/>
    </xf>
    <xf numFmtId="2" fontId="37" fillId="9" borderId="1" xfId="4" applyNumberFormat="1" applyFont="1" applyBorder="1" applyAlignment="1" applyProtection="1">
      <alignment horizontal="center" vertical="center"/>
      <protection locked="0"/>
    </xf>
    <xf numFmtId="0" fontId="0" fillId="2" borderId="0" xfId="0" applyFill="1" applyProtection="1"/>
    <xf numFmtId="0" fontId="0" fillId="2" borderId="0" xfId="0" applyFill="1" applyAlignment="1" applyProtection="1">
      <alignment horizontal="center"/>
    </xf>
    <xf numFmtId="0" fontId="0" fillId="0" borderId="0" xfId="0" applyProtection="1"/>
    <xf numFmtId="0" fontId="9" fillId="2" borderId="0" xfId="0" applyFont="1" applyFill="1" applyAlignment="1" applyProtection="1">
      <alignment horizontal="left"/>
    </xf>
    <xf numFmtId="0" fontId="3" fillId="2" borderId="0" xfId="0" applyFont="1" applyFill="1" applyProtection="1"/>
    <xf numFmtId="14" fontId="9"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2" fillId="4" borderId="1" xfId="0" applyFont="1" applyFill="1" applyBorder="1" applyAlignment="1" applyProtection="1">
      <alignment horizontal="center"/>
    </xf>
    <xf numFmtId="0" fontId="24" fillId="7" borderId="17" xfId="0" applyFont="1" applyFill="1" applyBorder="1" applyProtection="1"/>
    <xf numFmtId="0" fontId="0" fillId="2" borderId="18" xfId="0" applyFill="1" applyBorder="1" applyProtection="1"/>
    <xf numFmtId="0" fontId="3" fillId="2" borderId="18" xfId="0" applyFont="1" applyFill="1" applyBorder="1" applyAlignment="1" applyProtection="1">
      <alignment horizontal="right" vertical="center"/>
    </xf>
    <xf numFmtId="0" fontId="3" fillId="2" borderId="26" xfId="0" applyFont="1" applyFill="1" applyBorder="1" applyAlignment="1" applyProtection="1">
      <alignment horizontal="center" vertical="center"/>
    </xf>
    <xf numFmtId="0" fontId="0" fillId="2" borderId="22" xfId="0" applyFill="1" applyBorder="1" applyProtection="1"/>
    <xf numFmtId="0" fontId="22" fillId="2" borderId="19" xfId="0" applyFont="1" applyFill="1" applyBorder="1" applyProtection="1"/>
    <xf numFmtId="0" fontId="0" fillId="2" borderId="0" xfId="0" applyFill="1" applyBorder="1" applyProtection="1"/>
    <xf numFmtId="0" fontId="3" fillId="2" borderId="0" xfId="0" applyFont="1" applyFill="1" applyBorder="1" applyAlignment="1" applyProtection="1">
      <alignment horizontal="right" vertical="center"/>
    </xf>
    <xf numFmtId="0" fontId="3" fillId="2" borderId="13"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13" xfId="0" applyFill="1" applyBorder="1" applyAlignment="1" applyProtection="1">
      <alignment horizontal="center" vertical="center"/>
    </xf>
    <xf numFmtId="0" fontId="0" fillId="7" borderId="18" xfId="0" applyFill="1" applyBorder="1" applyProtection="1"/>
    <xf numFmtId="0" fontId="3" fillId="0" borderId="26" xfId="0" applyFont="1" applyBorder="1" applyAlignment="1" applyProtection="1">
      <alignment horizontal="center" vertical="center"/>
    </xf>
    <xf numFmtId="0" fontId="3" fillId="0" borderId="0" xfId="0" applyFont="1" applyProtection="1"/>
    <xf numFmtId="0" fontId="0" fillId="0" borderId="19" xfId="0" applyBorder="1" applyProtection="1"/>
    <xf numFmtId="0" fontId="0" fillId="3" borderId="0" xfId="0" applyFill="1" applyBorder="1" applyProtection="1"/>
    <xf numFmtId="0" fontId="3" fillId="0" borderId="13" xfId="0" applyFont="1" applyBorder="1" applyAlignment="1" applyProtection="1">
      <alignment horizontal="center" vertical="center"/>
    </xf>
    <xf numFmtId="2" fontId="0" fillId="0" borderId="1" xfId="0" applyNumberFormat="1" applyBorder="1" applyAlignment="1" applyProtection="1">
      <alignment horizontal="center" vertical="center"/>
    </xf>
    <xf numFmtId="0" fontId="0" fillId="3" borderId="6" xfId="0" applyFill="1" applyBorder="1" applyProtection="1"/>
    <xf numFmtId="0" fontId="0" fillId="3" borderId="23" xfId="0" applyFill="1" applyBorder="1" applyProtection="1"/>
    <xf numFmtId="0" fontId="0" fillId="3" borderId="19" xfId="0" applyFill="1" applyBorder="1" applyProtection="1"/>
    <xf numFmtId="0" fontId="3" fillId="0" borderId="0" xfId="0" applyFont="1" applyBorder="1" applyAlignment="1" applyProtection="1">
      <alignment horizontal="right"/>
    </xf>
    <xf numFmtId="0" fontId="0" fillId="0" borderId="1" xfId="0" applyBorder="1" applyAlignment="1" applyProtection="1">
      <alignment horizontal="center"/>
    </xf>
    <xf numFmtId="0" fontId="38" fillId="0" borderId="13" xfId="0" applyFont="1" applyBorder="1" applyAlignment="1" applyProtection="1">
      <alignment horizontal="center"/>
    </xf>
    <xf numFmtId="0" fontId="38" fillId="2" borderId="13" xfId="0" applyFont="1" applyFill="1" applyBorder="1" applyAlignment="1" applyProtection="1">
      <alignment horizontal="center" vertical="center"/>
    </xf>
    <xf numFmtId="0" fontId="3" fillId="2" borderId="0" xfId="0" applyFont="1" applyFill="1" applyBorder="1" applyProtection="1"/>
    <xf numFmtId="165" fontId="0" fillId="2" borderId="1" xfId="0" applyNumberFormat="1" applyFill="1" applyBorder="1" applyAlignment="1" applyProtection="1">
      <alignment horizontal="center" vertical="center"/>
    </xf>
    <xf numFmtId="165" fontId="0" fillId="2" borderId="11" xfId="0" applyNumberFormat="1" applyFill="1" applyBorder="1" applyAlignment="1" applyProtection="1">
      <alignment horizontal="center" vertical="center"/>
    </xf>
    <xf numFmtId="0" fontId="0" fillId="0" borderId="0" xfId="0" applyBorder="1" applyProtection="1"/>
    <xf numFmtId="0" fontId="3" fillId="0" borderId="0" xfId="0" quotePrefix="1" applyFont="1" applyProtection="1"/>
    <xf numFmtId="0" fontId="3" fillId="0" borderId="0" xfId="0" applyFont="1" applyBorder="1" applyAlignment="1" applyProtection="1">
      <alignment horizontal="center"/>
    </xf>
    <xf numFmtId="0" fontId="0" fillId="2" borderId="6" xfId="0" applyFill="1" applyBorder="1" applyProtection="1"/>
    <xf numFmtId="0" fontId="0" fillId="2" borderId="21" xfId="0" applyFill="1" applyBorder="1" applyProtection="1"/>
    <xf numFmtId="0" fontId="0" fillId="2" borderId="20" xfId="0" applyFill="1" applyBorder="1" applyProtection="1"/>
    <xf numFmtId="0" fontId="3" fillId="2" borderId="20" xfId="0" applyFont="1" applyFill="1" applyBorder="1" applyAlignment="1" applyProtection="1">
      <alignment horizontal="right" vertical="center"/>
    </xf>
    <xf numFmtId="165" fontId="0" fillId="2" borderId="16" xfId="0" applyNumberForma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20" xfId="0" applyFont="1" applyFill="1" applyBorder="1" applyProtection="1"/>
    <xf numFmtId="0" fontId="0" fillId="2" borderId="24" xfId="0" applyFill="1" applyBorder="1" applyProtection="1"/>
    <xf numFmtId="0" fontId="24" fillId="7" borderId="19" xfId="0" applyFont="1" applyFill="1" applyBorder="1" applyProtection="1"/>
    <xf numFmtId="0" fontId="3" fillId="2" borderId="0" xfId="0" applyFont="1" applyFill="1" applyBorder="1" applyAlignment="1" applyProtection="1">
      <alignment horizontal="right"/>
    </xf>
    <xf numFmtId="0" fontId="4" fillId="0" borderId="0" xfId="0" applyFont="1" applyProtection="1"/>
    <xf numFmtId="165" fontId="3" fillId="0" borderId="0" xfId="0" applyNumberFormat="1" applyFont="1" applyProtection="1"/>
    <xf numFmtId="0" fontId="3" fillId="3" borderId="0" xfId="0" applyFont="1" applyFill="1" applyBorder="1" applyAlignment="1" applyProtection="1">
      <alignment horizontal="right" vertical="center"/>
    </xf>
    <xf numFmtId="0" fontId="8" fillId="2" borderId="13" xfId="0" applyFont="1" applyFill="1" applyBorder="1" applyAlignment="1" applyProtection="1">
      <alignment horizontal="center" vertical="center"/>
    </xf>
    <xf numFmtId="0" fontId="3" fillId="2" borderId="18" xfId="0" applyFont="1" applyFill="1" applyBorder="1" applyAlignment="1" applyProtection="1">
      <alignment horizontal="right"/>
    </xf>
    <xf numFmtId="0" fontId="0" fillId="2" borderId="27" xfId="0" applyFill="1" applyBorder="1" applyAlignment="1" applyProtection="1">
      <alignment horizontal="center" vertical="center"/>
    </xf>
    <xf numFmtId="0" fontId="0" fillId="2" borderId="7" xfId="0" applyFill="1" applyBorder="1" applyAlignment="1" applyProtection="1">
      <alignment horizontal="center" vertical="center"/>
    </xf>
    <xf numFmtId="2" fontId="0" fillId="2" borderId="1" xfId="0" applyNumberFormat="1" applyFill="1" applyBorder="1" applyAlignment="1" applyProtection="1">
      <alignment horizontal="center" vertical="center"/>
    </xf>
    <xf numFmtId="0" fontId="3" fillId="2" borderId="7" xfId="0" applyFon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2" borderId="2" xfId="0" applyFill="1" applyBorder="1" applyProtection="1"/>
    <xf numFmtId="0" fontId="0" fillId="0" borderId="0" xfId="0" applyBorder="1" applyAlignment="1" applyProtection="1">
      <alignment horizontal="center"/>
    </xf>
    <xf numFmtId="0" fontId="3" fillId="3" borderId="7" xfId="0" applyFont="1" applyFill="1" applyBorder="1" applyAlignment="1" applyProtection="1">
      <alignment horizontal="center"/>
    </xf>
    <xf numFmtId="0" fontId="3" fillId="3" borderId="0" xfId="0" applyFont="1" applyFill="1" applyBorder="1" applyAlignment="1" applyProtection="1">
      <alignment horizontal="right"/>
    </xf>
    <xf numFmtId="0" fontId="3" fillId="2" borderId="0" xfId="0" applyFont="1" applyFill="1" applyBorder="1" applyAlignment="1" applyProtection="1">
      <alignment horizontal="center" vertical="center"/>
    </xf>
    <xf numFmtId="0" fontId="0" fillId="3" borderId="21" xfId="0" applyFill="1" applyBorder="1" applyProtection="1"/>
    <xf numFmtId="0" fontId="0" fillId="3" borderId="20" xfId="0" applyFill="1" applyBorder="1" applyProtection="1"/>
    <xf numFmtId="0" fontId="3" fillId="0" borderId="20" xfId="0" applyFont="1" applyBorder="1" applyAlignment="1" applyProtection="1">
      <alignment horizontal="right"/>
    </xf>
    <xf numFmtId="0" fontId="3" fillId="2" borderId="20" xfId="0" applyFont="1" applyFill="1" applyBorder="1" applyAlignment="1" applyProtection="1">
      <alignment horizontal="center" vertical="center"/>
    </xf>
    <xf numFmtId="0" fontId="0" fillId="2" borderId="28" xfId="0" applyFill="1" applyBorder="1" applyProtection="1"/>
    <xf numFmtId="0" fontId="0" fillId="7" borderId="0" xfId="0" applyFill="1" applyBorder="1" applyProtection="1"/>
    <xf numFmtId="0" fontId="8" fillId="2" borderId="7" xfId="0" applyFont="1" applyFill="1" applyBorder="1" applyAlignment="1" applyProtection="1">
      <alignment horizontal="center" vertical="center"/>
    </xf>
    <xf numFmtId="0" fontId="3" fillId="2" borderId="7" xfId="0" applyFont="1" applyFill="1" applyBorder="1" applyAlignment="1" applyProtection="1">
      <alignment horizontal="right" vertical="center"/>
    </xf>
    <xf numFmtId="2" fontId="0" fillId="2" borderId="12" xfId="0" applyNumberForma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0" borderId="0" xfId="0" applyAlignment="1" applyProtection="1">
      <alignment horizontal="center"/>
    </xf>
    <xf numFmtId="0" fontId="0" fillId="2" borderId="0" xfId="0" applyFill="1" applyBorder="1" applyAlignment="1" applyProtection="1">
      <alignment horizontal="center"/>
    </xf>
    <xf numFmtId="0" fontId="0" fillId="0" borderId="21" xfId="0" applyBorder="1" applyProtection="1"/>
    <xf numFmtId="0" fontId="0" fillId="0" borderId="20" xfId="0" applyBorder="1" applyProtection="1"/>
    <xf numFmtId="0" fontId="0" fillId="0" borderId="25" xfId="0" applyBorder="1" applyAlignment="1" applyProtection="1">
      <alignment horizontal="center"/>
    </xf>
    <xf numFmtId="0" fontId="0" fillId="0" borderId="7" xfId="0" applyBorder="1" applyAlignment="1" applyProtection="1">
      <alignment horizontal="center"/>
    </xf>
    <xf numFmtId="0" fontId="3" fillId="0" borderId="7" xfId="0" applyFont="1" applyBorder="1" applyAlignment="1" applyProtection="1">
      <alignment horizontal="center"/>
    </xf>
    <xf numFmtId="0" fontId="3" fillId="0" borderId="0" xfId="0" applyFont="1" applyAlignment="1" applyProtection="1">
      <alignment horizontal="right"/>
    </xf>
    <xf numFmtId="2" fontId="0" fillId="2" borderId="1" xfId="0" applyNumberFormat="1" applyFill="1" applyBorder="1" applyAlignment="1" applyProtection="1">
      <alignment horizontal="center"/>
    </xf>
    <xf numFmtId="0" fontId="3" fillId="0" borderId="0" xfId="0" applyFont="1" applyFill="1" applyBorder="1" applyAlignment="1" applyProtection="1">
      <alignment horizontal="right"/>
    </xf>
    <xf numFmtId="0" fontId="0" fillId="0" borderId="1" xfId="0" applyBorder="1" applyAlignment="1" applyProtection="1">
      <alignment horizontal="center" vertical="center"/>
    </xf>
    <xf numFmtId="0" fontId="10" fillId="2" borderId="7" xfId="0" applyFont="1" applyFill="1" applyBorder="1" applyAlignment="1" applyProtection="1">
      <alignment horizontal="center" vertical="center"/>
    </xf>
    <xf numFmtId="0" fontId="3" fillId="0" borderId="0" xfId="0" applyFont="1" applyAlignment="1" applyProtection="1">
      <alignment horizontal="center"/>
    </xf>
    <xf numFmtId="0" fontId="0" fillId="0" borderId="18" xfId="0" applyBorder="1" applyProtection="1"/>
    <xf numFmtId="0" fontId="0" fillId="0" borderId="18" xfId="0" applyBorder="1" applyAlignment="1" applyProtection="1">
      <alignment horizontal="center"/>
    </xf>
    <xf numFmtId="0" fontId="39" fillId="2" borderId="1" xfId="0" applyFont="1" applyFill="1" applyBorder="1" applyAlignment="1" applyProtection="1">
      <alignment horizontal="right" vertical="center"/>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right" vertical="center"/>
    </xf>
    <xf numFmtId="0" fontId="3" fillId="0" borderId="0" xfId="0" applyFont="1" applyBorder="1" applyAlignment="1" applyProtection="1">
      <alignment horizontal="left"/>
    </xf>
    <xf numFmtId="0" fontId="0" fillId="0" borderId="23" xfId="0" applyBorder="1" applyProtection="1"/>
    <xf numFmtId="0" fontId="23" fillId="2" borderId="1" xfId="0" applyFont="1" applyFill="1" applyBorder="1" applyAlignment="1" applyProtection="1">
      <alignment horizontal="right" vertical="center"/>
    </xf>
    <xf numFmtId="0" fontId="0" fillId="2" borderId="1" xfId="0"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4" fillId="2" borderId="0" xfId="0" applyFont="1" applyFill="1" applyBorder="1" applyProtection="1"/>
    <xf numFmtId="0" fontId="4" fillId="2" borderId="23" xfId="0" applyFont="1" applyFill="1" applyBorder="1" applyAlignment="1" applyProtection="1">
      <alignment horizontal="left"/>
    </xf>
    <xf numFmtId="0" fontId="3" fillId="2" borderId="1" xfId="0" applyFont="1" applyFill="1" applyBorder="1" applyAlignment="1" applyProtection="1">
      <alignment horizontal="right" vertical="center"/>
    </xf>
    <xf numFmtId="0" fontId="3" fillId="2" borderId="23" xfId="0" applyFont="1" applyFill="1" applyBorder="1" applyProtection="1"/>
    <xf numFmtId="0" fontId="8"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0" fillId="2" borderId="1" xfId="0" applyNumberFormat="1" applyFill="1" applyBorder="1" applyAlignment="1" applyProtection="1">
      <alignment horizontal="center" vertical="center"/>
    </xf>
    <xf numFmtId="1" fontId="3" fillId="2" borderId="1" xfId="0" applyNumberFormat="1" applyFont="1" applyFill="1" applyBorder="1" applyAlignment="1" applyProtection="1">
      <alignment horizontal="center" vertical="center"/>
    </xf>
    <xf numFmtId="2" fontId="0" fillId="0" borderId="1" xfId="0" applyNumberFormat="1" applyBorder="1" applyAlignment="1" applyProtection="1">
      <alignment horizontal="center"/>
    </xf>
    <xf numFmtId="164" fontId="3" fillId="2" borderId="0" xfId="0" applyNumberFormat="1" applyFont="1" applyFill="1" applyBorder="1" applyAlignment="1" applyProtection="1">
      <alignment horizontal="right"/>
    </xf>
    <xf numFmtId="0" fontId="3" fillId="0" borderId="1" xfId="0" applyFont="1" applyBorder="1" applyAlignment="1" applyProtection="1">
      <alignment horizontal="center"/>
    </xf>
    <xf numFmtId="0" fontId="3" fillId="2" borderId="0" xfId="0" applyFont="1" applyFill="1" applyBorder="1" applyAlignment="1" applyProtection="1">
      <alignment horizontal="left"/>
    </xf>
    <xf numFmtId="0" fontId="4" fillId="2" borderId="1" xfId="0" applyFont="1" applyFill="1" applyBorder="1" applyAlignment="1" applyProtection="1">
      <alignment horizontal="right"/>
    </xf>
    <xf numFmtId="0" fontId="4" fillId="2" borderId="1" xfId="0" applyFont="1" applyFill="1" applyBorder="1" applyAlignment="1" applyProtection="1">
      <alignment horizontal="center"/>
    </xf>
    <xf numFmtId="0" fontId="4" fillId="2" borderId="1" xfId="0" applyFont="1" applyFill="1" applyBorder="1" applyAlignment="1" applyProtection="1">
      <alignment horizontal="left"/>
    </xf>
    <xf numFmtId="0" fontId="3" fillId="2" borderId="1" xfId="0" applyFont="1" applyFill="1" applyBorder="1" applyAlignment="1" applyProtection="1">
      <alignment horizontal="right"/>
    </xf>
    <xf numFmtId="0" fontId="3" fillId="2" borderId="1" xfId="0" applyFont="1" applyFill="1" applyBorder="1" applyAlignment="1" applyProtection="1">
      <alignment horizontal="center"/>
    </xf>
    <xf numFmtId="165" fontId="0" fillId="0" borderId="1" xfId="0" applyNumberFormat="1" applyBorder="1" applyAlignment="1" applyProtection="1">
      <alignment horizontal="center" vertical="center"/>
    </xf>
    <xf numFmtId="0" fontId="0" fillId="2" borderId="19" xfId="0" applyFill="1" applyBorder="1" applyAlignment="1" applyProtection="1">
      <alignment horizontal="right"/>
    </xf>
    <xf numFmtId="0" fontId="3" fillId="0" borderId="1" xfId="0" applyFont="1" applyBorder="1" applyAlignment="1" applyProtection="1">
      <alignment horizontal="right"/>
    </xf>
    <xf numFmtId="0" fontId="4" fillId="2" borderId="19" xfId="0" applyFont="1" applyFill="1" applyBorder="1" applyProtection="1"/>
    <xf numFmtId="164" fontId="3" fillId="2" borderId="1" xfId="0" applyNumberFormat="1" applyFont="1" applyFill="1" applyBorder="1" applyAlignment="1" applyProtection="1">
      <alignment horizontal="right"/>
    </xf>
    <xf numFmtId="0" fontId="0" fillId="2" borderId="20" xfId="0" applyFill="1" applyBorder="1" applyAlignment="1" applyProtection="1">
      <alignment horizontal="center"/>
    </xf>
    <xf numFmtId="0" fontId="0" fillId="3" borderId="0" xfId="0" applyFill="1" applyProtection="1"/>
    <xf numFmtId="0" fontId="24" fillId="2" borderId="0" xfId="0" applyFont="1" applyFill="1" applyProtection="1"/>
    <xf numFmtId="0" fontId="3" fillId="3" borderId="19" xfId="0" applyFont="1" applyFill="1" applyBorder="1" applyProtection="1"/>
    <xf numFmtId="0" fontId="22" fillId="3" borderId="19" xfId="0" applyFont="1" applyFill="1" applyBorder="1" applyProtection="1"/>
    <xf numFmtId="0" fontId="0" fillId="8" borderId="14" xfId="0" applyFill="1" applyBorder="1" applyAlignment="1" applyProtection="1">
      <alignment horizontal="center" vertical="center"/>
      <protection locked="0"/>
    </xf>
    <xf numFmtId="0" fontId="0" fillId="14" borderId="1" xfId="0" applyFill="1" applyBorder="1"/>
    <xf numFmtId="0" fontId="3" fillId="14" borderId="1" xfId="0" applyFont="1" applyFill="1" applyBorder="1"/>
    <xf numFmtId="10" fontId="0" fillId="0" borderId="0" xfId="0" applyNumberFormat="1"/>
    <xf numFmtId="10" fontId="0" fillId="0" borderId="1" xfId="0" applyNumberFormat="1" applyBorder="1"/>
    <xf numFmtId="0" fontId="0" fillId="0" borderId="1" xfId="0" applyFill="1" applyBorder="1"/>
    <xf numFmtId="165" fontId="0" fillId="0" borderId="0" xfId="0" applyNumberFormat="1"/>
    <xf numFmtId="168" fontId="0" fillId="0" borderId="0" xfId="0" applyNumberFormat="1"/>
    <xf numFmtId="9" fontId="0" fillId="0" borderId="0" xfId="0" applyNumberFormat="1"/>
    <xf numFmtId="169" fontId="0" fillId="0" borderId="0" xfId="0" applyNumberFormat="1"/>
    <xf numFmtId="2" fontId="0" fillId="0" borderId="0" xfId="0" applyNumberFormat="1" applyBorder="1" applyAlignment="1" applyProtection="1">
      <alignment horizontal="center"/>
    </xf>
    <xf numFmtId="0" fontId="3" fillId="2" borderId="0" xfId="0" applyFont="1" applyFill="1" applyBorder="1" applyAlignment="1" applyProtection="1">
      <alignment horizontal="center"/>
    </xf>
    <xf numFmtId="0" fontId="4" fillId="0" borderId="1" xfId="0" applyFont="1" applyBorder="1" applyProtection="1"/>
    <xf numFmtId="0" fontId="0" fillId="0" borderId="1" xfId="0" applyBorder="1" applyProtection="1"/>
    <xf numFmtId="0" fontId="3" fillId="0" borderId="0" xfId="0" applyFont="1" applyBorder="1" applyAlignment="1" applyProtection="1">
      <alignment horizontal="right" vertical="center"/>
    </xf>
    <xf numFmtId="0" fontId="0" fillId="0" borderId="1" xfId="0" applyFont="1" applyFill="1" applyBorder="1"/>
    <xf numFmtId="0" fontId="3" fillId="6" borderId="1" xfId="0" applyNumberFormat="1" applyFont="1" applyFill="1" applyBorder="1" applyAlignment="1" applyProtection="1">
      <alignment horizontal="center"/>
      <protection locked="0"/>
    </xf>
    <xf numFmtId="0" fontId="3" fillId="0" borderId="1" xfId="0" applyFont="1" applyBorder="1" applyProtection="1"/>
    <xf numFmtId="0" fontId="0" fillId="0" borderId="0" xfId="0" applyFill="1" applyBorder="1"/>
    <xf numFmtId="0" fontId="0" fillId="0" borderId="0" xfId="0" applyFont="1" applyFill="1" applyBorder="1"/>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164" fontId="3" fillId="2" borderId="1" xfId="0" applyNumberFormat="1" applyFont="1" applyFill="1" applyBorder="1" applyAlignment="1" applyProtection="1">
      <alignment horizontal="center" vertical="center"/>
    </xf>
    <xf numFmtId="2" fontId="3" fillId="0" borderId="1" xfId="0" applyNumberFormat="1" applyFont="1" applyBorder="1" applyAlignment="1" applyProtection="1">
      <alignment horizontal="center"/>
    </xf>
    <xf numFmtId="169" fontId="0" fillId="0" borderId="1" xfId="0" applyNumberFormat="1" applyBorder="1" applyAlignment="1" applyProtection="1">
      <alignment horizontal="center" vertical="center"/>
    </xf>
    <xf numFmtId="165" fontId="3" fillId="0" borderId="1" xfId="0" applyNumberFormat="1" applyFont="1" applyBorder="1" applyAlignment="1" applyProtection="1">
      <alignment horizontal="center" vertical="center"/>
    </xf>
    <xf numFmtId="1" fontId="0" fillId="0" borderId="1" xfId="0" applyNumberFormat="1" applyBorder="1"/>
    <xf numFmtId="0" fontId="37" fillId="6" borderId="1" xfId="4" applyFont="1" applyFill="1" applyBorder="1" applyAlignment="1" applyProtection="1">
      <alignment horizontal="center" vertical="center"/>
      <protection locked="0"/>
    </xf>
    <xf numFmtId="2" fontId="0" fillId="2" borderId="16" xfId="0" applyNumberFormat="1" applyFill="1" applyBorder="1" applyAlignment="1" applyProtection="1">
      <alignment horizontal="center" vertical="center"/>
    </xf>
    <xf numFmtId="2" fontId="4" fillId="0" borderId="1" xfId="0" applyNumberFormat="1" applyFont="1" applyBorder="1" applyAlignment="1" applyProtection="1">
      <alignment horizontal="center"/>
    </xf>
    <xf numFmtId="0" fontId="43" fillId="10" borderId="0" xfId="2" applyFont="1" applyFill="1" applyProtection="1"/>
    <xf numFmtId="0" fontId="3" fillId="10" borderId="0" xfId="2" applyFill="1" applyProtection="1"/>
    <xf numFmtId="0" fontId="3" fillId="10" borderId="0" xfId="2" applyFill="1" applyBorder="1" applyProtection="1"/>
    <xf numFmtId="0" fontId="44" fillId="10" borderId="0" xfId="2" applyFont="1" applyFill="1" applyAlignment="1" applyProtection="1"/>
    <xf numFmtId="0" fontId="44" fillId="10" borderId="0" xfId="2" applyFont="1" applyFill="1" applyAlignment="1" applyProtection="1">
      <alignment wrapText="1"/>
    </xf>
    <xf numFmtId="0" fontId="45" fillId="10" borderId="0" xfId="2" applyFont="1" applyFill="1" applyAlignment="1" applyProtection="1">
      <alignment vertical="center"/>
    </xf>
    <xf numFmtId="0" fontId="45" fillId="10" borderId="0" xfId="2" applyFont="1" applyFill="1" applyProtection="1"/>
    <xf numFmtId="0" fontId="3" fillId="10" borderId="0" xfId="2" applyFont="1" applyFill="1" applyBorder="1" applyProtection="1"/>
    <xf numFmtId="0" fontId="3" fillId="2" borderId="0" xfId="2" applyFill="1" applyBorder="1"/>
    <xf numFmtId="0" fontId="3" fillId="2" borderId="0" xfId="2" applyFont="1" applyFill="1" applyBorder="1" applyAlignment="1">
      <alignment horizontal="right" vertical="center"/>
    </xf>
    <xf numFmtId="0" fontId="3" fillId="2" borderId="18" xfId="2" applyFill="1" applyBorder="1"/>
    <xf numFmtId="0" fontId="3" fillId="2" borderId="19" xfId="2" applyFill="1" applyBorder="1"/>
    <xf numFmtId="0" fontId="3" fillId="2" borderId="21" xfId="2" applyFill="1" applyBorder="1"/>
    <xf numFmtId="0" fontId="3" fillId="2" borderId="20" xfId="2" applyFill="1" applyBorder="1"/>
    <xf numFmtId="0" fontId="3" fillId="2" borderId="23" xfId="2" applyFill="1" applyBorder="1"/>
    <xf numFmtId="0" fontId="3" fillId="2" borderId="24" xfId="2" applyFill="1" applyBorder="1"/>
    <xf numFmtId="0" fontId="3" fillId="2" borderId="22" xfId="2" applyFill="1" applyBorder="1"/>
    <xf numFmtId="0" fontId="3" fillId="2" borderId="0" xfId="2" applyFont="1" applyFill="1" applyBorder="1"/>
    <xf numFmtId="0" fontId="24" fillId="7" borderId="17" xfId="2" applyFont="1" applyFill="1" applyBorder="1"/>
    <xf numFmtId="0" fontId="24" fillId="3" borderId="19" xfId="2" applyFont="1" applyFill="1" applyBorder="1"/>
    <xf numFmtId="0" fontId="50" fillId="2" borderId="0" xfId="2" applyFont="1" applyFill="1" applyBorder="1"/>
    <xf numFmtId="0" fontId="50" fillId="2" borderId="0" xfId="2" applyFont="1" applyFill="1" applyBorder="1" applyAlignment="1">
      <alignment horizontal="right" vertical="center"/>
    </xf>
    <xf numFmtId="0" fontId="3" fillId="2" borderId="20" xfId="2" applyFont="1" applyFill="1" applyBorder="1" applyAlignment="1">
      <alignment horizontal="center" vertical="center"/>
    </xf>
    <xf numFmtId="0" fontId="3" fillId="2" borderId="20" xfId="2" applyFont="1" applyFill="1" applyBorder="1"/>
    <xf numFmtId="0" fontId="51" fillId="2" borderId="0" xfId="1" applyFont="1" applyFill="1" applyBorder="1" applyAlignment="1" applyProtection="1">
      <alignment horizontal="left"/>
    </xf>
    <xf numFmtId="0" fontId="47" fillId="2" borderId="19" xfId="2" applyFont="1" applyFill="1" applyBorder="1" applyAlignment="1">
      <alignment vertical="top" wrapText="1"/>
    </xf>
    <xf numFmtId="0" fontId="3" fillId="2" borderId="0" xfId="2" applyFont="1" applyFill="1" applyBorder="1" applyAlignment="1">
      <alignment horizontal="center" vertical="center"/>
    </xf>
    <xf numFmtId="0" fontId="51" fillId="2" borderId="18" xfId="1" applyFont="1" applyFill="1" applyBorder="1" applyAlignment="1" applyProtection="1">
      <alignment wrapText="1"/>
    </xf>
    <xf numFmtId="0" fontId="51" fillId="2" borderId="0" xfId="1" applyFont="1" applyFill="1" applyBorder="1" applyAlignment="1" applyProtection="1">
      <alignment horizontal="left" wrapText="1"/>
    </xf>
    <xf numFmtId="0" fontId="50" fillId="3" borderId="0" xfId="2" applyFont="1" applyFill="1" applyBorder="1"/>
    <xf numFmtId="0" fontId="50" fillId="3" borderId="18" xfId="2" applyFont="1" applyFill="1" applyBorder="1"/>
    <xf numFmtId="0" fontId="3" fillId="2" borderId="20" xfId="2" applyFont="1" applyFill="1" applyBorder="1" applyAlignment="1">
      <alignment vertical="top" wrapText="1"/>
    </xf>
    <xf numFmtId="0" fontId="44" fillId="6" borderId="39" xfId="2" applyFont="1" applyFill="1" applyBorder="1" applyAlignment="1" applyProtection="1">
      <alignment horizontal="center" vertical="top"/>
      <protection locked="0"/>
    </xf>
    <xf numFmtId="0" fontId="44" fillId="6" borderId="41" xfId="2" applyFont="1" applyFill="1" applyBorder="1" applyAlignment="1" applyProtection="1">
      <alignment horizontal="center" vertical="top"/>
      <protection locked="0"/>
    </xf>
    <xf numFmtId="0" fontId="55" fillId="2" borderId="0" xfId="1" applyFont="1" applyFill="1" applyBorder="1" applyAlignment="1" applyProtection="1"/>
    <xf numFmtId="0" fontId="52" fillId="3" borderId="19" xfId="1" applyFont="1" applyFill="1" applyBorder="1" applyAlignment="1" applyProtection="1">
      <alignment horizontal="left"/>
    </xf>
    <xf numFmtId="0" fontId="16" fillId="3" borderId="19" xfId="1" applyFont="1" applyFill="1" applyBorder="1" applyAlignment="1" applyProtection="1"/>
    <xf numFmtId="0" fontId="16" fillId="2" borderId="19" xfId="1" applyFont="1" applyFill="1" applyBorder="1" applyAlignment="1" applyProtection="1"/>
    <xf numFmtId="0" fontId="16" fillId="10" borderId="0" xfId="1" applyFill="1" applyAlignment="1" applyProtection="1">
      <alignment horizontal="left"/>
    </xf>
    <xf numFmtId="0" fontId="16" fillId="5" borderId="0" xfId="1" applyFill="1" applyAlignment="1" applyProtection="1"/>
    <xf numFmtId="0" fontId="46" fillId="0" borderId="17"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4" xfId="0" applyFont="1" applyBorder="1" applyAlignment="1">
      <alignment horizontal="center" vertical="center" wrapText="1"/>
    </xf>
    <xf numFmtId="0" fontId="30" fillId="0" borderId="19" xfId="0" applyFont="1" applyBorder="1" applyAlignment="1" applyProtection="1">
      <alignment horizontal="center"/>
    </xf>
    <xf numFmtId="0" fontId="30" fillId="0" borderId="0" xfId="0" applyFont="1" applyBorder="1" applyAlignment="1" applyProtection="1">
      <alignment horizontal="center"/>
    </xf>
    <xf numFmtId="0" fontId="15" fillId="3" borderId="0" xfId="0" applyFont="1" applyFill="1" applyBorder="1" applyAlignment="1" applyProtection="1">
      <alignment horizontal="center" vertical="center"/>
    </xf>
    <xf numFmtId="0" fontId="19" fillId="4" borderId="17" xfId="0" applyFont="1" applyFill="1" applyBorder="1" applyAlignment="1" applyProtection="1">
      <alignment horizontal="left" vertical="center"/>
    </xf>
    <xf numFmtId="0" fontId="19" fillId="4" borderId="18" xfId="0" applyFont="1" applyFill="1" applyBorder="1" applyAlignment="1" applyProtection="1">
      <alignment horizontal="left" vertical="center"/>
    </xf>
    <xf numFmtId="0" fontId="49" fillId="2" borderId="19" xfId="2" applyFont="1" applyFill="1" applyBorder="1" applyAlignment="1">
      <alignment horizontal="left" vertical="top" wrapText="1"/>
    </xf>
    <xf numFmtId="0" fontId="49" fillId="2" borderId="18" xfId="1" applyFont="1" applyFill="1" applyBorder="1" applyAlignment="1" applyProtection="1">
      <alignment horizontal="left" wrapText="1"/>
    </xf>
    <xf numFmtId="0" fontId="49" fillId="2" borderId="0" xfId="1" applyFont="1" applyFill="1" applyBorder="1" applyAlignment="1" applyProtection="1">
      <alignment horizontal="left" wrapText="1"/>
    </xf>
    <xf numFmtId="0" fontId="54" fillId="5" borderId="37" xfId="2" applyFont="1" applyFill="1" applyBorder="1" applyAlignment="1">
      <alignment horizontal="left" vertical="top" wrapText="1"/>
    </xf>
    <xf numFmtId="0" fontId="54" fillId="5" borderId="38" xfId="2" applyFont="1" applyFill="1" applyBorder="1" applyAlignment="1">
      <alignment horizontal="left" vertical="top" wrapText="1"/>
    </xf>
    <xf numFmtId="0" fontId="54" fillId="5" borderId="40" xfId="2" applyFont="1" applyFill="1" applyBorder="1" applyAlignment="1">
      <alignment horizontal="left" vertical="top" wrapText="1"/>
    </xf>
    <xf numFmtId="0" fontId="16" fillId="2" borderId="0" xfId="1" applyFill="1" applyBorder="1" applyAlignment="1" applyProtection="1">
      <alignment horizontal="left" wrapText="1"/>
    </xf>
    <xf numFmtId="0" fontId="53" fillId="2" borderId="0" xfId="1" applyFont="1" applyFill="1" applyBorder="1" applyAlignment="1" applyProtection="1">
      <alignment horizontal="left"/>
    </xf>
    <xf numFmtId="0" fontId="51" fillId="2" borderId="0" xfId="1" applyFont="1" applyFill="1" applyBorder="1" applyAlignment="1" applyProtection="1">
      <alignment horizontal="left"/>
    </xf>
    <xf numFmtId="0" fontId="24" fillId="5" borderId="42" xfId="2" applyFont="1" applyFill="1" applyBorder="1" applyAlignment="1">
      <alignment horizontal="left" wrapText="1"/>
    </xf>
    <xf numFmtId="0" fontId="3" fillId="5" borderId="43" xfId="2" applyFill="1" applyBorder="1" applyAlignment="1">
      <alignment horizontal="left" wrapText="1"/>
    </xf>
    <xf numFmtId="0" fontId="3" fillId="5" borderId="39" xfId="2" applyFill="1" applyBorder="1" applyAlignment="1">
      <alignment horizontal="left" wrapText="1"/>
    </xf>
    <xf numFmtId="0" fontId="16" fillId="3" borderId="19" xfId="1" applyFill="1" applyBorder="1" applyAlignment="1" applyProtection="1">
      <alignment horizontal="left" wrapText="1"/>
    </xf>
    <xf numFmtId="0" fontId="57" fillId="2" borderId="20" xfId="2" applyFont="1" applyFill="1" applyBorder="1" applyAlignment="1">
      <alignment horizontal="left" vertical="top" wrapText="1"/>
    </xf>
    <xf numFmtId="0" fontId="4" fillId="2" borderId="20" xfId="2" applyFont="1" applyFill="1" applyBorder="1" applyAlignment="1">
      <alignment horizontal="left" vertical="top" wrapText="1"/>
    </xf>
    <xf numFmtId="0" fontId="27" fillId="0" borderId="0" xfId="0" applyFont="1" applyAlignment="1">
      <alignment horizontal="center"/>
    </xf>
    <xf numFmtId="0" fontId="30"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27" fillId="0" borderId="1" xfId="2" applyFont="1" applyBorder="1" applyAlignment="1">
      <alignment horizontal="center"/>
    </xf>
    <xf numFmtId="2" fontId="29" fillId="0" borderId="0" xfId="0" applyNumberFormat="1" applyFont="1" applyBorder="1" applyAlignment="1">
      <alignment horizontal="center"/>
    </xf>
    <xf numFmtId="2" fontId="0" fillId="0" borderId="0" xfId="0" applyNumberFormat="1"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3" fillId="0" borderId="11" xfId="0" applyFont="1" applyBorder="1" applyAlignment="1">
      <alignment horizontal="center"/>
    </xf>
    <xf numFmtId="0" fontId="0" fillId="0" borderId="11" xfId="0" applyBorder="1" applyAlignment="1">
      <alignment horizontal="center"/>
    </xf>
    <xf numFmtId="0" fontId="30" fillId="0" borderId="0" xfId="0" applyFont="1" applyBorder="1" applyAlignment="1">
      <alignment horizontal="center"/>
    </xf>
    <xf numFmtId="2" fontId="3" fillId="0" borderId="0" xfId="0" applyNumberFormat="1" applyFont="1" applyBorder="1" applyAlignment="1">
      <alignment horizontal="center"/>
    </xf>
    <xf numFmtId="0" fontId="0" fillId="0" borderId="0" xfId="0" applyBorder="1" applyAlignment="1">
      <alignment horizontal="center"/>
    </xf>
    <xf numFmtId="0" fontId="3" fillId="14" borderId="1" xfId="0" applyFont="1" applyFill="1" applyBorder="1" applyAlignment="1">
      <alignment horizontal="center"/>
    </xf>
    <xf numFmtId="0" fontId="0" fillId="14" borderId="1" xfId="0" applyFill="1" applyBorder="1" applyAlignment="1">
      <alignment horizontal="center"/>
    </xf>
    <xf numFmtId="0" fontId="3" fillId="0" borderId="9" xfId="0" applyFont="1" applyBorder="1" applyAlignment="1">
      <alignment horizontal="center"/>
    </xf>
  </cellXfs>
  <cellStyles count="14">
    <cellStyle name="60% - Акцент3" xfId="4" builtinId="40"/>
    <cellStyle name="ENTER VALUE" xfId="7"/>
    <cellStyle name="ENTER VALUE 2" xfId="11"/>
    <cellStyle name="ENTER VALUE 3" xfId="10"/>
    <cellStyle name="ENTER VALUE 4" xfId="9"/>
    <cellStyle name="Normal 2" xfId="2"/>
    <cellStyle name="Normal 3" xfId="12"/>
    <cellStyle name="Normal 3 2" xfId="13"/>
    <cellStyle name="Style 1" xfId="3"/>
    <cellStyle name="Style 1 2" xfId="5"/>
    <cellStyle name="Style 2" xfId="6"/>
    <cellStyle name="UNIT" xfId="8"/>
    <cellStyle name="Гиперссылка" xfId="1" builtinId="8"/>
    <cellStyle name="Обычный" xfId="0" builtinId="0"/>
  </cellStyles>
  <dxfs count="2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FF0000"/>
        </patternFill>
      </fill>
    </dxf>
    <dxf>
      <fill>
        <patternFill>
          <bgColor rgb="FFFF0000"/>
        </patternFill>
      </fill>
    </dxf>
    <dxf>
      <font>
        <color theme="0"/>
      </font>
      <fill>
        <patternFill>
          <bgColor theme="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lang val="ru-RU"/>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9"/>
          <c:w val="0.83144069779259933"/>
          <c:h val="0.76916929287639613"/>
        </c:manualLayout>
      </c:layout>
      <c:scatterChart>
        <c:scatterStyle val="lineMarker"/>
        <c:ser>
          <c:idx val="3"/>
          <c:order val="0"/>
          <c:tx>
            <c:v>Temp Derated FET SOA (t = Tfault)</c:v>
          </c:tx>
          <c:spPr>
            <a:ln w="25400">
              <a:solidFill>
                <a:srgbClr val="008000"/>
              </a:solidFill>
              <a:prstDash val="solid"/>
            </a:ln>
          </c:spPr>
          <c:marker>
            <c:symbol val="none"/>
          </c:marker>
          <c:xVal>
            <c:numRef>
              <c:f>Equations!$R$131:$R$150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Equations!$V$131:$V$150</c:f>
              <c:numCache>
                <c:formatCode>0.00</c:formatCode>
                <c:ptCount val="20"/>
                <c:pt idx="0">
                  <c:v>501.32803912378296</c:v>
                </c:pt>
                <c:pt idx="1">
                  <c:v>250.66401956189148</c:v>
                </c:pt>
                <c:pt idx="2">
                  <c:v>167.10934637459431</c:v>
                </c:pt>
                <c:pt idx="3">
                  <c:v>125.33200978094574</c:v>
                </c:pt>
                <c:pt idx="4">
                  <c:v>100.26560782475659</c:v>
                </c:pt>
                <c:pt idx="5">
                  <c:v>83.554673187297155</c:v>
                </c:pt>
                <c:pt idx="6">
                  <c:v>71.618291303397569</c:v>
                </c:pt>
                <c:pt idx="7">
                  <c:v>62.66600489047287</c:v>
                </c:pt>
                <c:pt idx="8">
                  <c:v>55.703115458198106</c:v>
                </c:pt>
                <c:pt idx="9">
                  <c:v>50.132803912378293</c:v>
                </c:pt>
                <c:pt idx="10">
                  <c:v>45.575276283980266</c:v>
                </c:pt>
                <c:pt idx="11">
                  <c:v>41.777336593648577</c:v>
                </c:pt>
                <c:pt idx="12">
                  <c:v>38.563695317214076</c:v>
                </c:pt>
                <c:pt idx="13">
                  <c:v>35.809145651698785</c:v>
                </c:pt>
                <c:pt idx="14">
                  <c:v>33.421869274918862</c:v>
                </c:pt>
                <c:pt idx="15">
                  <c:v>31.333002445236435</c:v>
                </c:pt>
                <c:pt idx="16">
                  <c:v>29.489884654340173</c:v>
                </c:pt>
                <c:pt idx="17">
                  <c:v>27.851557729099053</c:v>
                </c:pt>
                <c:pt idx="18">
                  <c:v>26.385686269672789</c:v>
                </c:pt>
                <c:pt idx="19">
                  <c:v>25.066401956189146</c:v>
                </c:pt>
              </c:numCache>
            </c:numRef>
          </c:yVal>
        </c:ser>
        <c:ser>
          <c:idx val="1"/>
          <c:order val="1"/>
          <c:tx>
            <c:v>Typ Device SOA Limit</c:v>
          </c:tx>
          <c:spPr>
            <a:ln w="25400">
              <a:solidFill>
                <a:srgbClr val="FF0000"/>
              </a:solidFill>
              <a:prstDash val="solid"/>
            </a:ln>
          </c:spPr>
          <c:marker>
            <c:symbol val="none"/>
          </c:marker>
          <c:xVal>
            <c:numRef>
              <c:f>Equations!$R$131:$R$150</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Equations!$T$131:$T$150</c:f>
              <c:numCache>
                <c:formatCode>0.00</c:formatCode>
                <c:ptCount val="20"/>
                <c:pt idx="0">
                  <c:v>80</c:v>
                </c:pt>
                <c:pt idx="1">
                  <c:v>80</c:v>
                </c:pt>
                <c:pt idx="2">
                  <c:v>80</c:v>
                </c:pt>
                <c:pt idx="3">
                  <c:v>77.160493827160494</c:v>
                </c:pt>
                <c:pt idx="4">
                  <c:v>61.728395061728392</c:v>
                </c:pt>
                <c:pt idx="5">
                  <c:v>51.440329218106996</c:v>
                </c:pt>
                <c:pt idx="6">
                  <c:v>44.091710758377424</c:v>
                </c:pt>
                <c:pt idx="7">
                  <c:v>38.580246913580247</c:v>
                </c:pt>
                <c:pt idx="8">
                  <c:v>34.293552812071333</c:v>
                </c:pt>
                <c:pt idx="9">
                  <c:v>30.864197530864196</c:v>
                </c:pt>
                <c:pt idx="10">
                  <c:v>28.058361391694724</c:v>
                </c:pt>
                <c:pt idx="11">
                  <c:v>25.720164609053498</c:v>
                </c:pt>
                <c:pt idx="12">
                  <c:v>23.741690408357076</c:v>
                </c:pt>
                <c:pt idx="13">
                  <c:v>22.045855379188712</c:v>
                </c:pt>
                <c:pt idx="14">
                  <c:v>20.5761316872428</c:v>
                </c:pt>
                <c:pt idx="15">
                  <c:v>19.290123456790123</c:v>
                </c:pt>
                <c:pt idx="16">
                  <c:v>5.0000000000000003E-10</c:v>
                </c:pt>
                <c:pt idx="17">
                  <c:v>5.0000000000000003E-10</c:v>
                </c:pt>
                <c:pt idx="18">
                  <c:v>5.0000000000000003E-10</c:v>
                </c:pt>
                <c:pt idx="19">
                  <c:v>5.0000000000000003E-10</c:v>
                </c:pt>
              </c:numCache>
            </c:numRef>
          </c:yVal>
        </c:ser>
        <c:axId val="79918976"/>
        <c:axId val="79937920"/>
      </c:scatterChart>
      <c:valAx>
        <c:axId val="79918976"/>
        <c:scaling>
          <c:logBase val="10"/>
          <c:orientation val="minMax"/>
          <c:max val="50"/>
          <c:min val="1"/>
        </c:scaling>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lang="en-US"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34"/>
              <c:y val="0.94029461520736024"/>
            </c:manualLayout>
          </c:layout>
          <c:spPr>
            <a:noFill/>
            <a:ln w="25400">
              <a:noFill/>
            </a:ln>
          </c:spPr>
        </c:title>
        <c:numFmt formatCode="General" sourceLinked="1"/>
        <c:majorTickMark val="none"/>
        <c:tickLblPos val="nextTo"/>
        <c:spPr>
          <a:ln w="3175">
            <a:solidFill>
              <a:srgbClr val="000000"/>
            </a:solidFill>
            <a:prstDash val="solid"/>
          </a:ln>
        </c:spPr>
        <c:txPr>
          <a:bodyPr rot="0" vert="horz"/>
          <a:lstStyle/>
          <a:p>
            <a:pPr>
              <a:defRPr lang="en-US" sz="900" b="0" i="0" u="none" strike="noStrike" baseline="0">
                <a:solidFill>
                  <a:srgbClr val="000000"/>
                </a:solidFill>
                <a:latin typeface="Arial"/>
                <a:ea typeface="Arial"/>
                <a:cs typeface="Arial"/>
              </a:defRPr>
            </a:pPr>
            <a:endParaRPr lang="ru-RU"/>
          </a:p>
        </c:txPr>
        <c:crossAx val="79937920"/>
        <c:crossesAt val="0.1"/>
        <c:crossBetween val="midCat"/>
      </c:valAx>
      <c:valAx>
        <c:axId val="79937920"/>
        <c:scaling>
          <c:logBase val="10"/>
          <c:orientation val="minMax"/>
          <c:max val="1000"/>
          <c:min val="1"/>
        </c:scaling>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lang="en-US"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86E-2"/>
              <c:y val="0.21497860712616418"/>
            </c:manualLayout>
          </c:layout>
          <c:spPr>
            <a:noFill/>
            <a:ln w="25400">
              <a:noFill/>
            </a:ln>
          </c:spPr>
        </c:title>
        <c:numFmt formatCode="General" sourceLinked="0"/>
        <c:majorTickMark val="none"/>
        <c:tickLblPos val="nextTo"/>
        <c:spPr>
          <a:ln w="3175">
            <a:solidFill>
              <a:srgbClr val="000000"/>
            </a:solidFill>
            <a:prstDash val="solid"/>
          </a:ln>
        </c:spPr>
        <c:txPr>
          <a:bodyPr rot="0" vert="horz"/>
          <a:lstStyle/>
          <a:p>
            <a:pPr>
              <a:defRPr lang="en-US" sz="900" b="0" i="0" u="none" strike="noStrike" baseline="0">
                <a:solidFill>
                  <a:srgbClr val="000000"/>
                </a:solidFill>
                <a:latin typeface="Arial"/>
                <a:ea typeface="Arial"/>
                <a:cs typeface="Arial"/>
              </a:defRPr>
            </a:pPr>
            <a:endParaRPr lang="ru-RU"/>
          </a:p>
        </c:txPr>
        <c:crossAx val="79918976"/>
        <c:crosses val="autoZero"/>
        <c:crossBetween val="midCat"/>
      </c:valAx>
      <c:spPr>
        <a:solidFill>
          <a:srgbClr val="FFFFFF"/>
        </a:solidFill>
        <a:ln w="12700">
          <a:solidFill>
            <a:srgbClr val="808080"/>
          </a:solidFill>
          <a:prstDash val="solid"/>
        </a:ln>
      </c:spPr>
    </c:plotArea>
    <c:legend>
      <c:legendPos val="r"/>
      <c:layout>
        <c:manualLayout>
          <c:xMode val="edge"/>
          <c:yMode val="edge"/>
          <c:x val="0.43686657794363343"/>
          <c:y val="5.8933081466572404E-2"/>
          <c:w val="0.51713412648236456"/>
          <c:h val="0.22644573436605397"/>
        </c:manualLayout>
      </c:layout>
      <c:spPr>
        <a:solidFill>
          <a:srgbClr val="FFFFFF"/>
        </a:solidFill>
        <a:ln w="3175">
          <a:solidFill>
            <a:srgbClr val="000000"/>
          </a:solidFill>
          <a:prstDash val="solid"/>
        </a:ln>
      </c:spPr>
      <c:txPr>
        <a:bodyPr/>
        <a:lstStyle/>
        <a:p>
          <a:pPr>
            <a:defRPr lang="en-US" sz="800" b="0" i="0" u="none" strike="noStrike" baseline="0">
              <a:solidFill>
                <a:srgbClr val="000000"/>
              </a:solidFill>
              <a:latin typeface="Arial"/>
              <a:ea typeface="Arial"/>
              <a:cs typeface="Arial"/>
            </a:defRPr>
          </a:pPr>
          <a:endParaRPr lang="ru-RU"/>
        </a:p>
      </c:txPr>
    </c:legend>
    <c:dispBlanksAs val="gap"/>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ru-RU"/>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lang="en-US" sz="1800" b="1" i="0" u="none" strike="noStrike" kern="1200" baseline="0">
                <a:solidFill>
                  <a:sysClr val="windowText" lastClr="000000"/>
                </a:solidFill>
                <a:latin typeface="+mn-lt"/>
                <a:ea typeface="+mn-ea"/>
                <a:cs typeface="+mn-cs"/>
              </a:defRPr>
            </a:pPr>
            <a:r>
              <a:rPr lang="en-US"/>
              <a:t>I</a:t>
            </a:r>
            <a:r>
              <a:rPr lang="en-US" baseline="-25000"/>
              <a:t>LOAD</a:t>
            </a:r>
            <a:r>
              <a:rPr lang="en-US" baseline="0"/>
              <a:t> and I</a:t>
            </a:r>
            <a:r>
              <a:rPr lang="en-US" baseline="-25000"/>
              <a:t>FET</a:t>
            </a:r>
            <a:r>
              <a:rPr lang="en-US" baseline="0"/>
              <a:t> vs Vout </a:t>
            </a:r>
            <a:r>
              <a:rPr lang="en-US" sz="1800" b="1" i="0" baseline="0">
                <a:effectLst/>
              </a:rPr>
              <a:t>(V</a:t>
            </a:r>
            <a:r>
              <a:rPr lang="en-US" sz="1800" b="1" i="0" baseline="-25000">
                <a:effectLst/>
              </a:rPr>
              <a:t>IN</a:t>
            </a:r>
            <a:r>
              <a:rPr lang="en-US" sz="1800" b="1" i="0" baseline="0">
                <a:effectLst/>
              </a:rPr>
              <a:t> = V</a:t>
            </a:r>
            <a:r>
              <a:rPr lang="en-US" sz="1800" b="1" i="0" baseline="-25000">
                <a:effectLst/>
              </a:rPr>
              <a:t>INMAX</a:t>
            </a:r>
            <a:r>
              <a:rPr lang="en-US" sz="1800" b="1" i="0" baseline="0">
                <a:effectLst/>
              </a:rPr>
              <a:t>)</a:t>
            </a:r>
            <a:r>
              <a:rPr lang="en-US" baseline="0"/>
              <a:t> </a:t>
            </a:r>
            <a:r>
              <a:rPr lang="en-US" sz="1200" baseline="0"/>
              <a:t>                                              </a:t>
            </a:r>
            <a:endParaRPr lang="en-US" sz="1200" baseline="-25000"/>
          </a:p>
        </c:rich>
      </c:tx>
      <c:layout>
        <c:manualLayout>
          <c:xMode val="edge"/>
          <c:yMode val="edge"/>
          <c:x val="0.21925951733909371"/>
          <c:y val="3.8826293122199511E-3"/>
        </c:manualLayout>
      </c:layout>
      <c:overlay val="1"/>
      <c:spPr>
        <a:solidFill>
          <a:schemeClr val="bg1"/>
        </a:solidFill>
      </c:spPr>
    </c:title>
    <c:plotArea>
      <c:layout>
        <c:manualLayout>
          <c:layoutTarget val="inner"/>
          <c:xMode val="edge"/>
          <c:yMode val="edge"/>
          <c:x val="0.15203109554174499"/>
          <c:y val="0.16372043618857041"/>
          <c:w val="0.76865751103613733"/>
          <c:h val="0.67629667848284802"/>
        </c:manualLayout>
      </c:layout>
      <c:scatterChart>
        <c:scatterStyle val="smoothMarker"/>
        <c:ser>
          <c:idx val="0"/>
          <c:order val="0"/>
          <c:tx>
            <c:strRef>
              <c:f>Start_up!$C$7</c:f>
              <c:strCache>
                <c:ptCount val="1"/>
                <c:pt idx="0">
                  <c:v>ILOAD</c:v>
                </c:pt>
              </c:strCache>
            </c:strRef>
          </c:tx>
          <c:marker>
            <c:symbol val="none"/>
          </c:marker>
          <c:xVal>
            <c:numRef>
              <c:f>Start_up!$B$8:$B$109</c:f>
              <c:numCache>
                <c:formatCode>0.00</c:formatCode>
                <c:ptCount val="102"/>
                <c:pt idx="0">
                  <c:v>0</c:v>
                </c:pt>
                <c:pt idx="1">
                  <c:v>0.16153846153846155</c:v>
                </c:pt>
                <c:pt idx="2">
                  <c:v>0.32307692307692309</c:v>
                </c:pt>
                <c:pt idx="3">
                  <c:v>0.48461538461538467</c:v>
                </c:pt>
                <c:pt idx="4">
                  <c:v>0.64615384615384619</c:v>
                </c:pt>
                <c:pt idx="5">
                  <c:v>0.80769230769230782</c:v>
                </c:pt>
                <c:pt idx="6">
                  <c:v>0.96923076923076934</c:v>
                </c:pt>
                <c:pt idx="7">
                  <c:v>1.1307692307692307</c:v>
                </c:pt>
                <c:pt idx="8">
                  <c:v>1.2923076923076924</c:v>
                </c:pt>
                <c:pt idx="9">
                  <c:v>1.4538461538461538</c:v>
                </c:pt>
                <c:pt idx="10">
                  <c:v>1.6153846153846156</c:v>
                </c:pt>
                <c:pt idx="11">
                  <c:v>1.776923076923077</c:v>
                </c:pt>
                <c:pt idx="12">
                  <c:v>1.9384615384615387</c:v>
                </c:pt>
                <c:pt idx="13">
                  <c:v>2.1</c:v>
                </c:pt>
                <c:pt idx="14">
                  <c:v>2.2615384615384615</c:v>
                </c:pt>
                <c:pt idx="15">
                  <c:v>2.4230769230769229</c:v>
                </c:pt>
                <c:pt idx="16">
                  <c:v>2.5846153846153848</c:v>
                </c:pt>
                <c:pt idx="17">
                  <c:v>2.7461538461538462</c:v>
                </c:pt>
                <c:pt idx="18">
                  <c:v>2.9076923076923076</c:v>
                </c:pt>
                <c:pt idx="19">
                  <c:v>3.069230769230769</c:v>
                </c:pt>
                <c:pt idx="20">
                  <c:v>3.2307692307692313</c:v>
                </c:pt>
                <c:pt idx="21">
                  <c:v>3.3923076923076927</c:v>
                </c:pt>
                <c:pt idx="22">
                  <c:v>3.5538461538461541</c:v>
                </c:pt>
                <c:pt idx="23">
                  <c:v>3.7153846153846155</c:v>
                </c:pt>
                <c:pt idx="24">
                  <c:v>3.8769230769230774</c:v>
                </c:pt>
                <c:pt idx="25">
                  <c:v>4.0384615384615383</c:v>
                </c:pt>
                <c:pt idx="26">
                  <c:v>4.2</c:v>
                </c:pt>
                <c:pt idx="27">
                  <c:v>4.361538461538462</c:v>
                </c:pt>
                <c:pt idx="28">
                  <c:v>4.523076923076923</c:v>
                </c:pt>
                <c:pt idx="29">
                  <c:v>4.6846153846153848</c:v>
                </c:pt>
                <c:pt idx="30">
                  <c:v>4.8461538461538458</c:v>
                </c:pt>
                <c:pt idx="31">
                  <c:v>5.0076923076923077</c:v>
                </c:pt>
                <c:pt idx="32">
                  <c:v>5.1692307692307695</c:v>
                </c:pt>
                <c:pt idx="33">
                  <c:v>5.3307692307692305</c:v>
                </c:pt>
                <c:pt idx="34">
                  <c:v>5.4923076923076923</c:v>
                </c:pt>
                <c:pt idx="35">
                  <c:v>5.6538461538461542</c:v>
                </c:pt>
                <c:pt idx="36">
                  <c:v>5.8153846153846152</c:v>
                </c:pt>
                <c:pt idx="37">
                  <c:v>5.976923076923077</c:v>
                </c:pt>
                <c:pt idx="38">
                  <c:v>6.138461538461538</c:v>
                </c:pt>
                <c:pt idx="39">
                  <c:v>6.3000000000000007</c:v>
                </c:pt>
                <c:pt idx="40">
                  <c:v>6.4615384615384626</c:v>
                </c:pt>
                <c:pt idx="41">
                  <c:v>6.6230769230769235</c:v>
                </c:pt>
                <c:pt idx="42">
                  <c:v>6.7846153846153854</c:v>
                </c:pt>
                <c:pt idx="43">
                  <c:v>6.9461538461538463</c:v>
                </c:pt>
                <c:pt idx="44">
                  <c:v>7.1076923076923082</c:v>
                </c:pt>
                <c:pt idx="45">
                  <c:v>7.2692307692307701</c:v>
                </c:pt>
                <c:pt idx="46">
                  <c:v>7.430769230769231</c:v>
                </c:pt>
                <c:pt idx="47">
                  <c:v>7.5923076923076929</c:v>
                </c:pt>
                <c:pt idx="48">
                  <c:v>7.7538461538461547</c:v>
                </c:pt>
                <c:pt idx="49">
                  <c:v>7.9153846153846157</c:v>
                </c:pt>
                <c:pt idx="50">
                  <c:v>8.0769230769230766</c:v>
                </c:pt>
                <c:pt idx="51">
                  <c:v>8.2384615384615376</c:v>
                </c:pt>
                <c:pt idx="52">
                  <c:v>8.4</c:v>
                </c:pt>
                <c:pt idx="53">
                  <c:v>8.5615384615384613</c:v>
                </c:pt>
                <c:pt idx="54">
                  <c:v>8.7230769230769241</c:v>
                </c:pt>
                <c:pt idx="55">
                  <c:v>8.884615384615385</c:v>
                </c:pt>
                <c:pt idx="56">
                  <c:v>9.046153846153846</c:v>
                </c:pt>
                <c:pt idx="57">
                  <c:v>9.2076923076923087</c:v>
                </c:pt>
                <c:pt idx="58">
                  <c:v>9.3692307692307697</c:v>
                </c:pt>
                <c:pt idx="59">
                  <c:v>9.5307692307692307</c:v>
                </c:pt>
                <c:pt idx="60">
                  <c:v>9.6923076923076916</c:v>
                </c:pt>
                <c:pt idx="61">
                  <c:v>9.8538461538461544</c:v>
                </c:pt>
                <c:pt idx="62">
                  <c:v>10.015384615384615</c:v>
                </c:pt>
                <c:pt idx="63">
                  <c:v>10.176923076923076</c:v>
                </c:pt>
                <c:pt idx="64">
                  <c:v>10.338461538461539</c:v>
                </c:pt>
                <c:pt idx="65">
                  <c:v>10.5</c:v>
                </c:pt>
                <c:pt idx="66">
                  <c:v>10.661538461538461</c:v>
                </c:pt>
                <c:pt idx="67">
                  <c:v>10.823076923076924</c:v>
                </c:pt>
                <c:pt idx="68">
                  <c:v>10.984615384615385</c:v>
                </c:pt>
                <c:pt idx="69">
                  <c:v>11.146153846153846</c:v>
                </c:pt>
                <c:pt idx="70">
                  <c:v>11.307692307692308</c:v>
                </c:pt>
                <c:pt idx="71">
                  <c:v>11.469230769230769</c:v>
                </c:pt>
                <c:pt idx="72">
                  <c:v>11.63076923076923</c:v>
                </c:pt>
                <c:pt idx="73">
                  <c:v>11.792307692307691</c:v>
                </c:pt>
                <c:pt idx="74">
                  <c:v>11.953846153846154</c:v>
                </c:pt>
                <c:pt idx="75">
                  <c:v>12.115384615384615</c:v>
                </c:pt>
                <c:pt idx="76">
                  <c:v>12.276923076923076</c:v>
                </c:pt>
                <c:pt idx="77">
                  <c:v>12.438461538461539</c:v>
                </c:pt>
                <c:pt idx="78">
                  <c:v>12.600000000000001</c:v>
                </c:pt>
                <c:pt idx="79">
                  <c:v>12.761538461538462</c:v>
                </c:pt>
                <c:pt idx="80">
                  <c:v>12.923076923076925</c:v>
                </c:pt>
                <c:pt idx="81">
                  <c:v>13.084615384615386</c:v>
                </c:pt>
                <c:pt idx="82">
                  <c:v>13.246153846153847</c:v>
                </c:pt>
                <c:pt idx="83">
                  <c:v>13.40769230769231</c:v>
                </c:pt>
                <c:pt idx="84">
                  <c:v>13.569230769230771</c:v>
                </c:pt>
                <c:pt idx="85">
                  <c:v>13.730769230769232</c:v>
                </c:pt>
                <c:pt idx="86">
                  <c:v>13.892307692307693</c:v>
                </c:pt>
                <c:pt idx="87">
                  <c:v>14.053846153846155</c:v>
                </c:pt>
                <c:pt idx="88">
                  <c:v>14.215384615384616</c:v>
                </c:pt>
                <c:pt idx="89">
                  <c:v>14.376923076923077</c:v>
                </c:pt>
                <c:pt idx="90">
                  <c:v>14.53846153846154</c:v>
                </c:pt>
                <c:pt idx="91">
                  <c:v>14.700000000000001</c:v>
                </c:pt>
                <c:pt idx="92">
                  <c:v>14.861538461538462</c:v>
                </c:pt>
                <c:pt idx="93">
                  <c:v>15.023076923076925</c:v>
                </c:pt>
                <c:pt idx="94">
                  <c:v>15.184615384615386</c:v>
                </c:pt>
                <c:pt idx="95">
                  <c:v>15.346153846153847</c:v>
                </c:pt>
                <c:pt idx="96">
                  <c:v>15.507692307692309</c:v>
                </c:pt>
                <c:pt idx="97">
                  <c:v>15.66923076923077</c:v>
                </c:pt>
                <c:pt idx="98">
                  <c:v>15.830769230769231</c:v>
                </c:pt>
                <c:pt idx="99">
                  <c:v>15.992307692307692</c:v>
                </c:pt>
                <c:pt idx="100">
                  <c:v>16.153846153846153</c:v>
                </c:pt>
                <c:pt idx="101">
                  <c:v>16.315384615384616</c:v>
                </c:pt>
              </c:numCache>
            </c:numRef>
          </c:xVal>
          <c:yVal>
            <c:numRef>
              <c:f>Start_up!$C$8:$C$109</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numCache>
            </c:numRef>
          </c:yVal>
          <c:smooth val="1"/>
        </c:ser>
        <c:ser>
          <c:idx val="1"/>
          <c:order val="1"/>
          <c:tx>
            <c:strRef>
              <c:f>Start_up!$G$7</c:f>
              <c:strCache>
                <c:ptCount val="1"/>
                <c:pt idx="0">
                  <c:v>IFET</c:v>
                </c:pt>
              </c:strCache>
            </c:strRef>
          </c:tx>
          <c:marker>
            <c:symbol val="none"/>
          </c:marker>
          <c:xVal>
            <c:numRef>
              <c:f>Start_up!$B$8:$B$109</c:f>
              <c:numCache>
                <c:formatCode>0.00</c:formatCode>
                <c:ptCount val="102"/>
                <c:pt idx="0">
                  <c:v>0</c:v>
                </c:pt>
                <c:pt idx="1">
                  <c:v>0.16153846153846155</c:v>
                </c:pt>
                <c:pt idx="2">
                  <c:v>0.32307692307692309</c:v>
                </c:pt>
                <c:pt idx="3">
                  <c:v>0.48461538461538467</c:v>
                </c:pt>
                <c:pt idx="4">
                  <c:v>0.64615384615384619</c:v>
                </c:pt>
                <c:pt idx="5">
                  <c:v>0.80769230769230782</c:v>
                </c:pt>
                <c:pt idx="6">
                  <c:v>0.96923076923076934</c:v>
                </c:pt>
                <c:pt idx="7">
                  <c:v>1.1307692307692307</c:v>
                </c:pt>
                <c:pt idx="8">
                  <c:v>1.2923076923076924</c:v>
                </c:pt>
                <c:pt idx="9">
                  <c:v>1.4538461538461538</c:v>
                </c:pt>
                <c:pt idx="10">
                  <c:v>1.6153846153846156</c:v>
                </c:pt>
                <c:pt idx="11">
                  <c:v>1.776923076923077</c:v>
                </c:pt>
                <c:pt idx="12">
                  <c:v>1.9384615384615387</c:v>
                </c:pt>
                <c:pt idx="13">
                  <c:v>2.1</c:v>
                </c:pt>
                <c:pt idx="14">
                  <c:v>2.2615384615384615</c:v>
                </c:pt>
                <c:pt idx="15">
                  <c:v>2.4230769230769229</c:v>
                </c:pt>
                <c:pt idx="16">
                  <c:v>2.5846153846153848</c:v>
                </c:pt>
                <c:pt idx="17">
                  <c:v>2.7461538461538462</c:v>
                </c:pt>
                <c:pt idx="18">
                  <c:v>2.9076923076923076</c:v>
                </c:pt>
                <c:pt idx="19">
                  <c:v>3.069230769230769</c:v>
                </c:pt>
                <c:pt idx="20">
                  <c:v>3.2307692307692313</c:v>
                </c:pt>
                <c:pt idx="21">
                  <c:v>3.3923076923076927</c:v>
                </c:pt>
                <c:pt idx="22">
                  <c:v>3.5538461538461541</c:v>
                </c:pt>
                <c:pt idx="23">
                  <c:v>3.7153846153846155</c:v>
                </c:pt>
                <c:pt idx="24">
                  <c:v>3.8769230769230774</c:v>
                </c:pt>
                <c:pt idx="25">
                  <c:v>4.0384615384615383</c:v>
                </c:pt>
                <c:pt idx="26">
                  <c:v>4.2</c:v>
                </c:pt>
                <c:pt idx="27">
                  <c:v>4.361538461538462</c:v>
                </c:pt>
                <c:pt idx="28">
                  <c:v>4.523076923076923</c:v>
                </c:pt>
                <c:pt idx="29">
                  <c:v>4.6846153846153848</c:v>
                </c:pt>
                <c:pt idx="30">
                  <c:v>4.8461538461538458</c:v>
                </c:pt>
                <c:pt idx="31">
                  <c:v>5.0076923076923077</c:v>
                </c:pt>
                <c:pt idx="32">
                  <c:v>5.1692307692307695</c:v>
                </c:pt>
                <c:pt idx="33">
                  <c:v>5.3307692307692305</c:v>
                </c:pt>
                <c:pt idx="34">
                  <c:v>5.4923076923076923</c:v>
                </c:pt>
                <c:pt idx="35">
                  <c:v>5.6538461538461542</c:v>
                </c:pt>
                <c:pt idx="36">
                  <c:v>5.8153846153846152</c:v>
                </c:pt>
                <c:pt idx="37">
                  <c:v>5.976923076923077</c:v>
                </c:pt>
                <c:pt idx="38">
                  <c:v>6.138461538461538</c:v>
                </c:pt>
                <c:pt idx="39">
                  <c:v>6.3000000000000007</c:v>
                </c:pt>
                <c:pt idx="40">
                  <c:v>6.4615384615384626</c:v>
                </c:pt>
                <c:pt idx="41">
                  <c:v>6.6230769230769235</c:v>
                </c:pt>
                <c:pt idx="42">
                  <c:v>6.7846153846153854</c:v>
                </c:pt>
                <c:pt idx="43">
                  <c:v>6.9461538461538463</c:v>
                </c:pt>
                <c:pt idx="44">
                  <c:v>7.1076923076923082</c:v>
                </c:pt>
                <c:pt idx="45">
                  <c:v>7.2692307692307701</c:v>
                </c:pt>
                <c:pt idx="46">
                  <c:v>7.430769230769231</c:v>
                </c:pt>
                <c:pt idx="47">
                  <c:v>7.5923076923076929</c:v>
                </c:pt>
                <c:pt idx="48">
                  <c:v>7.7538461538461547</c:v>
                </c:pt>
                <c:pt idx="49">
                  <c:v>7.9153846153846157</c:v>
                </c:pt>
                <c:pt idx="50">
                  <c:v>8.0769230769230766</c:v>
                </c:pt>
                <c:pt idx="51">
                  <c:v>8.2384615384615376</c:v>
                </c:pt>
                <c:pt idx="52">
                  <c:v>8.4</c:v>
                </c:pt>
                <c:pt idx="53">
                  <c:v>8.5615384615384613</c:v>
                </c:pt>
                <c:pt idx="54">
                  <c:v>8.7230769230769241</c:v>
                </c:pt>
                <c:pt idx="55">
                  <c:v>8.884615384615385</c:v>
                </c:pt>
                <c:pt idx="56">
                  <c:v>9.046153846153846</c:v>
                </c:pt>
                <c:pt idx="57">
                  <c:v>9.2076923076923087</c:v>
                </c:pt>
                <c:pt idx="58">
                  <c:v>9.3692307692307697</c:v>
                </c:pt>
                <c:pt idx="59">
                  <c:v>9.5307692307692307</c:v>
                </c:pt>
                <c:pt idx="60">
                  <c:v>9.6923076923076916</c:v>
                </c:pt>
                <c:pt idx="61">
                  <c:v>9.8538461538461544</c:v>
                </c:pt>
                <c:pt idx="62">
                  <c:v>10.015384615384615</c:v>
                </c:pt>
                <c:pt idx="63">
                  <c:v>10.176923076923076</c:v>
                </c:pt>
                <c:pt idx="64">
                  <c:v>10.338461538461539</c:v>
                </c:pt>
                <c:pt idx="65">
                  <c:v>10.5</c:v>
                </c:pt>
                <c:pt idx="66">
                  <c:v>10.661538461538461</c:v>
                </c:pt>
                <c:pt idx="67">
                  <c:v>10.823076923076924</c:v>
                </c:pt>
                <c:pt idx="68">
                  <c:v>10.984615384615385</c:v>
                </c:pt>
                <c:pt idx="69">
                  <c:v>11.146153846153846</c:v>
                </c:pt>
                <c:pt idx="70">
                  <c:v>11.307692307692308</c:v>
                </c:pt>
                <c:pt idx="71">
                  <c:v>11.469230769230769</c:v>
                </c:pt>
                <c:pt idx="72">
                  <c:v>11.63076923076923</c:v>
                </c:pt>
                <c:pt idx="73">
                  <c:v>11.792307692307691</c:v>
                </c:pt>
                <c:pt idx="74">
                  <c:v>11.953846153846154</c:v>
                </c:pt>
                <c:pt idx="75">
                  <c:v>12.115384615384615</c:v>
                </c:pt>
                <c:pt idx="76">
                  <c:v>12.276923076923076</c:v>
                </c:pt>
                <c:pt idx="77">
                  <c:v>12.438461538461539</c:v>
                </c:pt>
                <c:pt idx="78">
                  <c:v>12.600000000000001</c:v>
                </c:pt>
                <c:pt idx="79">
                  <c:v>12.761538461538462</c:v>
                </c:pt>
                <c:pt idx="80">
                  <c:v>12.923076923076925</c:v>
                </c:pt>
                <c:pt idx="81">
                  <c:v>13.084615384615386</c:v>
                </c:pt>
                <c:pt idx="82">
                  <c:v>13.246153846153847</c:v>
                </c:pt>
                <c:pt idx="83">
                  <c:v>13.40769230769231</c:v>
                </c:pt>
                <c:pt idx="84">
                  <c:v>13.569230769230771</c:v>
                </c:pt>
                <c:pt idx="85">
                  <c:v>13.730769230769232</c:v>
                </c:pt>
                <c:pt idx="86">
                  <c:v>13.892307692307693</c:v>
                </c:pt>
                <c:pt idx="87">
                  <c:v>14.053846153846155</c:v>
                </c:pt>
                <c:pt idx="88">
                  <c:v>14.215384615384616</c:v>
                </c:pt>
                <c:pt idx="89">
                  <c:v>14.376923076923077</c:v>
                </c:pt>
                <c:pt idx="90">
                  <c:v>14.53846153846154</c:v>
                </c:pt>
                <c:pt idx="91">
                  <c:v>14.700000000000001</c:v>
                </c:pt>
                <c:pt idx="92">
                  <c:v>14.861538461538462</c:v>
                </c:pt>
                <c:pt idx="93">
                  <c:v>15.023076923076925</c:v>
                </c:pt>
                <c:pt idx="94">
                  <c:v>15.184615384615386</c:v>
                </c:pt>
                <c:pt idx="95">
                  <c:v>15.346153846153847</c:v>
                </c:pt>
                <c:pt idx="96">
                  <c:v>15.507692307692309</c:v>
                </c:pt>
                <c:pt idx="97">
                  <c:v>15.66923076923077</c:v>
                </c:pt>
                <c:pt idx="98">
                  <c:v>15.830769230769231</c:v>
                </c:pt>
                <c:pt idx="99">
                  <c:v>15.992307692307692</c:v>
                </c:pt>
                <c:pt idx="100">
                  <c:v>16.153846153846153</c:v>
                </c:pt>
                <c:pt idx="101">
                  <c:v>16.315384615384616</c:v>
                </c:pt>
              </c:numCache>
            </c:numRef>
          </c:xVal>
          <c:yVal>
            <c:numRef>
              <c:f>Start_up!$G$8:$G$110</c:f>
              <c:numCache>
                <c:formatCode>General</c:formatCode>
                <c:ptCount val="103"/>
                <c:pt idx="0">
                  <c:v>18.371546149323926</c:v>
                </c:pt>
                <c:pt idx="1">
                  <c:v>18.54991067504552</c:v>
                </c:pt>
                <c:pt idx="2">
                  <c:v>18.73177254440871</c:v>
                </c:pt>
                <c:pt idx="3">
                  <c:v>18.917235638907805</c:v>
                </c:pt>
                <c:pt idx="4">
                  <c:v>19.106407995296884</c:v>
                </c:pt>
                <c:pt idx="5">
                  <c:v>19.299402015451399</c:v>
                </c:pt>
                <c:pt idx="6">
                  <c:v>19.496334689078452</c:v>
                </c:pt>
                <c:pt idx="7">
                  <c:v>19.697327830202973</c:v>
                </c:pt>
                <c:pt idx="8">
                  <c:v>19.902508328434255</c:v>
                </c:pt>
                <c:pt idx="9">
                  <c:v>20.112008416101983</c:v>
                </c:pt>
                <c:pt idx="10">
                  <c:v>20.325965952443493</c:v>
                </c:pt>
                <c:pt idx="11">
                  <c:v>20.544524726125683</c:v>
                </c:pt>
                <c:pt idx="12">
                  <c:v>20.767834777496613</c:v>
                </c:pt>
                <c:pt idx="13">
                  <c:v>20.996052742084487</c:v>
                </c:pt>
                <c:pt idx="14">
                  <c:v>21.229342216996535</c:v>
                </c:pt>
                <c:pt idx="15">
                  <c:v>21.467874152018972</c:v>
                </c:pt>
                <c:pt idx="16">
                  <c:v>21.711827267382823</c:v>
                </c:pt>
                <c:pt idx="17">
                  <c:v>21.961388500341243</c:v>
                </c:pt>
                <c:pt idx="18">
                  <c:v>22.216753482903354</c:v>
                </c:pt>
                <c:pt idx="19">
                  <c:v>22.47812705329045</c:v>
                </c:pt>
                <c:pt idx="20">
                  <c:v>22.745723803924861</c:v>
                </c:pt>
                <c:pt idx="21">
                  <c:v>23.019768669032391</c:v>
                </c:pt>
                <c:pt idx="22">
                  <c:v>23.300497555240103</c:v>
                </c:pt>
                <c:pt idx="23">
                  <c:v>23.588158018885039</c:v>
                </c:pt>
                <c:pt idx="24">
                  <c:v>23.883009994121103</c:v>
                </c:pt>
                <c:pt idx="25">
                  <c:v>24.185326576325167</c:v>
                </c:pt>
                <c:pt idx="26">
                  <c:v>24.495394865765235</c:v>
                </c:pt>
                <c:pt idx="27">
                  <c:v>24.81351687700894</c:v>
                </c:pt>
                <c:pt idx="28">
                  <c:v>25.140010520127479</c:v>
                </c:pt>
                <c:pt idx="29">
                  <c:v>25.475210660395842</c:v>
                </c:pt>
                <c:pt idx="30">
                  <c:v>25.81947026391471</c:v>
                </c:pt>
                <c:pt idx="31">
                  <c:v>26.17316163739299</c:v>
                </c:pt>
                <c:pt idx="32">
                  <c:v>26.536677771245671</c:v>
                </c:pt>
                <c:pt idx="33">
                  <c:v>26.910433796192795</c:v>
                </c:pt>
                <c:pt idx="34">
                  <c:v>27.294868564709834</c:v>
                </c:pt>
                <c:pt idx="35">
                  <c:v>27.690446369995481</c:v>
                </c:pt>
                <c:pt idx="36">
                  <c:v>28.097658816613066</c:v>
                </c:pt>
                <c:pt idx="37">
                  <c:v>28.517026858652063</c:v>
                </c:pt>
                <c:pt idx="38">
                  <c:v>28.949103023177095</c:v>
                </c:pt>
                <c:pt idx="39">
                  <c:v>29.394473838918284</c:v>
                </c:pt>
                <c:pt idx="40">
                  <c:v>29.853762492651384</c:v>
                </c:pt>
                <c:pt idx="41">
                  <c:v>30.327631738566481</c:v>
                </c:pt>
                <c:pt idx="42">
                  <c:v>30.816787089188523</c:v>
                </c:pt>
                <c:pt idx="43">
                  <c:v>31.321980320158826</c:v>
                </c:pt>
                <c:pt idx="44">
                  <c:v>31.844013325494803</c:v>
                </c:pt>
                <c:pt idx="45">
                  <c:v>32.38374236490997</c:v>
                </c:pt>
                <c:pt idx="46">
                  <c:v>32.942082750511865</c:v>
                </c:pt>
                <c:pt idx="47">
                  <c:v>33.520014026836634</c:v>
                </c:pt>
                <c:pt idx="48">
                  <c:v>34.118585705887291</c:v>
                </c:pt>
                <c:pt idx="49">
                  <c:v>34.738923627812518</c:v>
                </c:pt>
                <c:pt idx="50">
                  <c:v>35.382237028327559</c:v>
                </c:pt>
                <c:pt idx="51">
                  <c:v>36.049826406220532</c:v>
                </c:pt>
                <c:pt idx="52">
                  <c:v>36.743092298647852</c:v>
                </c:pt>
                <c:pt idx="53">
                  <c:v>37.463545088817419</c:v>
                </c:pt>
                <c:pt idx="54">
                  <c:v>38.212815990593768</c:v>
                </c:pt>
                <c:pt idx="55">
                  <c:v>38.992669378156904</c:v>
                </c:pt>
                <c:pt idx="56">
                  <c:v>39.805016656868503</c:v>
                </c:pt>
                <c:pt idx="57">
                  <c:v>40.651931904886986</c:v>
                </c:pt>
                <c:pt idx="58">
                  <c:v>41.535669554993227</c:v>
                </c:pt>
                <c:pt idx="59">
                  <c:v>42.458684433993071</c:v>
                </c:pt>
                <c:pt idx="60">
                  <c:v>43.423654534765639</c:v>
                </c:pt>
                <c:pt idx="61">
                  <c:v>44.433506965806707</c:v>
                </c:pt>
                <c:pt idx="62">
                  <c:v>45.491447607849722</c:v>
                </c:pt>
                <c:pt idx="63">
                  <c:v>46.600995110480198</c:v>
                </c:pt>
                <c:pt idx="64">
                  <c:v>47.766019988242206</c:v>
                </c:pt>
                <c:pt idx="65">
                  <c:v>48.990789731530469</c:v>
                </c:pt>
                <c:pt idx="66">
                  <c:v>50.280021040254951</c:v>
                </c:pt>
                <c:pt idx="67">
                  <c:v>51.638940527829419</c:v>
                </c:pt>
                <c:pt idx="68">
                  <c:v>53.073355542491342</c:v>
                </c:pt>
                <c:pt idx="69">
                  <c:v>54.58973712941966</c:v>
                </c:pt>
                <c:pt idx="70">
                  <c:v>56.195317633226132</c:v>
                </c:pt>
                <c:pt idx="71">
                  <c:v>57.89820604635419</c:v>
                </c:pt>
                <c:pt idx="72">
                  <c:v>59.707524985302747</c:v>
                </c:pt>
                <c:pt idx="73">
                  <c:v>61.633574178377025</c:v>
                </c:pt>
                <c:pt idx="74">
                  <c:v>63.688026650989606</c:v>
                </c:pt>
                <c:pt idx="75">
                  <c:v>65.884165501023716</c:v>
                </c:pt>
                <c:pt idx="76">
                  <c:v>68.237171411774554</c:v>
                </c:pt>
                <c:pt idx="77">
                  <c:v>70.764474056655118</c:v>
                </c:pt>
                <c:pt idx="78">
                  <c:v>73.486184597295718</c:v>
                </c:pt>
                <c:pt idx="79">
                  <c:v>76.425631981187536</c:v>
                </c:pt>
                <c:pt idx="80">
                  <c:v>79.610033313737048</c:v>
                </c:pt>
                <c:pt idx="81">
                  <c:v>80</c:v>
                </c:pt>
                <c:pt idx="82">
                  <c:v>80</c:v>
                </c:pt>
                <c:pt idx="83">
                  <c:v>80</c:v>
                </c:pt>
                <c:pt idx="84">
                  <c:v>80</c:v>
                </c:pt>
                <c:pt idx="85">
                  <c:v>80</c:v>
                </c:pt>
                <c:pt idx="86">
                  <c:v>80</c:v>
                </c:pt>
                <c:pt idx="87">
                  <c:v>80</c:v>
                </c:pt>
                <c:pt idx="88">
                  <c:v>80</c:v>
                </c:pt>
                <c:pt idx="89">
                  <c:v>80</c:v>
                </c:pt>
                <c:pt idx="90">
                  <c:v>80</c:v>
                </c:pt>
                <c:pt idx="91">
                  <c:v>80</c:v>
                </c:pt>
                <c:pt idx="92">
                  <c:v>80</c:v>
                </c:pt>
                <c:pt idx="93">
                  <c:v>80</c:v>
                </c:pt>
                <c:pt idx="94">
                  <c:v>80</c:v>
                </c:pt>
                <c:pt idx="95">
                  <c:v>80</c:v>
                </c:pt>
                <c:pt idx="96">
                  <c:v>80</c:v>
                </c:pt>
                <c:pt idx="97">
                  <c:v>80</c:v>
                </c:pt>
                <c:pt idx="98">
                  <c:v>80</c:v>
                </c:pt>
                <c:pt idx="99">
                  <c:v>80</c:v>
                </c:pt>
                <c:pt idx="100">
                  <c:v>80</c:v>
                </c:pt>
                <c:pt idx="101">
                  <c:v>80</c:v>
                </c:pt>
                <c:pt idx="102">
                  <c:v>80</c:v>
                </c:pt>
              </c:numCache>
            </c:numRef>
          </c:yVal>
          <c:smooth val="1"/>
        </c:ser>
        <c:axId val="76944896"/>
        <c:axId val="76946816"/>
      </c:scatterChart>
      <c:valAx>
        <c:axId val="76944896"/>
        <c:scaling>
          <c:orientation val="minMax"/>
        </c:scaling>
        <c:axPos val="b"/>
        <c:title>
          <c:tx>
            <c:rich>
              <a:bodyPr/>
              <a:lstStyle/>
              <a:p>
                <a:pPr>
                  <a:defRPr lang="en-US"/>
                </a:pPr>
                <a:r>
                  <a:rPr lang="en-US"/>
                  <a:t>Output</a:t>
                </a:r>
                <a:r>
                  <a:rPr lang="en-US" baseline="0"/>
                  <a:t> Voltage (V)</a:t>
                </a:r>
                <a:endParaRPr lang="en-US"/>
              </a:p>
            </c:rich>
          </c:tx>
          <c:layout/>
        </c:title>
        <c:numFmt formatCode="0.00" sourceLinked="1"/>
        <c:tickLblPos val="nextTo"/>
        <c:txPr>
          <a:bodyPr/>
          <a:lstStyle/>
          <a:p>
            <a:pPr>
              <a:defRPr lang="en-US"/>
            </a:pPr>
            <a:endParaRPr lang="ru-RU"/>
          </a:p>
        </c:txPr>
        <c:crossAx val="76946816"/>
        <c:crosses val="autoZero"/>
        <c:crossBetween val="midCat"/>
      </c:valAx>
      <c:valAx>
        <c:axId val="76946816"/>
        <c:scaling>
          <c:orientation val="minMax"/>
          <c:min val="0"/>
        </c:scaling>
        <c:axPos val="l"/>
        <c:majorGridlines/>
        <c:title>
          <c:tx>
            <c:rich>
              <a:bodyPr rot="-5400000" vert="horz"/>
              <a:lstStyle/>
              <a:p>
                <a:pPr>
                  <a:defRPr lang="en-US"/>
                </a:pPr>
                <a:r>
                  <a:rPr lang="en-US"/>
                  <a:t>Current (A)</a:t>
                </a:r>
              </a:p>
            </c:rich>
          </c:tx>
          <c:layout>
            <c:manualLayout>
              <c:xMode val="edge"/>
              <c:yMode val="edge"/>
              <c:x val="1.4321650059229323E-2"/>
              <c:y val="0.40230014852794582"/>
            </c:manualLayout>
          </c:layout>
        </c:title>
        <c:numFmt formatCode="0.0" sourceLinked="0"/>
        <c:tickLblPos val="nextTo"/>
        <c:txPr>
          <a:bodyPr/>
          <a:lstStyle/>
          <a:p>
            <a:pPr>
              <a:defRPr lang="en-US"/>
            </a:pPr>
            <a:endParaRPr lang="ru-RU"/>
          </a:p>
        </c:txPr>
        <c:crossAx val="76944896"/>
        <c:crosses val="autoZero"/>
        <c:crossBetween val="midCat"/>
      </c:valAx>
    </c:plotArea>
    <c:legend>
      <c:legendPos val="r"/>
      <c:layout>
        <c:manualLayout>
          <c:xMode val="edge"/>
          <c:yMode val="edge"/>
          <c:x val="0.19152567906997928"/>
          <c:y val="0.22066945910601443"/>
          <c:w val="0.21462230092985587"/>
          <c:h val="0.18516649249275974"/>
        </c:manualLayout>
      </c:layout>
      <c:spPr>
        <a:solidFill>
          <a:sysClr val="window" lastClr="FFFFFF"/>
        </a:solidFill>
        <a:ln>
          <a:solidFill>
            <a:schemeClr val="tx1"/>
          </a:solidFill>
        </a:ln>
      </c:spPr>
      <c:txPr>
        <a:bodyPr/>
        <a:lstStyle/>
        <a:p>
          <a:pPr>
            <a:defRPr lang="en-US">
              <a:ln>
                <a:solidFill>
                  <a:sysClr val="windowText" lastClr="000000"/>
                </a:solidFill>
              </a:ln>
            </a:defRPr>
          </a:pPr>
          <a:endParaRPr lang="ru-RU"/>
        </a:p>
      </c:txP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ru-RU"/>
  <c:chart>
    <c:title>
      <c:tx>
        <c:rich>
          <a:bodyPr/>
          <a:lstStyle/>
          <a:p>
            <a:pPr>
              <a:defRPr lang="en-US"/>
            </a:pPr>
            <a:r>
              <a:rPr lang="en-US"/>
              <a:t>Load and FET</a:t>
            </a:r>
            <a:r>
              <a:rPr lang="en-US" baseline="0"/>
              <a:t> current vs Vout</a:t>
            </a:r>
            <a:endParaRPr lang="en-US"/>
          </a:p>
        </c:rich>
      </c:tx>
      <c:overlay val="1"/>
    </c:title>
    <c:plotArea>
      <c:layout>
        <c:manualLayout>
          <c:layoutTarget val="inner"/>
          <c:xMode val="edge"/>
          <c:yMode val="edge"/>
          <c:x val="0.20280211116986069"/>
          <c:y val="0.1417796039772744"/>
          <c:w val="0.6996713205767614"/>
          <c:h val="0.71191183688825055"/>
        </c:manualLayout>
      </c:layout>
      <c:scatterChart>
        <c:scatterStyle val="smoothMarker"/>
        <c:ser>
          <c:idx val="0"/>
          <c:order val="0"/>
          <c:tx>
            <c:strRef>
              <c:f>Start_up!$C$7</c:f>
              <c:strCache>
                <c:ptCount val="1"/>
                <c:pt idx="0">
                  <c:v>ILOAD</c:v>
                </c:pt>
              </c:strCache>
            </c:strRef>
          </c:tx>
          <c:marker>
            <c:symbol val="none"/>
          </c:marker>
          <c:xVal>
            <c:numRef>
              <c:f>Start_up!$B$8:$B$109</c:f>
              <c:numCache>
                <c:formatCode>0.00</c:formatCode>
                <c:ptCount val="102"/>
                <c:pt idx="0">
                  <c:v>0</c:v>
                </c:pt>
                <c:pt idx="1">
                  <c:v>0.16153846153846155</c:v>
                </c:pt>
                <c:pt idx="2">
                  <c:v>0.32307692307692309</c:v>
                </c:pt>
                <c:pt idx="3">
                  <c:v>0.48461538461538467</c:v>
                </c:pt>
                <c:pt idx="4">
                  <c:v>0.64615384615384619</c:v>
                </c:pt>
                <c:pt idx="5">
                  <c:v>0.80769230769230782</c:v>
                </c:pt>
                <c:pt idx="6">
                  <c:v>0.96923076923076934</c:v>
                </c:pt>
                <c:pt idx="7">
                  <c:v>1.1307692307692307</c:v>
                </c:pt>
                <c:pt idx="8">
                  <c:v>1.2923076923076924</c:v>
                </c:pt>
                <c:pt idx="9">
                  <c:v>1.4538461538461538</c:v>
                </c:pt>
                <c:pt idx="10">
                  <c:v>1.6153846153846156</c:v>
                </c:pt>
                <c:pt idx="11">
                  <c:v>1.776923076923077</c:v>
                </c:pt>
                <c:pt idx="12">
                  <c:v>1.9384615384615387</c:v>
                </c:pt>
                <c:pt idx="13">
                  <c:v>2.1</c:v>
                </c:pt>
                <c:pt idx="14">
                  <c:v>2.2615384615384615</c:v>
                </c:pt>
                <c:pt idx="15">
                  <c:v>2.4230769230769229</c:v>
                </c:pt>
                <c:pt idx="16">
                  <c:v>2.5846153846153848</c:v>
                </c:pt>
                <c:pt idx="17">
                  <c:v>2.7461538461538462</c:v>
                </c:pt>
                <c:pt idx="18">
                  <c:v>2.9076923076923076</c:v>
                </c:pt>
                <c:pt idx="19">
                  <c:v>3.069230769230769</c:v>
                </c:pt>
                <c:pt idx="20">
                  <c:v>3.2307692307692313</c:v>
                </c:pt>
                <c:pt idx="21">
                  <c:v>3.3923076923076927</c:v>
                </c:pt>
                <c:pt idx="22">
                  <c:v>3.5538461538461541</c:v>
                </c:pt>
                <c:pt idx="23">
                  <c:v>3.7153846153846155</c:v>
                </c:pt>
                <c:pt idx="24">
                  <c:v>3.8769230769230774</c:v>
                </c:pt>
                <c:pt idx="25">
                  <c:v>4.0384615384615383</c:v>
                </c:pt>
                <c:pt idx="26">
                  <c:v>4.2</c:v>
                </c:pt>
                <c:pt idx="27">
                  <c:v>4.361538461538462</c:v>
                </c:pt>
                <c:pt idx="28">
                  <c:v>4.523076923076923</c:v>
                </c:pt>
                <c:pt idx="29">
                  <c:v>4.6846153846153848</c:v>
                </c:pt>
                <c:pt idx="30">
                  <c:v>4.8461538461538458</c:v>
                </c:pt>
                <c:pt idx="31">
                  <c:v>5.0076923076923077</c:v>
                </c:pt>
                <c:pt idx="32">
                  <c:v>5.1692307692307695</c:v>
                </c:pt>
                <c:pt idx="33">
                  <c:v>5.3307692307692305</c:v>
                </c:pt>
                <c:pt idx="34">
                  <c:v>5.4923076923076923</c:v>
                </c:pt>
                <c:pt idx="35">
                  <c:v>5.6538461538461542</c:v>
                </c:pt>
                <c:pt idx="36">
                  <c:v>5.8153846153846152</c:v>
                </c:pt>
                <c:pt idx="37">
                  <c:v>5.976923076923077</c:v>
                </c:pt>
                <c:pt idx="38">
                  <c:v>6.138461538461538</c:v>
                </c:pt>
                <c:pt idx="39">
                  <c:v>6.3000000000000007</c:v>
                </c:pt>
                <c:pt idx="40">
                  <c:v>6.4615384615384626</c:v>
                </c:pt>
                <c:pt idx="41">
                  <c:v>6.6230769230769235</c:v>
                </c:pt>
                <c:pt idx="42">
                  <c:v>6.7846153846153854</c:v>
                </c:pt>
                <c:pt idx="43">
                  <c:v>6.9461538461538463</c:v>
                </c:pt>
                <c:pt idx="44">
                  <c:v>7.1076923076923082</c:v>
                </c:pt>
                <c:pt idx="45">
                  <c:v>7.2692307692307701</c:v>
                </c:pt>
                <c:pt idx="46">
                  <c:v>7.430769230769231</c:v>
                </c:pt>
                <c:pt idx="47">
                  <c:v>7.5923076923076929</c:v>
                </c:pt>
                <c:pt idx="48">
                  <c:v>7.7538461538461547</c:v>
                </c:pt>
                <c:pt idx="49">
                  <c:v>7.9153846153846157</c:v>
                </c:pt>
                <c:pt idx="50">
                  <c:v>8.0769230769230766</c:v>
                </c:pt>
                <c:pt idx="51">
                  <c:v>8.2384615384615376</c:v>
                </c:pt>
                <c:pt idx="52">
                  <c:v>8.4</c:v>
                </c:pt>
                <c:pt idx="53">
                  <c:v>8.5615384615384613</c:v>
                </c:pt>
                <c:pt idx="54">
                  <c:v>8.7230769230769241</c:v>
                </c:pt>
                <c:pt idx="55">
                  <c:v>8.884615384615385</c:v>
                </c:pt>
                <c:pt idx="56">
                  <c:v>9.046153846153846</c:v>
                </c:pt>
                <c:pt idx="57">
                  <c:v>9.2076923076923087</c:v>
                </c:pt>
                <c:pt idx="58">
                  <c:v>9.3692307692307697</c:v>
                </c:pt>
                <c:pt idx="59">
                  <c:v>9.5307692307692307</c:v>
                </c:pt>
                <c:pt idx="60">
                  <c:v>9.6923076923076916</c:v>
                </c:pt>
                <c:pt idx="61">
                  <c:v>9.8538461538461544</c:v>
                </c:pt>
                <c:pt idx="62">
                  <c:v>10.015384615384615</c:v>
                </c:pt>
                <c:pt idx="63">
                  <c:v>10.176923076923076</c:v>
                </c:pt>
                <c:pt idx="64">
                  <c:v>10.338461538461539</c:v>
                </c:pt>
                <c:pt idx="65">
                  <c:v>10.5</c:v>
                </c:pt>
                <c:pt idx="66">
                  <c:v>10.661538461538461</c:v>
                </c:pt>
                <c:pt idx="67">
                  <c:v>10.823076923076924</c:v>
                </c:pt>
                <c:pt idx="68">
                  <c:v>10.984615384615385</c:v>
                </c:pt>
                <c:pt idx="69">
                  <c:v>11.146153846153846</c:v>
                </c:pt>
                <c:pt idx="70">
                  <c:v>11.307692307692308</c:v>
                </c:pt>
                <c:pt idx="71">
                  <c:v>11.469230769230769</c:v>
                </c:pt>
                <c:pt idx="72">
                  <c:v>11.63076923076923</c:v>
                </c:pt>
                <c:pt idx="73">
                  <c:v>11.792307692307691</c:v>
                </c:pt>
                <c:pt idx="74">
                  <c:v>11.953846153846154</c:v>
                </c:pt>
                <c:pt idx="75">
                  <c:v>12.115384615384615</c:v>
                </c:pt>
                <c:pt idx="76">
                  <c:v>12.276923076923076</c:v>
                </c:pt>
                <c:pt idx="77">
                  <c:v>12.438461538461539</c:v>
                </c:pt>
                <c:pt idx="78">
                  <c:v>12.600000000000001</c:v>
                </c:pt>
                <c:pt idx="79">
                  <c:v>12.761538461538462</c:v>
                </c:pt>
                <c:pt idx="80">
                  <c:v>12.923076923076925</c:v>
                </c:pt>
                <c:pt idx="81">
                  <c:v>13.084615384615386</c:v>
                </c:pt>
                <c:pt idx="82">
                  <c:v>13.246153846153847</c:v>
                </c:pt>
                <c:pt idx="83">
                  <c:v>13.40769230769231</c:v>
                </c:pt>
                <c:pt idx="84">
                  <c:v>13.569230769230771</c:v>
                </c:pt>
                <c:pt idx="85">
                  <c:v>13.730769230769232</c:v>
                </c:pt>
                <c:pt idx="86">
                  <c:v>13.892307692307693</c:v>
                </c:pt>
                <c:pt idx="87">
                  <c:v>14.053846153846155</c:v>
                </c:pt>
                <c:pt idx="88">
                  <c:v>14.215384615384616</c:v>
                </c:pt>
                <c:pt idx="89">
                  <c:v>14.376923076923077</c:v>
                </c:pt>
                <c:pt idx="90">
                  <c:v>14.53846153846154</c:v>
                </c:pt>
                <c:pt idx="91">
                  <c:v>14.700000000000001</c:v>
                </c:pt>
                <c:pt idx="92">
                  <c:v>14.861538461538462</c:v>
                </c:pt>
                <c:pt idx="93">
                  <c:v>15.023076923076925</c:v>
                </c:pt>
                <c:pt idx="94">
                  <c:v>15.184615384615386</c:v>
                </c:pt>
                <c:pt idx="95">
                  <c:v>15.346153846153847</c:v>
                </c:pt>
                <c:pt idx="96">
                  <c:v>15.507692307692309</c:v>
                </c:pt>
                <c:pt idx="97">
                  <c:v>15.66923076923077</c:v>
                </c:pt>
                <c:pt idx="98">
                  <c:v>15.830769230769231</c:v>
                </c:pt>
                <c:pt idx="99">
                  <c:v>15.992307692307692</c:v>
                </c:pt>
                <c:pt idx="100">
                  <c:v>16.153846153846153</c:v>
                </c:pt>
                <c:pt idx="101">
                  <c:v>16.315384615384616</c:v>
                </c:pt>
              </c:numCache>
            </c:numRef>
          </c:xVal>
          <c:yVal>
            <c:numRef>
              <c:f>Start_up!$C$8:$C$109</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numCache>
            </c:numRef>
          </c:yVal>
          <c:smooth val="1"/>
        </c:ser>
        <c:ser>
          <c:idx val="1"/>
          <c:order val="1"/>
          <c:tx>
            <c:strRef>
              <c:f>Start_up!$G$7</c:f>
              <c:strCache>
                <c:ptCount val="1"/>
                <c:pt idx="0">
                  <c:v>IFET</c:v>
                </c:pt>
              </c:strCache>
            </c:strRef>
          </c:tx>
          <c:marker>
            <c:symbol val="none"/>
          </c:marker>
          <c:xVal>
            <c:numRef>
              <c:f>Start_up!$B$8:$B$109</c:f>
              <c:numCache>
                <c:formatCode>0.00</c:formatCode>
                <c:ptCount val="102"/>
                <c:pt idx="0">
                  <c:v>0</c:v>
                </c:pt>
                <c:pt idx="1">
                  <c:v>0.16153846153846155</c:v>
                </c:pt>
                <c:pt idx="2">
                  <c:v>0.32307692307692309</c:v>
                </c:pt>
                <c:pt idx="3">
                  <c:v>0.48461538461538467</c:v>
                </c:pt>
                <c:pt idx="4">
                  <c:v>0.64615384615384619</c:v>
                </c:pt>
                <c:pt idx="5">
                  <c:v>0.80769230769230782</c:v>
                </c:pt>
                <c:pt idx="6">
                  <c:v>0.96923076923076934</c:v>
                </c:pt>
                <c:pt idx="7">
                  <c:v>1.1307692307692307</c:v>
                </c:pt>
                <c:pt idx="8">
                  <c:v>1.2923076923076924</c:v>
                </c:pt>
                <c:pt idx="9">
                  <c:v>1.4538461538461538</c:v>
                </c:pt>
                <c:pt idx="10">
                  <c:v>1.6153846153846156</c:v>
                </c:pt>
                <c:pt idx="11">
                  <c:v>1.776923076923077</c:v>
                </c:pt>
                <c:pt idx="12">
                  <c:v>1.9384615384615387</c:v>
                </c:pt>
                <c:pt idx="13">
                  <c:v>2.1</c:v>
                </c:pt>
                <c:pt idx="14">
                  <c:v>2.2615384615384615</c:v>
                </c:pt>
                <c:pt idx="15">
                  <c:v>2.4230769230769229</c:v>
                </c:pt>
                <c:pt idx="16">
                  <c:v>2.5846153846153848</c:v>
                </c:pt>
                <c:pt idx="17">
                  <c:v>2.7461538461538462</c:v>
                </c:pt>
                <c:pt idx="18">
                  <c:v>2.9076923076923076</c:v>
                </c:pt>
                <c:pt idx="19">
                  <c:v>3.069230769230769</c:v>
                </c:pt>
                <c:pt idx="20">
                  <c:v>3.2307692307692313</c:v>
                </c:pt>
                <c:pt idx="21">
                  <c:v>3.3923076923076927</c:v>
                </c:pt>
                <c:pt idx="22">
                  <c:v>3.5538461538461541</c:v>
                </c:pt>
                <c:pt idx="23">
                  <c:v>3.7153846153846155</c:v>
                </c:pt>
                <c:pt idx="24">
                  <c:v>3.8769230769230774</c:v>
                </c:pt>
                <c:pt idx="25">
                  <c:v>4.0384615384615383</c:v>
                </c:pt>
                <c:pt idx="26">
                  <c:v>4.2</c:v>
                </c:pt>
                <c:pt idx="27">
                  <c:v>4.361538461538462</c:v>
                </c:pt>
                <c:pt idx="28">
                  <c:v>4.523076923076923</c:v>
                </c:pt>
                <c:pt idx="29">
                  <c:v>4.6846153846153848</c:v>
                </c:pt>
                <c:pt idx="30">
                  <c:v>4.8461538461538458</c:v>
                </c:pt>
                <c:pt idx="31">
                  <c:v>5.0076923076923077</c:v>
                </c:pt>
                <c:pt idx="32">
                  <c:v>5.1692307692307695</c:v>
                </c:pt>
                <c:pt idx="33">
                  <c:v>5.3307692307692305</c:v>
                </c:pt>
                <c:pt idx="34">
                  <c:v>5.4923076923076923</c:v>
                </c:pt>
                <c:pt idx="35">
                  <c:v>5.6538461538461542</c:v>
                </c:pt>
                <c:pt idx="36">
                  <c:v>5.8153846153846152</c:v>
                </c:pt>
                <c:pt idx="37">
                  <c:v>5.976923076923077</c:v>
                </c:pt>
                <c:pt idx="38">
                  <c:v>6.138461538461538</c:v>
                </c:pt>
                <c:pt idx="39">
                  <c:v>6.3000000000000007</c:v>
                </c:pt>
                <c:pt idx="40">
                  <c:v>6.4615384615384626</c:v>
                </c:pt>
                <c:pt idx="41">
                  <c:v>6.6230769230769235</c:v>
                </c:pt>
                <c:pt idx="42">
                  <c:v>6.7846153846153854</c:v>
                </c:pt>
                <c:pt idx="43">
                  <c:v>6.9461538461538463</c:v>
                </c:pt>
                <c:pt idx="44">
                  <c:v>7.1076923076923082</c:v>
                </c:pt>
                <c:pt idx="45">
                  <c:v>7.2692307692307701</c:v>
                </c:pt>
                <c:pt idx="46">
                  <c:v>7.430769230769231</c:v>
                </c:pt>
                <c:pt idx="47">
                  <c:v>7.5923076923076929</c:v>
                </c:pt>
                <c:pt idx="48">
                  <c:v>7.7538461538461547</c:v>
                </c:pt>
                <c:pt idx="49">
                  <c:v>7.9153846153846157</c:v>
                </c:pt>
                <c:pt idx="50">
                  <c:v>8.0769230769230766</c:v>
                </c:pt>
                <c:pt idx="51">
                  <c:v>8.2384615384615376</c:v>
                </c:pt>
                <c:pt idx="52">
                  <c:v>8.4</c:v>
                </c:pt>
                <c:pt idx="53">
                  <c:v>8.5615384615384613</c:v>
                </c:pt>
                <c:pt idx="54">
                  <c:v>8.7230769230769241</c:v>
                </c:pt>
                <c:pt idx="55">
                  <c:v>8.884615384615385</c:v>
                </c:pt>
                <c:pt idx="56">
                  <c:v>9.046153846153846</c:v>
                </c:pt>
                <c:pt idx="57">
                  <c:v>9.2076923076923087</c:v>
                </c:pt>
                <c:pt idx="58">
                  <c:v>9.3692307692307697</c:v>
                </c:pt>
                <c:pt idx="59">
                  <c:v>9.5307692307692307</c:v>
                </c:pt>
                <c:pt idx="60">
                  <c:v>9.6923076923076916</c:v>
                </c:pt>
                <c:pt idx="61">
                  <c:v>9.8538461538461544</c:v>
                </c:pt>
                <c:pt idx="62">
                  <c:v>10.015384615384615</c:v>
                </c:pt>
                <c:pt idx="63">
                  <c:v>10.176923076923076</c:v>
                </c:pt>
                <c:pt idx="64">
                  <c:v>10.338461538461539</c:v>
                </c:pt>
                <c:pt idx="65">
                  <c:v>10.5</c:v>
                </c:pt>
                <c:pt idx="66">
                  <c:v>10.661538461538461</c:v>
                </c:pt>
                <c:pt idx="67">
                  <c:v>10.823076923076924</c:v>
                </c:pt>
                <c:pt idx="68">
                  <c:v>10.984615384615385</c:v>
                </c:pt>
                <c:pt idx="69">
                  <c:v>11.146153846153846</c:v>
                </c:pt>
                <c:pt idx="70">
                  <c:v>11.307692307692308</c:v>
                </c:pt>
                <c:pt idx="71">
                  <c:v>11.469230769230769</c:v>
                </c:pt>
                <c:pt idx="72">
                  <c:v>11.63076923076923</c:v>
                </c:pt>
                <c:pt idx="73">
                  <c:v>11.792307692307691</c:v>
                </c:pt>
                <c:pt idx="74">
                  <c:v>11.953846153846154</c:v>
                </c:pt>
                <c:pt idx="75">
                  <c:v>12.115384615384615</c:v>
                </c:pt>
                <c:pt idx="76">
                  <c:v>12.276923076923076</c:v>
                </c:pt>
                <c:pt idx="77">
                  <c:v>12.438461538461539</c:v>
                </c:pt>
                <c:pt idx="78">
                  <c:v>12.600000000000001</c:v>
                </c:pt>
                <c:pt idx="79">
                  <c:v>12.761538461538462</c:v>
                </c:pt>
                <c:pt idx="80">
                  <c:v>12.923076923076925</c:v>
                </c:pt>
                <c:pt idx="81">
                  <c:v>13.084615384615386</c:v>
                </c:pt>
                <c:pt idx="82">
                  <c:v>13.246153846153847</c:v>
                </c:pt>
                <c:pt idx="83">
                  <c:v>13.40769230769231</c:v>
                </c:pt>
                <c:pt idx="84">
                  <c:v>13.569230769230771</c:v>
                </c:pt>
                <c:pt idx="85">
                  <c:v>13.730769230769232</c:v>
                </c:pt>
                <c:pt idx="86">
                  <c:v>13.892307692307693</c:v>
                </c:pt>
                <c:pt idx="87">
                  <c:v>14.053846153846155</c:v>
                </c:pt>
                <c:pt idx="88">
                  <c:v>14.215384615384616</c:v>
                </c:pt>
                <c:pt idx="89">
                  <c:v>14.376923076923077</c:v>
                </c:pt>
                <c:pt idx="90">
                  <c:v>14.53846153846154</c:v>
                </c:pt>
                <c:pt idx="91">
                  <c:v>14.700000000000001</c:v>
                </c:pt>
                <c:pt idx="92">
                  <c:v>14.861538461538462</c:v>
                </c:pt>
                <c:pt idx="93">
                  <c:v>15.023076923076925</c:v>
                </c:pt>
                <c:pt idx="94">
                  <c:v>15.184615384615386</c:v>
                </c:pt>
                <c:pt idx="95">
                  <c:v>15.346153846153847</c:v>
                </c:pt>
                <c:pt idx="96">
                  <c:v>15.507692307692309</c:v>
                </c:pt>
                <c:pt idx="97">
                  <c:v>15.66923076923077</c:v>
                </c:pt>
                <c:pt idx="98">
                  <c:v>15.830769230769231</c:v>
                </c:pt>
                <c:pt idx="99">
                  <c:v>15.992307692307692</c:v>
                </c:pt>
                <c:pt idx="100">
                  <c:v>16.153846153846153</c:v>
                </c:pt>
                <c:pt idx="101">
                  <c:v>16.315384615384616</c:v>
                </c:pt>
              </c:numCache>
            </c:numRef>
          </c:xVal>
          <c:yVal>
            <c:numRef>
              <c:f>Start_up!$G$8:$G$110</c:f>
              <c:numCache>
                <c:formatCode>General</c:formatCode>
                <c:ptCount val="103"/>
                <c:pt idx="0">
                  <c:v>18.371546149323926</c:v>
                </c:pt>
                <c:pt idx="1">
                  <c:v>18.54991067504552</c:v>
                </c:pt>
                <c:pt idx="2">
                  <c:v>18.73177254440871</c:v>
                </c:pt>
                <c:pt idx="3">
                  <c:v>18.917235638907805</c:v>
                </c:pt>
                <c:pt idx="4">
                  <c:v>19.106407995296884</c:v>
                </c:pt>
                <c:pt idx="5">
                  <c:v>19.299402015451399</c:v>
                </c:pt>
                <c:pt idx="6">
                  <c:v>19.496334689078452</c:v>
                </c:pt>
                <c:pt idx="7">
                  <c:v>19.697327830202973</c:v>
                </c:pt>
                <c:pt idx="8">
                  <c:v>19.902508328434255</c:v>
                </c:pt>
                <c:pt idx="9">
                  <c:v>20.112008416101983</c:v>
                </c:pt>
                <c:pt idx="10">
                  <c:v>20.325965952443493</c:v>
                </c:pt>
                <c:pt idx="11">
                  <c:v>20.544524726125683</c:v>
                </c:pt>
                <c:pt idx="12">
                  <c:v>20.767834777496613</c:v>
                </c:pt>
                <c:pt idx="13">
                  <c:v>20.996052742084487</c:v>
                </c:pt>
                <c:pt idx="14">
                  <c:v>21.229342216996535</c:v>
                </c:pt>
                <c:pt idx="15">
                  <c:v>21.467874152018972</c:v>
                </c:pt>
                <c:pt idx="16">
                  <c:v>21.711827267382823</c:v>
                </c:pt>
                <c:pt idx="17">
                  <c:v>21.961388500341243</c:v>
                </c:pt>
                <c:pt idx="18">
                  <c:v>22.216753482903354</c:v>
                </c:pt>
                <c:pt idx="19">
                  <c:v>22.47812705329045</c:v>
                </c:pt>
                <c:pt idx="20">
                  <c:v>22.745723803924861</c:v>
                </c:pt>
                <c:pt idx="21">
                  <c:v>23.019768669032391</c:v>
                </c:pt>
                <c:pt idx="22">
                  <c:v>23.300497555240103</c:v>
                </c:pt>
                <c:pt idx="23">
                  <c:v>23.588158018885039</c:v>
                </c:pt>
                <c:pt idx="24">
                  <c:v>23.883009994121103</c:v>
                </c:pt>
                <c:pt idx="25">
                  <c:v>24.185326576325167</c:v>
                </c:pt>
                <c:pt idx="26">
                  <c:v>24.495394865765235</c:v>
                </c:pt>
                <c:pt idx="27">
                  <c:v>24.81351687700894</c:v>
                </c:pt>
                <c:pt idx="28">
                  <c:v>25.140010520127479</c:v>
                </c:pt>
                <c:pt idx="29">
                  <c:v>25.475210660395842</c:v>
                </c:pt>
                <c:pt idx="30">
                  <c:v>25.81947026391471</c:v>
                </c:pt>
                <c:pt idx="31">
                  <c:v>26.17316163739299</c:v>
                </c:pt>
                <c:pt idx="32">
                  <c:v>26.536677771245671</c:v>
                </c:pt>
                <c:pt idx="33">
                  <c:v>26.910433796192795</c:v>
                </c:pt>
                <c:pt idx="34">
                  <c:v>27.294868564709834</c:v>
                </c:pt>
                <c:pt idx="35">
                  <c:v>27.690446369995481</c:v>
                </c:pt>
                <c:pt idx="36">
                  <c:v>28.097658816613066</c:v>
                </c:pt>
                <c:pt idx="37">
                  <c:v>28.517026858652063</c:v>
                </c:pt>
                <c:pt idx="38">
                  <c:v>28.949103023177095</c:v>
                </c:pt>
                <c:pt idx="39">
                  <c:v>29.394473838918284</c:v>
                </c:pt>
                <c:pt idx="40">
                  <c:v>29.853762492651384</c:v>
                </c:pt>
                <c:pt idx="41">
                  <c:v>30.327631738566481</c:v>
                </c:pt>
                <c:pt idx="42">
                  <c:v>30.816787089188523</c:v>
                </c:pt>
                <c:pt idx="43">
                  <c:v>31.321980320158826</c:v>
                </c:pt>
                <c:pt idx="44">
                  <c:v>31.844013325494803</c:v>
                </c:pt>
                <c:pt idx="45">
                  <c:v>32.38374236490997</c:v>
                </c:pt>
                <c:pt idx="46">
                  <c:v>32.942082750511865</c:v>
                </c:pt>
                <c:pt idx="47">
                  <c:v>33.520014026836634</c:v>
                </c:pt>
                <c:pt idx="48">
                  <c:v>34.118585705887291</c:v>
                </c:pt>
                <c:pt idx="49">
                  <c:v>34.738923627812518</c:v>
                </c:pt>
                <c:pt idx="50">
                  <c:v>35.382237028327559</c:v>
                </c:pt>
                <c:pt idx="51">
                  <c:v>36.049826406220532</c:v>
                </c:pt>
                <c:pt idx="52">
                  <c:v>36.743092298647852</c:v>
                </c:pt>
                <c:pt idx="53">
                  <c:v>37.463545088817419</c:v>
                </c:pt>
                <c:pt idx="54">
                  <c:v>38.212815990593768</c:v>
                </c:pt>
                <c:pt idx="55">
                  <c:v>38.992669378156904</c:v>
                </c:pt>
                <c:pt idx="56">
                  <c:v>39.805016656868503</c:v>
                </c:pt>
                <c:pt idx="57">
                  <c:v>40.651931904886986</c:v>
                </c:pt>
                <c:pt idx="58">
                  <c:v>41.535669554993227</c:v>
                </c:pt>
                <c:pt idx="59">
                  <c:v>42.458684433993071</c:v>
                </c:pt>
                <c:pt idx="60">
                  <c:v>43.423654534765639</c:v>
                </c:pt>
                <c:pt idx="61">
                  <c:v>44.433506965806707</c:v>
                </c:pt>
                <c:pt idx="62">
                  <c:v>45.491447607849722</c:v>
                </c:pt>
                <c:pt idx="63">
                  <c:v>46.600995110480198</c:v>
                </c:pt>
                <c:pt idx="64">
                  <c:v>47.766019988242206</c:v>
                </c:pt>
                <c:pt idx="65">
                  <c:v>48.990789731530469</c:v>
                </c:pt>
                <c:pt idx="66">
                  <c:v>50.280021040254951</c:v>
                </c:pt>
                <c:pt idx="67">
                  <c:v>51.638940527829419</c:v>
                </c:pt>
                <c:pt idx="68">
                  <c:v>53.073355542491342</c:v>
                </c:pt>
                <c:pt idx="69">
                  <c:v>54.58973712941966</c:v>
                </c:pt>
                <c:pt idx="70">
                  <c:v>56.195317633226132</c:v>
                </c:pt>
                <c:pt idx="71">
                  <c:v>57.89820604635419</c:v>
                </c:pt>
                <c:pt idx="72">
                  <c:v>59.707524985302747</c:v>
                </c:pt>
                <c:pt idx="73">
                  <c:v>61.633574178377025</c:v>
                </c:pt>
                <c:pt idx="74">
                  <c:v>63.688026650989606</c:v>
                </c:pt>
                <c:pt idx="75">
                  <c:v>65.884165501023716</c:v>
                </c:pt>
                <c:pt idx="76">
                  <c:v>68.237171411774554</c:v>
                </c:pt>
                <c:pt idx="77">
                  <c:v>70.764474056655118</c:v>
                </c:pt>
                <c:pt idx="78">
                  <c:v>73.486184597295718</c:v>
                </c:pt>
                <c:pt idx="79">
                  <c:v>76.425631981187536</c:v>
                </c:pt>
                <c:pt idx="80">
                  <c:v>79.610033313737048</c:v>
                </c:pt>
                <c:pt idx="81">
                  <c:v>80</c:v>
                </c:pt>
                <c:pt idx="82">
                  <c:v>80</c:v>
                </c:pt>
                <c:pt idx="83">
                  <c:v>80</c:v>
                </c:pt>
                <c:pt idx="84">
                  <c:v>80</c:v>
                </c:pt>
                <c:pt idx="85">
                  <c:v>80</c:v>
                </c:pt>
                <c:pt idx="86">
                  <c:v>80</c:v>
                </c:pt>
                <c:pt idx="87">
                  <c:v>80</c:v>
                </c:pt>
                <c:pt idx="88">
                  <c:v>80</c:v>
                </c:pt>
                <c:pt idx="89">
                  <c:v>80</c:v>
                </c:pt>
                <c:pt idx="90">
                  <c:v>80</c:v>
                </c:pt>
                <c:pt idx="91">
                  <c:v>80</c:v>
                </c:pt>
                <c:pt idx="92">
                  <c:v>80</c:v>
                </c:pt>
                <c:pt idx="93">
                  <c:v>80</c:v>
                </c:pt>
                <c:pt idx="94">
                  <c:v>80</c:v>
                </c:pt>
                <c:pt idx="95">
                  <c:v>80</c:v>
                </c:pt>
                <c:pt idx="96">
                  <c:v>80</c:v>
                </c:pt>
                <c:pt idx="97">
                  <c:v>80</c:v>
                </c:pt>
                <c:pt idx="98">
                  <c:v>80</c:v>
                </c:pt>
                <c:pt idx="99">
                  <c:v>80</c:v>
                </c:pt>
                <c:pt idx="100">
                  <c:v>80</c:v>
                </c:pt>
                <c:pt idx="101">
                  <c:v>80</c:v>
                </c:pt>
                <c:pt idx="102">
                  <c:v>80</c:v>
                </c:pt>
              </c:numCache>
            </c:numRef>
          </c:yVal>
          <c:smooth val="1"/>
        </c:ser>
        <c:axId val="76920704"/>
        <c:axId val="79982592"/>
      </c:scatterChart>
      <c:valAx>
        <c:axId val="76920704"/>
        <c:scaling>
          <c:orientation val="minMax"/>
        </c:scaling>
        <c:axPos val="b"/>
        <c:title>
          <c:tx>
            <c:rich>
              <a:bodyPr/>
              <a:lstStyle/>
              <a:p>
                <a:pPr>
                  <a:defRPr lang="en-US"/>
                </a:pPr>
                <a:r>
                  <a:rPr lang="en-US"/>
                  <a:t>Output</a:t>
                </a:r>
                <a:r>
                  <a:rPr lang="en-US" baseline="0"/>
                  <a:t> Voltage (V)</a:t>
                </a:r>
                <a:endParaRPr lang="en-US"/>
              </a:p>
            </c:rich>
          </c:tx>
        </c:title>
        <c:numFmt formatCode="0.00" sourceLinked="1"/>
        <c:tickLblPos val="nextTo"/>
        <c:txPr>
          <a:bodyPr/>
          <a:lstStyle/>
          <a:p>
            <a:pPr>
              <a:defRPr lang="en-US"/>
            </a:pPr>
            <a:endParaRPr lang="ru-RU"/>
          </a:p>
        </c:txPr>
        <c:crossAx val="79982592"/>
        <c:crosses val="autoZero"/>
        <c:crossBetween val="midCat"/>
      </c:valAx>
      <c:valAx>
        <c:axId val="79982592"/>
        <c:scaling>
          <c:orientation val="minMax"/>
          <c:min val="0"/>
        </c:scaling>
        <c:axPos val="l"/>
        <c:majorGridlines/>
        <c:title>
          <c:tx>
            <c:rich>
              <a:bodyPr rot="-5400000" vert="horz"/>
              <a:lstStyle/>
              <a:p>
                <a:pPr>
                  <a:defRPr lang="en-US"/>
                </a:pPr>
                <a:r>
                  <a:rPr lang="en-US"/>
                  <a:t>Current (A)</a:t>
                </a:r>
              </a:p>
            </c:rich>
          </c:tx>
        </c:title>
        <c:numFmt formatCode="0.000" sourceLinked="1"/>
        <c:tickLblPos val="nextTo"/>
        <c:txPr>
          <a:bodyPr/>
          <a:lstStyle/>
          <a:p>
            <a:pPr>
              <a:defRPr lang="en-US"/>
            </a:pPr>
            <a:endParaRPr lang="ru-RU"/>
          </a:p>
        </c:txPr>
        <c:crossAx val="76920704"/>
        <c:crosses val="autoZero"/>
        <c:crossBetween val="midCat"/>
      </c:valAx>
    </c:plotArea>
    <c:legend>
      <c:legendPos val="r"/>
      <c:layout>
        <c:manualLayout>
          <c:xMode val="edge"/>
          <c:yMode val="edge"/>
          <c:x val="0.34624252358789731"/>
          <c:y val="0.24479126489117201"/>
          <c:w val="0.21462230092985587"/>
          <c:h val="0.16792443955258299"/>
        </c:manualLayout>
      </c:layout>
      <c:spPr>
        <a:solidFill>
          <a:sysClr val="window" lastClr="FFFFFF"/>
        </a:solidFill>
        <a:ln>
          <a:solidFill>
            <a:schemeClr val="tx1"/>
          </a:solidFill>
        </a:ln>
      </c:spPr>
      <c:txPr>
        <a:bodyPr/>
        <a:lstStyle/>
        <a:p>
          <a:pPr>
            <a:defRPr lang="en-US">
              <a:ln>
                <a:solidFill>
                  <a:sysClr val="windowText" lastClr="000000"/>
                </a:solidFill>
              </a:ln>
            </a:defRPr>
          </a:pPr>
          <a:endParaRPr lang="ru-RU"/>
        </a:p>
      </c:txP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hyperlink" Target="http://www.ti.com/power-management/protection-monitoring-hot-swap/controllers/support-training.html#videos" TargetMode="External"/><Relationship Id="rId18" Type="http://schemas.openxmlformats.org/officeDocument/2006/relationships/hyperlink" Target="http://www.ti.com/general/docs/video/watch.tsp?entryid=4609077027001" TargetMode="External"/><Relationship Id="rId3" Type="http://schemas.openxmlformats.org/officeDocument/2006/relationships/image" Target="../media/image4.png"/><Relationship Id="rId21" Type="http://schemas.openxmlformats.org/officeDocument/2006/relationships/image" Target="../media/image16.png"/><Relationship Id="rId7" Type="http://schemas.openxmlformats.org/officeDocument/2006/relationships/image" Target="../media/image6.png"/><Relationship Id="rId12" Type="http://schemas.openxmlformats.org/officeDocument/2006/relationships/image" Target="../media/image11.png"/><Relationship Id="rId17" Type="http://schemas.openxmlformats.org/officeDocument/2006/relationships/image" Target="../media/image14.png"/><Relationship Id="rId2" Type="http://schemas.openxmlformats.org/officeDocument/2006/relationships/image" Target="../media/image3.emf"/><Relationship Id="rId16" Type="http://schemas.openxmlformats.org/officeDocument/2006/relationships/image" Target="../media/image13.png"/><Relationship Id="rId20" Type="http://schemas.openxmlformats.org/officeDocument/2006/relationships/hyperlink" Target="http://www.ti.com/general/docs/video/watch.tsp?entryid=4609077122001" TargetMode="External"/><Relationship Id="rId1" Type="http://schemas.openxmlformats.org/officeDocument/2006/relationships/image" Target="../media/image2.pn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chart" Target="../charts/chart2.xml"/><Relationship Id="rId15" Type="http://schemas.openxmlformats.org/officeDocument/2006/relationships/hyperlink" Target="http://www.ti.com/general/docs/video/watch.tsp?entryid=4607940999001" TargetMode="External"/><Relationship Id="rId23" Type="http://schemas.openxmlformats.org/officeDocument/2006/relationships/image" Target="../media/image17.png"/><Relationship Id="rId10" Type="http://schemas.openxmlformats.org/officeDocument/2006/relationships/image" Target="../media/image9.png"/><Relationship Id="rId19" Type="http://schemas.openxmlformats.org/officeDocument/2006/relationships/image" Target="../media/image15.png"/><Relationship Id="rId4" Type="http://schemas.openxmlformats.org/officeDocument/2006/relationships/chart" Target="../charts/chart1.xml"/><Relationship Id="rId9" Type="http://schemas.openxmlformats.org/officeDocument/2006/relationships/image" Target="../media/image8.png"/><Relationship Id="rId14" Type="http://schemas.openxmlformats.org/officeDocument/2006/relationships/image" Target="../media/image12.png"/><Relationship Id="rId22" Type="http://schemas.openxmlformats.org/officeDocument/2006/relationships/hyperlink" Target="http://www.ti.com/general/docs/video/watch.tsp?entryid=4609733745001" TargetMode="Externa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xdr:cNvSpPr>
          <a:spLocks noChangeArrowheads="1"/>
        </xdr:cNvSpPr>
      </xdr:nvSpPr>
      <xdr:spPr bwMode="auto">
        <a:xfrm>
          <a:off x="0" y="280035"/>
          <a:ext cx="9725025" cy="939165"/>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46705</xdr:colOff>
      <xdr:row>2</xdr:row>
      <xdr:rowOff>156305</xdr:rowOff>
    </xdr:from>
    <xdr:to>
      <xdr:col>3</xdr:col>
      <xdr:colOff>504826</xdr:colOff>
      <xdr:row>3</xdr:row>
      <xdr:rowOff>137160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656305" y="499205"/>
          <a:ext cx="1677321" cy="36185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1820</xdr:colOff>
      <xdr:row>1</xdr:row>
      <xdr:rowOff>104775</xdr:rowOff>
    </xdr:from>
    <xdr:to>
      <xdr:col>8</xdr:col>
      <xdr:colOff>778566</xdr:colOff>
      <xdr:row>5</xdr:row>
      <xdr:rowOff>157369</xdr:rowOff>
    </xdr:to>
    <xdr:sp macro="" textlink="">
      <xdr:nvSpPr>
        <xdr:cNvPr id="1025" name="Text Box 1"/>
        <xdr:cNvSpPr txBox="1">
          <a:spLocks noChangeArrowheads="1"/>
        </xdr:cNvSpPr>
      </xdr:nvSpPr>
      <xdr:spPr bwMode="auto">
        <a:xfrm>
          <a:off x="26668" y="875058"/>
          <a:ext cx="8255941" cy="748333"/>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TPS2474x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TPS2474x datasheet for more detail.</a:t>
          </a:r>
        </a:p>
      </xdr:txBody>
    </xdr:sp>
    <xdr:clientData/>
  </xdr:twoCellAnchor>
  <xdr:twoCellAnchor>
    <xdr:from>
      <xdr:col>39</xdr:col>
      <xdr:colOff>0</xdr:colOff>
      <xdr:row>67</xdr:row>
      <xdr:rowOff>0</xdr:rowOff>
    </xdr:from>
    <xdr:to>
      <xdr:col>39</xdr:col>
      <xdr:colOff>0</xdr:colOff>
      <xdr:row>74</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0</xdr:col>
      <xdr:colOff>76200</xdr:colOff>
      <xdr:row>0</xdr:row>
      <xdr:rowOff>171450</xdr:rowOff>
    </xdr:from>
    <xdr:to>
      <xdr:col>1</xdr:col>
      <xdr:colOff>1657687</xdr:colOff>
      <xdr:row>0</xdr:row>
      <xdr:rowOff>609600</xdr:rowOff>
    </xdr:to>
    <xdr:pic>
      <xdr:nvPicPr>
        <xdr:cNvPr id="10" name="Picture 9"/>
        <xdr:cNvPicPr/>
      </xdr:nvPicPr>
      <xdr:blipFill>
        <a:blip xmlns:r="http://schemas.openxmlformats.org/officeDocument/2006/relationships" r:embed="rId1" cstate="print"/>
        <a:srcRect r="26499"/>
        <a:stretch>
          <a:fillRect/>
        </a:stretch>
      </xdr:blipFill>
      <xdr:spPr bwMode="auto">
        <a:xfrm>
          <a:off x="76200" y="171450"/>
          <a:ext cx="1657687" cy="438150"/>
        </a:xfrm>
        <a:prstGeom prst="rect">
          <a:avLst/>
        </a:prstGeom>
        <a:noFill/>
        <a:ln w="9525">
          <a:noFill/>
          <a:miter lim="800000"/>
          <a:headEnd/>
          <a:tailEnd/>
        </a:ln>
      </xdr:spPr>
    </xdr:pic>
    <xdr:clientData/>
  </xdr:twoCellAnchor>
  <xdr:twoCellAnchor editAs="oneCell">
    <xdr:from>
      <xdr:col>5</xdr:col>
      <xdr:colOff>95251</xdr:colOff>
      <xdr:row>184</xdr:row>
      <xdr:rowOff>95251</xdr:rowOff>
    </xdr:from>
    <xdr:to>
      <xdr:col>10</xdr:col>
      <xdr:colOff>387598</xdr:colOff>
      <xdr:row>184</xdr:row>
      <xdr:rowOff>97409</xdr:rowOff>
    </xdr:to>
    <xdr:pic>
      <xdr:nvPicPr>
        <xdr:cNvPr id="3" name="Picture 216"/>
        <xdr:cNvPicPr>
          <a:picLocks noChangeAspect="1" noChangeArrowheads="1"/>
        </xdr:cNvPicPr>
      </xdr:nvPicPr>
      <xdr:blipFill>
        <a:blip xmlns:r="http://schemas.openxmlformats.org/officeDocument/2006/relationships" r:embed="rId2"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3"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274321</xdr:colOff>
      <xdr:row>57</xdr:row>
      <xdr:rowOff>76201</xdr:rowOff>
    </xdr:from>
    <xdr:to>
      <xdr:col>38</xdr:col>
      <xdr:colOff>359833</xdr:colOff>
      <xdr:row>72</xdr:row>
      <xdr:rowOff>49389</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8</xdr:col>
      <xdr:colOff>53340</xdr:colOff>
      <xdr:row>47</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299357</xdr:colOff>
      <xdr:row>74</xdr:row>
      <xdr:rowOff>60960</xdr:rowOff>
    </xdr:from>
    <xdr:to>
      <xdr:col>38</xdr:col>
      <xdr:colOff>342900</xdr:colOff>
      <xdr:row>89</xdr:row>
      <xdr:rowOff>76200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11</xdr:col>
      <xdr:colOff>434340</xdr:colOff>
      <xdr:row>63</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76</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7</xdr:col>
      <xdr:colOff>196264</xdr:colOff>
      <xdr:row>40</xdr:row>
      <xdr:rowOff>43863</xdr:rowOff>
    </xdr:from>
    <xdr:to>
      <xdr:col>38</xdr:col>
      <xdr:colOff>508300</xdr:colOff>
      <xdr:row>51</xdr:row>
      <xdr:rowOff>186936</xdr:rowOff>
    </xdr:to>
    <xdr:pic>
      <xdr:nvPicPr>
        <xdr:cNvPr id="17" name="Picture 16" descr="OR_HS_GM_TPS24740.png"/>
        <xdr:cNvPicPr/>
      </xdr:nvPicPr>
      <xdr:blipFill>
        <a:blip xmlns:r="http://schemas.openxmlformats.org/officeDocument/2006/relationships" r:embed="rId6" cstate="print"/>
        <a:stretch>
          <a:fillRect/>
        </a:stretch>
      </xdr:blipFill>
      <xdr:spPr>
        <a:xfrm>
          <a:off x="7544121" y="4702949"/>
          <a:ext cx="4799511" cy="2256822"/>
        </a:xfrm>
        <a:prstGeom prst="rect">
          <a:avLst/>
        </a:prstGeom>
      </xdr:spPr>
    </xdr:pic>
    <xdr:clientData/>
  </xdr:twoCellAnchor>
  <xdr:twoCellAnchor editAs="oneCell">
    <xdr:from>
      <xdr:col>8</xdr:col>
      <xdr:colOff>251012</xdr:colOff>
      <xdr:row>90</xdr:row>
      <xdr:rowOff>145876</xdr:rowOff>
    </xdr:from>
    <xdr:to>
      <xdr:col>10</xdr:col>
      <xdr:colOff>304182</xdr:colOff>
      <xdr:row>98</xdr:row>
      <xdr:rowOff>35860</xdr:rowOff>
    </xdr:to>
    <xdr:pic>
      <xdr:nvPicPr>
        <xdr:cNvPr id="6" name="Picture 5"/>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xmlns="" val="0"/>
            </a:ext>
          </a:extLst>
        </a:blip>
        <a:stretch>
          <a:fillRect/>
        </a:stretch>
      </xdr:blipFill>
      <xdr:spPr>
        <a:xfrm>
          <a:off x="8919883" y="14085994"/>
          <a:ext cx="1550276" cy="1396054"/>
        </a:xfrm>
        <a:prstGeom prst="rect">
          <a:avLst/>
        </a:prstGeom>
      </xdr:spPr>
    </xdr:pic>
    <xdr:clientData/>
  </xdr:twoCellAnchor>
  <xdr:twoCellAnchor editAs="oneCell">
    <xdr:from>
      <xdr:col>8</xdr:col>
      <xdr:colOff>286870</xdr:colOff>
      <xdr:row>136</xdr:row>
      <xdr:rowOff>106295</xdr:rowOff>
    </xdr:from>
    <xdr:to>
      <xdr:col>38</xdr:col>
      <xdr:colOff>1595719</xdr:colOff>
      <xdr:row>148</xdr:row>
      <xdr:rowOff>62752</xdr:rowOff>
    </xdr:to>
    <xdr:pic>
      <xdr:nvPicPr>
        <xdr:cNvPr id="18" name="Picture 17" descr="OR_HS_GM_TPS24740.png"/>
        <xdr:cNvPicPr/>
      </xdr:nvPicPr>
      <xdr:blipFill>
        <a:blip xmlns:r="http://schemas.openxmlformats.org/officeDocument/2006/relationships" r:embed="rId6" cstate="print"/>
        <a:stretch>
          <a:fillRect/>
        </a:stretch>
      </xdr:blipFill>
      <xdr:spPr>
        <a:xfrm>
          <a:off x="8399929" y="22141542"/>
          <a:ext cx="5065060" cy="2251423"/>
        </a:xfrm>
        <a:prstGeom prst="rect">
          <a:avLst/>
        </a:prstGeom>
      </xdr:spPr>
    </xdr:pic>
    <xdr:clientData/>
  </xdr:twoCellAnchor>
  <xdr:twoCellAnchor editAs="oneCell">
    <xdr:from>
      <xdr:col>10</xdr:col>
      <xdr:colOff>295022</xdr:colOff>
      <xdr:row>151</xdr:row>
      <xdr:rowOff>24237</xdr:rowOff>
    </xdr:from>
    <xdr:to>
      <xdr:col>38</xdr:col>
      <xdr:colOff>833921</xdr:colOff>
      <xdr:row>155</xdr:row>
      <xdr:rowOff>130628</xdr:rowOff>
    </xdr:to>
    <xdr:pic>
      <xdr:nvPicPr>
        <xdr:cNvPr id="7" name="Picture 6"/>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xmlns="" val="0"/>
            </a:ext>
          </a:extLst>
        </a:blip>
        <a:stretch>
          <a:fillRect/>
        </a:stretch>
      </xdr:blipFill>
      <xdr:spPr>
        <a:xfrm>
          <a:off x="10179251" y="24571523"/>
          <a:ext cx="2792241" cy="890163"/>
        </a:xfrm>
        <a:prstGeom prst="rect">
          <a:avLst/>
        </a:prstGeom>
      </xdr:spPr>
    </xdr:pic>
    <xdr:clientData/>
  </xdr:twoCellAnchor>
  <xdr:oneCellAnchor>
    <xdr:from>
      <xdr:col>11</xdr:col>
      <xdr:colOff>313766</xdr:colOff>
      <xdr:row>149</xdr:row>
      <xdr:rowOff>125505</xdr:rowOff>
    </xdr:from>
    <xdr:ext cx="1000530" cy="264560"/>
    <xdr:sp macro="" textlink="">
      <xdr:nvSpPr>
        <xdr:cNvPr id="8" name="TextBox 7"/>
        <xdr:cNvSpPr txBox="1"/>
      </xdr:nvSpPr>
      <xdr:spPr>
        <a:xfrm>
          <a:off x="10802472" y="24643976"/>
          <a:ext cx="10005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Timer Options</a:t>
          </a:r>
        </a:p>
      </xdr:txBody>
    </xdr:sp>
    <xdr:clientData/>
  </xdr:oneCellAnchor>
  <xdr:twoCellAnchor editAs="oneCell">
    <xdr:from>
      <xdr:col>1</xdr:col>
      <xdr:colOff>484990</xdr:colOff>
      <xdr:row>136</xdr:row>
      <xdr:rowOff>99060</xdr:rowOff>
    </xdr:from>
    <xdr:to>
      <xdr:col>2</xdr:col>
      <xdr:colOff>1103107</xdr:colOff>
      <xdr:row>149</xdr:row>
      <xdr:rowOff>6147</xdr:rowOff>
    </xdr:to>
    <xdr:pic>
      <xdr:nvPicPr>
        <xdr:cNvPr id="21" name="Picture 2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xmlns="" val="0"/>
            </a:ext>
          </a:extLst>
        </a:blip>
        <a:stretch>
          <a:fillRect/>
        </a:stretch>
      </xdr:blipFill>
      <xdr:spPr>
        <a:xfrm>
          <a:off x="515470" y="22090380"/>
          <a:ext cx="2662070" cy="2414069"/>
        </a:xfrm>
        <a:prstGeom prst="rect">
          <a:avLst/>
        </a:prstGeom>
      </xdr:spPr>
    </xdr:pic>
    <xdr:clientData/>
  </xdr:twoCellAnchor>
  <xdr:twoCellAnchor editAs="oneCell">
    <xdr:from>
      <xdr:col>7</xdr:col>
      <xdr:colOff>239486</xdr:colOff>
      <xdr:row>109</xdr:row>
      <xdr:rowOff>35922</xdr:rowOff>
    </xdr:from>
    <xdr:to>
      <xdr:col>38</xdr:col>
      <xdr:colOff>411394</xdr:colOff>
      <xdr:row>128</xdr:row>
      <xdr:rowOff>48135</xdr:rowOff>
    </xdr:to>
    <xdr:pic>
      <xdr:nvPicPr>
        <xdr:cNvPr id="9" name="Picture 8"/>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xmlns="" val="0"/>
            </a:ext>
          </a:extLst>
        </a:blip>
        <a:stretch>
          <a:fillRect/>
        </a:stretch>
      </xdr:blipFill>
      <xdr:spPr>
        <a:xfrm>
          <a:off x="7587343" y="17126493"/>
          <a:ext cx="4659383" cy="3735127"/>
        </a:xfrm>
        <a:prstGeom prst="rect">
          <a:avLst/>
        </a:prstGeom>
      </xdr:spPr>
    </xdr:pic>
    <xdr:clientData/>
  </xdr:twoCellAnchor>
  <xdr:twoCellAnchor editAs="oneCell">
    <xdr:from>
      <xdr:col>7</xdr:col>
      <xdr:colOff>272143</xdr:colOff>
      <xdr:row>99</xdr:row>
      <xdr:rowOff>119743</xdr:rowOff>
    </xdr:from>
    <xdr:to>
      <xdr:col>9</xdr:col>
      <xdr:colOff>348343</xdr:colOff>
      <xdr:row>106</xdr:row>
      <xdr:rowOff>88254</xdr:rowOff>
    </xdr:to>
    <xdr:pic>
      <xdr:nvPicPr>
        <xdr:cNvPr id="12" name="Picture 1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xmlns="" val="0"/>
            </a:ext>
          </a:extLst>
        </a:blip>
        <a:stretch>
          <a:fillRect/>
        </a:stretch>
      </xdr:blipFill>
      <xdr:spPr>
        <a:xfrm>
          <a:off x="7913914" y="16023772"/>
          <a:ext cx="1709058" cy="1340111"/>
        </a:xfrm>
        <a:prstGeom prst="rect">
          <a:avLst/>
        </a:prstGeom>
      </xdr:spPr>
    </xdr:pic>
    <xdr:clientData/>
  </xdr:twoCellAnchor>
  <xdr:twoCellAnchor editAs="oneCell">
    <xdr:from>
      <xdr:col>1</xdr:col>
      <xdr:colOff>1176299</xdr:colOff>
      <xdr:row>105</xdr:row>
      <xdr:rowOff>111418</xdr:rowOff>
    </xdr:from>
    <xdr:to>
      <xdr:col>11</xdr:col>
      <xdr:colOff>503248</xdr:colOff>
      <xdr:row>106</xdr:row>
      <xdr:rowOff>281204</xdr:rowOff>
    </xdr:to>
    <xdr:pic>
      <xdr:nvPicPr>
        <xdr:cNvPr id="13" name="Picture 12"/>
        <xdr:cNvPicPr>
          <a:picLocks noChangeAspect="1"/>
        </xdr:cNvPicPr>
      </xdr:nvPicPr>
      <xdr:blipFill>
        <a:blip xmlns:r="http://schemas.openxmlformats.org/officeDocument/2006/relationships" r:embed="rId12" cstate="print"/>
        <a:stretch>
          <a:fillRect/>
        </a:stretch>
      </xdr:blipFill>
      <xdr:spPr>
        <a:xfrm>
          <a:off x="1203193" y="16875418"/>
          <a:ext cx="10342581" cy="358045"/>
        </a:xfrm>
        <a:prstGeom prst="rect">
          <a:avLst/>
        </a:prstGeom>
      </xdr:spPr>
    </xdr:pic>
    <xdr:clientData/>
  </xdr:twoCellAnchor>
  <xdr:twoCellAnchor>
    <xdr:from>
      <xdr:col>5</xdr:col>
      <xdr:colOff>286871</xdr:colOff>
      <xdr:row>105</xdr:row>
      <xdr:rowOff>53788</xdr:rowOff>
    </xdr:from>
    <xdr:to>
      <xdr:col>6</xdr:col>
      <xdr:colOff>8965</xdr:colOff>
      <xdr:row>106</xdr:row>
      <xdr:rowOff>304800</xdr:rowOff>
    </xdr:to>
    <xdr:sp macro="" textlink="">
      <xdr:nvSpPr>
        <xdr:cNvPr id="14" name="Oval 13"/>
        <xdr:cNvSpPr/>
      </xdr:nvSpPr>
      <xdr:spPr>
        <a:xfrm>
          <a:off x="6320118" y="16817788"/>
          <a:ext cx="851647" cy="4392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277908</xdr:colOff>
      <xdr:row>105</xdr:row>
      <xdr:rowOff>35859</xdr:rowOff>
    </xdr:from>
    <xdr:to>
      <xdr:col>10</xdr:col>
      <xdr:colOff>519955</xdr:colOff>
      <xdr:row>106</xdr:row>
      <xdr:rowOff>286871</xdr:rowOff>
    </xdr:to>
    <xdr:sp macro="" textlink="">
      <xdr:nvSpPr>
        <xdr:cNvPr id="25" name="Oval 24"/>
        <xdr:cNvSpPr/>
      </xdr:nvSpPr>
      <xdr:spPr>
        <a:xfrm>
          <a:off x="9556379" y="16799859"/>
          <a:ext cx="851647" cy="43927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42334</xdr:colOff>
      <xdr:row>14</xdr:row>
      <xdr:rowOff>56444</xdr:rowOff>
    </xdr:from>
    <xdr:to>
      <xdr:col>1</xdr:col>
      <xdr:colOff>1742723</xdr:colOff>
      <xdr:row>21</xdr:row>
      <xdr:rowOff>241689</xdr:rowOff>
    </xdr:to>
    <xdr:pic>
      <xdr:nvPicPr>
        <xdr:cNvPr id="24" name="Picture 23">
          <a:hlinkClick xmlns:r="http://schemas.openxmlformats.org/officeDocument/2006/relationships" r:id="rId13"/>
        </xdr:cNvPr>
        <xdr:cNvPicPr>
          <a:picLocks noChangeAspect="1"/>
        </xdr:cNvPicPr>
      </xdr:nvPicPr>
      <xdr:blipFill>
        <a:blip xmlns:r="http://schemas.openxmlformats.org/officeDocument/2006/relationships" r:embed="rId14"/>
        <a:stretch>
          <a:fillRect/>
        </a:stretch>
      </xdr:blipFill>
      <xdr:spPr>
        <a:xfrm>
          <a:off x="77612" y="3139722"/>
          <a:ext cx="1700389" cy="1518745"/>
        </a:xfrm>
        <a:prstGeom prst="rect">
          <a:avLst/>
        </a:prstGeom>
      </xdr:spPr>
    </xdr:pic>
    <xdr:clientData/>
  </xdr:twoCellAnchor>
  <xdr:twoCellAnchor editAs="oneCell">
    <xdr:from>
      <xdr:col>1</xdr:col>
      <xdr:colOff>42333</xdr:colOff>
      <xdr:row>27</xdr:row>
      <xdr:rowOff>7056</xdr:rowOff>
    </xdr:from>
    <xdr:to>
      <xdr:col>1</xdr:col>
      <xdr:colOff>1788818</xdr:colOff>
      <xdr:row>31</xdr:row>
      <xdr:rowOff>187611</xdr:rowOff>
    </xdr:to>
    <xdr:pic>
      <xdr:nvPicPr>
        <xdr:cNvPr id="26" name="Picture 25">
          <a:hlinkClick xmlns:r="http://schemas.openxmlformats.org/officeDocument/2006/relationships" r:id="rId15"/>
        </xdr:cNvPr>
        <xdr:cNvPicPr>
          <a:picLocks noChangeAspect="1"/>
        </xdr:cNvPicPr>
      </xdr:nvPicPr>
      <xdr:blipFill>
        <a:blip xmlns:r="http://schemas.openxmlformats.org/officeDocument/2006/relationships" r:embed="rId16" cstate="print"/>
        <a:stretch>
          <a:fillRect/>
        </a:stretch>
      </xdr:blipFill>
      <xdr:spPr>
        <a:xfrm>
          <a:off x="77611" y="5969000"/>
          <a:ext cx="1746485" cy="942555"/>
        </a:xfrm>
        <a:prstGeom prst="rect">
          <a:avLst/>
        </a:prstGeom>
      </xdr:spPr>
    </xdr:pic>
    <xdr:clientData/>
  </xdr:twoCellAnchor>
  <xdr:twoCellAnchor editAs="oneCell">
    <xdr:from>
      <xdr:col>1</xdr:col>
      <xdr:colOff>49389</xdr:colOff>
      <xdr:row>38</xdr:row>
      <xdr:rowOff>56444</xdr:rowOff>
    </xdr:from>
    <xdr:to>
      <xdr:col>1</xdr:col>
      <xdr:colOff>1795874</xdr:colOff>
      <xdr:row>43</xdr:row>
      <xdr:rowOff>102943</xdr:rowOff>
    </xdr:to>
    <xdr:pic>
      <xdr:nvPicPr>
        <xdr:cNvPr id="27" name="Picture 26">
          <a:hlinkClick xmlns:r="http://schemas.openxmlformats.org/officeDocument/2006/relationships" r:id="rId15"/>
        </xdr:cNvPr>
        <xdr:cNvPicPr>
          <a:picLocks noChangeAspect="1"/>
        </xdr:cNvPicPr>
      </xdr:nvPicPr>
      <xdr:blipFill>
        <a:blip xmlns:r="http://schemas.openxmlformats.org/officeDocument/2006/relationships" r:embed="rId17" cstate="print"/>
        <a:stretch>
          <a:fillRect/>
        </a:stretch>
      </xdr:blipFill>
      <xdr:spPr>
        <a:xfrm>
          <a:off x="84667" y="8226777"/>
          <a:ext cx="1746485" cy="942555"/>
        </a:xfrm>
        <a:prstGeom prst="rect">
          <a:avLst/>
        </a:prstGeom>
      </xdr:spPr>
    </xdr:pic>
    <xdr:clientData/>
  </xdr:twoCellAnchor>
  <xdr:twoCellAnchor editAs="oneCell">
    <xdr:from>
      <xdr:col>1</xdr:col>
      <xdr:colOff>28223</xdr:colOff>
      <xdr:row>58</xdr:row>
      <xdr:rowOff>14111</xdr:rowOff>
    </xdr:from>
    <xdr:to>
      <xdr:col>1</xdr:col>
      <xdr:colOff>1885311</xdr:colOff>
      <xdr:row>63</xdr:row>
      <xdr:rowOff>142339</xdr:rowOff>
    </xdr:to>
    <xdr:pic>
      <xdr:nvPicPr>
        <xdr:cNvPr id="28" name="Picture 27">
          <a:hlinkClick xmlns:r="http://schemas.openxmlformats.org/officeDocument/2006/relationships" r:id="rId18"/>
        </xdr:cNvPr>
        <xdr:cNvPicPr>
          <a:picLocks noChangeAspect="1"/>
        </xdr:cNvPicPr>
      </xdr:nvPicPr>
      <xdr:blipFill>
        <a:blip xmlns:r="http://schemas.openxmlformats.org/officeDocument/2006/relationships" r:embed="rId19" cstate="print"/>
        <a:stretch>
          <a:fillRect/>
        </a:stretch>
      </xdr:blipFill>
      <xdr:spPr>
        <a:xfrm>
          <a:off x="63501" y="11916833"/>
          <a:ext cx="1857088" cy="1031339"/>
        </a:xfrm>
        <a:prstGeom prst="rect">
          <a:avLst/>
        </a:prstGeom>
      </xdr:spPr>
    </xdr:pic>
    <xdr:clientData/>
  </xdr:twoCellAnchor>
  <xdr:twoCellAnchor editAs="oneCell">
    <xdr:from>
      <xdr:col>1</xdr:col>
      <xdr:colOff>14111</xdr:colOff>
      <xdr:row>75</xdr:row>
      <xdr:rowOff>7054</xdr:rowOff>
    </xdr:from>
    <xdr:to>
      <xdr:col>1</xdr:col>
      <xdr:colOff>1973691</xdr:colOff>
      <xdr:row>82</xdr:row>
      <xdr:rowOff>30713</xdr:rowOff>
    </xdr:to>
    <xdr:pic>
      <xdr:nvPicPr>
        <xdr:cNvPr id="29" name="Picture 28">
          <a:hlinkClick xmlns:r="http://schemas.openxmlformats.org/officeDocument/2006/relationships" r:id="rId20"/>
        </xdr:cNvPr>
        <xdr:cNvPicPr>
          <a:picLocks noChangeAspect="1"/>
        </xdr:cNvPicPr>
      </xdr:nvPicPr>
      <xdr:blipFill>
        <a:blip xmlns:r="http://schemas.openxmlformats.org/officeDocument/2006/relationships" r:embed="rId21" cstate="print"/>
        <a:stretch>
          <a:fillRect/>
        </a:stretch>
      </xdr:blipFill>
      <xdr:spPr>
        <a:xfrm>
          <a:off x="49389" y="14971887"/>
          <a:ext cx="1959580" cy="1159603"/>
        </a:xfrm>
        <a:prstGeom prst="rect">
          <a:avLst/>
        </a:prstGeom>
      </xdr:spPr>
    </xdr:pic>
    <xdr:clientData/>
  </xdr:twoCellAnchor>
  <xdr:twoCellAnchor editAs="oneCell">
    <xdr:from>
      <xdr:col>1</xdr:col>
      <xdr:colOff>35278</xdr:colOff>
      <xdr:row>91</xdr:row>
      <xdr:rowOff>35278</xdr:rowOff>
    </xdr:from>
    <xdr:to>
      <xdr:col>2</xdr:col>
      <xdr:colOff>5291</xdr:colOff>
      <xdr:row>96</xdr:row>
      <xdr:rowOff>21166</xdr:rowOff>
    </xdr:to>
    <xdr:pic>
      <xdr:nvPicPr>
        <xdr:cNvPr id="30" name="Picture 29">
          <a:hlinkClick xmlns:r="http://schemas.openxmlformats.org/officeDocument/2006/relationships" r:id="rId22"/>
        </xdr:cNvPr>
        <xdr:cNvPicPr>
          <a:picLocks noChangeAspect="1"/>
        </xdr:cNvPicPr>
      </xdr:nvPicPr>
      <xdr:blipFill>
        <a:blip xmlns:r="http://schemas.openxmlformats.org/officeDocument/2006/relationships" r:embed="rId23" cstate="print"/>
        <a:stretch>
          <a:fillRect/>
        </a:stretch>
      </xdr:blipFill>
      <xdr:spPr>
        <a:xfrm>
          <a:off x="70556" y="17850556"/>
          <a:ext cx="2008786" cy="9383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97155</xdr:colOff>
      <xdr:row>61</xdr:row>
      <xdr:rowOff>22860</xdr:rowOff>
    </xdr:from>
    <xdr:to>
      <xdr:col>13</xdr:col>
      <xdr:colOff>20955</xdr:colOff>
      <xdr:row>86</xdr:row>
      <xdr:rowOff>133350</xdr:rowOff>
    </xdr:to>
    <xdr:sp macro="" textlink="">
      <xdr:nvSpPr>
        <xdr:cNvPr id="2" name="Text Box 17"/>
        <xdr:cNvSpPr txBox="1">
          <a:spLocks noChangeArrowheads="1"/>
        </xdr:cNvSpPr>
      </xdr:nvSpPr>
      <xdr:spPr bwMode="auto">
        <a:xfrm>
          <a:off x="4608195" y="11254740"/>
          <a:ext cx="4381500" cy="430149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R1 =  Assumed Value</a:t>
          </a:r>
        </a:p>
        <a:p>
          <a:pPr algn="l" rtl="0">
            <a:defRPr sz="1000"/>
          </a:pPr>
          <a:endParaRPr lang="en-US" sz="1000" b="0" i="0" u="sng"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R3 = </a:t>
          </a:r>
          <a:r>
            <a:rPr lang="en-US" sz="1000" b="0" i="0" u="sng" strike="noStrike" baseline="0">
              <a:solidFill>
                <a:srgbClr val="000000"/>
              </a:solidFill>
              <a:latin typeface="Arial"/>
              <a:cs typeface="Arial"/>
            </a:rPr>
            <a:t>         1.35V x R1 x UVLO</a:t>
          </a:r>
          <a:r>
            <a:rPr lang="en-US" sz="800" b="0" i="0" u="sng" strike="noStrike" baseline="0">
              <a:solidFill>
                <a:srgbClr val="000000"/>
              </a:solidFill>
              <a:latin typeface="Arial"/>
              <a:cs typeface="Arial"/>
            </a:rPr>
            <a:t>(lower)</a:t>
          </a:r>
          <a:r>
            <a:rPr lang="en-US" sz="1000" b="0" i="0" u="sng"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x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R2 =  </a:t>
          </a:r>
          <a:r>
            <a:rPr lang="en-US" sz="1000" b="0" i="0" u="sng" strike="noStrike" baseline="0">
              <a:solidFill>
                <a:srgbClr val="000000"/>
              </a:solidFill>
              <a:latin typeface="Arial"/>
              <a:cs typeface="Arial"/>
            </a:rPr>
            <a:t>       1.35V  x  R1      </a:t>
          </a:r>
          <a:r>
            <a:rPr lang="en-US" sz="1000" b="0" i="0" u="none" strike="noStrike" baseline="0">
              <a:solidFill>
                <a:srgbClr val="000000"/>
              </a:solidFill>
              <a:latin typeface="Arial"/>
              <a:cs typeface="Arial"/>
            </a:rPr>
            <a:t>  -  R3</a:t>
          </a:r>
        </a:p>
        <a:p>
          <a:pPr algn="l" rtl="0">
            <a:defRPr sz="1000"/>
          </a:pPr>
          <a:r>
            <a:rPr lang="en-US" sz="1000" b="0" i="0" u="none" strike="noStrike" baseline="0">
              <a:solidFill>
                <a:srgbClr val="000000"/>
              </a:solidFill>
              <a:latin typeface="Arial"/>
              <a:cs typeface="Arial"/>
            </a:rPr>
            <a:t>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1.35V + (R1 x  </a:t>
          </a:r>
          <a:r>
            <a:rPr lang="en-US" sz="1000" b="0" i="0" u="sng" strike="noStrike" baseline="0">
              <a:solidFill>
                <a:srgbClr val="000000"/>
              </a:solidFill>
              <a:latin typeface="Arial"/>
              <a:cs typeface="Arial"/>
            </a:rPr>
            <a:t>( 1.35V     </a:t>
          </a:r>
          <a:r>
            <a:rPr lang="en-US" sz="1000" b="0" i="0" u="none" strike="noStrike" baseline="0">
              <a:solidFill>
                <a:srgbClr val="000000"/>
              </a:solidFill>
              <a:latin typeface="Arial"/>
              <a:cs typeface="Arial"/>
            </a:rPr>
            <a:t> +  23uA)</a:t>
          </a: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UVLO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1.35V x </a:t>
          </a:r>
          <a:r>
            <a:rPr lang="en-US" sz="1000" b="0" i="0" u="sng" strike="noStrike" baseline="0">
              <a:solidFill>
                <a:srgbClr val="000000"/>
              </a:solidFill>
              <a:latin typeface="Arial"/>
              <a:cs typeface="Arial"/>
            </a:rPr>
            <a:t>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(upper)</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1.35V x (R1 + R2 + R3)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Typical OVLO</a:t>
          </a:r>
          <a:r>
            <a:rPr lang="en-US" sz="800" b="0" i="0" u="none" strike="noStrike" baseline="0">
              <a:solidFill>
                <a:srgbClr val="000000"/>
              </a:solidFill>
              <a:latin typeface="Arial"/>
              <a:cs typeface="Arial"/>
            </a:rPr>
            <a:t>(lower)</a:t>
          </a:r>
          <a:r>
            <a:rPr lang="en-US" sz="1000" b="0" i="0" u="none" strike="noStrike" baseline="0">
              <a:solidFill>
                <a:srgbClr val="000000"/>
              </a:solidFill>
              <a:latin typeface="Arial"/>
              <a:cs typeface="Arial"/>
            </a:rPr>
            <a:t> = ((R1 + R2) x ((</a:t>
          </a:r>
          <a:r>
            <a:rPr lang="en-US" sz="1000" b="0" i="0" u="sng" strike="noStrike" baseline="0">
              <a:solidFill>
                <a:srgbClr val="000000"/>
              </a:solidFill>
              <a:latin typeface="Arial"/>
              <a:cs typeface="Arial"/>
            </a:rPr>
            <a:t> 1.16V)</a:t>
          </a:r>
          <a:r>
            <a:rPr lang="en-US" sz="1000" b="0" i="0" u="none" strike="noStrike" baseline="0">
              <a:solidFill>
                <a:srgbClr val="000000"/>
              </a:solidFill>
              <a:latin typeface="Arial"/>
              <a:cs typeface="Arial"/>
            </a:rPr>
            <a:t>  -  23uA)) + 1.35V</a:t>
          </a:r>
        </a:p>
        <a:p>
          <a:pPr algn="l" rtl="0">
            <a:defRPr sz="1000"/>
          </a:pPr>
          <a:r>
            <a:rPr lang="en-US" sz="1000" b="0" i="0" u="none" strike="noStrike" baseline="0">
              <a:solidFill>
                <a:srgbClr val="00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111</xdr:row>
      <xdr:rowOff>133350</xdr:rowOff>
    </xdr:from>
    <xdr:to>
      <xdr:col>9</xdr:col>
      <xdr:colOff>276225</xdr:colOff>
      <xdr:row>122</xdr:row>
      <xdr:rowOff>142875</xdr:rowOff>
    </xdr:to>
    <xdr:sp macro="" textlink="">
      <xdr:nvSpPr>
        <xdr:cNvPr id="3" name="Text Box 98"/>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563880</xdr:colOff>
      <xdr:row>24</xdr:row>
      <xdr:rowOff>87630</xdr:rowOff>
    </xdr:from>
    <xdr:to>
      <xdr:col>27</xdr:col>
      <xdr:colOff>388620</xdr:colOff>
      <xdr:row>44</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ti.com/lit/pdf/slva673" TargetMode="External"/><Relationship Id="rId1" Type="http://schemas.openxmlformats.org/officeDocument/2006/relationships/hyperlink" Target="http://www.ti.com/general/docs/lit/getliterature.tsp?genericPartNumber=tps24740&amp;fileType=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7940999001&amp;keyMatch=hot%20swap%20calculator%20tutorial:%20step%201&amp;tisearch=Search-EN-Everything" TargetMode="External"/><Relationship Id="rId13" Type="http://schemas.openxmlformats.org/officeDocument/2006/relationships/printerSettings" Target="../printerSettings/printerSettings1.bin"/><Relationship Id="rId3" Type="http://schemas.openxmlformats.org/officeDocument/2006/relationships/hyperlink" Target="http://www.ti.com/general/docs/video/watch.tsp?entryid=4609077122001" TargetMode="External"/><Relationship Id="rId7" Type="http://schemas.openxmlformats.org/officeDocument/2006/relationships/hyperlink" Target="http://www.ti.com/product/tps24740?keyMatch=tps24740&amp;tisearch=Search-EN-Everything" TargetMode="External"/><Relationship Id="rId12" Type="http://schemas.openxmlformats.org/officeDocument/2006/relationships/hyperlink" Target="http://www.ti.com/general/docs/video/watch.tsp?entryid=4609733745001" TargetMode="External"/><Relationship Id="rId2" Type="http://schemas.openxmlformats.org/officeDocument/2006/relationships/hyperlink" Target="http://www.ti.com/general/docs/video/watch.tsp?entryid=4609733745001" TargetMode="External"/><Relationship Id="rId16" Type="http://schemas.openxmlformats.org/officeDocument/2006/relationships/comments" Target="../comments1.xml"/><Relationship Id="rId1" Type="http://schemas.openxmlformats.org/officeDocument/2006/relationships/hyperlink" Target="http://www.ti.com/hotswap" TargetMode="External"/><Relationship Id="rId6" Type="http://schemas.openxmlformats.org/officeDocument/2006/relationships/hyperlink" Target="http://e2e.ti.com/" TargetMode="External"/><Relationship Id="rId11" Type="http://schemas.openxmlformats.org/officeDocument/2006/relationships/hyperlink" Target="http://www.ti.com/general/docs/video/watch.tsp?entryid=4609077122001" TargetMode="External"/><Relationship Id="rId5" Type="http://schemas.openxmlformats.org/officeDocument/2006/relationships/hyperlink" Target="http://www.ti.com/general/docs/video/watch.tsp?entryid=4607940999001" TargetMode="External"/><Relationship Id="rId15" Type="http://schemas.openxmlformats.org/officeDocument/2006/relationships/vmlDrawing" Target="../drawings/vmlDrawing1.vml"/><Relationship Id="rId10" Type="http://schemas.openxmlformats.org/officeDocument/2006/relationships/hyperlink" Target="http://www.ti.com/general/docs/video/watch.tsp?entryid=4609077027001" TargetMode="External"/><Relationship Id="rId4" Type="http://schemas.openxmlformats.org/officeDocument/2006/relationships/hyperlink" Target="http://www.ti.com/general/docs/video/watch.tsp?entryid=4609077027001" TargetMode="External"/><Relationship Id="rId9" Type="http://schemas.openxmlformats.org/officeDocument/2006/relationships/hyperlink" Target="http://www.ti.com/general/docs/video/watch.tsp?entryid=4607940999001&amp;keyMatch=hot%20swap%20calculator%20tutorial:%20step%201&amp;tisearch=Search-EN-Everything"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P100"/>
  <sheetViews>
    <sheetView topLeftCell="A55" workbookViewId="0">
      <selection activeCell="B9" sqref="B9"/>
    </sheetView>
  </sheetViews>
  <sheetFormatPr defaultColWidth="8.88671875" defaultRowHeight="13.2"/>
  <cols>
    <col min="1" max="15" width="8.88671875" style="145"/>
    <col min="16" max="16" width="18.33203125" style="145" customWidth="1"/>
    <col min="17" max="16384" width="8.88671875" style="145"/>
  </cols>
  <sheetData>
    <row r="1" spans="1:16" ht="13.8" thickTop="1">
      <c r="A1" s="118"/>
      <c r="B1" s="119"/>
      <c r="C1" s="119"/>
      <c r="D1" s="119"/>
      <c r="E1" s="119"/>
      <c r="F1" s="119"/>
      <c r="G1" s="119"/>
      <c r="H1" s="119"/>
      <c r="I1" s="119"/>
      <c r="J1" s="119"/>
      <c r="K1" s="119"/>
      <c r="L1" s="119"/>
      <c r="M1" s="119"/>
      <c r="N1" s="119"/>
      <c r="O1" s="119"/>
      <c r="P1" s="120"/>
    </row>
    <row r="2" spans="1:16">
      <c r="A2" s="121"/>
      <c r="B2" s="122"/>
      <c r="C2" s="122"/>
      <c r="D2" s="122"/>
      <c r="E2" s="122"/>
      <c r="F2" s="122"/>
      <c r="G2" s="122"/>
      <c r="H2" s="122"/>
      <c r="I2" s="122"/>
      <c r="J2" s="122"/>
      <c r="K2" s="122"/>
      <c r="L2" s="122"/>
      <c r="M2" s="122"/>
      <c r="N2" s="122"/>
      <c r="O2" s="122"/>
      <c r="P2" s="123"/>
    </row>
    <row r="3" spans="1:16" ht="30">
      <c r="A3" s="121"/>
      <c r="B3" s="122"/>
      <c r="C3" s="122"/>
      <c r="D3" s="124"/>
      <c r="E3" s="122"/>
      <c r="F3" s="122"/>
      <c r="G3" s="122"/>
      <c r="H3" s="122"/>
      <c r="I3" s="122"/>
      <c r="J3" s="122"/>
      <c r="K3" s="122"/>
      <c r="L3" s="125"/>
      <c r="M3" s="122"/>
      <c r="N3" s="122"/>
      <c r="O3" s="122"/>
      <c r="P3" s="123"/>
    </row>
    <row r="4" spans="1:16" ht="22.8">
      <c r="A4" s="121"/>
      <c r="B4" s="122"/>
      <c r="C4" s="122"/>
      <c r="D4" s="126"/>
      <c r="E4" s="122"/>
      <c r="F4" s="122"/>
      <c r="G4" s="122"/>
      <c r="H4" s="122"/>
      <c r="I4" s="122"/>
      <c r="J4" s="122"/>
      <c r="K4" s="122"/>
      <c r="L4" s="122"/>
      <c r="M4" s="122"/>
      <c r="N4" s="122"/>
      <c r="O4" s="122"/>
      <c r="P4" s="123"/>
    </row>
    <row r="5" spans="1:16">
      <c r="A5" s="121"/>
      <c r="B5" s="122"/>
      <c r="C5" s="122"/>
      <c r="D5" s="122"/>
      <c r="E5" s="122"/>
      <c r="F5" s="122"/>
      <c r="G5" s="122"/>
      <c r="H5" s="122"/>
      <c r="I5" s="122"/>
      <c r="J5" s="122"/>
      <c r="K5" s="122"/>
      <c r="L5" s="122"/>
      <c r="M5" s="122"/>
      <c r="N5" s="122"/>
      <c r="O5" s="122"/>
      <c r="P5" s="123"/>
    </row>
    <row r="6" spans="1:16">
      <c r="A6" s="121"/>
      <c r="B6" s="122"/>
      <c r="C6" s="122"/>
      <c r="D6" s="122"/>
      <c r="E6" s="122"/>
      <c r="F6" s="122"/>
      <c r="G6" s="122"/>
      <c r="H6" s="122"/>
      <c r="I6" s="122"/>
      <c r="J6" s="122"/>
      <c r="K6" s="122"/>
      <c r="L6" s="122"/>
      <c r="M6" s="122"/>
      <c r="N6" s="122"/>
      <c r="O6" s="122"/>
      <c r="P6" s="123"/>
    </row>
    <row r="7" spans="1:16" ht="15.6">
      <c r="A7" s="121"/>
      <c r="B7" s="122"/>
      <c r="C7" s="122"/>
      <c r="D7" s="122"/>
      <c r="E7" s="122"/>
      <c r="F7" s="122"/>
      <c r="G7" s="122"/>
      <c r="H7" s="122"/>
      <c r="I7" s="122"/>
      <c r="J7" s="122"/>
      <c r="K7" s="122"/>
      <c r="L7" s="122"/>
      <c r="M7" s="125" t="s">
        <v>480</v>
      </c>
      <c r="N7" s="122"/>
      <c r="O7" s="122"/>
      <c r="P7" s="123"/>
    </row>
    <row r="8" spans="1:16" ht="30">
      <c r="A8" s="121"/>
      <c r="B8" s="124" t="s">
        <v>500</v>
      </c>
      <c r="C8" s="122"/>
      <c r="D8" s="122"/>
      <c r="E8" s="122"/>
      <c r="F8" s="122"/>
      <c r="G8" s="122"/>
      <c r="H8" s="122"/>
      <c r="I8" s="122"/>
      <c r="J8" s="122"/>
      <c r="K8" s="122"/>
      <c r="L8" s="122"/>
      <c r="M8" s="122"/>
      <c r="N8" s="122"/>
      <c r="O8" s="122"/>
      <c r="P8" s="123"/>
    </row>
    <row r="9" spans="1:16">
      <c r="A9" s="121"/>
      <c r="B9" s="122"/>
      <c r="C9" s="122"/>
      <c r="D9" s="122"/>
      <c r="E9" s="122"/>
      <c r="F9" s="122"/>
      <c r="G9" s="122"/>
      <c r="H9" s="122"/>
      <c r="I9" s="122"/>
      <c r="J9" s="122"/>
      <c r="K9" s="122"/>
      <c r="L9" s="122"/>
      <c r="M9" s="122"/>
      <c r="N9" s="122"/>
      <c r="O9" s="122"/>
      <c r="P9" s="123"/>
    </row>
    <row r="10" spans="1:16" ht="20.399999999999999">
      <c r="A10" s="121"/>
      <c r="B10" s="300" t="s">
        <v>367</v>
      </c>
      <c r="C10" s="301"/>
      <c r="D10" s="301"/>
      <c r="E10" s="301"/>
      <c r="F10" s="302"/>
      <c r="G10" s="302"/>
      <c r="H10" s="302"/>
      <c r="I10" s="302"/>
      <c r="J10" s="122"/>
      <c r="K10" s="122"/>
      <c r="L10" s="122"/>
      <c r="M10" s="122"/>
      <c r="N10" s="122"/>
      <c r="O10" s="122"/>
      <c r="P10" s="123"/>
    </row>
    <row r="11" spans="1:16" ht="13.8">
      <c r="A11" s="121"/>
      <c r="B11" s="303" t="s">
        <v>368</v>
      </c>
      <c r="C11" s="304"/>
      <c r="D11" s="304"/>
      <c r="E11" s="304"/>
      <c r="F11" s="302"/>
      <c r="G11" s="302"/>
      <c r="H11" s="302"/>
      <c r="I11" s="302"/>
      <c r="J11" s="122"/>
      <c r="K11" s="122"/>
      <c r="L11" s="122"/>
      <c r="M11" s="122"/>
      <c r="N11" s="122"/>
      <c r="O11" s="122"/>
      <c r="P11" s="123"/>
    </row>
    <row r="12" spans="1:16" ht="13.8">
      <c r="A12" s="121"/>
      <c r="B12" s="303" t="s">
        <v>369</v>
      </c>
      <c r="C12" s="304"/>
      <c r="D12" s="304"/>
      <c r="E12" s="304"/>
      <c r="F12" s="302"/>
      <c r="G12" s="302"/>
      <c r="H12" s="302"/>
      <c r="I12" s="302"/>
      <c r="J12" s="122"/>
      <c r="K12" s="122"/>
      <c r="L12" s="122"/>
      <c r="M12" s="122"/>
      <c r="N12" s="122"/>
      <c r="O12" s="122"/>
      <c r="P12" s="123"/>
    </row>
    <row r="13" spans="1:16" ht="13.8">
      <c r="A13" s="121"/>
      <c r="B13" s="303"/>
      <c r="C13" s="304"/>
      <c r="D13" s="304"/>
      <c r="E13" s="304"/>
      <c r="F13" s="302"/>
      <c r="G13" s="302"/>
      <c r="H13" s="302"/>
      <c r="I13" s="302"/>
      <c r="J13" s="122"/>
      <c r="K13" s="122"/>
      <c r="L13" s="122"/>
      <c r="M13" s="122"/>
      <c r="N13" s="122"/>
      <c r="O13" s="122"/>
      <c r="P13" s="123"/>
    </row>
    <row r="14" spans="1:16">
      <c r="A14" s="121"/>
      <c r="B14" s="338" t="s">
        <v>481</v>
      </c>
      <c r="C14" s="338"/>
      <c r="D14" s="338"/>
      <c r="E14" s="301"/>
      <c r="F14" s="302"/>
      <c r="G14" s="302"/>
      <c r="H14" s="302"/>
      <c r="I14" s="302"/>
      <c r="J14" s="122"/>
      <c r="K14" s="122"/>
      <c r="L14" s="122"/>
      <c r="M14" s="122"/>
      <c r="N14" s="122"/>
      <c r="O14" s="122"/>
      <c r="P14" s="123"/>
    </row>
    <row r="15" spans="1:16">
      <c r="A15" s="121"/>
      <c r="B15" s="339" t="s">
        <v>483</v>
      </c>
      <c r="C15" s="339"/>
      <c r="D15" s="339"/>
      <c r="E15" s="339"/>
      <c r="F15" s="339"/>
      <c r="G15" s="339"/>
      <c r="H15" s="339"/>
      <c r="I15" s="339"/>
      <c r="J15" s="122"/>
      <c r="K15" s="122"/>
      <c r="L15" s="122"/>
      <c r="M15" s="122"/>
      <c r="N15" s="122"/>
      <c r="O15" s="122"/>
      <c r="P15" s="123"/>
    </row>
    <row r="16" spans="1:16">
      <c r="A16" s="121"/>
      <c r="B16" s="301"/>
      <c r="C16" s="301"/>
      <c r="D16" s="301"/>
      <c r="E16" s="301"/>
      <c r="F16" s="302"/>
      <c r="G16" s="302"/>
      <c r="H16" s="302"/>
      <c r="I16" s="302"/>
      <c r="J16" s="122"/>
      <c r="K16" s="122"/>
      <c r="L16" s="122"/>
      <c r="M16" s="122"/>
      <c r="N16" s="122"/>
      <c r="O16" s="122"/>
      <c r="P16" s="123"/>
    </row>
    <row r="17" spans="1:16">
      <c r="A17" s="121"/>
      <c r="B17" s="305" t="s">
        <v>370</v>
      </c>
      <c r="C17" s="301"/>
      <c r="D17" s="301"/>
      <c r="E17" s="301"/>
      <c r="F17" s="302"/>
      <c r="G17" s="302"/>
      <c r="H17" s="302"/>
      <c r="I17" s="302"/>
      <c r="J17" s="122"/>
      <c r="K17" s="122"/>
      <c r="L17" s="122"/>
      <c r="M17" s="122"/>
      <c r="N17" s="122"/>
      <c r="O17" s="122"/>
      <c r="P17" s="123"/>
    </row>
    <row r="18" spans="1:16">
      <c r="A18" s="121"/>
      <c r="B18" s="306" t="s">
        <v>371</v>
      </c>
      <c r="C18" s="301"/>
      <c r="D18" s="301"/>
      <c r="E18" s="301"/>
      <c r="F18" s="302"/>
      <c r="G18" s="302"/>
      <c r="H18" s="302"/>
      <c r="I18" s="302"/>
      <c r="J18" s="122"/>
      <c r="K18" s="122"/>
      <c r="L18" s="122"/>
      <c r="M18" s="122"/>
      <c r="N18" s="122"/>
      <c r="O18" s="122"/>
      <c r="P18" s="123"/>
    </row>
    <row r="19" spans="1:16">
      <c r="A19" s="121"/>
      <c r="B19" s="306" t="s">
        <v>372</v>
      </c>
      <c r="C19" s="301"/>
      <c r="D19" s="301"/>
      <c r="E19" s="301"/>
      <c r="F19" s="302"/>
      <c r="G19" s="302"/>
      <c r="H19" s="302"/>
      <c r="I19" s="302"/>
      <c r="J19" s="122"/>
      <c r="K19" s="122"/>
      <c r="L19" s="122"/>
      <c r="M19" s="122"/>
      <c r="N19" s="122"/>
      <c r="O19" s="122"/>
      <c r="P19" s="123"/>
    </row>
    <row r="20" spans="1:16">
      <c r="A20" s="121"/>
      <c r="B20" s="306" t="s">
        <v>484</v>
      </c>
      <c r="C20" s="301"/>
      <c r="D20" s="301"/>
      <c r="E20" s="301"/>
      <c r="F20" s="302"/>
      <c r="G20" s="302"/>
      <c r="H20" s="302"/>
      <c r="I20" s="302"/>
      <c r="J20" s="122"/>
      <c r="K20" s="122"/>
      <c r="L20" s="122"/>
      <c r="M20" s="122"/>
      <c r="N20" s="122"/>
      <c r="O20" s="122"/>
      <c r="P20" s="123"/>
    </row>
    <row r="21" spans="1:16">
      <c r="A21" s="121"/>
      <c r="B21" s="306" t="s">
        <v>485</v>
      </c>
      <c r="C21" s="301"/>
      <c r="D21" s="301"/>
      <c r="E21" s="301"/>
      <c r="F21" s="302"/>
      <c r="G21" s="302"/>
      <c r="H21" s="302"/>
      <c r="I21" s="302"/>
      <c r="J21" s="122"/>
      <c r="K21" s="122"/>
      <c r="L21" s="122"/>
      <c r="M21" s="122"/>
      <c r="N21" s="122"/>
      <c r="O21" s="122"/>
      <c r="P21" s="123"/>
    </row>
    <row r="22" spans="1:16">
      <c r="A22" s="121"/>
      <c r="B22" s="306" t="s">
        <v>482</v>
      </c>
      <c r="C22" s="301"/>
      <c r="D22" s="301"/>
      <c r="E22" s="301"/>
      <c r="F22" s="302"/>
      <c r="G22" s="302"/>
      <c r="H22" s="302"/>
      <c r="I22" s="302"/>
      <c r="J22" s="122"/>
      <c r="K22" s="122"/>
      <c r="L22" s="122"/>
      <c r="M22" s="122"/>
      <c r="N22" s="122"/>
      <c r="O22" s="122"/>
      <c r="P22" s="123"/>
    </row>
    <row r="23" spans="1:16">
      <c r="A23" s="121"/>
      <c r="B23" s="306" t="s">
        <v>373</v>
      </c>
      <c r="C23" s="301"/>
      <c r="D23" s="301"/>
      <c r="E23" s="301"/>
      <c r="F23" s="302"/>
      <c r="G23" s="302"/>
      <c r="H23" s="302"/>
      <c r="I23" s="302"/>
      <c r="J23" s="122"/>
      <c r="K23" s="122"/>
      <c r="L23" s="122"/>
      <c r="M23" s="122"/>
      <c r="N23" s="122"/>
      <c r="O23" s="122"/>
      <c r="P23" s="123"/>
    </row>
    <row r="24" spans="1:16">
      <c r="A24" s="121"/>
      <c r="B24" s="306" t="s">
        <v>374</v>
      </c>
      <c r="C24" s="301"/>
      <c r="D24" s="301"/>
      <c r="E24" s="301"/>
      <c r="F24" s="302"/>
      <c r="G24" s="302"/>
      <c r="H24" s="302"/>
      <c r="I24" s="302"/>
      <c r="J24" s="122"/>
      <c r="K24" s="122"/>
      <c r="L24" s="122"/>
      <c r="M24" s="122"/>
      <c r="N24" s="122"/>
      <c r="O24" s="122"/>
      <c r="P24" s="123"/>
    </row>
    <row r="25" spans="1:16">
      <c r="A25" s="121"/>
      <c r="B25" s="306"/>
      <c r="C25" s="301"/>
      <c r="D25" s="301"/>
      <c r="E25" s="301"/>
      <c r="F25" s="302"/>
      <c r="G25" s="302"/>
      <c r="H25" s="302"/>
      <c r="I25" s="302"/>
      <c r="J25" s="122"/>
      <c r="K25" s="122"/>
      <c r="L25" s="122"/>
      <c r="M25" s="122"/>
      <c r="N25" s="122"/>
      <c r="O25" s="122"/>
      <c r="P25" s="123"/>
    </row>
    <row r="26" spans="1:16" ht="20.399999999999999">
      <c r="A26" s="121"/>
      <c r="B26" s="300" t="s">
        <v>375</v>
      </c>
      <c r="C26" s="302"/>
      <c r="D26" s="302"/>
      <c r="E26" s="302"/>
      <c r="F26" s="302"/>
      <c r="G26" s="302"/>
      <c r="H26" s="302"/>
      <c r="I26" s="302"/>
      <c r="J26" s="122"/>
      <c r="K26" s="122"/>
      <c r="L26" s="122"/>
      <c r="M26" s="122"/>
      <c r="N26" s="122"/>
      <c r="O26" s="122"/>
      <c r="P26" s="123"/>
    </row>
    <row r="27" spans="1:16">
      <c r="A27" s="121"/>
      <c r="B27" s="307" t="s">
        <v>376</v>
      </c>
      <c r="C27" s="302"/>
      <c r="D27" s="302"/>
      <c r="E27" s="302"/>
      <c r="F27" s="302"/>
      <c r="G27" s="302"/>
      <c r="H27" s="302"/>
      <c r="I27" s="302"/>
      <c r="J27" s="122"/>
      <c r="K27" s="122"/>
      <c r="L27" s="122"/>
      <c r="M27" s="122"/>
      <c r="N27" s="122"/>
      <c r="O27" s="122"/>
      <c r="P27" s="123"/>
    </row>
    <row r="28" spans="1:16">
      <c r="A28" s="121"/>
      <c r="B28" s="302" t="s">
        <v>377</v>
      </c>
      <c r="C28" s="302"/>
      <c r="D28" s="302"/>
      <c r="E28" s="302"/>
      <c r="F28" s="302"/>
      <c r="G28" s="302"/>
      <c r="H28" s="302"/>
      <c r="I28" s="302"/>
      <c r="J28" s="122"/>
      <c r="K28" s="122"/>
      <c r="L28" s="122"/>
      <c r="M28" s="122"/>
      <c r="N28" s="122"/>
      <c r="O28" s="122"/>
      <c r="P28" s="123"/>
    </row>
    <row r="29" spans="1:16">
      <c r="A29" s="121"/>
      <c r="B29" s="302"/>
      <c r="C29" s="302"/>
      <c r="D29" s="302"/>
      <c r="E29" s="302"/>
      <c r="F29" s="302"/>
      <c r="G29" s="302"/>
      <c r="H29" s="302"/>
      <c r="I29" s="302"/>
      <c r="J29" s="122"/>
      <c r="K29" s="122"/>
      <c r="L29" s="122"/>
      <c r="M29" s="122"/>
      <c r="N29" s="122"/>
      <c r="O29" s="122"/>
      <c r="P29" s="123"/>
    </row>
    <row r="30" spans="1:16">
      <c r="A30" s="121"/>
      <c r="B30" s="307" t="s">
        <v>378</v>
      </c>
      <c r="C30" s="302"/>
      <c r="D30" s="302"/>
      <c r="E30" s="302"/>
      <c r="F30" s="302"/>
      <c r="G30" s="302"/>
      <c r="H30" s="302"/>
      <c r="I30" s="302"/>
      <c r="J30" s="122"/>
      <c r="K30" s="122"/>
      <c r="L30" s="122"/>
      <c r="M30" s="122"/>
      <c r="N30" s="122"/>
      <c r="O30" s="122"/>
      <c r="P30" s="123"/>
    </row>
    <row r="31" spans="1:16">
      <c r="A31" s="121"/>
      <c r="B31" s="302"/>
      <c r="C31" s="302"/>
      <c r="D31" s="302"/>
      <c r="E31" s="302"/>
      <c r="F31" s="302"/>
      <c r="G31" s="302"/>
      <c r="H31" s="302"/>
      <c r="I31" s="302"/>
      <c r="J31" s="122"/>
      <c r="K31" s="122"/>
      <c r="L31" s="122"/>
      <c r="M31" s="122"/>
      <c r="N31" s="122"/>
      <c r="O31" s="122"/>
      <c r="P31" s="123"/>
    </row>
    <row r="32" spans="1:16">
      <c r="A32" s="121"/>
      <c r="B32" s="302" t="s">
        <v>379</v>
      </c>
      <c r="C32" s="302"/>
      <c r="D32" s="302"/>
      <c r="E32" s="302"/>
      <c r="F32" s="302"/>
      <c r="G32" s="302"/>
      <c r="H32" s="302"/>
      <c r="I32" s="302"/>
      <c r="J32" s="122"/>
      <c r="K32" s="122"/>
      <c r="L32" s="122"/>
      <c r="M32" s="122"/>
      <c r="N32" s="122"/>
      <c r="O32" s="122"/>
      <c r="P32" s="123"/>
    </row>
    <row r="33" spans="1:16">
      <c r="A33" s="121"/>
      <c r="B33" s="122" t="s">
        <v>379</v>
      </c>
      <c r="C33" s="122"/>
      <c r="D33" s="122"/>
      <c r="E33" s="122"/>
      <c r="F33" s="122"/>
      <c r="G33" s="122"/>
      <c r="H33" s="122"/>
      <c r="I33" s="122"/>
      <c r="J33" s="122"/>
      <c r="K33" s="122"/>
      <c r="L33" s="122"/>
      <c r="M33" s="122"/>
      <c r="N33" s="122"/>
      <c r="O33" s="122"/>
      <c r="P33" s="123"/>
    </row>
    <row r="34" spans="1:16">
      <c r="A34" s="121"/>
      <c r="B34" s="127"/>
      <c r="C34" s="122"/>
      <c r="D34" s="122"/>
      <c r="E34" s="122"/>
      <c r="F34" s="122"/>
      <c r="G34" s="122"/>
      <c r="H34" s="122"/>
      <c r="I34" s="122"/>
      <c r="J34" s="122"/>
      <c r="K34" s="122"/>
      <c r="L34" s="122"/>
      <c r="M34" s="122"/>
      <c r="N34" s="122"/>
      <c r="O34" s="122"/>
      <c r="P34" s="123"/>
    </row>
    <row r="35" spans="1:16" ht="13.8" thickBot="1">
      <c r="A35" s="121"/>
      <c r="B35" s="122"/>
      <c r="C35" s="307"/>
      <c r="D35" s="302"/>
      <c r="E35" s="302"/>
      <c r="F35" s="302"/>
      <c r="G35" s="302"/>
      <c r="H35" s="302"/>
      <c r="I35" s="302"/>
      <c r="J35" s="302"/>
      <c r="K35" s="302"/>
      <c r="L35" s="302"/>
      <c r="M35" s="302"/>
      <c r="N35" s="302"/>
      <c r="O35" s="122"/>
      <c r="P35" s="123"/>
    </row>
    <row r="36" spans="1:16">
      <c r="A36" s="121"/>
      <c r="B36" s="122"/>
      <c r="C36" s="340" t="s">
        <v>486</v>
      </c>
      <c r="D36" s="341"/>
      <c r="E36" s="341"/>
      <c r="F36" s="341"/>
      <c r="G36" s="341"/>
      <c r="H36" s="341"/>
      <c r="I36" s="341"/>
      <c r="J36" s="341"/>
      <c r="K36" s="341"/>
      <c r="L36" s="341"/>
      <c r="M36" s="341"/>
      <c r="N36" s="342"/>
      <c r="O36" s="122"/>
      <c r="P36" s="123"/>
    </row>
    <row r="37" spans="1:16">
      <c r="A37" s="121"/>
      <c r="B37" s="122"/>
      <c r="C37" s="343"/>
      <c r="D37" s="344"/>
      <c r="E37" s="344"/>
      <c r="F37" s="344"/>
      <c r="G37" s="344"/>
      <c r="H37" s="344"/>
      <c r="I37" s="344"/>
      <c r="J37" s="344"/>
      <c r="K37" s="344"/>
      <c r="L37" s="344"/>
      <c r="M37" s="344"/>
      <c r="N37" s="345"/>
      <c r="O37" s="122"/>
      <c r="P37" s="123"/>
    </row>
    <row r="38" spans="1:16">
      <c r="A38" s="121"/>
      <c r="B38" s="122"/>
      <c r="C38" s="343"/>
      <c r="D38" s="344"/>
      <c r="E38" s="344"/>
      <c r="F38" s="344"/>
      <c r="G38" s="344"/>
      <c r="H38" s="344"/>
      <c r="I38" s="344"/>
      <c r="J38" s="344"/>
      <c r="K38" s="344"/>
      <c r="L38" s="344"/>
      <c r="M38" s="344"/>
      <c r="N38" s="345"/>
      <c r="O38" s="122"/>
      <c r="P38" s="123"/>
    </row>
    <row r="39" spans="1:16">
      <c r="A39" s="121"/>
      <c r="B39" s="122"/>
      <c r="C39" s="343"/>
      <c r="D39" s="344"/>
      <c r="E39" s="344"/>
      <c r="F39" s="344"/>
      <c r="G39" s="344"/>
      <c r="H39" s="344"/>
      <c r="I39" s="344"/>
      <c r="J39" s="344"/>
      <c r="K39" s="344"/>
      <c r="L39" s="344"/>
      <c r="M39" s="344"/>
      <c r="N39" s="345"/>
      <c r="O39" s="122"/>
      <c r="P39" s="123"/>
    </row>
    <row r="40" spans="1:16">
      <c r="A40" s="121"/>
      <c r="B40" s="122"/>
      <c r="C40" s="343"/>
      <c r="D40" s="344"/>
      <c r="E40" s="344"/>
      <c r="F40" s="344"/>
      <c r="G40" s="344"/>
      <c r="H40" s="344"/>
      <c r="I40" s="344"/>
      <c r="J40" s="344"/>
      <c r="K40" s="344"/>
      <c r="L40" s="344"/>
      <c r="M40" s="344"/>
      <c r="N40" s="345"/>
      <c r="O40" s="122"/>
      <c r="P40" s="123"/>
    </row>
    <row r="41" spans="1:16">
      <c r="A41" s="121"/>
      <c r="B41" s="122"/>
      <c r="C41" s="343"/>
      <c r="D41" s="344"/>
      <c r="E41" s="344"/>
      <c r="F41" s="344"/>
      <c r="G41" s="344"/>
      <c r="H41" s="344"/>
      <c r="I41" s="344"/>
      <c r="J41" s="344"/>
      <c r="K41" s="344"/>
      <c r="L41" s="344"/>
      <c r="M41" s="344"/>
      <c r="N41" s="345"/>
      <c r="O41" s="122"/>
      <c r="P41" s="123"/>
    </row>
    <row r="42" spans="1:16">
      <c r="A42" s="121"/>
      <c r="B42" s="122"/>
      <c r="C42" s="343"/>
      <c r="D42" s="344"/>
      <c r="E42" s="344"/>
      <c r="F42" s="344"/>
      <c r="G42" s="344"/>
      <c r="H42" s="344"/>
      <c r="I42" s="344"/>
      <c r="J42" s="344"/>
      <c r="K42" s="344"/>
      <c r="L42" s="344"/>
      <c r="M42" s="344"/>
      <c r="N42" s="345"/>
      <c r="O42" s="122"/>
      <c r="P42" s="123"/>
    </row>
    <row r="43" spans="1:16">
      <c r="A43" s="121"/>
      <c r="B43" s="122"/>
      <c r="C43" s="343"/>
      <c r="D43" s="344"/>
      <c r="E43" s="344"/>
      <c r="F43" s="344"/>
      <c r="G43" s="344"/>
      <c r="H43" s="344"/>
      <c r="I43" s="344"/>
      <c r="J43" s="344"/>
      <c r="K43" s="344"/>
      <c r="L43" s="344"/>
      <c r="M43" s="344"/>
      <c r="N43" s="345"/>
      <c r="O43" s="122"/>
      <c r="P43" s="123"/>
    </row>
    <row r="44" spans="1:16">
      <c r="A44" s="121"/>
      <c r="B44" s="122"/>
      <c r="C44" s="343"/>
      <c r="D44" s="344"/>
      <c r="E44" s="344"/>
      <c r="F44" s="344"/>
      <c r="G44" s="344"/>
      <c r="H44" s="344"/>
      <c r="I44" s="344"/>
      <c r="J44" s="344"/>
      <c r="K44" s="344"/>
      <c r="L44" s="344"/>
      <c r="M44" s="344"/>
      <c r="N44" s="345"/>
      <c r="O44" s="122"/>
      <c r="P44" s="123"/>
    </row>
    <row r="45" spans="1:16">
      <c r="A45" s="121"/>
      <c r="B45" s="122"/>
      <c r="C45" s="343"/>
      <c r="D45" s="344"/>
      <c r="E45" s="344"/>
      <c r="F45" s="344"/>
      <c r="G45" s="344"/>
      <c r="H45" s="344"/>
      <c r="I45" s="344"/>
      <c r="J45" s="344"/>
      <c r="K45" s="344"/>
      <c r="L45" s="344"/>
      <c r="M45" s="344"/>
      <c r="N45" s="345"/>
      <c r="O45" s="122"/>
      <c r="P45" s="123"/>
    </row>
    <row r="46" spans="1:16">
      <c r="A46" s="121"/>
      <c r="B46" s="122"/>
      <c r="C46" s="343"/>
      <c r="D46" s="344"/>
      <c r="E46" s="344"/>
      <c r="F46" s="344"/>
      <c r="G46" s="344"/>
      <c r="H46" s="344"/>
      <c r="I46" s="344"/>
      <c r="J46" s="344"/>
      <c r="K46" s="344"/>
      <c r="L46" s="344"/>
      <c r="M46" s="344"/>
      <c r="N46" s="345"/>
      <c r="O46" s="122"/>
      <c r="P46" s="123"/>
    </row>
    <row r="47" spans="1:16">
      <c r="A47" s="121"/>
      <c r="B47" s="122"/>
      <c r="C47" s="343"/>
      <c r="D47" s="344"/>
      <c r="E47" s="344"/>
      <c r="F47" s="344"/>
      <c r="G47" s="344"/>
      <c r="H47" s="344"/>
      <c r="I47" s="344"/>
      <c r="J47" s="344"/>
      <c r="K47" s="344"/>
      <c r="L47" s="344"/>
      <c r="M47" s="344"/>
      <c r="N47" s="345"/>
      <c r="O47" s="122"/>
      <c r="P47" s="123"/>
    </row>
    <row r="48" spans="1:16">
      <c r="A48" s="121"/>
      <c r="B48" s="122"/>
      <c r="C48" s="343"/>
      <c r="D48" s="344"/>
      <c r="E48" s="344"/>
      <c r="F48" s="344"/>
      <c r="G48" s="344"/>
      <c r="H48" s="344"/>
      <c r="I48" s="344"/>
      <c r="J48" s="344"/>
      <c r="K48" s="344"/>
      <c r="L48" s="344"/>
      <c r="M48" s="344"/>
      <c r="N48" s="345"/>
      <c r="O48" s="122"/>
      <c r="P48" s="123"/>
    </row>
    <row r="49" spans="1:16">
      <c r="A49" s="121"/>
      <c r="B49" s="122"/>
      <c r="C49" s="343"/>
      <c r="D49" s="344"/>
      <c r="E49" s="344"/>
      <c r="F49" s="344"/>
      <c r="G49" s="344"/>
      <c r="H49" s="344"/>
      <c r="I49" s="344"/>
      <c r="J49" s="344"/>
      <c r="K49" s="344"/>
      <c r="L49" s="344"/>
      <c r="M49" s="344"/>
      <c r="N49" s="345"/>
      <c r="O49" s="122"/>
      <c r="P49" s="123"/>
    </row>
    <row r="50" spans="1:16">
      <c r="A50" s="121"/>
      <c r="B50" s="122"/>
      <c r="C50" s="343"/>
      <c r="D50" s="344"/>
      <c r="E50" s="344"/>
      <c r="F50" s="344"/>
      <c r="G50" s="344"/>
      <c r="H50" s="344"/>
      <c r="I50" s="344"/>
      <c r="J50" s="344"/>
      <c r="K50" s="344"/>
      <c r="L50" s="344"/>
      <c r="M50" s="344"/>
      <c r="N50" s="345"/>
      <c r="O50" s="122"/>
      <c r="P50" s="123"/>
    </row>
    <row r="51" spans="1:16">
      <c r="A51" s="121"/>
      <c r="B51" s="122"/>
      <c r="C51" s="343"/>
      <c r="D51" s="344"/>
      <c r="E51" s="344"/>
      <c r="F51" s="344"/>
      <c r="G51" s="344"/>
      <c r="H51" s="344"/>
      <c r="I51" s="344"/>
      <c r="J51" s="344"/>
      <c r="K51" s="344"/>
      <c r="L51" s="344"/>
      <c r="M51" s="344"/>
      <c r="N51" s="345"/>
      <c r="O51" s="122"/>
      <c r="P51" s="123"/>
    </row>
    <row r="52" spans="1:16">
      <c r="A52" s="121"/>
      <c r="B52" s="122"/>
      <c r="C52" s="343"/>
      <c r="D52" s="344"/>
      <c r="E52" s="344"/>
      <c r="F52" s="344"/>
      <c r="G52" s="344"/>
      <c r="H52" s="344"/>
      <c r="I52" s="344"/>
      <c r="J52" s="344"/>
      <c r="K52" s="344"/>
      <c r="L52" s="344"/>
      <c r="M52" s="344"/>
      <c r="N52" s="345"/>
      <c r="O52" s="122"/>
      <c r="P52" s="123"/>
    </row>
    <row r="53" spans="1:16">
      <c r="A53" s="121"/>
      <c r="B53" s="122"/>
      <c r="C53" s="343"/>
      <c r="D53" s="344"/>
      <c r="E53" s="344"/>
      <c r="F53" s="344"/>
      <c r="G53" s="344"/>
      <c r="H53" s="344"/>
      <c r="I53" s="344"/>
      <c r="J53" s="344"/>
      <c r="K53" s="344"/>
      <c r="L53" s="344"/>
      <c r="M53" s="344"/>
      <c r="N53" s="345"/>
      <c r="O53" s="122"/>
      <c r="P53" s="123"/>
    </row>
    <row r="54" spans="1:16">
      <c r="A54" s="121"/>
      <c r="B54" s="122"/>
      <c r="C54" s="343"/>
      <c r="D54" s="344"/>
      <c r="E54" s="344"/>
      <c r="F54" s="344"/>
      <c r="G54" s="344"/>
      <c r="H54" s="344"/>
      <c r="I54" s="344"/>
      <c r="J54" s="344"/>
      <c r="K54" s="344"/>
      <c r="L54" s="344"/>
      <c r="M54" s="344"/>
      <c r="N54" s="345"/>
      <c r="O54" s="122"/>
      <c r="P54" s="123"/>
    </row>
    <row r="55" spans="1:16">
      <c r="A55" s="121"/>
      <c r="B55" s="122"/>
      <c r="C55" s="343"/>
      <c r="D55" s="344"/>
      <c r="E55" s="344"/>
      <c r="F55" s="344"/>
      <c r="G55" s="344"/>
      <c r="H55" s="344"/>
      <c r="I55" s="344"/>
      <c r="J55" s="344"/>
      <c r="K55" s="344"/>
      <c r="L55" s="344"/>
      <c r="M55" s="344"/>
      <c r="N55" s="345"/>
      <c r="O55" s="122"/>
      <c r="P55" s="123"/>
    </row>
    <row r="56" spans="1:16">
      <c r="A56" s="121"/>
      <c r="B56" s="122"/>
      <c r="C56" s="343"/>
      <c r="D56" s="344"/>
      <c r="E56" s="344"/>
      <c r="F56" s="344"/>
      <c r="G56" s="344"/>
      <c r="H56" s="344"/>
      <c r="I56" s="344"/>
      <c r="J56" s="344"/>
      <c r="K56" s="344"/>
      <c r="L56" s="344"/>
      <c r="M56" s="344"/>
      <c r="N56" s="345"/>
      <c r="O56" s="122"/>
      <c r="P56" s="123"/>
    </row>
    <row r="57" spans="1:16">
      <c r="A57" s="121"/>
      <c r="B57" s="122"/>
      <c r="C57" s="343"/>
      <c r="D57" s="344"/>
      <c r="E57" s="344"/>
      <c r="F57" s="344"/>
      <c r="G57" s="344"/>
      <c r="H57" s="344"/>
      <c r="I57" s="344"/>
      <c r="J57" s="344"/>
      <c r="K57" s="344"/>
      <c r="L57" s="344"/>
      <c r="M57" s="344"/>
      <c r="N57" s="345"/>
      <c r="O57" s="122"/>
      <c r="P57" s="123"/>
    </row>
    <row r="58" spans="1:16">
      <c r="A58" s="121"/>
      <c r="B58" s="122"/>
      <c r="C58" s="343"/>
      <c r="D58" s="344"/>
      <c r="E58" s="344"/>
      <c r="F58" s="344"/>
      <c r="G58" s="344"/>
      <c r="H58" s="344"/>
      <c r="I58" s="344"/>
      <c r="J58" s="344"/>
      <c r="K58" s="344"/>
      <c r="L58" s="344"/>
      <c r="M58" s="344"/>
      <c r="N58" s="345"/>
      <c r="O58" s="122"/>
      <c r="P58" s="123"/>
    </row>
    <row r="59" spans="1:16">
      <c r="A59" s="121"/>
      <c r="B59" s="122"/>
      <c r="C59" s="343"/>
      <c r="D59" s="344"/>
      <c r="E59" s="344"/>
      <c r="F59" s="344"/>
      <c r="G59" s="344"/>
      <c r="H59" s="344"/>
      <c r="I59" s="344"/>
      <c r="J59" s="344"/>
      <c r="K59" s="344"/>
      <c r="L59" s="344"/>
      <c r="M59" s="344"/>
      <c r="N59" s="345"/>
      <c r="O59" s="122"/>
      <c r="P59" s="123"/>
    </row>
    <row r="60" spans="1:16">
      <c r="A60" s="121"/>
      <c r="B60" s="122"/>
      <c r="C60" s="343"/>
      <c r="D60" s="344"/>
      <c r="E60" s="344"/>
      <c r="F60" s="344"/>
      <c r="G60" s="344"/>
      <c r="H60" s="344"/>
      <c r="I60" s="344"/>
      <c r="J60" s="344"/>
      <c r="K60" s="344"/>
      <c r="L60" s="344"/>
      <c r="M60" s="344"/>
      <c r="N60" s="345"/>
      <c r="O60" s="122"/>
      <c r="P60" s="123"/>
    </row>
    <row r="61" spans="1:16">
      <c r="A61" s="121"/>
      <c r="B61" s="122"/>
      <c r="C61" s="343"/>
      <c r="D61" s="344"/>
      <c r="E61" s="344"/>
      <c r="F61" s="344"/>
      <c r="G61" s="344"/>
      <c r="H61" s="344"/>
      <c r="I61" s="344"/>
      <c r="J61" s="344"/>
      <c r="K61" s="344"/>
      <c r="L61" s="344"/>
      <c r="M61" s="344"/>
      <c r="N61" s="345"/>
      <c r="O61" s="122"/>
      <c r="P61" s="123"/>
    </row>
    <row r="62" spans="1:16">
      <c r="A62" s="121"/>
      <c r="B62" s="122"/>
      <c r="C62" s="343"/>
      <c r="D62" s="344"/>
      <c r="E62" s="344"/>
      <c r="F62" s="344"/>
      <c r="G62" s="344"/>
      <c r="H62" s="344"/>
      <c r="I62" s="344"/>
      <c r="J62" s="344"/>
      <c r="K62" s="344"/>
      <c r="L62" s="344"/>
      <c r="M62" s="344"/>
      <c r="N62" s="345"/>
      <c r="O62" s="122"/>
      <c r="P62" s="123"/>
    </row>
    <row r="63" spans="1:16">
      <c r="A63" s="121"/>
      <c r="B63" s="122"/>
      <c r="C63" s="343"/>
      <c r="D63" s="344"/>
      <c r="E63" s="344"/>
      <c r="F63" s="344"/>
      <c r="G63" s="344"/>
      <c r="H63" s="344"/>
      <c r="I63" s="344"/>
      <c r="J63" s="344"/>
      <c r="K63" s="344"/>
      <c r="L63" s="344"/>
      <c r="M63" s="344"/>
      <c r="N63" s="345"/>
      <c r="O63" s="122"/>
      <c r="P63" s="123"/>
    </row>
    <row r="64" spans="1:16">
      <c r="A64" s="121"/>
      <c r="B64" s="122"/>
      <c r="C64" s="343"/>
      <c r="D64" s="344"/>
      <c r="E64" s="344"/>
      <c r="F64" s="344"/>
      <c r="G64" s="344"/>
      <c r="H64" s="344"/>
      <c r="I64" s="344"/>
      <c r="J64" s="344"/>
      <c r="K64" s="344"/>
      <c r="L64" s="344"/>
      <c r="M64" s="344"/>
      <c r="N64" s="345"/>
      <c r="O64" s="122"/>
      <c r="P64" s="123"/>
    </row>
    <row r="65" spans="1:16">
      <c r="A65" s="121"/>
      <c r="B65" s="122"/>
      <c r="C65" s="343"/>
      <c r="D65" s="344"/>
      <c r="E65" s="344"/>
      <c r="F65" s="344"/>
      <c r="G65" s="344"/>
      <c r="H65" s="344"/>
      <c r="I65" s="344"/>
      <c r="J65" s="344"/>
      <c r="K65" s="344"/>
      <c r="L65" s="344"/>
      <c r="M65" s="344"/>
      <c r="N65" s="345"/>
      <c r="O65" s="122"/>
      <c r="P65" s="123"/>
    </row>
    <row r="66" spans="1:16">
      <c r="A66" s="121"/>
      <c r="B66" s="122"/>
      <c r="C66" s="343"/>
      <c r="D66" s="344"/>
      <c r="E66" s="344"/>
      <c r="F66" s="344"/>
      <c r="G66" s="344"/>
      <c r="H66" s="344"/>
      <c r="I66" s="344"/>
      <c r="J66" s="344"/>
      <c r="K66" s="344"/>
      <c r="L66" s="344"/>
      <c r="M66" s="344"/>
      <c r="N66" s="345"/>
      <c r="O66" s="122"/>
      <c r="P66" s="123"/>
    </row>
    <row r="67" spans="1:16">
      <c r="A67" s="121"/>
      <c r="B67" s="122"/>
      <c r="C67" s="343"/>
      <c r="D67" s="344"/>
      <c r="E67" s="344"/>
      <c r="F67" s="344"/>
      <c r="G67" s="344"/>
      <c r="H67" s="344"/>
      <c r="I67" s="344"/>
      <c r="J67" s="344"/>
      <c r="K67" s="344"/>
      <c r="L67" s="344"/>
      <c r="M67" s="344"/>
      <c r="N67" s="345"/>
      <c r="O67" s="122"/>
      <c r="P67" s="123"/>
    </row>
    <row r="68" spans="1:16">
      <c r="A68" s="121"/>
      <c r="B68" s="122"/>
      <c r="C68" s="343"/>
      <c r="D68" s="344"/>
      <c r="E68" s="344"/>
      <c r="F68" s="344"/>
      <c r="G68" s="344"/>
      <c r="H68" s="344"/>
      <c r="I68" s="344"/>
      <c r="J68" s="344"/>
      <c r="K68" s="344"/>
      <c r="L68" s="344"/>
      <c r="M68" s="344"/>
      <c r="N68" s="345"/>
      <c r="O68" s="122"/>
      <c r="P68" s="123"/>
    </row>
    <row r="69" spans="1:16">
      <c r="A69" s="121"/>
      <c r="B69" s="122"/>
      <c r="C69" s="343"/>
      <c r="D69" s="344"/>
      <c r="E69" s="344"/>
      <c r="F69" s="344"/>
      <c r="G69" s="344"/>
      <c r="H69" s="344"/>
      <c r="I69" s="344"/>
      <c r="J69" s="344"/>
      <c r="K69" s="344"/>
      <c r="L69" s="344"/>
      <c r="M69" s="344"/>
      <c r="N69" s="345"/>
      <c r="O69" s="122"/>
      <c r="P69" s="123"/>
    </row>
    <row r="70" spans="1:16">
      <c r="A70" s="121"/>
      <c r="B70" s="122"/>
      <c r="C70" s="343"/>
      <c r="D70" s="344"/>
      <c r="E70" s="344"/>
      <c r="F70" s="344"/>
      <c r="G70" s="344"/>
      <c r="H70" s="344"/>
      <c r="I70" s="344"/>
      <c r="J70" s="344"/>
      <c r="K70" s="344"/>
      <c r="L70" s="344"/>
      <c r="M70" s="344"/>
      <c r="N70" s="345"/>
      <c r="O70" s="122"/>
      <c r="P70" s="123"/>
    </row>
    <row r="71" spans="1:16">
      <c r="A71" s="121"/>
      <c r="B71" s="122"/>
      <c r="C71" s="343"/>
      <c r="D71" s="344"/>
      <c r="E71" s="344"/>
      <c r="F71" s="344"/>
      <c r="G71" s="344"/>
      <c r="H71" s="344"/>
      <c r="I71" s="344"/>
      <c r="J71" s="344"/>
      <c r="K71" s="344"/>
      <c r="L71" s="344"/>
      <c r="M71" s="344"/>
      <c r="N71" s="345"/>
      <c r="O71" s="122"/>
      <c r="P71" s="123"/>
    </row>
    <row r="72" spans="1:16">
      <c r="A72" s="121"/>
      <c r="B72" s="122"/>
      <c r="C72" s="343"/>
      <c r="D72" s="344"/>
      <c r="E72" s="344"/>
      <c r="F72" s="344"/>
      <c r="G72" s="344"/>
      <c r="H72" s="344"/>
      <c r="I72" s="344"/>
      <c r="J72" s="344"/>
      <c r="K72" s="344"/>
      <c r="L72" s="344"/>
      <c r="M72" s="344"/>
      <c r="N72" s="345"/>
      <c r="O72" s="122"/>
      <c r="P72" s="123"/>
    </row>
    <row r="73" spans="1:16">
      <c r="A73" s="121"/>
      <c r="B73" s="122"/>
      <c r="C73" s="343"/>
      <c r="D73" s="344"/>
      <c r="E73" s="344"/>
      <c r="F73" s="344"/>
      <c r="G73" s="344"/>
      <c r="H73" s="344"/>
      <c r="I73" s="344"/>
      <c r="J73" s="344"/>
      <c r="K73" s="344"/>
      <c r="L73" s="344"/>
      <c r="M73" s="344"/>
      <c r="N73" s="345"/>
      <c r="O73" s="122"/>
      <c r="P73" s="123"/>
    </row>
    <row r="74" spans="1:16">
      <c r="A74" s="121"/>
      <c r="B74" s="122"/>
      <c r="C74" s="343"/>
      <c r="D74" s="344"/>
      <c r="E74" s="344"/>
      <c r="F74" s="344"/>
      <c r="G74" s="344"/>
      <c r="H74" s="344"/>
      <c r="I74" s="344"/>
      <c r="J74" s="344"/>
      <c r="K74" s="344"/>
      <c r="L74" s="344"/>
      <c r="M74" s="344"/>
      <c r="N74" s="345"/>
      <c r="O74" s="122"/>
      <c r="P74" s="123"/>
    </row>
    <row r="75" spans="1:16">
      <c r="A75" s="121"/>
      <c r="B75" s="122"/>
      <c r="C75" s="343"/>
      <c r="D75" s="344"/>
      <c r="E75" s="344"/>
      <c r="F75" s="344"/>
      <c r="G75" s="344"/>
      <c r="H75" s="344"/>
      <c r="I75" s="344"/>
      <c r="J75" s="344"/>
      <c r="K75" s="344"/>
      <c r="L75" s="344"/>
      <c r="M75" s="344"/>
      <c r="N75" s="345"/>
      <c r="O75" s="122"/>
      <c r="P75" s="123"/>
    </row>
    <row r="76" spans="1:16">
      <c r="A76" s="121"/>
      <c r="B76" s="122"/>
      <c r="C76" s="343"/>
      <c r="D76" s="344"/>
      <c r="E76" s="344"/>
      <c r="F76" s="344"/>
      <c r="G76" s="344"/>
      <c r="H76" s="344"/>
      <c r="I76" s="344"/>
      <c r="J76" s="344"/>
      <c r="K76" s="344"/>
      <c r="L76" s="344"/>
      <c r="M76" s="344"/>
      <c r="N76" s="345"/>
      <c r="O76" s="122"/>
      <c r="P76" s="123"/>
    </row>
    <row r="77" spans="1:16">
      <c r="A77" s="121"/>
      <c r="B77" s="122"/>
      <c r="C77" s="343"/>
      <c r="D77" s="344"/>
      <c r="E77" s="344"/>
      <c r="F77" s="344"/>
      <c r="G77" s="344"/>
      <c r="H77" s="344"/>
      <c r="I77" s="344"/>
      <c r="J77" s="344"/>
      <c r="K77" s="344"/>
      <c r="L77" s="344"/>
      <c r="M77" s="344"/>
      <c r="N77" s="345"/>
      <c r="O77" s="122"/>
      <c r="P77" s="123"/>
    </row>
    <row r="78" spans="1:16">
      <c r="A78" s="121"/>
      <c r="B78" s="122"/>
      <c r="C78" s="343"/>
      <c r="D78" s="344"/>
      <c r="E78" s="344"/>
      <c r="F78" s="344"/>
      <c r="G78" s="344"/>
      <c r="H78" s="344"/>
      <c r="I78" s="344"/>
      <c r="J78" s="344"/>
      <c r="K78" s="344"/>
      <c r="L78" s="344"/>
      <c r="M78" s="344"/>
      <c r="N78" s="345"/>
      <c r="O78" s="122"/>
      <c r="P78" s="123"/>
    </row>
    <row r="79" spans="1:16">
      <c r="A79" s="121"/>
      <c r="B79" s="122"/>
      <c r="C79" s="343"/>
      <c r="D79" s="344"/>
      <c r="E79" s="344"/>
      <c r="F79" s="344"/>
      <c r="G79" s="344"/>
      <c r="H79" s="344"/>
      <c r="I79" s="344"/>
      <c r="J79" s="344"/>
      <c r="K79" s="344"/>
      <c r="L79" s="344"/>
      <c r="M79" s="344"/>
      <c r="N79" s="345"/>
      <c r="O79" s="122"/>
      <c r="P79" s="123"/>
    </row>
    <row r="80" spans="1:16">
      <c r="A80" s="121"/>
      <c r="B80" s="122"/>
      <c r="C80" s="343"/>
      <c r="D80" s="344"/>
      <c r="E80" s="344"/>
      <c r="F80" s="344"/>
      <c r="G80" s="344"/>
      <c r="H80" s="344"/>
      <c r="I80" s="344"/>
      <c r="J80" s="344"/>
      <c r="K80" s="344"/>
      <c r="L80" s="344"/>
      <c r="M80" s="344"/>
      <c r="N80" s="345"/>
      <c r="O80" s="122"/>
      <c r="P80" s="123"/>
    </row>
    <row r="81" spans="1:16">
      <c r="A81" s="121"/>
      <c r="B81" s="122"/>
      <c r="C81" s="343"/>
      <c r="D81" s="344"/>
      <c r="E81" s="344"/>
      <c r="F81" s="344"/>
      <c r="G81" s="344"/>
      <c r="H81" s="344"/>
      <c r="I81" s="344"/>
      <c r="J81" s="344"/>
      <c r="K81" s="344"/>
      <c r="L81" s="344"/>
      <c r="M81" s="344"/>
      <c r="N81" s="345"/>
      <c r="O81" s="122"/>
      <c r="P81" s="123"/>
    </row>
    <row r="82" spans="1:16">
      <c r="A82" s="121"/>
      <c r="B82" s="122"/>
      <c r="C82" s="343"/>
      <c r="D82" s="344"/>
      <c r="E82" s="344"/>
      <c r="F82" s="344"/>
      <c r="G82" s="344"/>
      <c r="H82" s="344"/>
      <c r="I82" s="344"/>
      <c r="J82" s="344"/>
      <c r="K82" s="344"/>
      <c r="L82" s="344"/>
      <c r="M82" s="344"/>
      <c r="N82" s="345"/>
      <c r="O82" s="122"/>
      <c r="P82" s="123"/>
    </row>
    <row r="83" spans="1:16">
      <c r="A83" s="121"/>
      <c r="B83" s="122"/>
      <c r="C83" s="343"/>
      <c r="D83" s="344"/>
      <c r="E83" s="344"/>
      <c r="F83" s="344"/>
      <c r="G83" s="344"/>
      <c r="H83" s="344"/>
      <c r="I83" s="344"/>
      <c r="J83" s="344"/>
      <c r="K83" s="344"/>
      <c r="L83" s="344"/>
      <c r="M83" s="344"/>
      <c r="N83" s="345"/>
      <c r="O83" s="122"/>
      <c r="P83" s="123"/>
    </row>
    <row r="84" spans="1:16">
      <c r="A84" s="121"/>
      <c r="B84" s="122"/>
      <c r="C84" s="343"/>
      <c r="D84" s="344"/>
      <c r="E84" s="344"/>
      <c r="F84" s="344"/>
      <c r="G84" s="344"/>
      <c r="H84" s="344"/>
      <c r="I84" s="344"/>
      <c r="J84" s="344"/>
      <c r="K84" s="344"/>
      <c r="L84" s="344"/>
      <c r="M84" s="344"/>
      <c r="N84" s="345"/>
      <c r="O84" s="122"/>
      <c r="P84" s="123"/>
    </row>
    <row r="85" spans="1:16">
      <c r="A85" s="121"/>
      <c r="B85" s="122"/>
      <c r="C85" s="343"/>
      <c r="D85" s="344"/>
      <c r="E85" s="344"/>
      <c r="F85" s="344"/>
      <c r="G85" s="344"/>
      <c r="H85" s="344"/>
      <c r="I85" s="344"/>
      <c r="J85" s="344"/>
      <c r="K85" s="344"/>
      <c r="L85" s="344"/>
      <c r="M85" s="344"/>
      <c r="N85" s="345"/>
      <c r="O85" s="122"/>
      <c r="P85" s="123"/>
    </row>
    <row r="86" spans="1:16">
      <c r="A86" s="121"/>
      <c r="B86" s="122"/>
      <c r="C86" s="343"/>
      <c r="D86" s="344"/>
      <c r="E86" s="344"/>
      <c r="F86" s="344"/>
      <c r="G86" s="344"/>
      <c r="H86" s="344"/>
      <c r="I86" s="344"/>
      <c r="J86" s="344"/>
      <c r="K86" s="344"/>
      <c r="L86" s="344"/>
      <c r="M86" s="344"/>
      <c r="N86" s="345"/>
      <c r="O86" s="122"/>
      <c r="P86" s="123"/>
    </row>
    <row r="87" spans="1:16">
      <c r="A87" s="121"/>
      <c r="B87" s="122"/>
      <c r="C87" s="343"/>
      <c r="D87" s="344"/>
      <c r="E87" s="344"/>
      <c r="F87" s="344"/>
      <c r="G87" s="344"/>
      <c r="H87" s="344"/>
      <c r="I87" s="344"/>
      <c r="J87" s="344"/>
      <c r="K87" s="344"/>
      <c r="L87" s="344"/>
      <c r="M87" s="344"/>
      <c r="N87" s="345"/>
      <c r="O87" s="122"/>
      <c r="P87" s="123"/>
    </row>
    <row r="88" spans="1:16">
      <c r="A88" s="121"/>
      <c r="B88" s="122"/>
      <c r="C88" s="343"/>
      <c r="D88" s="344"/>
      <c r="E88" s="344"/>
      <c r="F88" s="344"/>
      <c r="G88" s="344"/>
      <c r="H88" s="344"/>
      <c r="I88" s="344"/>
      <c r="J88" s="344"/>
      <c r="K88" s="344"/>
      <c r="L88" s="344"/>
      <c r="M88" s="344"/>
      <c r="N88" s="345"/>
      <c r="O88" s="122"/>
      <c r="P88" s="123"/>
    </row>
    <row r="89" spans="1:16">
      <c r="A89" s="121"/>
      <c r="B89" s="122"/>
      <c r="C89" s="343"/>
      <c r="D89" s="344"/>
      <c r="E89" s="344"/>
      <c r="F89" s="344"/>
      <c r="G89" s="344"/>
      <c r="H89" s="344"/>
      <c r="I89" s="344"/>
      <c r="J89" s="344"/>
      <c r="K89" s="344"/>
      <c r="L89" s="344"/>
      <c r="M89" s="344"/>
      <c r="N89" s="345"/>
      <c r="O89" s="122"/>
      <c r="P89" s="123"/>
    </row>
    <row r="90" spans="1:16">
      <c r="A90" s="121"/>
      <c r="B90" s="122"/>
      <c r="C90" s="343"/>
      <c r="D90" s="344"/>
      <c r="E90" s="344"/>
      <c r="F90" s="344"/>
      <c r="G90" s="344"/>
      <c r="H90" s="344"/>
      <c r="I90" s="344"/>
      <c r="J90" s="344"/>
      <c r="K90" s="344"/>
      <c r="L90" s="344"/>
      <c r="M90" s="344"/>
      <c r="N90" s="345"/>
      <c r="O90" s="122"/>
      <c r="P90" s="123"/>
    </row>
    <row r="91" spans="1:16">
      <c r="A91" s="121"/>
      <c r="B91" s="122"/>
      <c r="C91" s="343"/>
      <c r="D91" s="344"/>
      <c r="E91" s="344"/>
      <c r="F91" s="344"/>
      <c r="G91" s="344"/>
      <c r="H91" s="344"/>
      <c r="I91" s="344"/>
      <c r="J91" s="344"/>
      <c r="K91" s="344"/>
      <c r="L91" s="344"/>
      <c r="M91" s="344"/>
      <c r="N91" s="345"/>
      <c r="O91" s="122"/>
      <c r="P91" s="123"/>
    </row>
    <row r="92" spans="1:16">
      <c r="A92" s="121"/>
      <c r="B92" s="122"/>
      <c r="C92" s="343"/>
      <c r="D92" s="344"/>
      <c r="E92" s="344"/>
      <c r="F92" s="344"/>
      <c r="G92" s="344"/>
      <c r="H92" s="344"/>
      <c r="I92" s="344"/>
      <c r="J92" s="344"/>
      <c r="K92" s="344"/>
      <c r="L92" s="344"/>
      <c r="M92" s="344"/>
      <c r="N92" s="345"/>
      <c r="O92" s="122"/>
      <c r="P92" s="123"/>
    </row>
    <row r="93" spans="1:16">
      <c r="A93" s="121"/>
      <c r="B93" s="122"/>
      <c r="C93" s="343"/>
      <c r="D93" s="344"/>
      <c r="E93" s="344"/>
      <c r="F93" s="344"/>
      <c r="G93" s="344"/>
      <c r="H93" s="344"/>
      <c r="I93" s="344"/>
      <c r="J93" s="344"/>
      <c r="K93" s="344"/>
      <c r="L93" s="344"/>
      <c r="M93" s="344"/>
      <c r="N93" s="345"/>
      <c r="O93" s="122"/>
      <c r="P93" s="123"/>
    </row>
    <row r="94" spans="1:16">
      <c r="A94" s="121"/>
      <c r="B94" s="122"/>
      <c r="C94" s="343"/>
      <c r="D94" s="344"/>
      <c r="E94" s="344"/>
      <c r="F94" s="344"/>
      <c r="G94" s="344"/>
      <c r="H94" s="344"/>
      <c r="I94" s="344"/>
      <c r="J94" s="344"/>
      <c r="K94" s="344"/>
      <c r="L94" s="344"/>
      <c r="M94" s="344"/>
      <c r="N94" s="345"/>
      <c r="O94" s="122"/>
      <c r="P94" s="123"/>
    </row>
    <row r="95" spans="1:16">
      <c r="A95" s="121"/>
      <c r="B95" s="122"/>
      <c r="C95" s="343"/>
      <c r="D95" s="344"/>
      <c r="E95" s="344"/>
      <c r="F95" s="344"/>
      <c r="G95" s="344"/>
      <c r="H95" s="344"/>
      <c r="I95" s="344"/>
      <c r="J95" s="344"/>
      <c r="K95" s="344"/>
      <c r="L95" s="344"/>
      <c r="M95" s="344"/>
      <c r="N95" s="345"/>
      <c r="O95" s="122"/>
      <c r="P95" s="123"/>
    </row>
    <row r="96" spans="1:16">
      <c r="A96" s="121"/>
      <c r="B96" s="122"/>
      <c r="C96" s="343"/>
      <c r="D96" s="344"/>
      <c r="E96" s="344"/>
      <c r="F96" s="344"/>
      <c r="G96" s="344"/>
      <c r="H96" s="344"/>
      <c r="I96" s="344"/>
      <c r="J96" s="344"/>
      <c r="K96" s="344"/>
      <c r="L96" s="344"/>
      <c r="M96" s="344"/>
      <c r="N96" s="345"/>
      <c r="O96" s="122"/>
      <c r="P96" s="123"/>
    </row>
    <row r="97" spans="1:16">
      <c r="A97" s="121"/>
      <c r="B97" s="122"/>
      <c r="C97" s="343"/>
      <c r="D97" s="344"/>
      <c r="E97" s="344"/>
      <c r="F97" s="344"/>
      <c r="G97" s="344"/>
      <c r="H97" s="344"/>
      <c r="I97" s="344"/>
      <c r="J97" s="344"/>
      <c r="K97" s="344"/>
      <c r="L97" s="344"/>
      <c r="M97" s="344"/>
      <c r="N97" s="345"/>
      <c r="O97" s="122"/>
      <c r="P97" s="123"/>
    </row>
    <row r="98" spans="1:16" ht="13.8" thickBot="1">
      <c r="A98" s="128"/>
      <c r="B98" s="129"/>
      <c r="C98" s="346"/>
      <c r="D98" s="347"/>
      <c r="E98" s="347"/>
      <c r="F98" s="347"/>
      <c r="G98" s="347"/>
      <c r="H98" s="347"/>
      <c r="I98" s="347"/>
      <c r="J98" s="347"/>
      <c r="K98" s="347"/>
      <c r="L98" s="347"/>
      <c r="M98" s="347"/>
      <c r="N98" s="348"/>
      <c r="O98" s="129"/>
      <c r="P98" s="130"/>
    </row>
    <row r="99" spans="1:16" ht="13.8" thickTop="1">
      <c r="C99" s="28"/>
      <c r="D99" s="28"/>
      <c r="E99" s="28"/>
      <c r="F99" s="28"/>
      <c r="G99" s="28"/>
      <c r="H99" s="28"/>
      <c r="I99" s="28"/>
      <c r="J99" s="28"/>
      <c r="K99" s="28"/>
      <c r="L99" s="28"/>
      <c r="M99" s="28"/>
      <c r="N99" s="28"/>
    </row>
    <row r="100" spans="1:16">
      <c r="C100"/>
      <c r="D100"/>
      <c r="E100"/>
      <c r="F100"/>
      <c r="G100"/>
      <c r="H100"/>
      <c r="I100"/>
      <c r="J100"/>
      <c r="K100"/>
      <c r="L100"/>
      <c r="M100"/>
      <c r="N100"/>
    </row>
  </sheetData>
  <mergeCells count="3">
    <mergeCell ref="B14:D14"/>
    <mergeCell ref="B15:I15"/>
    <mergeCell ref="C36:N98"/>
  </mergeCells>
  <hyperlinks>
    <hyperlink ref="B15:I15" r:id="rId1" display="TPS24740 Datasheet (See &quot;Application Informatoin&quot;)"/>
    <hyperlink ref="B14"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1"/>
  <dimension ref="A1:AR247"/>
  <sheetViews>
    <sheetView tabSelected="1" topLeftCell="A139" zoomScale="90" zoomScaleNormal="90" zoomScaleSheetLayoutView="100" workbookViewId="0">
      <selection activeCell="F133" sqref="F133"/>
    </sheetView>
  </sheetViews>
  <sheetFormatPr defaultColWidth="8.88671875" defaultRowHeight="13.2"/>
  <cols>
    <col min="1" max="1" width="0.44140625" style="145" customWidth="1"/>
    <col min="2" max="2" width="29.5546875" style="145" customWidth="1"/>
    <col min="3" max="3" width="25.88671875" style="145" customWidth="1"/>
    <col min="4" max="4" width="17.6640625" style="145" customWidth="1"/>
    <col min="5" max="5" width="17" style="145" customWidth="1"/>
    <col min="6" max="6" width="16.44140625" style="145" customWidth="1"/>
    <col min="7" max="7" width="7" style="220" customWidth="1"/>
    <col min="8" max="8" width="10.88671875" style="145" customWidth="1"/>
    <col min="9" max="9" width="12.88671875" style="145" customWidth="1"/>
    <col min="10" max="10" width="8.88671875" style="145"/>
    <col min="11" max="11" width="14.109375" style="145" customWidth="1"/>
    <col min="12" max="12" width="8.88671875" style="145" customWidth="1"/>
    <col min="13" max="13" width="9.88671875" style="145" customWidth="1"/>
    <col min="14" max="19" width="0" style="145" hidden="1" customWidth="1"/>
    <col min="20" max="20" width="2.6640625" style="145" hidden="1" customWidth="1"/>
    <col min="21" max="21" width="3" style="145" hidden="1" customWidth="1"/>
    <col min="22" max="22" width="1.109375" style="145" hidden="1" customWidth="1"/>
    <col min="23" max="23" width="3.6640625" style="145" hidden="1" customWidth="1"/>
    <col min="24" max="38" width="0" style="145" hidden="1" customWidth="1"/>
    <col min="39" max="39" width="24.6640625" style="145" customWidth="1"/>
    <col min="40" max="40" width="19.33203125" style="145" hidden="1" customWidth="1"/>
    <col min="41" max="41" width="12.6640625" style="145" hidden="1" customWidth="1"/>
    <col min="42" max="42" width="12.33203125" style="145" customWidth="1"/>
    <col min="43" max="43" width="12" style="145" customWidth="1"/>
    <col min="44" max="44" width="13.44140625" style="145" hidden="1" customWidth="1"/>
    <col min="45" max="45" width="14.5546875" style="145" customWidth="1"/>
    <col min="46" max="46" width="14.6640625" style="145" customWidth="1"/>
    <col min="47" max="47" width="11.33203125" style="145" customWidth="1"/>
    <col min="48" max="48" width="13" style="145" customWidth="1"/>
    <col min="49" max="49" width="13.44140625" style="145" customWidth="1"/>
    <col min="50" max="50" width="14.6640625" style="145" customWidth="1"/>
    <col min="51" max="51" width="14.109375" style="145" customWidth="1"/>
    <col min="52" max="52" width="12.88671875" style="145" customWidth="1"/>
    <col min="53" max="53" width="12.5546875" style="145" customWidth="1"/>
    <col min="54" max="54" width="9.88671875" style="145" customWidth="1"/>
    <col min="55" max="55" width="12.6640625" style="145" customWidth="1"/>
    <col min="56" max="56" width="13.6640625" style="145" customWidth="1"/>
    <col min="57" max="57" width="13.88671875" style="145" customWidth="1"/>
    <col min="58" max="59" width="14.44140625" style="145" customWidth="1"/>
    <col min="60" max="60" width="15.44140625" style="145" customWidth="1"/>
    <col min="61" max="61" width="15.33203125" style="145" customWidth="1"/>
    <col min="62" max="62" width="15.6640625" style="145" customWidth="1"/>
    <col min="63" max="63" width="12.5546875" style="145" customWidth="1"/>
    <col min="64" max="64" width="16.88671875" style="145" customWidth="1"/>
    <col min="65" max="65" width="15.44140625" style="145" customWidth="1"/>
    <col min="66" max="66" width="14.5546875" style="145" customWidth="1"/>
    <col min="67" max="67" width="10" style="145" customWidth="1"/>
    <col min="68" max="68" width="6.109375" style="145" customWidth="1"/>
    <col min="69" max="69" width="7.109375" style="145" customWidth="1"/>
    <col min="70" max="70" width="8.33203125" style="145" customWidth="1"/>
    <col min="71" max="71" width="4.6640625" style="145" customWidth="1"/>
    <col min="72" max="16384" width="8.88671875" style="145"/>
  </cols>
  <sheetData>
    <row r="1" spans="1:44" s="60" customFormat="1" ht="60.75" customHeight="1">
      <c r="A1" s="352" t="s">
        <v>476</v>
      </c>
      <c r="B1" s="353"/>
      <c r="C1" s="353"/>
      <c r="D1" s="353"/>
      <c r="E1" s="353"/>
      <c r="F1" s="353"/>
      <c r="G1" s="353"/>
      <c r="H1" s="353"/>
      <c r="I1" s="353"/>
      <c r="J1" s="353"/>
      <c r="K1" s="353"/>
      <c r="L1" s="353"/>
      <c r="M1" s="353"/>
      <c r="N1" s="24"/>
      <c r="O1" s="24"/>
      <c r="P1" s="24"/>
      <c r="Q1" s="24"/>
      <c r="R1" s="22"/>
      <c r="S1" s="23"/>
      <c r="T1" s="21"/>
      <c r="U1" s="21"/>
      <c r="V1" s="21"/>
      <c r="W1" s="21"/>
      <c r="X1" s="21"/>
      <c r="Y1" s="21"/>
      <c r="Z1" s="21"/>
      <c r="AA1" s="21"/>
      <c r="AB1" s="21"/>
      <c r="AC1" s="21"/>
      <c r="AD1" s="21"/>
      <c r="AE1" s="21"/>
      <c r="AF1" s="21"/>
      <c r="AG1" s="21"/>
      <c r="AH1" s="21"/>
      <c r="AI1" s="21"/>
      <c r="AJ1" s="21"/>
      <c r="AK1" s="21"/>
      <c r="AL1" s="21"/>
      <c r="AM1" s="21"/>
    </row>
    <row r="2" spans="1:44" ht="15.6">
      <c r="A2" s="143"/>
      <c r="B2" s="20" t="s">
        <v>57</v>
      </c>
      <c r="C2" s="143"/>
      <c r="D2" s="143"/>
      <c r="E2" s="143"/>
      <c r="F2" s="144"/>
      <c r="G2" s="144"/>
      <c r="H2" s="143"/>
      <c r="I2" s="143"/>
      <c r="J2" s="143"/>
      <c r="K2" s="143"/>
      <c r="L2" s="351"/>
      <c r="M2" s="351"/>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row>
    <row r="3" spans="1:44">
      <c r="A3" s="143"/>
      <c r="B3" s="143"/>
      <c r="C3" s="143"/>
      <c r="D3" s="143"/>
      <c r="E3" s="143"/>
      <c r="F3" s="143"/>
      <c r="G3" s="144"/>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row>
    <row r="4" spans="1:44">
      <c r="A4" s="143"/>
      <c r="B4" s="143"/>
      <c r="C4" s="143"/>
      <c r="D4" s="143"/>
      <c r="E4" s="143"/>
      <c r="F4" s="143"/>
      <c r="G4" s="144"/>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row>
    <row r="5" spans="1:44">
      <c r="A5" s="143"/>
      <c r="B5" s="143"/>
      <c r="C5" s="143"/>
      <c r="D5" s="143"/>
      <c r="E5" s="143"/>
      <c r="F5" s="143"/>
      <c r="G5" s="144"/>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row>
    <row r="6" spans="1:44">
      <c r="A6" s="143"/>
      <c r="B6" s="143"/>
      <c r="C6" s="143"/>
      <c r="D6" s="143"/>
      <c r="E6" s="143"/>
      <c r="F6" s="143"/>
      <c r="G6" s="144"/>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row>
    <row r="7" spans="1:44">
      <c r="A7" s="143"/>
      <c r="B7" s="143"/>
      <c r="C7" s="143"/>
      <c r="D7" s="143"/>
      <c r="E7" s="143"/>
      <c r="F7" s="143"/>
      <c r="G7" s="144"/>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row>
    <row r="8" spans="1:44" ht="15" customHeight="1">
      <c r="A8" s="143"/>
      <c r="B8" s="146" t="s">
        <v>477</v>
      </c>
      <c r="C8" s="90"/>
      <c r="D8" s="147" t="s">
        <v>193</v>
      </c>
      <c r="E8" s="59"/>
      <c r="F8" s="143"/>
      <c r="G8" s="144"/>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row>
    <row r="9" spans="1:44" ht="15" customHeight="1">
      <c r="A9" s="143"/>
      <c r="B9" s="148">
        <v>42052</v>
      </c>
      <c r="C9" s="149"/>
      <c r="D9" s="143" t="s">
        <v>56</v>
      </c>
      <c r="E9" s="150"/>
      <c r="F9" s="143"/>
      <c r="G9" s="144"/>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row>
    <row r="10" spans="1:44" ht="12.75" customHeight="1">
      <c r="A10" s="143"/>
      <c r="B10" s="148"/>
      <c r="C10" s="151"/>
      <c r="D10" s="147" t="s">
        <v>231</v>
      </c>
      <c r="E10" s="143"/>
      <c r="F10" s="143"/>
      <c r="G10" s="144"/>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row>
    <row r="11" spans="1:44" ht="15" customHeight="1">
      <c r="A11" s="143"/>
      <c r="B11" s="148"/>
      <c r="C11" s="152"/>
      <c r="D11" s="143" t="s">
        <v>232</v>
      </c>
      <c r="E11" s="150"/>
      <c r="F11" s="143"/>
      <c r="G11" s="144"/>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44" ht="15" customHeight="1">
      <c r="A12" s="143"/>
      <c r="B12" s="143"/>
      <c r="C12" s="143"/>
      <c r="D12" s="143"/>
      <c r="E12" s="143"/>
      <c r="F12" s="143"/>
      <c r="G12" s="144"/>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row>
    <row r="13" spans="1:44" ht="15" customHeight="1" thickBot="1">
      <c r="A13" s="143"/>
      <c r="B13" s="143"/>
      <c r="C13" s="143"/>
      <c r="D13" s="143"/>
      <c r="E13" s="143"/>
      <c r="F13" s="143"/>
      <c r="G13" s="144"/>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row>
    <row r="14" spans="1:44" ht="15" customHeight="1">
      <c r="A14" s="143"/>
      <c r="B14" s="318" t="s">
        <v>487</v>
      </c>
      <c r="C14" s="330"/>
      <c r="D14" s="355" t="s">
        <v>488</v>
      </c>
      <c r="E14" s="355"/>
      <c r="F14" s="355"/>
      <c r="G14" s="355"/>
      <c r="H14" s="327"/>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6"/>
    </row>
    <row r="15" spans="1:44" ht="15" customHeight="1">
      <c r="A15" s="143"/>
      <c r="B15" s="319"/>
      <c r="C15" s="329"/>
      <c r="D15" s="356"/>
      <c r="E15" s="356"/>
      <c r="F15" s="356"/>
      <c r="G15" s="356"/>
      <c r="H15" s="32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14"/>
    </row>
    <row r="16" spans="1:44" ht="15" customHeight="1">
      <c r="A16" s="143"/>
      <c r="B16" s="354"/>
      <c r="C16" s="320"/>
      <c r="D16" s="361" t="s">
        <v>489</v>
      </c>
      <c r="E16" s="361"/>
      <c r="F16" s="361"/>
      <c r="G16" s="361"/>
      <c r="H16" s="361"/>
      <c r="I16" s="361"/>
      <c r="J16" s="324"/>
      <c r="K16" s="317"/>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14"/>
      <c r="AR16" s="167" t="s">
        <v>138</v>
      </c>
    </row>
    <row r="17" spans="1:44" ht="15" customHeight="1">
      <c r="A17" s="143"/>
      <c r="B17" s="354"/>
      <c r="C17" s="320"/>
      <c r="D17" s="361" t="s">
        <v>490</v>
      </c>
      <c r="E17" s="361"/>
      <c r="F17" s="361"/>
      <c r="G17" s="361"/>
      <c r="H17" s="361"/>
      <c r="I17" s="361"/>
      <c r="J17" s="308"/>
      <c r="K17" s="308"/>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14"/>
      <c r="AR17" s="167" t="s">
        <v>137</v>
      </c>
    </row>
    <row r="18" spans="1:44" ht="15" customHeight="1">
      <c r="A18" s="143"/>
      <c r="B18" s="354"/>
      <c r="C18" s="320"/>
      <c r="D18" s="362" t="s">
        <v>491</v>
      </c>
      <c r="E18" s="362"/>
      <c r="F18" s="362"/>
      <c r="G18" s="362"/>
      <c r="H18" s="362"/>
      <c r="I18" s="362"/>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14"/>
    </row>
    <row r="19" spans="1:44" ht="15" customHeight="1">
      <c r="A19" s="143"/>
      <c r="B19" s="354"/>
      <c r="C19" s="320"/>
      <c r="D19" s="361" t="s">
        <v>492</v>
      </c>
      <c r="E19" s="361"/>
      <c r="F19" s="361"/>
      <c r="G19" s="361"/>
      <c r="H19" s="361"/>
      <c r="I19" s="361"/>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14"/>
    </row>
    <row r="20" spans="1:44" ht="15" customHeight="1">
      <c r="A20" s="143"/>
      <c r="B20" s="325"/>
      <c r="C20" s="320"/>
      <c r="D20" s="334" t="s">
        <v>496</v>
      </c>
      <c r="E20" s="321"/>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14"/>
    </row>
    <row r="21" spans="1:44" ht="15" customHeight="1" thickBot="1">
      <c r="A21" s="143"/>
      <c r="B21" s="311"/>
      <c r="C21" s="308"/>
      <c r="D21" s="308"/>
      <c r="E21" s="309"/>
      <c r="F21" s="308"/>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14"/>
    </row>
    <row r="22" spans="1:44" ht="32.4" customHeight="1" thickBot="1">
      <c r="A22" s="143"/>
      <c r="B22" s="311"/>
      <c r="C22" s="308"/>
      <c r="D22" s="357" t="s">
        <v>493</v>
      </c>
      <c r="E22" s="358"/>
      <c r="F22" s="359"/>
      <c r="G22" s="332" t="s">
        <v>138</v>
      </c>
      <c r="H22" s="308"/>
      <c r="I22" s="308"/>
      <c r="J22" s="308"/>
      <c r="K22" s="308"/>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14"/>
    </row>
    <row r="23" spans="1:44" ht="29.1" customHeight="1" thickBot="1">
      <c r="A23" s="143"/>
      <c r="B23" s="311"/>
      <c r="C23" s="308"/>
      <c r="D23" s="363" t="s">
        <v>494</v>
      </c>
      <c r="E23" s="364"/>
      <c r="F23" s="365"/>
      <c r="G23" s="333" t="s">
        <v>138</v>
      </c>
      <c r="H23" s="308"/>
      <c r="I23" s="308"/>
      <c r="J23" s="308"/>
      <c r="K23" s="308"/>
      <c r="L23" s="308"/>
      <c r="M23" s="308"/>
      <c r="N23" s="308"/>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14"/>
    </row>
    <row r="24" spans="1:44" ht="15" customHeight="1">
      <c r="A24" s="143"/>
      <c r="B24" s="311"/>
      <c r="C24" s="308"/>
      <c r="D24" s="360" t="s">
        <v>495</v>
      </c>
      <c r="E24" s="360"/>
      <c r="F24" s="360"/>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14"/>
    </row>
    <row r="25" spans="1:44" ht="15" customHeight="1">
      <c r="A25" s="143"/>
      <c r="B25" s="311"/>
      <c r="C25" s="308"/>
      <c r="D25" s="360"/>
      <c r="E25" s="360"/>
      <c r="F25" s="360"/>
      <c r="G25" s="326"/>
      <c r="H25" s="308"/>
      <c r="I25" s="308"/>
      <c r="J25" s="317"/>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14"/>
    </row>
    <row r="26" spans="1:44" ht="15" customHeight="1" thickBot="1">
      <c r="A26" s="143"/>
      <c r="B26" s="312"/>
      <c r="C26" s="313"/>
      <c r="D26" s="331"/>
      <c r="E26" s="331"/>
      <c r="F26" s="331"/>
      <c r="G26" s="322"/>
      <c r="H26" s="313"/>
      <c r="I26" s="313"/>
      <c r="J26" s="32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c r="AM26" s="315"/>
    </row>
    <row r="27" spans="1:44" ht="15" customHeight="1">
      <c r="A27" s="143"/>
      <c r="B27" s="153" t="s">
        <v>92</v>
      </c>
      <c r="C27" s="154"/>
      <c r="D27" s="154"/>
      <c r="E27" s="155" t="s">
        <v>60</v>
      </c>
      <c r="F27" s="83">
        <v>10.5</v>
      </c>
      <c r="G27" s="156" t="s">
        <v>49</v>
      </c>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7"/>
    </row>
    <row r="28" spans="1:44" ht="15" customHeight="1">
      <c r="A28" s="143"/>
      <c r="B28" s="158"/>
      <c r="C28" s="159"/>
      <c r="D28" s="159"/>
      <c r="E28" s="160" t="s">
        <v>63</v>
      </c>
      <c r="F28" s="84">
        <v>12</v>
      </c>
      <c r="G28" s="161" t="s">
        <v>49</v>
      </c>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62"/>
    </row>
    <row r="29" spans="1:44" ht="15" customHeight="1">
      <c r="A29" s="143"/>
      <c r="B29" s="163"/>
      <c r="C29" s="159"/>
      <c r="D29" s="159"/>
      <c r="E29" s="160" t="s">
        <v>61</v>
      </c>
      <c r="F29" s="84">
        <v>16.8</v>
      </c>
      <c r="G29" s="161" t="s">
        <v>49</v>
      </c>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62"/>
    </row>
    <row r="30" spans="1:44" ht="15" customHeight="1">
      <c r="A30" s="143"/>
      <c r="B30" s="163"/>
      <c r="C30" s="159"/>
      <c r="D30" s="159"/>
      <c r="E30" s="160" t="s">
        <v>65</v>
      </c>
      <c r="F30" s="84">
        <v>60</v>
      </c>
      <c r="G30" s="161" t="s">
        <v>9</v>
      </c>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62"/>
    </row>
    <row r="31" spans="1:44" ht="15" customHeight="1">
      <c r="A31" s="143"/>
      <c r="B31" s="163"/>
      <c r="C31" s="159"/>
      <c r="D31" s="159"/>
      <c r="E31" s="160" t="s">
        <v>146</v>
      </c>
      <c r="F31" s="84">
        <v>480</v>
      </c>
      <c r="G31" s="164" t="s">
        <v>46</v>
      </c>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62"/>
    </row>
    <row r="32" spans="1:44" ht="15" customHeight="1">
      <c r="A32" s="143"/>
      <c r="B32" s="163"/>
      <c r="C32" s="159"/>
      <c r="D32" s="159"/>
      <c r="E32" s="160" t="s">
        <v>289</v>
      </c>
      <c r="F32" s="105">
        <v>-40</v>
      </c>
      <c r="G32" s="164" t="s">
        <v>68</v>
      </c>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62"/>
    </row>
    <row r="33" spans="1:41" ht="15" customHeight="1">
      <c r="A33" s="143"/>
      <c r="B33" s="366" t="s">
        <v>497</v>
      </c>
      <c r="C33" s="159"/>
      <c r="D33" s="159"/>
      <c r="E33" s="160" t="s">
        <v>64</v>
      </c>
      <c r="F33" s="84">
        <v>50</v>
      </c>
      <c r="G33" s="161" t="s">
        <v>68</v>
      </c>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62"/>
    </row>
    <row r="34" spans="1:41" ht="24" customHeight="1">
      <c r="A34" s="143"/>
      <c r="B34" s="366"/>
      <c r="C34" s="159"/>
      <c r="D34" s="159"/>
      <c r="E34" s="160" t="s">
        <v>380</v>
      </c>
      <c r="F34" s="84" t="s">
        <v>501</v>
      </c>
      <c r="G34" s="161"/>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62"/>
      <c r="AN34" s="183" t="str">
        <f>"'40 - Latch"</f>
        <v>'40 - Latch</v>
      </c>
    </row>
    <row r="35" spans="1:41" ht="15" customHeight="1">
      <c r="A35" s="143"/>
      <c r="B35" s="163"/>
      <c r="C35" s="159"/>
      <c r="D35" s="159"/>
      <c r="E35" s="160"/>
      <c r="F35" s="270"/>
      <c r="G35" s="161"/>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62"/>
      <c r="AN35" s="183"/>
    </row>
    <row r="36" spans="1:41" ht="15" customHeight="1">
      <c r="A36" s="143"/>
      <c r="B36" s="163"/>
      <c r="C36" s="159"/>
      <c r="D36" s="159"/>
      <c r="E36" s="160"/>
      <c r="F36" s="270"/>
      <c r="G36" s="161"/>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62"/>
      <c r="AN36" s="183"/>
    </row>
    <row r="37" spans="1:41" ht="15" customHeight="1" thickBot="1">
      <c r="A37" s="143"/>
      <c r="B37" s="163"/>
      <c r="C37" s="159"/>
      <c r="D37" s="159"/>
      <c r="E37" s="160"/>
      <c r="F37" s="270"/>
      <c r="G37" s="161"/>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62"/>
      <c r="AN37" s="183"/>
    </row>
    <row r="38" spans="1:41" ht="15" customHeight="1">
      <c r="A38" s="143"/>
      <c r="B38" s="153" t="s">
        <v>269</v>
      </c>
      <c r="C38" s="165"/>
      <c r="D38" s="154"/>
      <c r="E38" s="155" t="s">
        <v>271</v>
      </c>
      <c r="F38" s="270">
        <v>80</v>
      </c>
      <c r="G38" s="166" t="s">
        <v>9</v>
      </c>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7"/>
      <c r="AN38" s="183" t="str">
        <f>"'41 - Retry"</f>
        <v>'41 - Retry</v>
      </c>
      <c r="AO38" s="167" t="s">
        <v>86</v>
      </c>
    </row>
    <row r="39" spans="1:41" ht="15" customHeight="1">
      <c r="A39" s="143"/>
      <c r="B39" s="168"/>
      <c r="C39" s="169"/>
      <c r="D39" s="169"/>
      <c r="E39" s="160" t="s">
        <v>327</v>
      </c>
      <c r="F39" s="84">
        <v>100</v>
      </c>
      <c r="G39" s="170" t="s">
        <v>9</v>
      </c>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62"/>
      <c r="AN39" s="183" t="str">
        <f>"'42 - ILO"</f>
        <v>'42 - ILO</v>
      </c>
      <c r="AO39" s="167" t="s">
        <v>446</v>
      </c>
    </row>
    <row r="40" spans="1:41">
      <c r="B40" s="163"/>
      <c r="C40" s="169"/>
      <c r="D40" s="169"/>
      <c r="E40" s="160" t="s">
        <v>259</v>
      </c>
      <c r="F40" s="171">
        <f>Equations!E3</f>
        <v>0.84375</v>
      </c>
      <c r="G40" s="161" t="s">
        <v>48</v>
      </c>
      <c r="H40" s="172"/>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73"/>
    </row>
    <row r="41" spans="1:41">
      <c r="B41" s="163"/>
      <c r="C41" s="169"/>
      <c r="D41" s="169"/>
      <c r="E41" s="160" t="s">
        <v>260</v>
      </c>
      <c r="F41" s="171">
        <f>Equations!E4</f>
        <v>0.125</v>
      </c>
      <c r="G41" s="161" t="s">
        <v>48</v>
      </c>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73"/>
    </row>
    <row r="42" spans="1:41" ht="15" customHeight="1">
      <c r="A42" s="143"/>
      <c r="B42" s="163"/>
      <c r="C42" s="169"/>
      <c r="D42" s="169"/>
      <c r="E42" s="160" t="s">
        <v>222</v>
      </c>
      <c r="F42" s="86">
        <v>0.5</v>
      </c>
      <c r="G42" s="161" t="s">
        <v>48</v>
      </c>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62"/>
      <c r="AN42" s="167"/>
    </row>
    <row r="43" spans="1:41" ht="15" customHeight="1">
      <c r="A43" s="143"/>
      <c r="B43" s="174"/>
      <c r="C43" s="169"/>
      <c r="D43" s="169"/>
      <c r="E43" s="175" t="s">
        <v>276</v>
      </c>
      <c r="F43" s="176">
        <f>Rset_recom</f>
        <v>160</v>
      </c>
      <c r="G43" s="177" t="s">
        <v>227</v>
      </c>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62"/>
      <c r="AN43" s="167"/>
    </row>
    <row r="44" spans="1:41" ht="15" customHeight="1">
      <c r="A44" s="143"/>
      <c r="B44" s="174"/>
      <c r="C44" s="169"/>
      <c r="D44" s="169"/>
      <c r="E44" s="160" t="s">
        <v>274</v>
      </c>
      <c r="F44" s="139">
        <v>160</v>
      </c>
      <c r="G44" s="178" t="s">
        <v>227</v>
      </c>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62"/>
      <c r="AN44" s="167" t="s">
        <v>138</v>
      </c>
    </row>
    <row r="45" spans="1:41" ht="15" customHeight="1">
      <c r="A45" s="143"/>
      <c r="B45" s="366" t="s">
        <v>497</v>
      </c>
      <c r="C45" s="169"/>
      <c r="D45" s="169"/>
      <c r="E45" s="175" t="s">
        <v>273</v>
      </c>
      <c r="F45" s="58">
        <f>Rimon_recom</f>
        <v>2700</v>
      </c>
      <c r="G45" s="178" t="s">
        <v>227</v>
      </c>
      <c r="H45" s="17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62"/>
      <c r="AN45" s="167" t="s">
        <v>137</v>
      </c>
    </row>
    <row r="46" spans="1:41" ht="15" customHeight="1">
      <c r="A46" s="143"/>
      <c r="B46" s="366"/>
      <c r="C46" s="159"/>
      <c r="D46" s="159"/>
      <c r="E46" s="160" t="s">
        <v>275</v>
      </c>
      <c r="F46" s="85">
        <v>2700</v>
      </c>
      <c r="G46" s="178" t="s">
        <v>227</v>
      </c>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62"/>
    </row>
    <row r="47" spans="1:41" ht="15" customHeight="1">
      <c r="A47" s="143"/>
      <c r="B47" s="163"/>
      <c r="C47" s="159"/>
      <c r="D47" s="159"/>
      <c r="E47" s="160" t="s">
        <v>277</v>
      </c>
      <c r="F47" s="149">
        <f>F39*Rs/0.1</f>
        <v>500</v>
      </c>
      <c r="G47" s="178" t="s">
        <v>227</v>
      </c>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62"/>
    </row>
    <row r="48" spans="1:41" ht="15" customHeight="1">
      <c r="A48" s="143"/>
      <c r="B48" s="163"/>
      <c r="C48" s="159"/>
      <c r="D48" s="175"/>
      <c r="E48" s="175" t="s">
        <v>278</v>
      </c>
      <c r="F48" s="85">
        <v>499</v>
      </c>
      <c r="G48" s="178" t="s">
        <v>227</v>
      </c>
      <c r="H48" s="159"/>
      <c r="I48" s="159"/>
      <c r="J48" s="17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62"/>
    </row>
    <row r="49" spans="1:40" ht="14.4" customHeight="1">
      <c r="A49" s="143"/>
      <c r="B49" s="174"/>
      <c r="C49" s="159"/>
      <c r="D49" s="160"/>
      <c r="E49" s="160" t="s">
        <v>53</v>
      </c>
      <c r="F49" s="180">
        <f>CLMIN</f>
        <v>77.222222222222229</v>
      </c>
      <c r="G49" s="161" t="s">
        <v>9</v>
      </c>
      <c r="H49" s="159"/>
      <c r="I49" s="159"/>
      <c r="J49" s="17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62"/>
    </row>
    <row r="50" spans="1:40" ht="15" customHeight="1">
      <c r="A50" s="143"/>
      <c r="B50" s="174"/>
      <c r="C50" s="159"/>
      <c r="D50" s="175"/>
      <c r="E50" s="175" t="s">
        <v>54</v>
      </c>
      <c r="F50" s="180">
        <f>CLNOM</f>
        <v>80</v>
      </c>
      <c r="G50" s="161" t="s">
        <v>9</v>
      </c>
      <c r="H50" s="159"/>
      <c r="I50" s="159"/>
      <c r="J50" s="17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62"/>
    </row>
    <row r="51" spans="1:40" ht="15" customHeight="1">
      <c r="A51" s="143"/>
      <c r="B51" s="174"/>
      <c r="C51" s="159"/>
      <c r="D51" s="160"/>
      <c r="E51" s="160" t="s">
        <v>55</v>
      </c>
      <c r="F51" s="180">
        <f>CLMAX</f>
        <v>82.777777777777771</v>
      </c>
      <c r="G51" s="161" t="s">
        <v>9</v>
      </c>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62"/>
    </row>
    <row r="52" spans="1:40" ht="15" customHeight="1">
      <c r="A52" s="143"/>
      <c r="B52" s="163"/>
      <c r="C52" s="159"/>
      <c r="D52" s="160"/>
      <c r="E52" s="175" t="s">
        <v>272</v>
      </c>
      <c r="F52" s="181">
        <f>F48*0.1/Rs</f>
        <v>99.800000000000011</v>
      </c>
      <c r="G52" s="161" t="s">
        <v>9</v>
      </c>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62"/>
    </row>
    <row r="53" spans="1:40" ht="15" customHeight="1">
      <c r="A53" s="143"/>
      <c r="B53" s="163"/>
      <c r="C53" s="159"/>
      <c r="D53" s="175"/>
      <c r="E53" s="160" t="s">
        <v>270</v>
      </c>
      <c r="F53" s="181">
        <f>IOUTMAX*IOUTMAX*Rs/1000</f>
        <v>1.8</v>
      </c>
      <c r="G53" s="161" t="s">
        <v>50</v>
      </c>
      <c r="H53" s="159"/>
      <c r="I53" s="182"/>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62"/>
    </row>
    <row r="54" spans="1:40" ht="15" customHeight="1">
      <c r="A54" s="143"/>
      <c r="B54" s="163"/>
      <c r="C54" s="159"/>
      <c r="D54" s="160"/>
      <c r="E54" s="160" t="s">
        <v>319</v>
      </c>
      <c r="F54" s="84">
        <v>0.5</v>
      </c>
      <c r="G54" s="161" t="s">
        <v>318</v>
      </c>
      <c r="H54" s="159"/>
      <c r="I54" s="182"/>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62"/>
    </row>
    <row r="55" spans="1:40" ht="15" customHeight="1">
      <c r="A55" s="143"/>
      <c r="B55" s="163"/>
      <c r="C55" s="159"/>
      <c r="D55" s="159"/>
      <c r="E55" s="160" t="s">
        <v>324</v>
      </c>
      <c r="F55" s="181">
        <f>F54/F48*1000</f>
        <v>1.002004008016032</v>
      </c>
      <c r="G55" s="184" t="s">
        <v>62</v>
      </c>
      <c r="H55" s="185"/>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62"/>
    </row>
    <row r="56" spans="1:40" ht="15" customHeight="1">
      <c r="A56" s="143"/>
      <c r="B56" s="163"/>
      <c r="C56" s="159"/>
      <c r="D56" s="159"/>
      <c r="E56" s="160" t="s">
        <v>325</v>
      </c>
      <c r="F56" s="84">
        <v>1</v>
      </c>
      <c r="G56" s="184" t="s">
        <v>62</v>
      </c>
      <c r="H56" s="185"/>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62"/>
      <c r="AN56" s="183"/>
    </row>
    <row r="57" spans="1:40" ht="15" customHeight="1" thickBot="1">
      <c r="A57" s="143"/>
      <c r="B57" s="186"/>
      <c r="C57" s="187"/>
      <c r="D57" s="187"/>
      <c r="E57" s="188" t="s">
        <v>326</v>
      </c>
      <c r="F57" s="189">
        <f>F56*F48/1000</f>
        <v>0.499</v>
      </c>
      <c r="G57" s="190" t="s">
        <v>318</v>
      </c>
      <c r="H57" s="191"/>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92"/>
      <c r="AN57" s="167"/>
    </row>
    <row r="58" spans="1:40" ht="13.8">
      <c r="A58" s="143"/>
      <c r="B58" s="193" t="s">
        <v>66</v>
      </c>
      <c r="C58" s="159"/>
      <c r="D58" s="159"/>
      <c r="E58" s="194" t="s">
        <v>74</v>
      </c>
      <c r="F58" s="140" t="s">
        <v>502</v>
      </c>
      <c r="G58" s="164"/>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62"/>
    </row>
    <row r="59" spans="1:40" ht="15.6">
      <c r="A59" s="143"/>
      <c r="B59" s="163"/>
      <c r="C59" s="159"/>
      <c r="D59" s="159"/>
      <c r="E59" s="194" t="s">
        <v>147</v>
      </c>
      <c r="F59" s="86">
        <v>30</v>
      </c>
      <c r="G59" s="161" t="s">
        <v>69</v>
      </c>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62"/>
    </row>
    <row r="60" spans="1:40">
      <c r="A60" s="143"/>
      <c r="B60" s="163"/>
      <c r="C60" s="159"/>
      <c r="D60" s="159"/>
      <c r="E60" s="194" t="s">
        <v>382</v>
      </c>
      <c r="F60" s="86">
        <v>1</v>
      </c>
      <c r="G60" s="161" t="s">
        <v>67</v>
      </c>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62"/>
      <c r="AN60" s="195" t="s">
        <v>148</v>
      </c>
    </row>
    <row r="61" spans="1:40" ht="15.6">
      <c r="A61" s="143"/>
      <c r="B61" s="163"/>
      <c r="C61" s="159"/>
      <c r="D61" s="159"/>
      <c r="E61" s="194" t="s">
        <v>150</v>
      </c>
      <c r="F61" s="86">
        <v>0.8</v>
      </c>
      <c r="G61" s="161" t="s">
        <v>48</v>
      </c>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62"/>
      <c r="AN61" s="167">
        <f t="shared" ref="AN61:AN67" si="0">F61</f>
        <v>0.8</v>
      </c>
    </row>
    <row r="62" spans="1:40" ht="15.6">
      <c r="A62" s="143"/>
      <c r="B62" s="163"/>
      <c r="C62" s="159"/>
      <c r="D62" s="159"/>
      <c r="E62" s="194" t="s">
        <v>70</v>
      </c>
      <c r="F62" s="86">
        <v>150</v>
      </c>
      <c r="G62" s="161" t="s">
        <v>129</v>
      </c>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62"/>
      <c r="AN62" s="167">
        <f t="shared" si="0"/>
        <v>150</v>
      </c>
    </row>
    <row r="63" spans="1:40">
      <c r="A63" s="143"/>
      <c r="B63" s="163"/>
      <c r="C63" s="159"/>
      <c r="D63" s="159"/>
      <c r="E63" s="194" t="s">
        <v>195</v>
      </c>
      <c r="F63" s="87">
        <v>150</v>
      </c>
      <c r="G63" s="161" t="s">
        <v>9</v>
      </c>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62"/>
      <c r="AN63" s="167">
        <f t="shared" si="0"/>
        <v>150</v>
      </c>
    </row>
    <row r="64" spans="1:40">
      <c r="A64" s="143"/>
      <c r="B64" s="163"/>
      <c r="C64" s="159"/>
      <c r="D64" s="159"/>
      <c r="E64" s="194" t="s">
        <v>71</v>
      </c>
      <c r="F64" s="87">
        <v>12</v>
      </c>
      <c r="G64" s="161" t="s">
        <v>9</v>
      </c>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62"/>
      <c r="AN64" s="167">
        <f t="shared" si="0"/>
        <v>12</v>
      </c>
    </row>
    <row r="65" spans="1:40">
      <c r="A65" s="143"/>
      <c r="B65" s="335" t="s">
        <v>66</v>
      </c>
      <c r="C65" s="159"/>
      <c r="D65" s="159"/>
      <c r="E65" s="194" t="s">
        <v>72</v>
      </c>
      <c r="F65" s="87">
        <v>3</v>
      </c>
      <c r="G65" s="161" t="s">
        <v>9</v>
      </c>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62"/>
      <c r="AN65" s="167">
        <f t="shared" si="0"/>
        <v>3</v>
      </c>
    </row>
    <row r="66" spans="1:40">
      <c r="A66" s="143"/>
      <c r="B66" s="163"/>
      <c r="C66" s="159"/>
      <c r="D66" s="159"/>
      <c r="E66" s="194" t="s">
        <v>73</v>
      </c>
      <c r="F66" s="87">
        <v>0.8</v>
      </c>
      <c r="G66" s="161" t="s">
        <v>9</v>
      </c>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62"/>
      <c r="AN66" s="167">
        <f t="shared" si="0"/>
        <v>0.8</v>
      </c>
    </row>
    <row r="67" spans="1:40">
      <c r="A67" s="143"/>
      <c r="B67" s="163"/>
      <c r="C67" s="159"/>
      <c r="D67" s="159"/>
      <c r="E67" s="194" t="s">
        <v>196</v>
      </c>
      <c r="F67" s="87">
        <v>0.2</v>
      </c>
      <c r="G67" s="161" t="s">
        <v>9</v>
      </c>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62"/>
      <c r="AN67" s="196">
        <f t="shared" si="0"/>
        <v>0.2</v>
      </c>
    </row>
    <row r="68" spans="1:40" ht="15" customHeight="1">
      <c r="A68" s="143"/>
      <c r="B68" s="158"/>
      <c r="C68" s="159"/>
      <c r="D68" s="159"/>
      <c r="E68" s="194" t="s">
        <v>184</v>
      </c>
      <c r="F68" s="76">
        <f>(IOUTMAX/NUMFETS)^2*RDSON/1000</f>
        <v>2.88</v>
      </c>
      <c r="G68" s="161" t="s">
        <v>50</v>
      </c>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62"/>
    </row>
    <row r="69" spans="1:40" ht="15" customHeight="1">
      <c r="A69" s="143"/>
      <c r="B69" s="269"/>
      <c r="C69" s="159"/>
      <c r="D69" s="159"/>
      <c r="E69" s="194" t="s">
        <v>149</v>
      </c>
      <c r="F69" s="76">
        <f>TAMB+(FETPDISS*ThetaJA)</f>
        <v>136.39999999999998</v>
      </c>
      <c r="G69" s="161" t="s">
        <v>68</v>
      </c>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62"/>
    </row>
    <row r="70" spans="1:40" ht="15" customHeight="1">
      <c r="A70" s="143"/>
      <c r="B70" s="269"/>
      <c r="C70" s="159"/>
      <c r="D70" s="159"/>
      <c r="E70" s="197" t="s">
        <v>281</v>
      </c>
      <c r="F70" s="76">
        <f>Equations!F26</f>
        <v>53.760000000000005</v>
      </c>
      <c r="G70" s="161" t="s">
        <v>50</v>
      </c>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62"/>
    </row>
    <row r="71" spans="1:40" ht="15" customHeight="1">
      <c r="A71" s="143"/>
      <c r="B71" s="269"/>
      <c r="C71" s="159"/>
      <c r="D71" s="159"/>
      <c r="E71" s="160" t="s">
        <v>153</v>
      </c>
      <c r="F71" s="87">
        <v>300</v>
      </c>
      <c r="G71" s="161" t="s">
        <v>50</v>
      </c>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62"/>
    </row>
    <row r="72" spans="1:40" ht="15" customHeight="1">
      <c r="A72" s="143"/>
      <c r="B72" s="269"/>
      <c r="C72" s="159"/>
      <c r="D72" s="159"/>
      <c r="E72" s="160" t="s">
        <v>279</v>
      </c>
      <c r="F72" s="61">
        <f>Equations!F28</f>
        <v>33.333333333333336</v>
      </c>
      <c r="G72" s="198" t="s">
        <v>47</v>
      </c>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62"/>
    </row>
    <row r="73" spans="1:40" ht="15" customHeight="1">
      <c r="A73" s="143"/>
      <c r="B73" s="269"/>
      <c r="C73" s="159"/>
      <c r="D73" s="159"/>
      <c r="E73" s="160" t="s">
        <v>280</v>
      </c>
      <c r="F73" s="86">
        <v>32.4</v>
      </c>
      <c r="G73" s="198" t="s">
        <v>47</v>
      </c>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62"/>
    </row>
    <row r="74" spans="1:40" ht="29.4" customHeight="1" thickBot="1">
      <c r="A74" s="143"/>
      <c r="B74" s="174"/>
      <c r="C74" s="159"/>
      <c r="D74" s="159"/>
      <c r="E74" s="160" t="s">
        <v>157</v>
      </c>
      <c r="F74" s="116">
        <f>Equations!F30</f>
        <v>308.64197530864197</v>
      </c>
      <c r="G74" s="161" t="s">
        <v>50</v>
      </c>
      <c r="H74" s="159"/>
      <c r="I74" s="367" t="s">
        <v>499</v>
      </c>
      <c r="J74" s="368"/>
      <c r="K74" s="368"/>
      <c r="L74" s="368"/>
      <c r="M74" s="368"/>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62"/>
    </row>
    <row r="75" spans="1:40" ht="13.8">
      <c r="A75" s="143"/>
      <c r="B75" s="153" t="s">
        <v>76</v>
      </c>
      <c r="C75" s="154"/>
      <c r="D75" s="154"/>
      <c r="E75" s="199" t="s">
        <v>132</v>
      </c>
      <c r="F75" s="88">
        <v>10</v>
      </c>
      <c r="G75" s="200" t="s">
        <v>49</v>
      </c>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7"/>
      <c r="AN75" s="167"/>
    </row>
    <row r="76" spans="1:40">
      <c r="A76" s="143"/>
      <c r="B76" s="168"/>
      <c r="C76" s="159"/>
      <c r="D76" s="159"/>
      <c r="E76" s="194" t="s">
        <v>77</v>
      </c>
      <c r="F76" s="86" t="s">
        <v>79</v>
      </c>
      <c r="G76" s="201"/>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62"/>
      <c r="AN76" s="145" t="s">
        <v>79</v>
      </c>
    </row>
    <row r="77" spans="1:40">
      <c r="A77" s="143"/>
      <c r="B77" s="163"/>
      <c r="C77" s="159"/>
      <c r="D77" s="159"/>
      <c r="E77" s="194" t="s">
        <v>78</v>
      </c>
      <c r="F77" s="86">
        <v>1</v>
      </c>
      <c r="G77" s="201" t="str">
        <f>IF(F76="Constant Current","A","Ohms")</f>
        <v>A</v>
      </c>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62"/>
      <c r="AN77" s="145" t="s">
        <v>80</v>
      </c>
    </row>
    <row r="78" spans="1:40">
      <c r="A78" s="143"/>
      <c r="B78" s="163"/>
      <c r="C78" s="159"/>
      <c r="D78" s="159"/>
      <c r="E78" s="194" t="s">
        <v>169</v>
      </c>
      <c r="F78" s="202">
        <f>Start_up!L2</f>
        <v>0.23017473491025028</v>
      </c>
      <c r="G78" s="203" t="s">
        <v>8</v>
      </c>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62"/>
      <c r="AN78" s="167"/>
    </row>
    <row r="79" spans="1:40">
      <c r="A79" s="143"/>
      <c r="B79" s="174"/>
      <c r="C79" s="159"/>
      <c r="D79" s="159"/>
      <c r="E79" s="194" t="s">
        <v>174</v>
      </c>
      <c r="F79" s="204">
        <f>Start_up!N2</f>
        <v>0.97801784615384613</v>
      </c>
      <c r="G79" s="203"/>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62"/>
      <c r="AN79" s="167"/>
    </row>
    <row r="80" spans="1:40" ht="13.2" customHeight="1">
      <c r="A80" s="143"/>
      <c r="B80" s="268"/>
      <c r="C80" s="159"/>
      <c r="D80" s="169"/>
      <c r="E80" s="197" t="s">
        <v>254</v>
      </c>
      <c r="F80" s="202">
        <f>F78*1.5</f>
        <v>0.34526210236537541</v>
      </c>
      <c r="G80" s="203" t="s">
        <v>8</v>
      </c>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62"/>
      <c r="AN80" s="167" t="s">
        <v>322</v>
      </c>
    </row>
    <row r="81" spans="1:41">
      <c r="A81" s="205"/>
      <c r="B81" s="174"/>
      <c r="C81" s="159"/>
      <c r="D81" s="159"/>
      <c r="E81" s="194" t="s">
        <v>321</v>
      </c>
      <c r="F81" s="85" t="s">
        <v>323</v>
      </c>
      <c r="G81" s="206"/>
      <c r="H81" s="185"/>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62"/>
      <c r="AN81" s="167" t="s">
        <v>323</v>
      </c>
      <c r="AO81" s="145">
        <f>0.47*1.5</f>
        <v>0.70499999999999996</v>
      </c>
    </row>
    <row r="82" spans="1:41" ht="12.6" customHeight="1">
      <c r="A82" s="143"/>
      <c r="B82" s="174"/>
      <c r="C82" s="159"/>
      <c r="D82" s="169"/>
      <c r="E82" s="194" t="str">
        <f>IF(F81="single", "Select timer", "Select inrush timer")</f>
        <v>Select inrush timer</v>
      </c>
      <c r="F82" s="141">
        <v>0.35</v>
      </c>
      <c r="G82" s="207" t="s">
        <v>8</v>
      </c>
      <c r="H82" s="185"/>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62"/>
    </row>
    <row r="83" spans="1:41" ht="15" customHeight="1">
      <c r="A83" s="143"/>
      <c r="B83" s="336" t="s">
        <v>76</v>
      </c>
      <c r="C83" s="159"/>
      <c r="D83" s="169"/>
      <c r="E83" s="208" t="str">
        <f>IF(F81="single", "Calculated Ctmr", "Calculated Cinr")</f>
        <v>Calculated Cinr</v>
      </c>
      <c r="F83" s="202">
        <f>Equations!F44</f>
        <v>2.657407407407407</v>
      </c>
      <c r="G83" s="203" t="s">
        <v>62</v>
      </c>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62"/>
    </row>
    <row r="84" spans="1:41" ht="15" customHeight="1">
      <c r="A84" s="143"/>
      <c r="B84" s="163"/>
      <c r="C84" s="159"/>
      <c r="D84" s="169"/>
      <c r="E84" s="208" t="str">
        <f>IF(F81="single", "Selected Ctmr", "Selected Cinr")</f>
        <v>Selected Cinr</v>
      </c>
      <c r="F84" s="86">
        <v>2.7</v>
      </c>
      <c r="G84" s="203" t="s">
        <v>62</v>
      </c>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62"/>
    </row>
    <row r="85" spans="1:41" ht="15" customHeight="1">
      <c r="A85" s="143"/>
      <c r="B85" s="163"/>
      <c r="C85" s="159"/>
      <c r="D85" s="169"/>
      <c r="E85" s="208" t="str">
        <f>IF(F81="single", "Resulting timer", "Resulting inrush timer")</f>
        <v>Resulting inrush timer</v>
      </c>
      <c r="F85" s="202">
        <f>Equations!F46</f>
        <v>0.35560975609756101</v>
      </c>
      <c r="G85" s="203" t="s">
        <v>8</v>
      </c>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62"/>
    </row>
    <row r="86" spans="1:41" ht="15" customHeight="1">
      <c r="A86" s="143"/>
      <c r="B86" s="163"/>
      <c r="C86" s="159"/>
      <c r="D86" s="169"/>
      <c r="E86" s="208" t="s">
        <v>181</v>
      </c>
      <c r="F86" s="202">
        <f>Equations!F47</f>
        <v>1.6243028467610567</v>
      </c>
      <c r="G86" s="209"/>
      <c r="H86" s="185"/>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62"/>
      <c r="AO86" s="145">
        <f>11.67/3</f>
        <v>3.89</v>
      </c>
    </row>
    <row r="87" spans="1:41" ht="15" customHeight="1">
      <c r="A87" s="143"/>
      <c r="B87" s="163"/>
      <c r="C87" s="159"/>
      <c r="D87" s="169"/>
      <c r="E87" s="194" t="s">
        <v>328</v>
      </c>
      <c r="F87" s="297">
        <v>250</v>
      </c>
      <c r="G87" s="184" t="s">
        <v>8</v>
      </c>
      <c r="H87" s="185"/>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62"/>
    </row>
    <row r="88" spans="1:41" ht="15" customHeight="1">
      <c r="A88" s="143"/>
      <c r="B88" s="174"/>
      <c r="C88" s="159"/>
      <c r="D88" s="169"/>
      <c r="E88" s="175" t="s">
        <v>329</v>
      </c>
      <c r="F88" s="202">
        <f>Equations!F49</f>
        <v>1898.148148148148</v>
      </c>
      <c r="G88" s="209" t="s">
        <v>62</v>
      </c>
      <c r="H88" s="185"/>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62"/>
    </row>
    <row r="89" spans="1:41" ht="15" customHeight="1">
      <c r="A89" s="143"/>
      <c r="B89" s="174"/>
      <c r="C89" s="159"/>
      <c r="D89" s="169"/>
      <c r="E89" s="194" t="s">
        <v>334</v>
      </c>
      <c r="F89" s="297">
        <v>2200</v>
      </c>
      <c r="G89" s="184" t="s">
        <v>62</v>
      </c>
      <c r="H89" s="185"/>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62"/>
    </row>
    <row r="90" spans="1:41" ht="15" customHeight="1" thickBot="1">
      <c r="A90" s="143"/>
      <c r="B90" s="210"/>
      <c r="C90" s="187"/>
      <c r="D90" s="211"/>
      <c r="E90" s="212" t="s">
        <v>335</v>
      </c>
      <c r="F90" s="298">
        <f>Equations!F51</f>
        <v>289.7560975609756</v>
      </c>
      <c r="G90" s="213" t="s">
        <v>8</v>
      </c>
      <c r="H90" s="214"/>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92"/>
    </row>
    <row r="91" spans="1:41" ht="15" customHeight="1">
      <c r="A91" s="143"/>
      <c r="B91" s="193" t="s">
        <v>240</v>
      </c>
      <c r="C91" s="215"/>
      <c r="D91" s="159"/>
      <c r="E91" s="160" t="s">
        <v>282</v>
      </c>
      <c r="F91" s="117">
        <v>10</v>
      </c>
      <c r="G91" s="203" t="s">
        <v>49</v>
      </c>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62"/>
      <c r="AN91" s="167"/>
    </row>
    <row r="92" spans="1:41" ht="15" customHeight="1">
      <c r="A92" s="143"/>
      <c r="B92" s="163"/>
      <c r="C92" s="159"/>
      <c r="D92" s="159"/>
      <c r="E92" s="160" t="s">
        <v>253</v>
      </c>
      <c r="F92" s="89">
        <v>14</v>
      </c>
      <c r="G92" s="203" t="s">
        <v>49</v>
      </c>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62"/>
      <c r="AN92" s="167"/>
    </row>
    <row r="93" spans="1:41" ht="15" customHeight="1">
      <c r="A93" s="143"/>
      <c r="B93" s="174"/>
      <c r="C93" s="159"/>
      <c r="D93" s="159"/>
      <c r="E93" s="160" t="s">
        <v>256</v>
      </c>
      <c r="F93" s="142">
        <v>49.9</v>
      </c>
      <c r="G93" s="216" t="s">
        <v>47</v>
      </c>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62"/>
    </row>
    <row r="94" spans="1:41" ht="15" customHeight="1">
      <c r="A94" s="143"/>
      <c r="B94" s="174"/>
      <c r="C94" s="159"/>
      <c r="D94" s="159"/>
      <c r="E94" s="217" t="s">
        <v>257</v>
      </c>
      <c r="F94" s="218">
        <f>Equations!G59</f>
        <v>2.2251032204789443</v>
      </c>
      <c r="G94" s="216" t="s">
        <v>47</v>
      </c>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62"/>
    </row>
    <row r="95" spans="1:41" ht="15" customHeight="1">
      <c r="A95" s="143"/>
      <c r="B95" s="174"/>
      <c r="C95" s="159"/>
      <c r="D95" s="159"/>
      <c r="E95" s="217" t="s">
        <v>258</v>
      </c>
      <c r="F95" s="218">
        <f>Equations!G60</f>
        <v>5.5627580511973571</v>
      </c>
      <c r="G95" s="216" t="s">
        <v>47</v>
      </c>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62"/>
    </row>
    <row r="96" spans="1:41" ht="15" customHeight="1">
      <c r="A96" s="143"/>
      <c r="B96" s="163"/>
      <c r="C96" s="159"/>
      <c r="D96" s="159"/>
      <c r="E96" s="160" t="s">
        <v>58</v>
      </c>
      <c r="F96" s="89">
        <v>2.21</v>
      </c>
      <c r="G96" s="216" t="s">
        <v>47</v>
      </c>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62"/>
    </row>
    <row r="97" spans="1:40" ht="15" customHeight="1">
      <c r="A97" s="143"/>
      <c r="B97" s="337" t="s">
        <v>498</v>
      </c>
      <c r="C97" s="159"/>
      <c r="D97" s="159"/>
      <c r="E97" s="160" t="s">
        <v>59</v>
      </c>
      <c r="F97" s="89">
        <v>5.56</v>
      </c>
      <c r="G97" s="219" t="s">
        <v>47</v>
      </c>
      <c r="H97" s="185"/>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62"/>
    </row>
    <row r="98" spans="1:40" ht="15" customHeight="1">
      <c r="A98" s="143"/>
      <c r="B98" s="163"/>
      <c r="C98" s="159"/>
      <c r="D98" s="159"/>
      <c r="H98" s="185"/>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62"/>
    </row>
    <row r="99" spans="1:40" ht="15" customHeight="1" thickBot="1">
      <c r="A99" s="162"/>
      <c r="B99" s="222"/>
      <c r="C99" s="223"/>
      <c r="D99" s="223"/>
      <c r="E99" s="223"/>
      <c r="F99" s="223"/>
      <c r="G99" s="224"/>
      <c r="H99" s="211"/>
      <c r="I99" s="211"/>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92"/>
    </row>
    <row r="100" spans="1:40" ht="15" customHeight="1">
      <c r="A100" s="143"/>
      <c r="B100" s="193" t="s">
        <v>462</v>
      </c>
      <c r="C100" s="215"/>
      <c r="D100" s="159"/>
      <c r="E100" s="160" t="s">
        <v>478</v>
      </c>
      <c r="F100" s="117">
        <v>168</v>
      </c>
      <c r="G100" s="203" t="s">
        <v>464</v>
      </c>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c r="AK100" s="159"/>
      <c r="AL100" s="159"/>
      <c r="AM100" s="162"/>
      <c r="AN100" s="167"/>
    </row>
    <row r="101" spans="1:40" ht="15" customHeight="1">
      <c r="A101" s="143"/>
      <c r="B101" s="163"/>
      <c r="C101" s="159"/>
      <c r="D101" s="159"/>
      <c r="E101" s="160" t="s">
        <v>479</v>
      </c>
      <c r="F101" s="89">
        <v>40</v>
      </c>
      <c r="G101" s="203" t="s">
        <v>9</v>
      </c>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62"/>
      <c r="AN101" s="167"/>
    </row>
    <row r="102" spans="1:40" ht="15" customHeight="1">
      <c r="A102" s="143"/>
      <c r="B102" s="174"/>
      <c r="C102" s="159"/>
      <c r="D102" s="159"/>
      <c r="E102" s="160" t="s">
        <v>465</v>
      </c>
      <c r="F102" s="89">
        <v>3.1</v>
      </c>
      <c r="G102" s="203" t="s">
        <v>62</v>
      </c>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62"/>
    </row>
    <row r="103" spans="1:40" ht="15" customHeight="1">
      <c r="A103" s="143"/>
      <c r="B103" s="174"/>
      <c r="C103" s="159"/>
      <c r="D103" s="159"/>
      <c r="E103" s="160" t="s">
        <v>466</v>
      </c>
      <c r="F103" s="202" t="str">
        <f>Equations!C102</f>
        <v>NO</v>
      </c>
      <c r="G103" s="216"/>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62"/>
    </row>
    <row r="104" spans="1:40" ht="15" customHeight="1">
      <c r="A104" s="143"/>
      <c r="B104" s="163"/>
      <c r="C104" s="159"/>
      <c r="D104" s="159"/>
      <c r="E104" s="160" t="s">
        <v>467</v>
      </c>
      <c r="F104" s="202" t="str">
        <f>Equations!C103</f>
        <v>none</v>
      </c>
      <c r="G104" s="203" t="s">
        <v>62</v>
      </c>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62"/>
    </row>
    <row r="105" spans="1:40" ht="15" customHeight="1">
      <c r="A105" s="143"/>
      <c r="B105" s="163"/>
      <c r="C105" s="159"/>
      <c r="D105" s="159"/>
      <c r="E105" s="160" t="s">
        <v>468</v>
      </c>
      <c r="F105" s="89">
        <v>0</v>
      </c>
      <c r="G105" s="209" t="s">
        <v>62</v>
      </c>
      <c r="H105" s="185"/>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59"/>
      <c r="AL105" s="159"/>
      <c r="AM105" s="162"/>
    </row>
    <row r="106" spans="1:40" ht="15" customHeight="1">
      <c r="A106" s="143"/>
      <c r="B106" s="163"/>
      <c r="C106" s="159"/>
      <c r="D106" s="159"/>
      <c r="H106" s="185"/>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c r="AL106" s="159"/>
      <c r="AM106" s="162"/>
    </row>
    <row r="107" spans="1:40" ht="27.6" customHeight="1" thickBot="1">
      <c r="A107" s="162"/>
      <c r="B107" s="222"/>
      <c r="C107" s="223"/>
      <c r="D107" s="223"/>
      <c r="E107" s="223"/>
      <c r="F107" s="223"/>
      <c r="G107" s="224"/>
      <c r="H107" s="211"/>
      <c r="I107" s="211"/>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92"/>
    </row>
    <row r="108" spans="1:40" ht="15" customHeight="1">
      <c r="A108" s="162"/>
      <c r="B108" s="153" t="s">
        <v>463</v>
      </c>
      <c r="C108" s="182"/>
      <c r="D108" s="182"/>
      <c r="E108" s="182"/>
      <c r="F108" s="182"/>
      <c r="G108" s="225"/>
      <c r="H108" s="169"/>
      <c r="I108" s="16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62"/>
    </row>
    <row r="109" spans="1:40" ht="15" customHeight="1">
      <c r="A109" s="162"/>
      <c r="B109" s="168"/>
      <c r="C109" s="182"/>
      <c r="D109" s="182"/>
      <c r="E109" s="160" t="s">
        <v>283</v>
      </c>
      <c r="F109" s="112">
        <v>1.5</v>
      </c>
      <c r="G109" s="226" t="s">
        <v>9</v>
      </c>
      <c r="H109" s="169"/>
      <c r="I109" s="16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c r="AK109" s="159"/>
      <c r="AL109" s="159"/>
      <c r="AM109" s="162"/>
    </row>
    <row r="110" spans="1:40" ht="15" customHeight="1">
      <c r="A110" s="162"/>
      <c r="B110" s="168"/>
      <c r="C110" s="182"/>
      <c r="D110" s="182"/>
      <c r="E110" s="160" t="s">
        <v>317</v>
      </c>
      <c r="F110" s="112">
        <v>0.5</v>
      </c>
      <c r="G110" s="161" t="s">
        <v>318</v>
      </c>
      <c r="H110" s="169"/>
      <c r="I110" s="16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c r="AK110" s="159"/>
      <c r="AL110" s="159"/>
      <c r="AM110" s="162"/>
    </row>
    <row r="111" spans="1:40" ht="15" customHeight="1">
      <c r="A111" s="162"/>
      <c r="B111" s="168"/>
      <c r="C111" s="182"/>
      <c r="D111" s="182"/>
      <c r="E111" s="227" t="s">
        <v>287</v>
      </c>
      <c r="F111" s="140" t="s">
        <v>502</v>
      </c>
      <c r="G111" s="225"/>
      <c r="H111" s="169"/>
      <c r="I111" s="16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c r="AK111" s="159"/>
      <c r="AL111" s="159"/>
      <c r="AM111" s="162"/>
    </row>
    <row r="112" spans="1:40" ht="15" customHeight="1">
      <c r="A112" s="162"/>
      <c r="B112" s="168"/>
      <c r="C112" s="182"/>
      <c r="D112" s="182"/>
      <c r="E112" s="227" t="s">
        <v>288</v>
      </c>
      <c r="F112" s="113">
        <v>1</v>
      </c>
      <c r="G112" s="225"/>
      <c r="H112" s="169"/>
      <c r="I112" s="16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c r="AK112" s="159"/>
      <c r="AL112" s="159"/>
      <c r="AM112" s="162"/>
    </row>
    <row r="113" spans="1:39" ht="15" customHeight="1">
      <c r="A113" s="162"/>
      <c r="B113" s="168"/>
      <c r="C113" s="182"/>
      <c r="D113" s="182"/>
      <c r="E113" s="175" t="s">
        <v>285</v>
      </c>
      <c r="F113" s="113">
        <v>0.53</v>
      </c>
      <c r="G113" s="203" t="s">
        <v>48</v>
      </c>
      <c r="H113" s="169"/>
      <c r="I113" s="16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c r="AK113" s="159"/>
      <c r="AL113" s="159"/>
      <c r="AM113" s="162"/>
    </row>
    <row r="114" spans="1:39" ht="15" customHeight="1">
      <c r="A114" s="162"/>
      <c r="B114" s="168"/>
      <c r="C114" s="182"/>
      <c r="D114" s="182"/>
      <c r="E114" s="175" t="s">
        <v>284</v>
      </c>
      <c r="F114" s="113">
        <v>0.77</v>
      </c>
      <c r="G114" s="203" t="s">
        <v>48</v>
      </c>
      <c r="H114" s="169"/>
      <c r="I114" s="16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62"/>
    </row>
    <row r="115" spans="1:39" ht="15" customHeight="1">
      <c r="A115" s="162"/>
      <c r="B115" s="168"/>
      <c r="C115" s="182"/>
      <c r="D115" s="182"/>
      <c r="E115" s="175" t="s">
        <v>286</v>
      </c>
      <c r="F115" s="228">
        <f>F113/F114</f>
        <v>0.68831168831168832</v>
      </c>
      <c r="G115" s="203" t="s">
        <v>48</v>
      </c>
      <c r="H115" s="169"/>
      <c r="I115" s="16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62"/>
    </row>
    <row r="116" spans="1:39" ht="15" customHeight="1">
      <c r="A116" s="162"/>
      <c r="B116" s="168"/>
      <c r="C116" s="182"/>
      <c r="D116" s="182"/>
      <c r="E116" s="229" t="s">
        <v>290</v>
      </c>
      <c r="F116" s="114">
        <v>0.42</v>
      </c>
      <c r="G116" s="225"/>
      <c r="H116" s="169"/>
      <c r="I116" s="16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c r="AK116" s="159"/>
      <c r="AL116" s="159"/>
      <c r="AM116" s="162"/>
    </row>
    <row r="117" spans="1:39" ht="15" customHeight="1">
      <c r="A117" s="162"/>
      <c r="B117" s="168"/>
      <c r="C117" s="182"/>
      <c r="D117" s="182"/>
      <c r="E117" s="229" t="s">
        <v>291</v>
      </c>
      <c r="F117" s="114">
        <v>0.9</v>
      </c>
      <c r="G117" s="225"/>
      <c r="H117" s="169"/>
      <c r="I117" s="16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62"/>
    </row>
    <row r="118" spans="1:39" ht="15" customHeight="1">
      <c r="A118" s="162"/>
      <c r="B118" s="168"/>
      <c r="C118" s="182"/>
      <c r="D118" s="182"/>
      <c r="E118" s="194" t="s">
        <v>147</v>
      </c>
      <c r="F118" s="114">
        <v>30</v>
      </c>
      <c r="G118" s="203" t="s">
        <v>69</v>
      </c>
      <c r="H118" s="169"/>
      <c r="I118" s="16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62"/>
    </row>
    <row r="119" spans="1:39" ht="15" customHeight="1">
      <c r="A119" s="162"/>
      <c r="B119" s="168"/>
      <c r="C119" s="182"/>
      <c r="D119" s="182"/>
      <c r="E119" s="229" t="s">
        <v>292</v>
      </c>
      <c r="F119" s="218">
        <f>TAMB+F114*F117*(IOUTMAX/F112)^2*F118/1000</f>
        <v>124.84399999999999</v>
      </c>
      <c r="G119" s="203" t="s">
        <v>68</v>
      </c>
      <c r="H119" s="169"/>
      <c r="I119" s="16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62"/>
    </row>
    <row r="120" spans="1:39" ht="15" customHeight="1">
      <c r="A120" s="162"/>
      <c r="B120" s="168"/>
      <c r="C120" s="182"/>
      <c r="D120" s="182"/>
      <c r="E120" s="229" t="s">
        <v>293</v>
      </c>
      <c r="F120" s="171">
        <f>F115*F116</f>
        <v>0.28909090909090907</v>
      </c>
      <c r="G120" s="203" t="s">
        <v>48</v>
      </c>
      <c r="H120" s="169"/>
      <c r="I120" s="16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62"/>
    </row>
    <row r="121" spans="1:39" ht="15" customHeight="1">
      <c r="A121" s="162"/>
      <c r="B121" s="168"/>
      <c r="C121" s="182"/>
      <c r="D121" s="182"/>
      <c r="E121" s="229" t="s">
        <v>294</v>
      </c>
      <c r="F121" s="171">
        <f>F114*F117</f>
        <v>0.69300000000000006</v>
      </c>
      <c r="G121" s="203" t="s">
        <v>48</v>
      </c>
      <c r="H121" s="169"/>
      <c r="I121" s="16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62"/>
    </row>
    <row r="122" spans="1:39" ht="15" customHeight="1">
      <c r="A122" s="162"/>
      <c r="B122" s="168"/>
      <c r="C122" s="182"/>
      <c r="D122" s="182"/>
      <c r="E122" s="229" t="s">
        <v>295</v>
      </c>
      <c r="F122" s="230">
        <f>F109*F113/F112</f>
        <v>0.79500000000000004</v>
      </c>
      <c r="G122" s="203" t="s">
        <v>106</v>
      </c>
      <c r="H122" s="169"/>
      <c r="I122" s="16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c r="AK122" s="159"/>
      <c r="AL122" s="159"/>
      <c r="AM122" s="162"/>
    </row>
    <row r="123" spans="1:39" ht="15" customHeight="1">
      <c r="A123" s="162"/>
      <c r="B123" s="168"/>
      <c r="C123" s="182"/>
      <c r="D123" s="182"/>
      <c r="E123" s="229" t="s">
        <v>296</v>
      </c>
      <c r="F123" s="228">
        <f>F122/'Device Parmaters'!C59</f>
        <v>8.0303030303030312</v>
      </c>
      <c r="G123" s="231" t="s">
        <v>50</v>
      </c>
      <c r="H123" s="169"/>
      <c r="I123" s="16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62"/>
    </row>
    <row r="124" spans="1:39" ht="15" customHeight="1">
      <c r="A124" s="162"/>
      <c r="B124" s="168"/>
      <c r="C124" s="182"/>
      <c r="D124" s="182"/>
      <c r="E124" s="229" t="s">
        <v>297</v>
      </c>
      <c r="F124" s="113">
        <v>8</v>
      </c>
      <c r="G124" s="231" t="s">
        <v>50</v>
      </c>
      <c r="H124" s="169"/>
      <c r="I124" s="16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c r="AK124" s="159"/>
      <c r="AL124" s="159"/>
      <c r="AM124" s="162"/>
    </row>
    <row r="125" spans="1:39" ht="15" customHeight="1">
      <c r="A125" s="162"/>
      <c r="B125" s="168"/>
      <c r="C125" s="182"/>
      <c r="D125" s="182"/>
      <c r="E125" s="229" t="s">
        <v>311</v>
      </c>
      <c r="F125" s="228">
        <f>F124*'Device Parmaters'!C59*(1-'Device Parmaters'!C57)-'Device Parmaters'!C56</f>
        <v>-0.25551999999999997</v>
      </c>
      <c r="G125" s="226" t="s">
        <v>106</v>
      </c>
      <c r="H125" s="169"/>
      <c r="I125" s="16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c r="AL125" s="159"/>
      <c r="AM125" s="162"/>
    </row>
    <row r="126" spans="1:39" ht="15" customHeight="1">
      <c r="A126" s="162"/>
      <c r="B126" s="168"/>
      <c r="C126" s="182"/>
      <c r="D126" s="182"/>
      <c r="E126" s="229" t="s">
        <v>312</v>
      </c>
      <c r="F126" s="228">
        <f>F124*'Device Parmaters'!C59</f>
        <v>0.79200000000000004</v>
      </c>
      <c r="G126" s="226" t="s">
        <v>106</v>
      </c>
      <c r="H126" s="169"/>
      <c r="I126" s="16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62"/>
    </row>
    <row r="127" spans="1:39" ht="15" customHeight="1">
      <c r="A127" s="162"/>
      <c r="B127" s="168"/>
      <c r="C127" s="182"/>
      <c r="D127" s="182"/>
      <c r="E127" s="229" t="s">
        <v>313</v>
      </c>
      <c r="F127" s="228">
        <f>F124*'Device Parmaters'!C59*(1+'Device Parmaters'!C57)+'Device Parmaters'!C56</f>
        <v>1.83952</v>
      </c>
      <c r="G127" s="226" t="s">
        <v>106</v>
      </c>
      <c r="H127" s="169"/>
      <c r="I127" s="16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c r="AK127" s="159"/>
      <c r="AL127" s="159"/>
      <c r="AM127" s="162"/>
    </row>
    <row r="128" spans="1:39" ht="15" customHeight="1">
      <c r="A128" s="162"/>
      <c r="B128" s="168"/>
      <c r="C128" s="182"/>
      <c r="D128" s="182"/>
      <c r="E128" s="229" t="s">
        <v>316</v>
      </c>
      <c r="F128" s="228">
        <f>F125/F121*F112</f>
        <v>-0.36871572871572866</v>
      </c>
      <c r="G128" s="226" t="s">
        <v>9</v>
      </c>
      <c r="H128" s="169"/>
      <c r="I128" s="16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c r="AK128" s="159"/>
      <c r="AL128" s="159"/>
      <c r="AM128" s="162"/>
    </row>
    <row r="129" spans="1:39" ht="15" customHeight="1">
      <c r="A129" s="162"/>
      <c r="B129" s="168"/>
      <c r="C129" s="182"/>
      <c r="D129" s="182"/>
      <c r="E129" s="229" t="s">
        <v>314</v>
      </c>
      <c r="F129" s="228">
        <f>F126/F113*F112</f>
        <v>1.4943396226415093</v>
      </c>
      <c r="G129" s="226" t="s">
        <v>9</v>
      </c>
      <c r="H129" s="169"/>
      <c r="I129" s="16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c r="AK129" s="159"/>
      <c r="AL129" s="159"/>
      <c r="AM129" s="162"/>
    </row>
    <row r="130" spans="1:39" ht="15" customHeight="1">
      <c r="A130" s="162"/>
      <c r="B130" s="168"/>
      <c r="C130" s="182"/>
      <c r="D130" s="182"/>
      <c r="E130" s="229" t="s">
        <v>315</v>
      </c>
      <c r="F130" s="228">
        <f>F127/F115*F112</f>
        <v>2.6725101886792455</v>
      </c>
      <c r="G130" s="184" t="s">
        <v>9</v>
      </c>
      <c r="H130" s="172"/>
      <c r="I130" s="16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c r="AK130" s="159"/>
      <c r="AL130" s="159"/>
      <c r="AM130" s="162"/>
    </row>
    <row r="131" spans="1:39" ht="15" customHeight="1">
      <c r="A131" s="162"/>
      <c r="B131" s="168"/>
      <c r="C131" s="182"/>
      <c r="D131" s="182"/>
      <c r="E131" s="229" t="s">
        <v>364</v>
      </c>
      <c r="F131" s="176">
        <f>F110/F124*1000</f>
        <v>62.5</v>
      </c>
      <c r="G131" s="184" t="s">
        <v>62</v>
      </c>
      <c r="H131" s="172"/>
      <c r="I131" s="16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59"/>
      <c r="AG131" s="159"/>
      <c r="AH131" s="159"/>
      <c r="AI131" s="159"/>
      <c r="AJ131" s="159"/>
      <c r="AK131" s="159"/>
      <c r="AL131" s="159"/>
      <c r="AM131" s="162"/>
    </row>
    <row r="132" spans="1:39" ht="15" customHeight="1">
      <c r="A132" s="162"/>
      <c r="B132" s="168"/>
      <c r="C132" s="182"/>
      <c r="D132" s="182"/>
      <c r="E132" s="229" t="s">
        <v>365</v>
      </c>
      <c r="F132" s="113">
        <v>63</v>
      </c>
      <c r="G132" s="232" t="s">
        <v>62</v>
      </c>
      <c r="H132" s="172"/>
      <c r="I132" s="16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62"/>
    </row>
    <row r="133" spans="1:39" ht="15" customHeight="1">
      <c r="A133" s="162"/>
      <c r="B133" s="168"/>
      <c r="C133" s="182"/>
      <c r="D133" s="182"/>
      <c r="E133" s="229" t="s">
        <v>366</v>
      </c>
      <c r="F133" s="176">
        <f>F132*F124/1000</f>
        <v>0.504</v>
      </c>
      <c r="G133" s="161" t="s">
        <v>318</v>
      </c>
      <c r="H133" s="172"/>
      <c r="I133" s="169"/>
      <c r="J133" s="159"/>
      <c r="K133" s="159"/>
      <c r="L133" s="159"/>
      <c r="M133" s="159"/>
      <c r="N133" s="159"/>
      <c r="O133" s="159"/>
      <c r="P133" s="159"/>
      <c r="Q133" s="159"/>
      <c r="R133" s="159"/>
      <c r="S133" s="159"/>
      <c r="T133" s="159"/>
      <c r="U133" s="159"/>
      <c r="V133" s="159"/>
      <c r="W133" s="159"/>
      <c r="X133" s="159"/>
      <c r="Y133" s="159"/>
      <c r="Z133" s="159"/>
      <c r="AA133" s="159"/>
      <c r="AB133" s="159"/>
      <c r="AC133" s="159"/>
      <c r="AD133" s="159"/>
      <c r="AE133" s="159"/>
      <c r="AF133" s="159"/>
      <c r="AG133" s="159"/>
      <c r="AH133" s="159"/>
      <c r="AI133" s="159"/>
      <c r="AJ133" s="159"/>
      <c r="AK133" s="159"/>
      <c r="AL133" s="159"/>
      <c r="AM133" s="162"/>
    </row>
    <row r="134" spans="1:39" ht="15" customHeight="1" thickBot="1">
      <c r="A134" s="162"/>
      <c r="B134" s="222"/>
      <c r="C134" s="223"/>
      <c r="D134" s="223"/>
      <c r="E134" s="223"/>
      <c r="F134" s="223"/>
      <c r="G134" s="224"/>
      <c r="H134" s="211"/>
      <c r="I134" s="211"/>
      <c r="J134" s="187"/>
      <c r="K134" s="187"/>
      <c r="L134" s="187"/>
      <c r="M134" s="187"/>
      <c r="N134" s="187"/>
      <c r="O134" s="187"/>
      <c r="P134" s="187"/>
      <c r="Q134" s="187"/>
      <c r="R134" s="187"/>
      <c r="S134" s="187"/>
      <c r="T134" s="187"/>
      <c r="U134" s="187"/>
      <c r="V134" s="187"/>
      <c r="W134" s="187"/>
      <c r="X134" s="187"/>
      <c r="Y134" s="187"/>
      <c r="Z134" s="187"/>
      <c r="AA134" s="187"/>
      <c r="AB134" s="187"/>
      <c r="AC134" s="187"/>
      <c r="AD134" s="187"/>
      <c r="AE134" s="187"/>
      <c r="AF134" s="187"/>
      <c r="AG134" s="187"/>
      <c r="AH134" s="187"/>
      <c r="AI134" s="187"/>
      <c r="AJ134" s="187"/>
      <c r="AK134" s="187"/>
      <c r="AL134" s="187"/>
      <c r="AM134" s="192"/>
    </row>
    <row r="135" spans="1:39" ht="15" customHeight="1">
      <c r="A135" s="159"/>
      <c r="B135" s="153" t="s">
        <v>143</v>
      </c>
      <c r="C135" s="154"/>
      <c r="D135" s="154"/>
      <c r="E135" s="233"/>
      <c r="F135" s="233"/>
      <c r="G135" s="23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7"/>
    </row>
    <row r="136" spans="1:39" ht="15" customHeight="1">
      <c r="A136" s="159"/>
      <c r="B136" s="168"/>
      <c r="C136" s="159"/>
      <c r="D136" s="159"/>
      <c r="E136" s="235" t="s">
        <v>336</v>
      </c>
      <c r="F136" s="236" t="s">
        <v>338</v>
      </c>
      <c r="G136" s="237" t="s">
        <v>337</v>
      </c>
      <c r="H136" s="237" t="s">
        <v>410</v>
      </c>
      <c r="I136" s="238"/>
      <c r="J136" s="182"/>
      <c r="K136" s="182"/>
      <c r="L136" s="182"/>
      <c r="M136" s="182"/>
      <c r="N136" s="182"/>
      <c r="O136" s="182"/>
      <c r="P136" s="182"/>
      <c r="Q136" s="182"/>
      <c r="R136" s="182"/>
      <c r="S136" s="182"/>
      <c r="T136" s="182"/>
      <c r="U136" s="182"/>
      <c r="V136" s="182"/>
      <c r="W136" s="182"/>
      <c r="X136" s="182"/>
      <c r="Y136" s="182"/>
      <c r="Z136" s="182"/>
      <c r="AA136" s="182"/>
      <c r="AB136" s="182"/>
      <c r="AC136" s="182"/>
      <c r="AD136" s="182"/>
      <c r="AE136" s="182"/>
      <c r="AF136" s="182"/>
      <c r="AG136" s="182"/>
      <c r="AH136" s="182"/>
      <c r="AI136" s="182"/>
      <c r="AJ136" s="182"/>
      <c r="AK136" s="182"/>
      <c r="AL136" s="182"/>
      <c r="AM136" s="239"/>
    </row>
    <row r="137" spans="1:39" ht="15" customHeight="1">
      <c r="A137" s="143"/>
      <c r="B137" s="158"/>
      <c r="C137" s="159"/>
      <c r="D137" s="159"/>
      <c r="E137" s="240" t="s">
        <v>341</v>
      </c>
      <c r="F137" s="241" t="str">
        <f>F58</f>
        <v>IPLU300N04S4</v>
      </c>
      <c r="G137" s="242"/>
      <c r="H137" s="248" t="s">
        <v>444</v>
      </c>
      <c r="I137" s="254" t="s">
        <v>388</v>
      </c>
      <c r="J137" s="182"/>
      <c r="K137" s="182"/>
      <c r="L137" s="182"/>
      <c r="M137" s="182"/>
      <c r="N137" s="243"/>
      <c r="O137" s="243"/>
      <c r="P137" s="243"/>
      <c r="Q137" s="243"/>
      <c r="R137" s="243"/>
      <c r="S137" s="243"/>
      <c r="T137" s="243"/>
      <c r="U137" s="243"/>
      <c r="V137" s="243"/>
      <c r="W137" s="243"/>
      <c r="X137" s="243"/>
      <c r="Y137" s="243"/>
      <c r="Z137" s="243"/>
      <c r="AA137" s="243"/>
      <c r="AB137" s="243"/>
      <c r="AC137" s="243"/>
      <c r="AD137" s="243"/>
      <c r="AE137" s="243"/>
      <c r="AF137" s="243"/>
      <c r="AG137" s="243"/>
      <c r="AH137" s="243"/>
      <c r="AI137" s="243"/>
      <c r="AJ137" s="243"/>
      <c r="AK137" s="243"/>
      <c r="AL137" s="243"/>
      <c r="AM137" s="244"/>
    </row>
    <row r="138" spans="1:39" ht="15" customHeight="1">
      <c r="A138" s="143"/>
      <c r="B138" s="163"/>
      <c r="C138" s="159"/>
      <c r="D138" s="159"/>
      <c r="E138" s="245" t="s">
        <v>342</v>
      </c>
      <c r="F138" s="241">
        <f>NUMFETS</f>
        <v>1</v>
      </c>
      <c r="G138" s="242"/>
      <c r="H138" s="248" t="s">
        <v>444</v>
      </c>
      <c r="I138" s="254" t="s">
        <v>388</v>
      </c>
      <c r="J138" s="182"/>
      <c r="K138" s="182"/>
      <c r="L138" s="182"/>
      <c r="M138" s="182"/>
      <c r="N138" s="159"/>
      <c r="O138" s="159"/>
      <c r="P138" s="159"/>
      <c r="Q138" s="159"/>
      <c r="R138" s="159"/>
      <c r="S138" s="159"/>
      <c r="T138" s="159"/>
      <c r="U138" s="159"/>
      <c r="V138" s="159"/>
      <c r="W138" s="159"/>
      <c r="X138" s="159"/>
      <c r="Y138" s="159"/>
      <c r="Z138" s="159"/>
      <c r="AA138" s="159"/>
      <c r="AB138" s="159"/>
      <c r="AC138" s="159"/>
      <c r="AD138" s="159"/>
      <c r="AE138" s="159"/>
      <c r="AF138" s="159"/>
      <c r="AG138" s="159"/>
      <c r="AH138" s="159"/>
      <c r="AI138" s="159"/>
      <c r="AJ138" s="159"/>
      <c r="AK138" s="159"/>
      <c r="AL138" s="159"/>
      <c r="AM138" s="246"/>
    </row>
    <row r="139" spans="1:39" ht="15" customHeight="1">
      <c r="A139" s="143"/>
      <c r="B139" s="163"/>
      <c r="C139" s="159"/>
      <c r="D139" s="159"/>
      <c r="E139" s="245" t="s">
        <v>343</v>
      </c>
      <c r="F139" s="241" t="str">
        <f>F111</f>
        <v>IPLU300N04S4</v>
      </c>
      <c r="G139" s="247"/>
      <c r="H139" s="248" t="s">
        <v>444</v>
      </c>
      <c r="I139" s="254" t="s">
        <v>388</v>
      </c>
      <c r="J139" s="182"/>
      <c r="K139" s="182"/>
      <c r="L139" s="182"/>
      <c r="M139" s="182"/>
      <c r="N139" s="159"/>
      <c r="O139" s="159"/>
      <c r="P139" s="159"/>
      <c r="Q139" s="159"/>
      <c r="R139" s="159"/>
      <c r="S139" s="159"/>
      <c r="T139" s="159"/>
      <c r="U139" s="159"/>
      <c r="V139" s="159"/>
      <c r="W139" s="159"/>
      <c r="X139" s="159"/>
      <c r="Y139" s="159"/>
      <c r="Z139" s="159"/>
      <c r="AA139" s="159"/>
      <c r="AB139" s="159"/>
      <c r="AC139" s="159"/>
      <c r="AD139" s="159"/>
      <c r="AE139" s="159"/>
      <c r="AF139" s="159"/>
      <c r="AG139" s="159"/>
      <c r="AH139" s="159"/>
      <c r="AI139" s="159"/>
      <c r="AJ139" s="159"/>
      <c r="AK139" s="159"/>
      <c r="AL139" s="159"/>
      <c r="AM139" s="246"/>
    </row>
    <row r="140" spans="1:39" ht="15" customHeight="1">
      <c r="A140" s="143"/>
      <c r="B140" s="163"/>
      <c r="C140" s="159"/>
      <c r="D140" s="159"/>
      <c r="E140" s="245" t="s">
        <v>344</v>
      </c>
      <c r="F140" s="241">
        <f>F112</f>
        <v>1</v>
      </c>
      <c r="G140" s="247"/>
      <c r="H140" s="247" t="s">
        <v>444</v>
      </c>
      <c r="I140" s="254" t="s">
        <v>388</v>
      </c>
      <c r="J140" s="182"/>
      <c r="K140" s="182"/>
      <c r="L140" s="182"/>
      <c r="M140" s="182"/>
      <c r="N140" s="159"/>
      <c r="O140" s="159"/>
      <c r="P140" s="159"/>
      <c r="Q140" s="159"/>
      <c r="R140" s="159"/>
      <c r="S140" s="159"/>
      <c r="T140" s="159"/>
      <c r="U140" s="159"/>
      <c r="V140" s="159"/>
      <c r="W140" s="159"/>
      <c r="X140" s="159"/>
      <c r="Y140" s="159"/>
      <c r="Z140" s="159"/>
      <c r="AA140" s="159"/>
      <c r="AB140" s="159"/>
      <c r="AC140" s="159"/>
      <c r="AD140" s="159"/>
      <c r="AE140" s="159"/>
      <c r="AF140" s="159"/>
      <c r="AG140" s="159"/>
      <c r="AH140" s="159"/>
      <c r="AI140" s="159"/>
      <c r="AJ140" s="159"/>
      <c r="AK140" s="159"/>
      <c r="AL140" s="159"/>
      <c r="AM140" s="246"/>
    </row>
    <row r="141" spans="1:39" ht="15" customHeight="1">
      <c r="A141" s="143"/>
      <c r="B141" s="163"/>
      <c r="C141" s="159"/>
      <c r="D141" s="159"/>
      <c r="E141" s="240" t="s">
        <v>340</v>
      </c>
      <c r="F141" s="202">
        <f>Rs</f>
        <v>0.5</v>
      </c>
      <c r="G141" s="248" t="s">
        <v>48</v>
      </c>
      <c r="H141" s="113">
        <v>1</v>
      </c>
      <c r="I141" s="254" t="s">
        <v>388</v>
      </c>
      <c r="J141" s="182"/>
      <c r="K141" s="182"/>
      <c r="L141" s="182"/>
      <c r="M141" s="182"/>
      <c r="N141" s="159"/>
      <c r="O141" s="159"/>
      <c r="P141" s="159"/>
      <c r="Q141" s="159"/>
      <c r="R141" s="159"/>
      <c r="S141" s="159"/>
      <c r="T141" s="159"/>
      <c r="U141" s="159"/>
      <c r="V141" s="159"/>
      <c r="W141" s="159"/>
      <c r="X141" s="159"/>
      <c r="Y141" s="159"/>
      <c r="Z141" s="159"/>
      <c r="AA141" s="159"/>
      <c r="AB141" s="159"/>
      <c r="AC141" s="159"/>
      <c r="AD141" s="159"/>
      <c r="AE141" s="159"/>
      <c r="AF141" s="159"/>
      <c r="AG141" s="159"/>
      <c r="AH141" s="159"/>
      <c r="AI141" s="159"/>
      <c r="AJ141" s="159"/>
      <c r="AK141" s="159"/>
      <c r="AL141" s="159"/>
      <c r="AM141" s="246"/>
    </row>
    <row r="142" spans="1:39" ht="15" customHeight="1">
      <c r="A142" s="143"/>
      <c r="B142" s="163"/>
      <c r="C142" s="159"/>
      <c r="D142" s="159"/>
      <c r="E142" s="245" t="s">
        <v>347</v>
      </c>
      <c r="F142" s="249">
        <f>F124</f>
        <v>8</v>
      </c>
      <c r="G142" s="242" t="s">
        <v>50</v>
      </c>
      <c r="H142" s="113">
        <v>1</v>
      </c>
      <c r="I142" s="254" t="s">
        <v>388</v>
      </c>
      <c r="J142" s="182"/>
      <c r="K142" s="182"/>
      <c r="L142" s="182"/>
      <c r="M142" s="182"/>
      <c r="N142" s="159"/>
      <c r="O142" s="159"/>
      <c r="P142" s="159"/>
      <c r="Q142" s="159"/>
      <c r="R142" s="159"/>
      <c r="S142" s="159"/>
      <c r="T142" s="159"/>
      <c r="U142" s="159"/>
      <c r="V142" s="159"/>
      <c r="W142" s="159"/>
      <c r="X142" s="159"/>
      <c r="Y142" s="159"/>
      <c r="Z142" s="159"/>
      <c r="AA142" s="159"/>
      <c r="AB142" s="159"/>
      <c r="AC142" s="159"/>
      <c r="AD142" s="159"/>
      <c r="AE142" s="159"/>
      <c r="AF142" s="159"/>
      <c r="AG142" s="159"/>
      <c r="AH142" s="159"/>
      <c r="AI142" s="159"/>
      <c r="AJ142" s="159"/>
      <c r="AK142" s="159"/>
      <c r="AL142" s="159"/>
      <c r="AM142" s="246"/>
    </row>
    <row r="143" spans="1:39" ht="15" customHeight="1" thickBot="1">
      <c r="A143" s="143"/>
      <c r="B143" s="163"/>
      <c r="C143" s="159"/>
      <c r="D143" s="159"/>
      <c r="E143" s="245" t="s">
        <v>349</v>
      </c>
      <c r="F143" s="249">
        <f>F48</f>
        <v>499</v>
      </c>
      <c r="G143" s="242" t="s">
        <v>50</v>
      </c>
      <c r="H143" s="113">
        <v>1</v>
      </c>
      <c r="I143" s="254" t="s">
        <v>388</v>
      </c>
      <c r="J143" s="182"/>
      <c r="K143" s="182"/>
      <c r="L143" s="182"/>
      <c r="M143" s="182"/>
      <c r="N143" s="187"/>
      <c r="O143" s="187"/>
      <c r="P143" s="187"/>
      <c r="Q143" s="187"/>
      <c r="R143" s="187"/>
      <c r="S143" s="187"/>
      <c r="T143" s="187"/>
      <c r="U143" s="187"/>
      <c r="V143" s="187"/>
      <c r="W143" s="187"/>
      <c r="X143" s="187"/>
      <c r="Y143" s="187"/>
      <c r="Z143" s="187"/>
      <c r="AA143" s="187"/>
      <c r="AB143" s="187"/>
      <c r="AC143" s="187"/>
      <c r="AD143" s="187"/>
      <c r="AE143" s="187"/>
      <c r="AF143" s="187"/>
      <c r="AG143" s="187"/>
      <c r="AH143" s="187"/>
      <c r="AI143" s="187"/>
      <c r="AJ143" s="187"/>
      <c r="AK143" s="187"/>
      <c r="AL143" s="187"/>
      <c r="AM143" s="246"/>
    </row>
    <row r="144" spans="1:39" ht="15" customHeight="1">
      <c r="A144" s="143"/>
      <c r="B144" s="163"/>
      <c r="C144" s="159"/>
      <c r="D144" s="159"/>
      <c r="E144" s="245" t="s">
        <v>348</v>
      </c>
      <c r="F144" s="249">
        <f>F44</f>
        <v>160</v>
      </c>
      <c r="G144" s="242" t="s">
        <v>50</v>
      </c>
      <c r="H144" s="113">
        <v>0.1</v>
      </c>
      <c r="I144" s="254" t="s">
        <v>388</v>
      </c>
      <c r="J144" s="182"/>
      <c r="K144" s="182"/>
      <c r="L144" s="182"/>
      <c r="M144" s="182"/>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c r="AL144" s="159"/>
      <c r="AM144" s="246"/>
    </row>
    <row r="145" spans="1:39" ht="18.75" customHeight="1">
      <c r="A145" s="159"/>
      <c r="B145" s="168"/>
      <c r="C145" s="182"/>
      <c r="D145" s="182"/>
      <c r="E145" s="245" t="s">
        <v>350</v>
      </c>
      <c r="F145" s="250">
        <f>RDIV1</f>
        <v>2700</v>
      </c>
      <c r="G145" s="242" t="s">
        <v>50</v>
      </c>
      <c r="H145" s="113">
        <v>0.1</v>
      </c>
      <c r="I145" s="254" t="s">
        <v>388</v>
      </c>
      <c r="J145" s="182"/>
      <c r="K145" s="182"/>
      <c r="L145" s="182"/>
      <c r="M145" s="182"/>
      <c r="N145" s="182"/>
      <c r="O145" s="182"/>
      <c r="P145" s="182"/>
      <c r="Q145" s="182"/>
      <c r="R145" s="182"/>
      <c r="S145" s="182"/>
      <c r="T145" s="182"/>
      <c r="U145" s="182"/>
      <c r="V145" s="182"/>
      <c r="W145" s="182"/>
      <c r="X145" s="182"/>
      <c r="Y145" s="182"/>
      <c r="Z145" s="182"/>
      <c r="AA145" s="182"/>
      <c r="AB145" s="182"/>
      <c r="AC145" s="182"/>
      <c r="AD145" s="182"/>
      <c r="AE145" s="182"/>
      <c r="AF145" s="182"/>
      <c r="AG145" s="182"/>
      <c r="AH145" s="182"/>
      <c r="AI145" s="182"/>
      <c r="AJ145" s="182"/>
      <c r="AK145" s="182"/>
      <c r="AL145" s="182"/>
      <c r="AM145" s="239"/>
    </row>
    <row r="146" spans="1:39" ht="15" customHeight="1">
      <c r="A146" s="159"/>
      <c r="B146" s="168"/>
      <c r="C146" s="182"/>
      <c r="D146" s="182"/>
      <c r="E146" s="245" t="s">
        <v>320</v>
      </c>
      <c r="F146" s="202">
        <f>RPROG</f>
        <v>32.4</v>
      </c>
      <c r="G146" s="247" t="s">
        <v>47</v>
      </c>
      <c r="H146" s="113">
        <v>1</v>
      </c>
      <c r="I146" s="254" t="s">
        <v>388</v>
      </c>
      <c r="J146" s="182"/>
      <c r="K146" s="182"/>
      <c r="L146" s="182"/>
      <c r="M146" s="182"/>
      <c r="N146" s="182"/>
      <c r="O146" s="182"/>
      <c r="P146" s="182"/>
      <c r="Q146" s="182"/>
      <c r="R146" s="182"/>
      <c r="S146" s="182"/>
      <c r="T146" s="182"/>
      <c r="U146" s="182"/>
      <c r="V146" s="182"/>
      <c r="W146" s="182"/>
      <c r="X146" s="182"/>
      <c r="Y146" s="182"/>
      <c r="Z146" s="182"/>
      <c r="AA146" s="182"/>
      <c r="AB146" s="182"/>
      <c r="AC146" s="182"/>
      <c r="AD146" s="182"/>
      <c r="AE146" s="182"/>
      <c r="AF146" s="182"/>
      <c r="AG146" s="182"/>
      <c r="AH146" s="182"/>
      <c r="AI146" s="182"/>
      <c r="AJ146" s="182"/>
      <c r="AK146" s="182"/>
      <c r="AL146" s="182"/>
      <c r="AM146" s="239"/>
    </row>
    <row r="147" spans="1:39" ht="14.25" customHeight="1">
      <c r="A147" s="159"/>
      <c r="B147" s="168"/>
      <c r="C147" s="182"/>
      <c r="D147" s="182"/>
      <c r="E147" s="245" t="s">
        <v>352</v>
      </c>
      <c r="F147" s="251">
        <f>F93</f>
        <v>49.9</v>
      </c>
      <c r="G147" s="247" t="s">
        <v>47</v>
      </c>
      <c r="H147" s="113">
        <v>1</v>
      </c>
      <c r="I147" s="254" t="s">
        <v>388</v>
      </c>
      <c r="J147" s="182"/>
      <c r="K147" s="182"/>
      <c r="L147" s="182"/>
      <c r="M147" s="182"/>
      <c r="N147" s="182"/>
      <c r="O147" s="182"/>
      <c r="P147" s="182"/>
      <c r="Q147" s="182"/>
      <c r="R147" s="182"/>
      <c r="S147" s="182"/>
      <c r="T147" s="182"/>
      <c r="U147" s="182"/>
      <c r="V147" s="182"/>
      <c r="W147" s="182"/>
      <c r="X147" s="182"/>
      <c r="Y147" s="182"/>
      <c r="Z147" s="182"/>
      <c r="AA147" s="182"/>
      <c r="AB147" s="182"/>
      <c r="AC147" s="182"/>
      <c r="AD147" s="182"/>
      <c r="AE147" s="182"/>
      <c r="AF147" s="182"/>
      <c r="AG147" s="182"/>
      <c r="AH147" s="182"/>
      <c r="AI147" s="182"/>
      <c r="AJ147" s="182"/>
      <c r="AK147" s="182"/>
      <c r="AL147" s="182"/>
      <c r="AM147" s="239"/>
    </row>
    <row r="148" spans="1:39" ht="15" customHeight="1">
      <c r="A148" s="159"/>
      <c r="B148" s="168"/>
      <c r="C148" s="182"/>
      <c r="D148" s="182"/>
      <c r="E148" s="245" t="s">
        <v>353</v>
      </c>
      <c r="F148" s="176">
        <f>F96</f>
        <v>2.21</v>
      </c>
      <c r="G148" s="247" t="s">
        <v>47</v>
      </c>
      <c r="H148" s="113">
        <v>1</v>
      </c>
      <c r="I148" s="254" t="s">
        <v>388</v>
      </c>
      <c r="J148" s="182"/>
      <c r="K148" s="182"/>
      <c r="L148" s="182"/>
      <c r="M148" s="182"/>
      <c r="N148" s="182"/>
      <c r="O148" s="182"/>
      <c r="P148" s="182"/>
      <c r="Q148" s="182"/>
      <c r="R148" s="182"/>
      <c r="S148" s="182"/>
      <c r="T148" s="182"/>
      <c r="U148" s="182"/>
      <c r="V148" s="182"/>
      <c r="W148" s="182"/>
      <c r="X148" s="182"/>
      <c r="Y148" s="182"/>
      <c r="Z148" s="182"/>
      <c r="AA148" s="182"/>
      <c r="AB148" s="182"/>
      <c r="AC148" s="182"/>
      <c r="AD148" s="182"/>
      <c r="AE148" s="182"/>
      <c r="AF148" s="182"/>
      <c r="AG148" s="182"/>
      <c r="AH148" s="182"/>
      <c r="AI148" s="182"/>
      <c r="AJ148" s="182"/>
      <c r="AK148" s="182"/>
      <c r="AL148" s="182"/>
      <c r="AM148" s="239"/>
    </row>
    <row r="149" spans="1:39" ht="15" customHeight="1">
      <c r="A149" s="159"/>
      <c r="B149" s="168"/>
      <c r="C149" s="182"/>
      <c r="D149" s="182"/>
      <c r="E149" s="245" t="s">
        <v>354</v>
      </c>
      <c r="F149" s="176">
        <f>F97</f>
        <v>5.56</v>
      </c>
      <c r="G149" s="247" t="s">
        <v>47</v>
      </c>
      <c r="H149" s="113">
        <v>1</v>
      </c>
      <c r="I149" s="254" t="s">
        <v>388</v>
      </c>
      <c r="J149" s="252"/>
      <c r="K149" s="221"/>
      <c r="L149" s="221"/>
      <c r="M149" s="221"/>
      <c r="N149" s="159"/>
      <c r="O149" s="159"/>
      <c r="P149" s="159"/>
      <c r="Q149" s="159"/>
      <c r="R149" s="159"/>
      <c r="S149" s="159"/>
      <c r="T149" s="159"/>
      <c r="U149" s="159"/>
      <c r="V149" s="159"/>
      <c r="W149" s="159"/>
      <c r="X149" s="159"/>
      <c r="Y149" s="159"/>
      <c r="Z149" s="159"/>
      <c r="AA149" s="159"/>
      <c r="AB149" s="159"/>
      <c r="AC149" s="159"/>
      <c r="AD149" s="159"/>
      <c r="AE149" s="159"/>
      <c r="AF149" s="159"/>
      <c r="AG149" s="159"/>
      <c r="AH149" s="159"/>
      <c r="AI149" s="159"/>
      <c r="AJ149" s="159"/>
      <c r="AK149" s="159"/>
      <c r="AL149" s="159"/>
      <c r="AM149" s="246"/>
    </row>
    <row r="150" spans="1:39" ht="15" customHeight="1">
      <c r="A150" s="159"/>
      <c r="B150" s="168"/>
      <c r="C150" s="182"/>
      <c r="D150" s="182"/>
      <c r="E150" s="245" t="str">
        <f>IF(F81="single", "Ctmr", "Cinr")</f>
        <v>Cinr</v>
      </c>
      <c r="F150" s="176">
        <f>F84</f>
        <v>2.7</v>
      </c>
      <c r="G150" s="253" t="s">
        <v>62</v>
      </c>
      <c r="H150" s="113">
        <v>10</v>
      </c>
      <c r="I150" s="254" t="s">
        <v>388</v>
      </c>
      <c r="J150" s="252"/>
      <c r="K150" s="221"/>
      <c r="L150" s="221"/>
      <c r="M150" s="221"/>
      <c r="N150" s="159"/>
      <c r="O150" s="159"/>
      <c r="P150" s="159"/>
      <c r="Q150" s="159"/>
      <c r="R150" s="159"/>
      <c r="S150" s="159"/>
      <c r="T150" s="159"/>
      <c r="U150" s="159"/>
      <c r="V150" s="159"/>
      <c r="W150" s="159"/>
      <c r="X150" s="159"/>
      <c r="Y150" s="159"/>
      <c r="Z150" s="159"/>
      <c r="AA150" s="159"/>
      <c r="AB150" s="159"/>
      <c r="AC150" s="159"/>
      <c r="AD150" s="159"/>
      <c r="AE150" s="159"/>
      <c r="AF150" s="159"/>
      <c r="AG150" s="159"/>
      <c r="AH150" s="159"/>
      <c r="AI150" s="159"/>
      <c r="AJ150" s="159"/>
      <c r="AK150" s="159"/>
      <c r="AL150" s="159"/>
      <c r="AM150" s="246"/>
    </row>
    <row r="151" spans="1:39" ht="15" customHeight="1">
      <c r="A151" s="159"/>
      <c r="B151" s="163"/>
      <c r="C151" s="159"/>
      <c r="D151" s="159"/>
      <c r="E151" s="245" t="s">
        <v>351</v>
      </c>
      <c r="F151" s="176">
        <f>F89</f>
        <v>2200</v>
      </c>
      <c r="G151" s="253" t="s">
        <v>62</v>
      </c>
      <c r="H151" s="253">
        <v>10</v>
      </c>
      <c r="I151" s="254" t="s">
        <v>388</v>
      </c>
      <c r="J151" s="159"/>
      <c r="K151" s="159"/>
      <c r="L151" s="159"/>
      <c r="M151" s="159"/>
      <c r="N151" s="159"/>
      <c r="O151" s="159"/>
      <c r="P151" s="159"/>
      <c r="Q151" s="159"/>
      <c r="R151" s="159"/>
      <c r="S151" s="159"/>
      <c r="T151" s="159"/>
      <c r="U151" s="159"/>
      <c r="V151" s="159"/>
      <c r="W151" s="159"/>
      <c r="X151" s="159"/>
      <c r="Y151" s="159"/>
      <c r="Z151" s="159"/>
      <c r="AA151" s="159"/>
      <c r="AB151" s="159"/>
      <c r="AC151" s="159"/>
      <c r="AD151" s="159"/>
      <c r="AE151" s="159"/>
      <c r="AF151" s="159"/>
      <c r="AG151" s="159"/>
      <c r="AH151" s="159"/>
      <c r="AI151" s="159"/>
      <c r="AJ151" s="159"/>
      <c r="AK151" s="159"/>
      <c r="AL151" s="159"/>
      <c r="AM151" s="162"/>
    </row>
    <row r="152" spans="1:39" ht="15" customHeight="1">
      <c r="A152" s="159"/>
      <c r="B152" s="349"/>
      <c r="C152" s="350"/>
      <c r="D152" s="350"/>
      <c r="E152" s="245" t="s">
        <v>346</v>
      </c>
      <c r="F152" s="176">
        <v>0.1</v>
      </c>
      <c r="G152" s="248" t="s">
        <v>46</v>
      </c>
      <c r="H152" s="248" t="s">
        <v>444</v>
      </c>
      <c r="I152" s="254" t="s">
        <v>388</v>
      </c>
      <c r="J152" s="159"/>
      <c r="K152" s="159"/>
      <c r="L152" s="159"/>
      <c r="M152" s="159"/>
      <c r="N152" s="159"/>
      <c r="O152" s="159"/>
      <c r="P152" s="159"/>
      <c r="Q152" s="159"/>
      <c r="R152" s="159"/>
      <c r="S152" s="159"/>
      <c r="T152" s="159"/>
      <c r="U152" s="159"/>
      <c r="V152" s="159"/>
      <c r="W152" s="159"/>
      <c r="X152" s="159"/>
      <c r="Y152" s="159"/>
      <c r="Z152" s="159"/>
      <c r="AA152" s="159"/>
      <c r="AB152" s="159"/>
      <c r="AC152" s="159"/>
      <c r="AD152" s="159"/>
      <c r="AE152" s="159"/>
      <c r="AF152" s="159"/>
      <c r="AG152" s="159"/>
      <c r="AH152" s="159"/>
      <c r="AI152" s="159"/>
      <c r="AJ152" s="159"/>
      <c r="AK152" s="159"/>
      <c r="AL152" s="159"/>
      <c r="AM152" s="162"/>
    </row>
    <row r="153" spans="1:39" ht="15" customHeight="1">
      <c r="A153" s="159"/>
      <c r="B153" s="168"/>
      <c r="C153" s="182"/>
      <c r="D153" s="159"/>
      <c r="E153" s="245" t="s">
        <v>345</v>
      </c>
      <c r="F153" s="176">
        <v>0.1</v>
      </c>
      <c r="G153" s="248" t="s">
        <v>46</v>
      </c>
      <c r="H153" s="248" t="s">
        <v>444</v>
      </c>
      <c r="I153" s="254" t="s">
        <v>388</v>
      </c>
      <c r="J153" s="159"/>
      <c r="K153" s="159"/>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c r="AL153" s="159"/>
      <c r="AM153" s="162"/>
    </row>
    <row r="154" spans="1:39" ht="15" customHeight="1">
      <c r="A154" s="159"/>
      <c r="B154" s="168"/>
      <c r="C154" s="182"/>
      <c r="D154" s="159"/>
      <c r="E154" s="245" t="s">
        <v>469</v>
      </c>
      <c r="F154" s="176">
        <v>10</v>
      </c>
      <c r="G154" s="242" t="s">
        <v>50</v>
      </c>
      <c r="H154" s="248" t="s">
        <v>444</v>
      </c>
      <c r="I154" s="254"/>
      <c r="J154" s="159"/>
      <c r="K154" s="159"/>
      <c r="L154" s="159"/>
      <c r="M154" s="159"/>
      <c r="N154" s="159"/>
      <c r="O154" s="159"/>
      <c r="P154" s="159"/>
      <c r="Q154" s="159"/>
      <c r="R154" s="159"/>
      <c r="S154" s="159"/>
      <c r="T154" s="159"/>
      <c r="U154" s="159"/>
      <c r="V154" s="159"/>
      <c r="W154" s="159"/>
      <c r="X154" s="159"/>
      <c r="Y154" s="159"/>
      <c r="Z154" s="159"/>
      <c r="AA154" s="159"/>
      <c r="AB154" s="159"/>
      <c r="AC154" s="159"/>
      <c r="AD154" s="159"/>
      <c r="AE154" s="159"/>
      <c r="AF154" s="159"/>
      <c r="AG154" s="159"/>
      <c r="AH154" s="159"/>
      <c r="AI154" s="159"/>
      <c r="AJ154" s="159"/>
      <c r="AK154" s="159"/>
      <c r="AL154" s="159"/>
      <c r="AM154" s="162"/>
    </row>
    <row r="155" spans="1:39" ht="15" customHeight="1">
      <c r="A155" s="159"/>
      <c r="B155" s="168"/>
      <c r="C155" s="182"/>
      <c r="D155" s="159"/>
      <c r="E155" s="245" t="s">
        <v>470</v>
      </c>
      <c r="F155" s="251" t="str">
        <f>F104</f>
        <v>none</v>
      </c>
      <c r="G155" s="253" t="s">
        <v>62</v>
      </c>
      <c r="H155" s="248" t="s">
        <v>444</v>
      </c>
      <c r="I155" s="254"/>
      <c r="J155" s="159"/>
      <c r="K155" s="159"/>
      <c r="L155" s="159"/>
      <c r="M155" s="159"/>
      <c r="N155" s="159"/>
      <c r="O155" s="159"/>
      <c r="P155" s="159"/>
      <c r="Q155" s="159"/>
      <c r="R155" s="159"/>
      <c r="S155" s="159"/>
      <c r="T155" s="159"/>
      <c r="U155" s="159"/>
      <c r="V155" s="159"/>
      <c r="W155" s="159"/>
      <c r="X155" s="159"/>
      <c r="Y155" s="159"/>
      <c r="Z155" s="159"/>
      <c r="AA155" s="159"/>
      <c r="AB155" s="159"/>
      <c r="AC155" s="159"/>
      <c r="AD155" s="159"/>
      <c r="AE155" s="159"/>
      <c r="AF155" s="159"/>
      <c r="AG155" s="159"/>
      <c r="AH155" s="159"/>
      <c r="AI155" s="159"/>
      <c r="AJ155" s="159"/>
      <c r="AK155" s="159"/>
      <c r="AL155" s="159"/>
      <c r="AM155" s="162"/>
    </row>
    <row r="156" spans="1:39" ht="15" customHeight="1">
      <c r="A156" s="159"/>
      <c r="B156" s="168"/>
      <c r="F156" s="206"/>
      <c r="G156" s="254"/>
      <c r="H156" s="254"/>
      <c r="I156" s="254"/>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62"/>
    </row>
    <row r="157" spans="1:39" ht="20.399999999999999" customHeight="1">
      <c r="A157" s="159"/>
      <c r="B157" s="168"/>
      <c r="C157" s="182"/>
      <c r="D157" s="284" t="s">
        <v>445</v>
      </c>
      <c r="E157" s="286" t="s">
        <v>86</v>
      </c>
      <c r="G157" s="221"/>
      <c r="H157" s="159"/>
      <c r="I157" s="159"/>
      <c r="J157" s="159"/>
      <c r="K157" s="159"/>
      <c r="L157" s="159"/>
      <c r="M157" s="159"/>
      <c r="N157" s="159"/>
      <c r="O157" s="159"/>
      <c r="P157" s="159"/>
      <c r="Q157" s="159"/>
      <c r="R157" s="159"/>
      <c r="S157" s="159"/>
      <c r="T157" s="159"/>
      <c r="U157" s="159"/>
      <c r="V157" s="159"/>
      <c r="W157" s="159"/>
      <c r="X157" s="159"/>
      <c r="Y157" s="159"/>
      <c r="Z157" s="159"/>
      <c r="AA157" s="159"/>
      <c r="AB157" s="159"/>
      <c r="AC157" s="159"/>
      <c r="AD157" s="159"/>
      <c r="AE157" s="159"/>
      <c r="AF157" s="159"/>
      <c r="AG157" s="159"/>
      <c r="AH157" s="159"/>
      <c r="AI157" s="159"/>
      <c r="AJ157" s="159"/>
      <c r="AK157" s="159"/>
      <c r="AL157" s="159"/>
      <c r="AM157" s="162"/>
    </row>
    <row r="158" spans="1:39" ht="15" customHeight="1">
      <c r="A158" s="143"/>
      <c r="B158" s="168"/>
      <c r="C158" s="236" t="s">
        <v>339</v>
      </c>
      <c r="D158" s="291" t="s">
        <v>34</v>
      </c>
      <c r="E158" s="236" t="s">
        <v>35</v>
      </c>
      <c r="F158" s="291" t="s">
        <v>36</v>
      </c>
      <c r="G158" s="236" t="s">
        <v>98</v>
      </c>
      <c r="H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159"/>
      <c r="AE158" s="159"/>
      <c r="AF158" s="159"/>
      <c r="AG158" s="159"/>
      <c r="AH158" s="159"/>
      <c r="AI158" s="159"/>
      <c r="AJ158" s="159"/>
      <c r="AK158" s="159"/>
      <c r="AL158" s="159"/>
      <c r="AM158" s="162"/>
    </row>
    <row r="159" spans="1:39" ht="15" customHeight="1">
      <c r="A159" s="143"/>
      <c r="B159" s="163"/>
      <c r="C159" s="248" t="s">
        <v>144</v>
      </c>
      <c r="D159" s="260">
        <f>IF($E$157="RMS", RMS_Analysis!E90, WorstCaseAnalysis!E89)</f>
        <v>77.776948701531396</v>
      </c>
      <c r="E159" s="180">
        <f>F50</f>
        <v>80</v>
      </c>
      <c r="F159" s="260">
        <f>IF($E$157="RMS", RMS_Analysis!G90, WorstCaseAnalysis!G89)</f>
        <v>82.223051298468604</v>
      </c>
      <c r="G159" s="248" t="s">
        <v>9</v>
      </c>
      <c r="H159" s="159"/>
      <c r="J159" s="182"/>
      <c r="K159" s="182"/>
      <c r="L159" s="182"/>
      <c r="M159" s="182"/>
      <c r="N159" s="182"/>
      <c r="O159" s="182"/>
      <c r="P159" s="182"/>
      <c r="Q159" s="182"/>
      <c r="R159" s="182"/>
      <c r="S159" s="182"/>
      <c r="T159" s="182"/>
      <c r="U159" s="182"/>
      <c r="V159" s="182"/>
      <c r="W159" s="182"/>
      <c r="X159" s="182"/>
      <c r="Y159" s="182"/>
      <c r="Z159" s="182"/>
      <c r="AA159" s="182"/>
      <c r="AB159" s="182"/>
      <c r="AC159" s="182"/>
      <c r="AD159" s="182"/>
      <c r="AE159" s="182"/>
      <c r="AF159" s="182"/>
      <c r="AG159" s="182"/>
      <c r="AH159" s="182"/>
      <c r="AI159" s="182"/>
      <c r="AJ159" s="182"/>
      <c r="AK159" s="182"/>
      <c r="AL159" s="182"/>
      <c r="AM159" s="239"/>
    </row>
    <row r="160" spans="1:39" ht="15" customHeight="1">
      <c r="A160" s="143"/>
      <c r="B160" s="163"/>
      <c r="C160" s="248" t="s">
        <v>272</v>
      </c>
      <c r="D160" s="260">
        <f>IF($E$157="RMS", RMS_Analysis!E91, WorstCaseAnalysis!E90)</f>
        <v>93.557500000000005</v>
      </c>
      <c r="E160" s="260">
        <f>F52</f>
        <v>99.800000000000011</v>
      </c>
      <c r="F160" s="260">
        <f>IF($E$157="RMS", RMS_Analysis!G91, WorstCaseAnalysis!G90)</f>
        <v>106.04250000000002</v>
      </c>
      <c r="G160" s="248" t="s">
        <v>9</v>
      </c>
      <c r="H160" s="159"/>
      <c r="J160" s="182"/>
      <c r="K160" s="182"/>
      <c r="L160" s="182"/>
      <c r="M160" s="182"/>
      <c r="N160" s="182"/>
      <c r="O160" s="182"/>
      <c r="P160" s="182"/>
      <c r="Q160" s="182"/>
      <c r="R160" s="182"/>
      <c r="S160" s="182"/>
      <c r="T160" s="182"/>
      <c r="U160" s="182"/>
      <c r="V160" s="182"/>
      <c r="W160" s="182"/>
      <c r="X160" s="182"/>
      <c r="Y160" s="182"/>
      <c r="Z160" s="182"/>
      <c r="AA160" s="182"/>
      <c r="AB160" s="182"/>
      <c r="AC160" s="182"/>
      <c r="AD160" s="182"/>
      <c r="AE160" s="182"/>
      <c r="AF160" s="182"/>
      <c r="AG160" s="182"/>
      <c r="AH160" s="182"/>
      <c r="AI160" s="182"/>
      <c r="AJ160" s="182"/>
      <c r="AK160" s="182"/>
      <c r="AL160" s="182"/>
      <c r="AM160" s="239"/>
    </row>
    <row r="161" spans="1:40" ht="15" customHeight="1">
      <c r="A161" s="143"/>
      <c r="B161" s="261"/>
      <c r="C161" s="290" t="s">
        <v>357</v>
      </c>
      <c r="D161" s="260" t="str">
        <f>IF($E$157="RMS", RMS_Analysis!E92, WorstCaseAnalysis!E91)</f>
        <v>NA</v>
      </c>
      <c r="E161" s="260">
        <f>F57</f>
        <v>0.499</v>
      </c>
      <c r="F161" s="260" t="str">
        <f>IF($E$157="RMS", RMS_Analysis!G92, WorstCaseAnalysis!G91)</f>
        <v>NA</v>
      </c>
      <c r="G161" s="248" t="s">
        <v>318</v>
      </c>
      <c r="H161" s="159"/>
      <c r="J161" s="182"/>
      <c r="K161" s="182"/>
      <c r="L161" s="182"/>
      <c r="M161" s="182"/>
      <c r="N161" s="182"/>
      <c r="O161" s="182"/>
      <c r="P161" s="182"/>
      <c r="Q161" s="182"/>
      <c r="R161" s="182"/>
      <c r="S161" s="182"/>
      <c r="T161" s="182"/>
      <c r="U161" s="182"/>
      <c r="V161" s="182"/>
      <c r="W161" s="182"/>
      <c r="X161" s="182"/>
      <c r="Y161" s="182"/>
      <c r="Z161" s="182"/>
      <c r="AA161" s="182"/>
      <c r="AB161" s="182"/>
      <c r="AC161" s="182"/>
      <c r="AD161" s="182"/>
      <c r="AE161" s="182"/>
      <c r="AF161" s="182"/>
      <c r="AG161" s="182"/>
      <c r="AH161" s="182"/>
      <c r="AI161" s="182"/>
      <c r="AJ161" s="182"/>
      <c r="AK161" s="182"/>
      <c r="AL161" s="182"/>
      <c r="AM161" s="239"/>
    </row>
    <row r="162" spans="1:40" ht="15" customHeight="1">
      <c r="A162" s="143"/>
      <c r="B162" s="163"/>
      <c r="C162" s="248" t="s">
        <v>105</v>
      </c>
      <c r="D162" s="260">
        <f>IF($E$157="RMS", RMS_Analysis!E93, WorstCaseAnalysis!E92)</f>
        <v>261.71693139151824</v>
      </c>
      <c r="E162" s="180">
        <f>F74</f>
        <v>308.64197530864197</v>
      </c>
      <c r="F162" s="260">
        <f>IF($E$157="RMS", RMS_Analysis!G93, WorstCaseAnalysis!G92)</f>
        <v>355.5670192257657</v>
      </c>
      <c r="G162" s="248" t="s">
        <v>50</v>
      </c>
      <c r="H162" s="159"/>
      <c r="J162" s="182"/>
      <c r="K162" s="182"/>
      <c r="L162" s="182"/>
      <c r="M162" s="182"/>
      <c r="N162" s="182"/>
      <c r="O162" s="182"/>
      <c r="P162" s="182"/>
      <c r="Q162" s="182"/>
      <c r="R162" s="182"/>
      <c r="S162" s="182"/>
      <c r="T162" s="182"/>
      <c r="U162" s="182"/>
      <c r="V162" s="182"/>
      <c r="W162" s="182"/>
      <c r="X162" s="182"/>
      <c r="Y162" s="182"/>
      <c r="Z162" s="182"/>
      <c r="AA162" s="182"/>
      <c r="AB162" s="182"/>
      <c r="AC162" s="182"/>
      <c r="AD162" s="182"/>
      <c r="AE162" s="182"/>
      <c r="AF162" s="182"/>
      <c r="AG162" s="182"/>
      <c r="AH162" s="182"/>
      <c r="AI162" s="182"/>
      <c r="AJ162" s="182"/>
      <c r="AK162" s="182"/>
      <c r="AL162" s="182"/>
      <c r="AM162" s="239"/>
    </row>
    <row r="163" spans="1:40" ht="15" customHeight="1">
      <c r="A163" s="143"/>
      <c r="B163" s="263"/>
      <c r="C163" s="292" t="s">
        <v>355</v>
      </c>
      <c r="D163" s="260">
        <f>IF($E$157="RMS", RMS_Analysis!E94, WorstCaseAnalysis!E93)</f>
        <v>9.622643828997715</v>
      </c>
      <c r="E163" s="180">
        <f>Equations!F71</f>
        <v>10.019884169884172</v>
      </c>
      <c r="F163" s="260">
        <f>IF($E$157="RMS", RMS_Analysis!G94, WorstCaseAnalysis!G93)</f>
        <v>10.417124510770629</v>
      </c>
      <c r="G163" s="248" t="s">
        <v>49</v>
      </c>
      <c r="H163" s="159"/>
      <c r="J163" s="182"/>
      <c r="K163" s="182"/>
      <c r="L163" s="182"/>
      <c r="M163" s="182"/>
      <c r="N163" s="182"/>
      <c r="O163" s="182"/>
      <c r="P163" s="182"/>
      <c r="Q163" s="182"/>
      <c r="R163" s="182"/>
      <c r="S163" s="182"/>
      <c r="T163" s="182"/>
      <c r="U163" s="182"/>
      <c r="V163" s="182"/>
      <c r="W163" s="182"/>
      <c r="X163" s="182"/>
      <c r="Y163" s="182"/>
      <c r="Z163" s="182"/>
      <c r="AA163" s="182"/>
      <c r="AB163" s="182"/>
      <c r="AC163" s="182"/>
      <c r="AD163" s="182"/>
      <c r="AE163" s="182"/>
      <c r="AF163" s="182"/>
      <c r="AG163" s="182"/>
      <c r="AH163" s="182"/>
      <c r="AI163" s="182"/>
      <c r="AJ163" s="182"/>
      <c r="AK163" s="182"/>
      <c r="AL163" s="182"/>
      <c r="AM163" s="239"/>
    </row>
    <row r="164" spans="1:40" ht="15" customHeight="1">
      <c r="A164" s="143"/>
      <c r="B164" s="163"/>
      <c r="C164" s="292" t="s">
        <v>356</v>
      </c>
      <c r="D164" s="260">
        <f>IF($E$157="RMS", RMS_Analysis!E95, WorstCaseAnalysis!E94)</f>
        <v>13.447471681890693</v>
      </c>
      <c r="E164" s="180">
        <f>Equations!F77</f>
        <v>14.002607913669069</v>
      </c>
      <c r="F164" s="260">
        <f>IF($E$157="RMS", RMS_Analysis!G95, WorstCaseAnalysis!G94)</f>
        <v>14.557744145447446</v>
      </c>
      <c r="G164" s="248" t="s">
        <v>49</v>
      </c>
      <c r="H164" s="159"/>
      <c r="J164" s="182"/>
      <c r="K164" s="182"/>
      <c r="L164" s="182"/>
      <c r="M164" s="182"/>
      <c r="N164" s="182"/>
      <c r="O164" s="182"/>
      <c r="P164" s="182"/>
      <c r="Q164" s="182"/>
      <c r="R164" s="182"/>
      <c r="S164" s="182"/>
      <c r="T164" s="182"/>
      <c r="U164" s="182"/>
      <c r="V164" s="182"/>
      <c r="W164" s="182"/>
      <c r="X164" s="182"/>
      <c r="Y164" s="182"/>
      <c r="Z164" s="182"/>
      <c r="AA164" s="182"/>
      <c r="AB164" s="182"/>
      <c r="AC164" s="182"/>
      <c r="AD164" s="182"/>
      <c r="AE164" s="182"/>
      <c r="AF164" s="182"/>
      <c r="AG164" s="182"/>
      <c r="AH164" s="182"/>
      <c r="AI164" s="182"/>
      <c r="AJ164" s="182"/>
      <c r="AK164" s="182"/>
      <c r="AL164" s="182"/>
      <c r="AM164" s="239"/>
    </row>
    <row r="165" spans="1:40" ht="15" customHeight="1">
      <c r="A165" s="143"/>
      <c r="B165" s="163"/>
      <c r="C165" s="290" t="s">
        <v>362</v>
      </c>
      <c r="D165" s="295" t="s">
        <v>444</v>
      </c>
      <c r="E165" s="260">
        <f>F129</f>
        <v>1.4943396226415093</v>
      </c>
      <c r="F165" s="295" t="s">
        <v>444</v>
      </c>
      <c r="G165" s="290" t="s">
        <v>9</v>
      </c>
      <c r="H165" s="159"/>
      <c r="J165" s="182"/>
      <c r="K165" s="182"/>
      <c r="L165" s="182"/>
      <c r="M165" s="182"/>
      <c r="N165" s="182"/>
      <c r="O165" s="182"/>
      <c r="P165" s="182"/>
      <c r="Q165" s="182"/>
      <c r="R165" s="182"/>
      <c r="S165" s="182"/>
      <c r="T165" s="182"/>
      <c r="U165" s="182"/>
      <c r="V165" s="182"/>
      <c r="W165" s="182"/>
      <c r="X165" s="182"/>
      <c r="Y165" s="182"/>
      <c r="Z165" s="182"/>
      <c r="AA165" s="182"/>
      <c r="AB165" s="182"/>
      <c r="AC165" s="182"/>
      <c r="AD165" s="182"/>
      <c r="AE165" s="182"/>
      <c r="AF165" s="182"/>
      <c r="AG165" s="182"/>
      <c r="AH165" s="182"/>
      <c r="AI165" s="182"/>
      <c r="AJ165" s="182"/>
      <c r="AK165" s="182"/>
      <c r="AL165" s="182"/>
      <c r="AM165" s="239"/>
    </row>
    <row r="166" spans="1:40" ht="15" customHeight="1">
      <c r="A166" s="143"/>
      <c r="B166" s="163"/>
      <c r="C166" s="290" t="s">
        <v>363</v>
      </c>
      <c r="D166" s="260" t="str">
        <f>IF($E$157="RMS", RMS_Analysis!E97, WorstCaseAnalysis!E96)</f>
        <v>NA</v>
      </c>
      <c r="E166" s="260">
        <f>F133</f>
        <v>0.504</v>
      </c>
      <c r="F166" s="260" t="str">
        <f>IF($E$157="RMS", RMS_Analysis!G97, WorstCaseAnalysis!G96)</f>
        <v>NA</v>
      </c>
      <c r="G166" s="248" t="s">
        <v>318</v>
      </c>
      <c r="H166" s="159"/>
      <c r="J166" s="159"/>
      <c r="K166" s="159"/>
      <c r="L166" s="159"/>
      <c r="M166" s="159"/>
      <c r="N166" s="159"/>
      <c r="O166" s="159"/>
      <c r="P166" s="159"/>
      <c r="Q166" s="159"/>
      <c r="R166" s="159"/>
      <c r="S166" s="159"/>
      <c r="T166" s="159"/>
      <c r="U166" s="159"/>
      <c r="V166" s="159"/>
      <c r="W166" s="159"/>
      <c r="X166" s="159"/>
      <c r="Y166" s="159"/>
      <c r="Z166" s="159"/>
      <c r="AA166" s="159"/>
      <c r="AB166" s="159"/>
      <c r="AC166" s="159"/>
      <c r="AD166" s="159"/>
      <c r="AE166" s="159"/>
      <c r="AF166" s="159"/>
      <c r="AG166" s="159"/>
      <c r="AH166" s="159"/>
      <c r="AI166" s="159"/>
      <c r="AJ166" s="159"/>
      <c r="AK166" s="159"/>
      <c r="AL166" s="159"/>
      <c r="AM166" s="162"/>
    </row>
    <row r="167" spans="1:40" ht="15" customHeight="1">
      <c r="A167" s="143"/>
      <c r="B167" s="163"/>
      <c r="C167" s="248" t="str">
        <f>IF(F81="single", "timer", "inrush timer")</f>
        <v>inrush timer</v>
      </c>
      <c r="D167" s="260">
        <f>IF($E$157="RMS", RMS_Analysis!E98, WorstCaseAnalysis!E97)</f>
        <v>0.26983066504194392</v>
      </c>
      <c r="E167" s="260">
        <f>Tfault</f>
        <v>0.35560975609756101</v>
      </c>
      <c r="F167" s="260">
        <f>IF($E$157="RMS", RMS_Analysis!G98, WorstCaseAnalysis!G97)</f>
        <v>0.44138884715317811</v>
      </c>
      <c r="G167" s="290" t="s">
        <v>8</v>
      </c>
      <c r="H167" s="159"/>
      <c r="J167" s="159"/>
      <c r="K167" s="159"/>
      <c r="L167" s="159"/>
      <c r="M167" s="159"/>
      <c r="N167" s="159"/>
      <c r="O167" s="159"/>
      <c r="P167" s="159"/>
      <c r="Q167" s="159"/>
      <c r="R167" s="159"/>
      <c r="S167" s="159"/>
      <c r="T167" s="159"/>
      <c r="U167" s="159"/>
      <c r="V167" s="159"/>
      <c r="W167" s="159"/>
      <c r="X167" s="159"/>
      <c r="Y167" s="159"/>
      <c r="Z167" s="159"/>
      <c r="AA167" s="159"/>
      <c r="AB167" s="159"/>
      <c r="AC167" s="159"/>
      <c r="AD167" s="159"/>
      <c r="AE167" s="159"/>
      <c r="AF167" s="159"/>
      <c r="AG167" s="159"/>
      <c r="AH167" s="159"/>
      <c r="AI167" s="159"/>
      <c r="AJ167" s="159"/>
      <c r="AK167" s="159"/>
      <c r="AL167" s="159"/>
      <c r="AM167" s="162"/>
      <c r="AN167" s="167"/>
    </row>
    <row r="168" spans="1:40" ht="15" customHeight="1">
      <c r="A168" s="159"/>
      <c r="B168" s="168"/>
      <c r="C168" s="248" t="s">
        <v>361</v>
      </c>
      <c r="D168" s="260">
        <f>IF($E$157="RMS", RMS_Analysis!E99, WorstCaseAnalysis!E98)</f>
        <v>219.86202336750981</v>
      </c>
      <c r="E168" s="260">
        <f>F90</f>
        <v>289.7560975609756</v>
      </c>
      <c r="F168" s="260">
        <f>IF($E$157="RMS", RMS_Analysis!G99, WorstCaseAnalysis!G98)</f>
        <v>359.65017175444137</v>
      </c>
      <c r="G168" s="290" t="s">
        <v>8</v>
      </c>
      <c r="H168" s="182"/>
      <c r="J168" s="182"/>
      <c r="K168" s="182"/>
      <c r="L168" s="182"/>
      <c r="M168" s="182"/>
      <c r="N168" s="182"/>
      <c r="O168" s="182"/>
      <c r="P168" s="182"/>
      <c r="Q168" s="182"/>
      <c r="R168" s="182"/>
      <c r="S168" s="182"/>
      <c r="T168" s="182"/>
      <c r="U168" s="182"/>
      <c r="V168" s="182"/>
      <c r="W168" s="182"/>
      <c r="X168" s="182"/>
      <c r="Y168" s="182"/>
      <c r="Z168" s="182"/>
      <c r="AA168" s="182"/>
      <c r="AB168" s="182"/>
      <c r="AC168" s="182"/>
      <c r="AD168" s="182"/>
      <c r="AE168" s="182"/>
      <c r="AF168" s="182"/>
      <c r="AG168" s="182"/>
      <c r="AH168" s="182"/>
      <c r="AI168" s="182"/>
      <c r="AJ168" s="182"/>
      <c r="AK168" s="182"/>
      <c r="AL168" s="182"/>
      <c r="AM168" s="239"/>
      <c r="AN168" s="167"/>
    </row>
    <row r="169" spans="1:40">
      <c r="A169" s="159"/>
      <c r="B169" s="168"/>
      <c r="C169" s="292" t="s">
        <v>358</v>
      </c>
      <c r="D169" s="290" t="s">
        <v>444</v>
      </c>
      <c r="E169" s="171">
        <f>F145*F141/(F144)</f>
        <v>8.4375</v>
      </c>
      <c r="F169" s="290" t="s">
        <v>444</v>
      </c>
      <c r="G169" s="248" t="s">
        <v>360</v>
      </c>
      <c r="H169" s="182"/>
      <c r="J169" s="182"/>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2"/>
      <c r="AI169" s="182"/>
      <c r="AJ169" s="182"/>
      <c r="AK169" s="182"/>
      <c r="AL169" s="182"/>
      <c r="AM169" s="239"/>
      <c r="AN169" s="167"/>
    </row>
    <row r="170" spans="1:40">
      <c r="A170" s="159"/>
      <c r="B170" s="168"/>
      <c r="C170" s="292" t="s">
        <v>359</v>
      </c>
      <c r="D170" s="290" t="s">
        <v>444</v>
      </c>
      <c r="E170" s="171">
        <f>E169*3</f>
        <v>25.3125</v>
      </c>
      <c r="F170" s="290" t="s">
        <v>444</v>
      </c>
      <c r="G170" s="248" t="s">
        <v>360</v>
      </c>
      <c r="H170" s="182"/>
      <c r="J170" s="182"/>
      <c r="K170" s="182"/>
      <c r="L170" s="182"/>
      <c r="M170" s="182"/>
      <c r="N170" s="182"/>
      <c r="O170" s="182"/>
      <c r="P170" s="182"/>
      <c r="Q170" s="182"/>
      <c r="R170" s="182"/>
      <c r="S170" s="182"/>
      <c r="T170" s="182"/>
      <c r="U170" s="182"/>
      <c r="V170" s="182"/>
      <c r="W170" s="182"/>
      <c r="X170" s="182"/>
      <c r="Y170" s="182"/>
      <c r="Z170" s="182"/>
      <c r="AA170" s="182"/>
      <c r="AB170" s="182"/>
      <c r="AC170" s="182"/>
      <c r="AD170" s="182"/>
      <c r="AE170" s="182"/>
      <c r="AF170" s="182"/>
      <c r="AG170" s="182"/>
      <c r="AH170" s="182"/>
      <c r="AI170" s="182"/>
      <c r="AJ170" s="182"/>
      <c r="AK170" s="182"/>
      <c r="AL170" s="182"/>
      <c r="AM170" s="239"/>
    </row>
    <row r="171" spans="1:40">
      <c r="A171" s="159"/>
      <c r="B171" s="168"/>
      <c r="C171" s="182"/>
      <c r="D171" s="182"/>
      <c r="E171" s="280"/>
      <c r="F171" s="182"/>
      <c r="G171" s="281"/>
      <c r="H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239"/>
    </row>
    <row r="172" spans="1:40">
      <c r="A172" s="159"/>
      <c r="B172" s="168"/>
      <c r="C172" s="182"/>
      <c r="D172" s="182"/>
      <c r="E172" s="280"/>
      <c r="F172" s="182"/>
      <c r="G172" s="281"/>
      <c r="H172" s="182"/>
      <c r="J172" s="182"/>
      <c r="K172" s="182"/>
      <c r="L172" s="182"/>
      <c r="M172" s="182"/>
      <c r="N172" s="182"/>
      <c r="O172" s="182"/>
      <c r="P172" s="182"/>
      <c r="Q172" s="182"/>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239"/>
    </row>
    <row r="173" spans="1:40">
      <c r="A173" s="159"/>
      <c r="B173" s="168"/>
      <c r="C173" s="182"/>
      <c r="D173" s="283"/>
      <c r="E173" s="299" t="s">
        <v>457</v>
      </c>
      <c r="F173" s="283"/>
      <c r="G173" s="281"/>
      <c r="H173" s="182"/>
      <c r="J173" s="182"/>
      <c r="K173" s="182"/>
      <c r="L173" s="182"/>
      <c r="M173" s="182"/>
      <c r="N173" s="182"/>
      <c r="O173" s="182"/>
      <c r="P173" s="182"/>
      <c r="Q173" s="182"/>
      <c r="R173" s="182"/>
      <c r="S173" s="182"/>
      <c r="T173" s="182"/>
      <c r="U173" s="182"/>
      <c r="V173" s="182"/>
      <c r="W173" s="182"/>
      <c r="X173" s="182"/>
      <c r="Y173" s="182"/>
      <c r="Z173" s="182"/>
      <c r="AA173" s="182"/>
      <c r="AB173" s="182"/>
      <c r="AC173" s="182"/>
      <c r="AD173" s="182"/>
      <c r="AE173" s="182"/>
      <c r="AF173" s="182"/>
      <c r="AG173" s="182"/>
      <c r="AH173" s="182"/>
      <c r="AI173" s="182"/>
      <c r="AJ173" s="182"/>
      <c r="AK173" s="182"/>
      <c r="AL173" s="182"/>
      <c r="AM173" s="239"/>
    </row>
    <row r="174" spans="1:40">
      <c r="A174" s="159"/>
      <c r="B174" s="168"/>
      <c r="C174" s="182"/>
      <c r="D174" s="283"/>
      <c r="E174" s="293" t="s">
        <v>458</v>
      </c>
      <c r="F174" s="287" t="s">
        <v>449</v>
      </c>
      <c r="G174" s="281"/>
      <c r="H174" s="182"/>
      <c r="J174" s="182"/>
      <c r="K174" s="182"/>
      <c r="L174" s="182"/>
      <c r="M174" s="182"/>
      <c r="N174" s="182"/>
      <c r="O174" s="182"/>
      <c r="P174" s="182"/>
      <c r="Q174" s="182"/>
      <c r="R174" s="182"/>
      <c r="S174" s="182"/>
      <c r="T174" s="182"/>
      <c r="U174" s="182"/>
      <c r="V174" s="182"/>
      <c r="W174" s="182"/>
      <c r="X174" s="182"/>
      <c r="Y174" s="182"/>
      <c r="Z174" s="182"/>
      <c r="AA174" s="182"/>
      <c r="AB174" s="182"/>
      <c r="AC174" s="182"/>
      <c r="AD174" s="182"/>
      <c r="AE174" s="182"/>
      <c r="AF174" s="182"/>
      <c r="AG174" s="182"/>
      <c r="AH174" s="182"/>
      <c r="AI174" s="182"/>
      <c r="AJ174" s="182"/>
      <c r="AK174" s="182"/>
      <c r="AL174" s="182"/>
      <c r="AM174" s="239"/>
    </row>
    <row r="175" spans="1:40">
      <c r="A175" s="159"/>
      <c r="B175" s="168"/>
      <c r="C175" s="182"/>
      <c r="D175" s="287" t="s">
        <v>459</v>
      </c>
      <c r="E175" s="294">
        <f>IF($E$157="RMS", RMS_Analysis!E104, WorstCaseAnalysis!E103)</f>
        <v>1.1491844934561204E-2</v>
      </c>
      <c r="F175" s="294">
        <f>IF($E$157="RMS", RMS_Analysis!F104, WorstCaseAnalysis!F103)</f>
        <v>2.1669390854382593E-2</v>
      </c>
      <c r="G175" s="281"/>
      <c r="H175" s="182"/>
      <c r="J175" s="182"/>
      <c r="K175" s="182"/>
      <c r="L175" s="182"/>
      <c r="M175" s="182"/>
      <c r="N175" s="182"/>
      <c r="O175" s="182"/>
      <c r="P175" s="1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239"/>
    </row>
    <row r="176" spans="1:40">
      <c r="A176" s="159"/>
      <c r="B176" s="168"/>
      <c r="C176" s="182"/>
      <c r="D176" s="287" t="s">
        <v>460</v>
      </c>
      <c r="E176" s="294">
        <f>IF($E$157="RMS", RMS_Analysis!E105, WorstCaseAnalysis!E104)</f>
        <v>1.4009283738442789E-2</v>
      </c>
      <c r="F176" s="294">
        <f>IF($E$157="RMS", RMS_Analysis!F105, WorstCaseAnalysis!F104)</f>
        <v>3.1746403023622562E-2</v>
      </c>
      <c r="G176" s="281"/>
      <c r="H176" s="182"/>
      <c r="J176" s="182"/>
      <c r="K176" s="182"/>
      <c r="L176" s="182"/>
      <c r="M176" s="182"/>
      <c r="N176" s="182"/>
      <c r="O176" s="182"/>
      <c r="P176" s="182"/>
      <c r="Q176" s="182"/>
      <c r="R176" s="182"/>
      <c r="S176" s="182"/>
      <c r="T176" s="182"/>
      <c r="U176" s="182"/>
      <c r="V176" s="182"/>
      <c r="W176" s="182"/>
      <c r="X176" s="182"/>
      <c r="Y176" s="182"/>
      <c r="Z176" s="182"/>
      <c r="AA176" s="182"/>
      <c r="AB176" s="182"/>
      <c r="AC176" s="182"/>
      <c r="AD176" s="182"/>
      <c r="AE176" s="182"/>
      <c r="AF176" s="182"/>
      <c r="AG176" s="182"/>
      <c r="AH176" s="182"/>
      <c r="AI176" s="182"/>
      <c r="AJ176" s="182"/>
      <c r="AK176" s="182"/>
      <c r="AL176" s="182"/>
      <c r="AM176" s="239"/>
    </row>
    <row r="177" spans="1:39">
      <c r="A177" s="159"/>
      <c r="B177" s="168"/>
      <c r="C177" s="182"/>
      <c r="D177" s="252"/>
      <c r="E177" s="280"/>
      <c r="G177" s="281"/>
      <c r="H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239"/>
    </row>
    <row r="178" spans="1:39" ht="13.8" thickBot="1">
      <c r="A178" s="143"/>
      <c r="B178" s="186"/>
      <c r="C178" s="223"/>
      <c r="D178" s="223"/>
      <c r="E178" s="223"/>
      <c r="F178" s="223"/>
      <c r="G178" s="265"/>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92"/>
    </row>
    <row r="179" spans="1:39">
      <c r="A179" s="143"/>
      <c r="B179" s="159"/>
      <c r="G179" s="150"/>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E179" s="159"/>
      <c r="AF179" s="159"/>
      <c r="AG179" s="159"/>
      <c r="AH179" s="159"/>
      <c r="AI179" s="159"/>
      <c r="AJ179" s="159"/>
      <c r="AK179" s="159"/>
      <c r="AL179" s="159"/>
      <c r="AM179" s="159"/>
    </row>
    <row r="180" spans="1:39">
      <c r="A180" s="143"/>
      <c r="B180" s="159"/>
      <c r="G180" s="150"/>
      <c r="H180" s="159"/>
      <c r="I180" s="159"/>
      <c r="J180" s="159"/>
      <c r="K180" s="159"/>
      <c r="L180" s="159"/>
      <c r="M180" s="159"/>
      <c r="N180" s="159"/>
      <c r="O180" s="159"/>
      <c r="P180" s="159"/>
      <c r="Q180" s="159"/>
      <c r="R180" s="159"/>
      <c r="S180" s="159"/>
      <c r="T180" s="159"/>
      <c r="U180" s="159"/>
      <c r="V180" s="159"/>
      <c r="W180" s="159"/>
      <c r="X180" s="159"/>
      <c r="Y180" s="159"/>
      <c r="Z180" s="159"/>
      <c r="AA180" s="159"/>
      <c r="AB180" s="159"/>
      <c r="AC180" s="159"/>
      <c r="AD180" s="159"/>
      <c r="AE180" s="159"/>
      <c r="AF180" s="159"/>
      <c r="AG180" s="159"/>
      <c r="AH180" s="159"/>
      <c r="AI180" s="159"/>
      <c r="AJ180" s="159"/>
      <c r="AK180" s="159"/>
      <c r="AL180" s="159"/>
      <c r="AM180" s="159"/>
    </row>
    <row r="181" spans="1:39">
      <c r="A181" s="143"/>
      <c r="G181" s="145"/>
      <c r="L181" s="159"/>
      <c r="M181" s="159"/>
      <c r="N181" s="159"/>
      <c r="O181" s="159"/>
      <c r="P181" s="159"/>
      <c r="Q181" s="159"/>
      <c r="R181" s="159"/>
      <c r="S181" s="159"/>
      <c r="T181" s="159"/>
      <c r="U181" s="159"/>
      <c r="V181" s="159"/>
      <c r="W181" s="159"/>
      <c r="X181" s="159"/>
      <c r="Y181" s="159"/>
      <c r="Z181" s="159"/>
      <c r="AA181" s="159"/>
      <c r="AB181" s="159"/>
      <c r="AC181" s="159"/>
      <c r="AD181" s="159"/>
      <c r="AE181" s="159"/>
      <c r="AF181" s="159"/>
      <c r="AG181" s="159"/>
      <c r="AH181" s="159"/>
      <c r="AI181" s="159"/>
      <c r="AJ181" s="159"/>
      <c r="AK181" s="159"/>
      <c r="AL181" s="159"/>
      <c r="AM181" s="159"/>
    </row>
    <row r="182" spans="1:39">
      <c r="A182" s="143"/>
      <c r="G182" s="145"/>
      <c r="L182" s="159"/>
      <c r="M182" s="159"/>
      <c r="N182" s="159"/>
      <c r="O182" s="159"/>
      <c r="P182" s="159"/>
      <c r="Q182" s="159"/>
      <c r="R182" s="159"/>
      <c r="S182" s="159"/>
      <c r="T182" s="159"/>
      <c r="U182" s="159"/>
      <c r="V182" s="159"/>
      <c r="W182" s="159"/>
      <c r="X182" s="159"/>
      <c r="Y182" s="159"/>
      <c r="Z182" s="159"/>
      <c r="AA182" s="159"/>
      <c r="AB182" s="159"/>
      <c r="AC182" s="159"/>
      <c r="AD182" s="159"/>
      <c r="AE182" s="159"/>
      <c r="AF182" s="159"/>
      <c r="AG182" s="159"/>
      <c r="AH182" s="159"/>
      <c r="AI182" s="159"/>
      <c r="AJ182" s="159"/>
      <c r="AK182" s="159"/>
      <c r="AL182" s="159"/>
      <c r="AM182" s="159"/>
    </row>
    <row r="183" spans="1:39">
      <c r="A183" s="143"/>
      <c r="G183" s="145"/>
      <c r="L183" s="159"/>
      <c r="M183" s="159"/>
      <c r="N183" s="159"/>
      <c r="O183" s="159"/>
      <c r="P183" s="159"/>
      <c r="Q183" s="159"/>
      <c r="R183" s="159"/>
      <c r="S183" s="159"/>
      <c r="T183" s="159"/>
      <c r="U183" s="159"/>
      <c r="V183" s="159"/>
      <c r="W183" s="159"/>
      <c r="X183" s="159"/>
      <c r="Y183" s="159"/>
      <c r="Z183" s="159"/>
      <c r="AA183" s="159"/>
      <c r="AB183" s="159"/>
      <c r="AC183" s="159"/>
      <c r="AD183" s="159"/>
      <c r="AE183" s="159"/>
      <c r="AF183" s="159"/>
      <c r="AG183" s="159"/>
      <c r="AH183" s="159"/>
      <c r="AI183" s="159"/>
      <c r="AJ183" s="159"/>
      <c r="AK183" s="159"/>
      <c r="AL183" s="159"/>
      <c r="AM183" s="159"/>
    </row>
    <row r="184" spans="1:39">
      <c r="A184" s="143"/>
      <c r="G184" s="145"/>
      <c r="L184" s="143"/>
      <c r="M184" s="143"/>
      <c r="N184" s="143"/>
      <c r="O184" s="143"/>
      <c r="P184" s="143"/>
      <c r="Q184" s="143"/>
      <c r="R184" s="143"/>
      <c r="S184" s="143"/>
      <c r="T184" s="143"/>
      <c r="U184" s="143"/>
      <c r="V184" s="143"/>
      <c r="W184" s="143"/>
      <c r="X184" s="143"/>
      <c r="Y184" s="143"/>
      <c r="Z184" s="143"/>
      <c r="AA184" s="143"/>
      <c r="AB184" s="143"/>
      <c r="AC184" s="143"/>
      <c r="AD184" s="143"/>
      <c r="AE184" s="143"/>
      <c r="AF184" s="143"/>
      <c r="AG184" s="143"/>
      <c r="AH184" s="143"/>
      <c r="AI184" s="143"/>
      <c r="AJ184" s="143"/>
      <c r="AK184" s="143"/>
      <c r="AL184" s="143"/>
      <c r="AM184" s="159"/>
    </row>
    <row r="185" spans="1:39">
      <c r="A185" s="143"/>
      <c r="G185" s="145"/>
      <c r="L185" s="143"/>
      <c r="M185" s="143"/>
      <c r="N185" s="143"/>
      <c r="O185" s="143"/>
      <c r="P185" s="143"/>
      <c r="Q185" s="143"/>
      <c r="R185" s="143"/>
      <c r="S185" s="143"/>
      <c r="T185" s="143"/>
      <c r="U185" s="143"/>
      <c r="V185" s="143"/>
      <c r="W185" s="143"/>
      <c r="X185" s="143"/>
      <c r="Y185" s="143"/>
      <c r="Z185" s="143"/>
      <c r="AA185" s="143"/>
      <c r="AB185" s="143"/>
      <c r="AC185" s="143"/>
      <c r="AD185" s="143"/>
      <c r="AE185" s="143"/>
      <c r="AF185" s="143"/>
      <c r="AG185" s="143"/>
      <c r="AH185" s="143"/>
      <c r="AI185" s="143"/>
      <c r="AJ185" s="143"/>
      <c r="AK185" s="143"/>
      <c r="AL185" s="143"/>
      <c r="AM185" s="159"/>
    </row>
    <row r="186" spans="1:39">
      <c r="A186" s="143"/>
      <c r="G186" s="145"/>
      <c r="L186" s="266"/>
      <c r="M186" s="143"/>
      <c r="N186" s="143"/>
      <c r="O186" s="143"/>
      <c r="P186" s="143"/>
      <c r="Q186" s="143"/>
      <c r="R186" s="143"/>
      <c r="S186" s="143"/>
      <c r="T186" s="143"/>
      <c r="U186" s="143"/>
      <c r="V186" s="143"/>
      <c r="W186" s="143"/>
      <c r="X186" s="143"/>
      <c r="Y186" s="143"/>
      <c r="Z186" s="143"/>
      <c r="AA186" s="143"/>
      <c r="AB186" s="143"/>
      <c r="AC186" s="143"/>
      <c r="AD186" s="143"/>
      <c r="AE186" s="143"/>
      <c r="AF186" s="143"/>
      <c r="AG186" s="143"/>
      <c r="AH186" s="143"/>
      <c r="AI186" s="143"/>
      <c r="AJ186" s="143"/>
      <c r="AK186" s="143"/>
      <c r="AL186" s="143"/>
      <c r="AM186" s="159"/>
    </row>
    <row r="187" spans="1:39">
      <c r="A187" s="143"/>
      <c r="G187" s="145"/>
      <c r="L187" s="266"/>
      <c r="M187" s="143"/>
      <c r="N187" s="143"/>
      <c r="O187" s="143"/>
      <c r="P187" s="143"/>
      <c r="Q187" s="143"/>
      <c r="R187" s="143"/>
      <c r="S187" s="143"/>
      <c r="T187" s="143"/>
      <c r="U187" s="143"/>
      <c r="V187" s="143"/>
      <c r="W187" s="143"/>
      <c r="X187" s="143"/>
      <c r="Y187" s="143"/>
      <c r="Z187" s="143"/>
      <c r="AA187" s="143"/>
      <c r="AB187" s="143"/>
      <c r="AC187" s="143"/>
      <c r="AD187" s="143"/>
      <c r="AE187" s="143"/>
      <c r="AF187" s="143"/>
      <c r="AG187" s="143"/>
      <c r="AH187" s="143"/>
      <c r="AI187" s="143"/>
      <c r="AJ187" s="143"/>
      <c r="AK187" s="143"/>
      <c r="AL187" s="143"/>
      <c r="AM187" s="143"/>
    </row>
    <row r="188" spans="1:39">
      <c r="A188" s="143"/>
      <c r="G188" s="145"/>
      <c r="J188" s="167"/>
      <c r="L188" s="266"/>
      <c r="M188" s="143"/>
      <c r="N188" s="143"/>
      <c r="O188" s="143"/>
      <c r="P188" s="143"/>
      <c r="Q188" s="143"/>
      <c r="R188" s="143"/>
      <c r="S188" s="143"/>
      <c r="T188" s="143"/>
      <c r="U188" s="143"/>
      <c r="V188" s="143"/>
      <c r="W188" s="143"/>
      <c r="X188" s="143"/>
      <c r="Y188" s="143"/>
      <c r="Z188" s="143"/>
      <c r="AA188" s="143"/>
      <c r="AB188" s="143"/>
      <c r="AC188" s="143"/>
      <c r="AD188" s="143"/>
      <c r="AE188" s="143"/>
      <c r="AF188" s="143"/>
      <c r="AG188" s="143"/>
      <c r="AH188" s="143"/>
      <c r="AI188" s="143"/>
      <c r="AJ188" s="143"/>
      <c r="AK188" s="143"/>
      <c r="AL188" s="143"/>
      <c r="AM188" s="143"/>
    </row>
    <row r="189" spans="1:39">
      <c r="A189" s="143"/>
      <c r="G189" s="145"/>
      <c r="L189" s="266"/>
      <c r="M189" s="143"/>
      <c r="N189" s="143"/>
      <c r="O189" s="143"/>
      <c r="P189" s="143"/>
      <c r="Q189" s="143"/>
      <c r="R189" s="143"/>
      <c r="S189" s="143"/>
      <c r="T189" s="143"/>
      <c r="U189" s="143"/>
      <c r="V189" s="143"/>
      <c r="W189" s="143"/>
      <c r="X189" s="143"/>
      <c r="Y189" s="143"/>
      <c r="Z189" s="143"/>
      <c r="AA189" s="143"/>
      <c r="AB189" s="143"/>
      <c r="AC189" s="143"/>
      <c r="AD189" s="143"/>
      <c r="AE189" s="143"/>
      <c r="AF189" s="143"/>
      <c r="AG189" s="143"/>
      <c r="AH189" s="143"/>
      <c r="AI189" s="143"/>
      <c r="AJ189" s="143"/>
      <c r="AK189" s="143"/>
      <c r="AL189" s="143"/>
      <c r="AM189" s="143"/>
    </row>
    <row r="190" spans="1:39">
      <c r="A190" s="143"/>
      <c r="G190" s="145"/>
      <c r="L190" s="266"/>
      <c r="M190" s="143"/>
      <c r="N190" s="143"/>
      <c r="O190" s="143"/>
      <c r="P190" s="143"/>
      <c r="Q190" s="143"/>
      <c r="R190" s="143"/>
      <c r="S190" s="143"/>
      <c r="T190" s="143"/>
      <c r="U190" s="143"/>
      <c r="V190" s="143"/>
      <c r="W190" s="143"/>
      <c r="X190" s="143"/>
      <c r="Y190" s="143"/>
      <c r="Z190" s="143"/>
      <c r="AA190" s="143"/>
      <c r="AB190" s="143"/>
      <c r="AC190" s="143"/>
      <c r="AD190" s="143"/>
      <c r="AE190" s="143"/>
      <c r="AF190" s="143"/>
      <c r="AG190" s="143"/>
      <c r="AH190" s="143"/>
      <c r="AI190" s="143"/>
      <c r="AJ190" s="143"/>
      <c r="AK190" s="143"/>
      <c r="AL190" s="143"/>
      <c r="AM190" s="143"/>
    </row>
    <row r="191" spans="1:39">
      <c r="A191" s="143"/>
      <c r="G191" s="145"/>
      <c r="L191" s="266"/>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row>
    <row r="192" spans="1:39">
      <c r="A192" s="143"/>
      <c r="G192" s="145"/>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3"/>
      <c r="AK192" s="143"/>
      <c r="AL192" s="143"/>
      <c r="AM192" s="143"/>
    </row>
    <row r="193" spans="1:39">
      <c r="A193" s="143"/>
      <c r="G193" s="145"/>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row>
    <row r="194" spans="1:39">
      <c r="A194" s="143"/>
      <c r="G194" s="145"/>
      <c r="L194" s="143"/>
      <c r="M194" s="143"/>
      <c r="N194" s="143"/>
      <c r="O194" s="143"/>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43"/>
      <c r="AK194" s="143"/>
      <c r="AL194" s="143"/>
      <c r="AM194" s="143"/>
    </row>
    <row r="195" spans="1:39">
      <c r="A195" s="143"/>
      <c r="G195" s="145"/>
      <c r="L195" s="143"/>
      <c r="M195" s="143"/>
      <c r="N195" s="143"/>
      <c r="O195" s="143"/>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3"/>
    </row>
    <row r="196" spans="1:39">
      <c r="A196" s="143"/>
      <c r="G196" s="145"/>
      <c r="L196" s="143"/>
      <c r="M196" s="143"/>
      <c r="N196" s="143"/>
      <c r="O196" s="143"/>
      <c r="P196" s="143"/>
      <c r="Q196" s="143"/>
      <c r="R196" s="143"/>
      <c r="S196" s="143"/>
      <c r="T196" s="143"/>
      <c r="U196" s="143"/>
      <c r="V196" s="143"/>
      <c r="W196" s="143"/>
      <c r="X196" s="143"/>
      <c r="Y196" s="143"/>
      <c r="Z196" s="143"/>
      <c r="AA196" s="143"/>
      <c r="AB196" s="143"/>
      <c r="AC196" s="143"/>
      <c r="AD196" s="143"/>
      <c r="AE196" s="143"/>
      <c r="AF196" s="143"/>
      <c r="AG196" s="143"/>
      <c r="AH196" s="143"/>
      <c r="AI196" s="143"/>
      <c r="AJ196" s="143"/>
      <c r="AK196" s="143"/>
      <c r="AL196" s="143"/>
      <c r="AM196" s="143"/>
    </row>
    <row r="197" spans="1:39">
      <c r="A197" s="143"/>
      <c r="G197" s="145"/>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row>
    <row r="198" spans="1:39">
      <c r="A198" s="143"/>
      <c r="B198" s="143"/>
      <c r="C198" s="143"/>
      <c r="D198" s="143"/>
      <c r="E198" s="143"/>
      <c r="F198" s="143"/>
      <c r="G198" s="144"/>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c r="AF198" s="143"/>
      <c r="AG198" s="143"/>
      <c r="AH198" s="143"/>
      <c r="AI198" s="143"/>
      <c r="AJ198" s="143"/>
      <c r="AK198" s="143"/>
      <c r="AL198" s="143"/>
      <c r="AM198" s="143"/>
    </row>
    <row r="199" spans="1:39">
      <c r="A199" s="143"/>
      <c r="B199" s="143"/>
      <c r="C199" s="143"/>
      <c r="D199" s="143"/>
      <c r="E199" s="143"/>
      <c r="F199" s="143"/>
      <c r="G199" s="144"/>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3"/>
      <c r="AG199" s="143"/>
      <c r="AH199" s="143"/>
      <c r="AI199" s="143"/>
      <c r="AJ199" s="143"/>
      <c r="AK199" s="143"/>
      <c r="AL199" s="143"/>
      <c r="AM199" s="143"/>
    </row>
    <row r="200" spans="1:39">
      <c r="A200" s="143"/>
      <c r="B200" s="143"/>
      <c r="C200" s="143"/>
      <c r="D200" s="143"/>
      <c r="E200" s="143"/>
      <c r="F200" s="143"/>
      <c r="G200" s="144"/>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c r="AF200" s="143"/>
      <c r="AG200" s="143"/>
      <c r="AH200" s="143"/>
      <c r="AI200" s="143"/>
      <c r="AJ200" s="143"/>
      <c r="AK200" s="143"/>
      <c r="AL200" s="143"/>
      <c r="AM200" s="143"/>
    </row>
    <row r="201" spans="1:39">
      <c r="A201" s="143"/>
      <c r="B201" s="143"/>
      <c r="C201" s="143"/>
      <c r="D201" s="143"/>
      <c r="E201" s="143"/>
      <c r="F201" s="143"/>
      <c r="G201" s="144"/>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3"/>
      <c r="AK201" s="143"/>
      <c r="AL201" s="143"/>
      <c r="AM201" s="143"/>
    </row>
    <row r="202" spans="1:39">
      <c r="A202" s="143"/>
      <c r="B202" s="143"/>
      <c r="C202" s="143"/>
      <c r="D202" s="143"/>
      <c r="E202" s="143"/>
      <c r="F202" s="143"/>
      <c r="G202" s="144"/>
      <c r="H202" s="143"/>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c r="AF202" s="143"/>
      <c r="AG202" s="143"/>
      <c r="AH202" s="143"/>
      <c r="AI202" s="143"/>
      <c r="AJ202" s="143"/>
      <c r="AK202" s="143"/>
      <c r="AL202" s="143"/>
      <c r="AM202" s="143"/>
    </row>
    <row r="203" spans="1:39" ht="13.8">
      <c r="A203" s="143"/>
      <c r="B203" s="267"/>
      <c r="C203" s="143"/>
      <c r="D203" s="143"/>
      <c r="E203" s="143"/>
      <c r="F203" s="143"/>
      <c r="G203" s="144"/>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3"/>
      <c r="AK203" s="143"/>
      <c r="AL203" s="143"/>
      <c r="AM203" s="143"/>
    </row>
    <row r="204" spans="1:39">
      <c r="A204" s="143"/>
      <c r="B204" s="143"/>
      <c r="C204" s="143"/>
      <c r="D204" s="143"/>
      <c r="E204" s="143"/>
      <c r="F204" s="143"/>
      <c r="G204" s="144"/>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c r="AE204" s="143"/>
      <c r="AF204" s="143"/>
      <c r="AG204" s="143"/>
      <c r="AH204" s="143"/>
      <c r="AI204" s="143"/>
      <c r="AJ204" s="143"/>
      <c r="AK204" s="143"/>
      <c r="AL204" s="143"/>
      <c r="AM204" s="143"/>
    </row>
    <row r="205" spans="1:39">
      <c r="A205" s="143"/>
      <c r="B205" s="143"/>
      <c r="C205" s="143"/>
      <c r="D205" s="143"/>
      <c r="E205" s="143"/>
      <c r="F205" s="143"/>
      <c r="G205" s="144"/>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c r="AF205" s="143"/>
      <c r="AG205" s="143"/>
      <c r="AH205" s="143"/>
      <c r="AI205" s="143"/>
      <c r="AJ205" s="143"/>
      <c r="AK205" s="143"/>
      <c r="AL205" s="143"/>
      <c r="AM205" s="143"/>
    </row>
    <row r="206" spans="1:39">
      <c r="A206" s="143"/>
      <c r="B206" s="143"/>
      <c r="C206" s="143"/>
      <c r="D206" s="143"/>
      <c r="E206" s="143"/>
      <c r="F206" s="143"/>
      <c r="G206" s="144"/>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c r="AE206" s="143"/>
      <c r="AF206" s="143"/>
      <c r="AG206" s="143"/>
      <c r="AH206" s="143"/>
      <c r="AI206" s="143"/>
      <c r="AJ206" s="143"/>
      <c r="AK206" s="143"/>
      <c r="AL206" s="143"/>
      <c r="AM206" s="143"/>
    </row>
    <row r="207" spans="1:39">
      <c r="A207" s="143"/>
      <c r="B207" s="143"/>
      <c r="C207" s="143"/>
      <c r="D207" s="143"/>
      <c r="E207" s="143"/>
      <c r="F207" s="143"/>
      <c r="G207" s="144"/>
      <c r="H207" s="143"/>
      <c r="I207" s="143"/>
      <c r="J207" s="143"/>
      <c r="K207" s="143"/>
      <c r="L207" s="143"/>
      <c r="M207" s="143"/>
      <c r="N207" s="143"/>
      <c r="O207" s="143"/>
      <c r="P207" s="143"/>
      <c r="Q207" s="143"/>
      <c r="R207" s="143"/>
      <c r="S207" s="143"/>
      <c r="T207" s="143"/>
      <c r="U207" s="143"/>
      <c r="V207" s="143"/>
      <c r="W207" s="143"/>
      <c r="X207" s="143"/>
      <c r="Y207" s="143"/>
      <c r="Z207" s="143"/>
      <c r="AA207" s="143"/>
      <c r="AB207" s="143"/>
      <c r="AC207" s="143"/>
      <c r="AD207" s="143"/>
      <c r="AE207" s="143"/>
      <c r="AF207" s="143"/>
      <c r="AG207" s="143"/>
      <c r="AH207" s="143"/>
      <c r="AI207" s="143"/>
      <c r="AJ207" s="143"/>
      <c r="AK207" s="143"/>
      <c r="AL207" s="143"/>
      <c r="AM207" s="143"/>
    </row>
    <row r="208" spans="1:39">
      <c r="A208" s="143"/>
      <c r="B208" s="143"/>
      <c r="D208" s="143"/>
      <c r="E208" s="143"/>
      <c r="F208" s="143"/>
      <c r="G208" s="144"/>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E208" s="143"/>
      <c r="AF208" s="143"/>
      <c r="AG208" s="143"/>
      <c r="AH208" s="143"/>
      <c r="AI208" s="143"/>
      <c r="AJ208" s="143"/>
      <c r="AK208" s="143"/>
      <c r="AL208" s="143"/>
      <c r="AM208" s="143"/>
    </row>
    <row r="209" spans="1:39">
      <c r="A209" s="143"/>
      <c r="B209" s="143"/>
      <c r="C209" s="143"/>
      <c r="D209" s="143"/>
      <c r="E209" s="143"/>
      <c r="F209" s="143"/>
      <c r="G209" s="144"/>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c r="AD209" s="143"/>
      <c r="AE209" s="143"/>
      <c r="AF209" s="143"/>
      <c r="AG209" s="143"/>
      <c r="AH209" s="143"/>
      <c r="AI209" s="143"/>
      <c r="AJ209" s="143"/>
      <c r="AK209" s="143"/>
      <c r="AL209" s="143"/>
      <c r="AM209" s="143"/>
    </row>
    <row r="210" spans="1:39">
      <c r="A210" s="143"/>
      <c r="B210" s="143"/>
      <c r="C210" s="143"/>
      <c r="D210" s="143"/>
      <c r="E210" s="143"/>
      <c r="F210" s="143"/>
      <c r="G210" s="144"/>
      <c r="H210" s="143"/>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143"/>
      <c r="AK210" s="143"/>
      <c r="AL210" s="143"/>
      <c r="AM210" s="143"/>
    </row>
    <row r="211" spans="1:39">
      <c r="A211" s="143"/>
      <c r="B211" s="143"/>
      <c r="C211" s="143"/>
      <c r="D211" s="143"/>
      <c r="E211" s="143"/>
      <c r="F211" s="143"/>
      <c r="G211" s="144"/>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3"/>
      <c r="AK211" s="143"/>
      <c r="AL211" s="143"/>
      <c r="AM211" s="143"/>
    </row>
    <row r="212" spans="1:39">
      <c r="A212" s="143"/>
      <c r="B212" s="143"/>
      <c r="C212" s="143"/>
      <c r="D212" s="143"/>
      <c r="E212" s="143"/>
      <c r="F212" s="143"/>
      <c r="G212" s="144"/>
      <c r="H212" s="143"/>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143"/>
      <c r="AE212" s="143"/>
      <c r="AF212" s="143"/>
      <c r="AG212" s="143"/>
      <c r="AH212" s="143"/>
      <c r="AI212" s="143"/>
      <c r="AJ212" s="143"/>
      <c r="AK212" s="143"/>
      <c r="AL212" s="143"/>
      <c r="AM212" s="143"/>
    </row>
    <row r="213" spans="1:39">
      <c r="A213" s="143"/>
      <c r="B213" s="143"/>
      <c r="C213" s="143"/>
      <c r="D213" s="143"/>
      <c r="E213" s="143"/>
      <c r="F213" s="143"/>
      <c r="G213" s="144"/>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c r="AE213" s="143"/>
      <c r="AF213" s="143"/>
      <c r="AG213" s="143"/>
      <c r="AH213" s="143"/>
      <c r="AI213" s="143"/>
      <c r="AJ213" s="143"/>
      <c r="AK213" s="143"/>
      <c r="AL213" s="143"/>
      <c r="AM213" s="143"/>
    </row>
    <row r="214" spans="1:39">
      <c r="A214" s="143"/>
      <c r="B214" s="143"/>
      <c r="C214" s="143"/>
      <c r="D214" s="143"/>
      <c r="E214" s="143"/>
      <c r="F214" s="143"/>
      <c r="G214" s="144"/>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row>
    <row r="215" spans="1:39">
      <c r="A215" s="143"/>
      <c r="B215" s="143"/>
      <c r="C215" s="143"/>
      <c r="D215" s="143"/>
      <c r="E215" s="143"/>
      <c r="F215" s="143"/>
      <c r="G215" s="144"/>
      <c r="H215" s="143"/>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3"/>
      <c r="AE215" s="143"/>
      <c r="AF215" s="143"/>
      <c r="AG215" s="143"/>
      <c r="AH215" s="143"/>
      <c r="AI215" s="143"/>
      <c r="AJ215" s="143"/>
      <c r="AK215" s="143"/>
      <c r="AL215" s="143"/>
      <c r="AM215" s="143"/>
    </row>
    <row r="216" spans="1:39">
      <c r="A216" s="143"/>
      <c r="B216" s="143"/>
      <c r="C216" s="143"/>
      <c r="D216" s="143"/>
      <c r="E216" s="143"/>
      <c r="F216" s="143"/>
      <c r="G216" s="144"/>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c r="AG216" s="143"/>
      <c r="AH216" s="143"/>
      <c r="AI216" s="143"/>
      <c r="AJ216" s="143"/>
      <c r="AK216" s="143"/>
      <c r="AL216" s="143"/>
      <c r="AM216" s="143"/>
    </row>
    <row r="217" spans="1:39">
      <c r="A217" s="143"/>
      <c r="B217" s="143"/>
      <c r="C217" s="143"/>
      <c r="D217" s="143"/>
      <c r="E217" s="143"/>
      <c r="F217" s="143"/>
      <c r="G217" s="144"/>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143"/>
      <c r="AG217" s="143"/>
      <c r="AH217" s="143"/>
      <c r="AI217" s="143"/>
      <c r="AJ217" s="143"/>
      <c r="AK217" s="143"/>
      <c r="AL217" s="143"/>
      <c r="AM217" s="143"/>
    </row>
    <row r="218" spans="1:39">
      <c r="A218" s="143"/>
      <c r="B218" s="143"/>
      <c r="C218" s="143"/>
      <c r="D218" s="143"/>
      <c r="E218" s="143"/>
      <c r="F218" s="143"/>
      <c r="G218" s="144"/>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c r="AG218" s="143"/>
      <c r="AH218" s="143"/>
      <c r="AI218" s="143"/>
      <c r="AJ218" s="143"/>
      <c r="AK218" s="143"/>
      <c r="AL218" s="143"/>
      <c r="AM218" s="143"/>
    </row>
    <row r="219" spans="1:39">
      <c r="A219" s="143"/>
      <c r="B219" s="143"/>
      <c r="C219" s="143"/>
      <c r="D219" s="143"/>
      <c r="E219" s="143"/>
      <c r="F219" s="143"/>
      <c r="G219" s="144"/>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3"/>
      <c r="AK219" s="143"/>
      <c r="AL219" s="143"/>
      <c r="AM219" s="143"/>
    </row>
    <row r="220" spans="1:39">
      <c r="A220" s="143"/>
      <c r="B220" s="143"/>
      <c r="C220" s="143"/>
      <c r="D220" s="143"/>
      <c r="E220" s="143"/>
      <c r="F220" s="143"/>
      <c r="G220" s="144"/>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c r="AG220" s="143"/>
      <c r="AH220" s="143"/>
      <c r="AI220" s="143"/>
      <c r="AJ220" s="143"/>
      <c r="AK220" s="143"/>
      <c r="AL220" s="143"/>
      <c r="AM220" s="143"/>
    </row>
    <row r="221" spans="1:39">
      <c r="A221" s="143"/>
      <c r="B221" s="143"/>
      <c r="C221" s="143"/>
      <c r="D221" s="143"/>
      <c r="E221" s="143"/>
      <c r="F221" s="143"/>
      <c r="G221" s="144"/>
      <c r="H221" s="143"/>
      <c r="I221" s="143"/>
      <c r="J221" s="143"/>
      <c r="K221" s="143"/>
      <c r="L221" s="143"/>
      <c r="M221" s="143"/>
      <c r="N221" s="143"/>
      <c r="O221" s="143"/>
      <c r="P221" s="143"/>
      <c r="Q221" s="143"/>
      <c r="R221" s="143"/>
      <c r="S221" s="143"/>
      <c r="T221" s="143"/>
      <c r="U221" s="143"/>
      <c r="V221" s="143"/>
      <c r="W221" s="143"/>
      <c r="X221" s="143"/>
      <c r="Y221" s="143"/>
      <c r="Z221" s="143"/>
      <c r="AA221" s="143"/>
      <c r="AB221" s="143"/>
      <c r="AC221" s="143"/>
      <c r="AD221" s="143"/>
      <c r="AE221" s="143"/>
      <c r="AF221" s="143"/>
      <c r="AG221" s="143"/>
      <c r="AH221" s="143"/>
      <c r="AI221" s="143"/>
      <c r="AJ221" s="143"/>
      <c r="AK221" s="143"/>
      <c r="AL221" s="143"/>
      <c r="AM221" s="143"/>
    </row>
    <row r="222" spans="1:39">
      <c r="A222" s="143"/>
      <c r="B222" s="143"/>
      <c r="C222" s="143"/>
      <c r="D222" s="143"/>
      <c r="E222" s="143"/>
      <c r="F222" s="143"/>
      <c r="G222" s="144"/>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3"/>
      <c r="AK222" s="143"/>
      <c r="AL222" s="143"/>
      <c r="AM222" s="143"/>
    </row>
    <row r="223" spans="1:39">
      <c r="A223" s="143"/>
      <c r="B223" s="143"/>
      <c r="C223" s="143"/>
      <c r="D223" s="143"/>
      <c r="E223" s="143"/>
      <c r="F223" s="143"/>
      <c r="G223" s="144"/>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143"/>
      <c r="AG223" s="143"/>
      <c r="AH223" s="143"/>
      <c r="AI223" s="143"/>
      <c r="AJ223" s="143"/>
      <c r="AK223" s="143"/>
      <c r="AL223" s="143"/>
      <c r="AM223" s="143"/>
    </row>
    <row r="224" spans="1:39">
      <c r="A224" s="143"/>
      <c r="B224" s="143"/>
      <c r="C224" s="143"/>
      <c r="D224" s="143"/>
      <c r="E224" s="143"/>
      <c r="F224" s="143"/>
      <c r="G224" s="144"/>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c r="AK224" s="143"/>
      <c r="AL224" s="143"/>
      <c r="AM224" s="143"/>
    </row>
    <row r="225" spans="1:39">
      <c r="A225" s="143"/>
      <c r="B225" s="143"/>
      <c r="C225" s="143"/>
      <c r="D225" s="143"/>
      <c r="E225" s="143"/>
      <c r="F225" s="143"/>
      <c r="G225" s="144"/>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3"/>
      <c r="AJ225" s="143"/>
      <c r="AK225" s="143"/>
      <c r="AL225" s="143"/>
      <c r="AM225" s="143"/>
    </row>
    <row r="226" spans="1:39">
      <c r="A226" s="143"/>
      <c r="B226" s="143"/>
      <c r="C226" s="143"/>
      <c r="D226" s="143"/>
      <c r="E226" s="143"/>
      <c r="F226" s="143"/>
      <c r="G226" s="144"/>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c r="AE226" s="143"/>
      <c r="AF226" s="143"/>
      <c r="AG226" s="143"/>
      <c r="AH226" s="143"/>
      <c r="AI226" s="143"/>
      <c r="AJ226" s="143"/>
      <c r="AK226" s="143"/>
      <c r="AL226" s="143"/>
      <c r="AM226" s="143"/>
    </row>
    <row r="227" spans="1:39">
      <c r="A227" s="143"/>
      <c r="B227" s="143"/>
      <c r="C227" s="143"/>
      <c r="D227" s="143"/>
      <c r="E227" s="143"/>
      <c r="F227" s="143"/>
      <c r="G227" s="144"/>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c r="AK227" s="143"/>
      <c r="AL227" s="143"/>
      <c r="AM227" s="143"/>
    </row>
    <row r="228" spans="1:39">
      <c r="A228" s="143"/>
      <c r="B228" s="143"/>
      <c r="C228" s="143"/>
      <c r="D228" s="143"/>
      <c r="E228" s="143"/>
      <c r="F228" s="143"/>
      <c r="G228" s="144"/>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3"/>
      <c r="AG228" s="143"/>
      <c r="AH228" s="143"/>
      <c r="AI228" s="143"/>
      <c r="AJ228" s="143"/>
      <c r="AK228" s="143"/>
      <c r="AL228" s="143"/>
      <c r="AM228" s="143"/>
    </row>
    <row r="229" spans="1:39">
      <c r="A229" s="143"/>
      <c r="B229" s="143"/>
      <c r="C229" s="143"/>
      <c r="D229" s="143"/>
      <c r="E229" s="143"/>
      <c r="F229" s="143"/>
      <c r="G229" s="144"/>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143"/>
      <c r="AG229" s="143"/>
      <c r="AH229" s="143"/>
      <c r="AI229" s="143"/>
      <c r="AJ229" s="143"/>
      <c r="AK229" s="143"/>
      <c r="AL229" s="143"/>
      <c r="AM229" s="143"/>
    </row>
    <row r="230" spans="1:39">
      <c r="A230" s="143"/>
      <c r="B230" s="143"/>
      <c r="C230" s="143"/>
      <c r="D230" s="143"/>
      <c r="E230" s="143"/>
      <c r="F230" s="143"/>
      <c r="G230" s="144"/>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3"/>
      <c r="AG230" s="143"/>
      <c r="AH230" s="143"/>
      <c r="AI230" s="143"/>
      <c r="AJ230" s="143"/>
      <c r="AK230" s="143"/>
      <c r="AL230" s="143"/>
      <c r="AM230" s="143"/>
    </row>
    <row r="231" spans="1:39">
      <c r="A231" s="143"/>
      <c r="B231" s="143"/>
      <c r="C231" s="143"/>
      <c r="D231" s="143"/>
      <c r="E231" s="143"/>
      <c r="F231" s="143"/>
      <c r="G231" s="144"/>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143"/>
      <c r="AG231" s="143"/>
      <c r="AH231" s="143"/>
      <c r="AI231" s="143"/>
      <c r="AJ231" s="143"/>
      <c r="AK231" s="143"/>
      <c r="AL231" s="143"/>
      <c r="AM231" s="143"/>
    </row>
    <row r="232" spans="1:39">
      <c r="A232" s="143"/>
      <c r="B232" s="143"/>
      <c r="C232" s="143"/>
      <c r="D232" s="143"/>
      <c r="E232" s="143"/>
      <c r="F232" s="143"/>
      <c r="G232" s="144"/>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E232" s="143"/>
      <c r="AF232" s="143"/>
      <c r="AG232" s="143"/>
      <c r="AH232" s="143"/>
      <c r="AI232" s="143"/>
      <c r="AJ232" s="143"/>
      <c r="AK232" s="143"/>
      <c r="AL232" s="143"/>
      <c r="AM232" s="143"/>
    </row>
    <row r="233" spans="1:39">
      <c r="A233" s="143"/>
      <c r="B233" s="143"/>
      <c r="C233" s="143"/>
      <c r="D233" s="143"/>
      <c r="E233" s="143"/>
      <c r="F233" s="143"/>
      <c r="G233" s="144"/>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E233" s="143"/>
      <c r="AF233" s="143"/>
      <c r="AG233" s="143"/>
      <c r="AH233" s="143"/>
      <c r="AI233" s="143"/>
      <c r="AJ233" s="143"/>
      <c r="AK233" s="143"/>
      <c r="AL233" s="143"/>
      <c r="AM233" s="143"/>
    </row>
    <row r="234" spans="1:39">
      <c r="A234" s="143"/>
      <c r="B234" s="143"/>
      <c r="C234" s="143"/>
      <c r="D234" s="143"/>
      <c r="E234" s="143"/>
      <c r="F234" s="143"/>
      <c r="G234" s="144"/>
      <c r="H234" s="143"/>
      <c r="I234" s="143"/>
      <c r="J234" s="143"/>
      <c r="K234" s="143"/>
      <c r="L234" s="143"/>
      <c r="M234" s="143"/>
      <c r="N234" s="143"/>
      <c r="O234" s="143"/>
      <c r="P234" s="143"/>
      <c r="Q234" s="143"/>
      <c r="R234" s="143"/>
      <c r="S234" s="143"/>
      <c r="T234" s="143"/>
      <c r="U234" s="143"/>
      <c r="V234" s="143"/>
      <c r="W234" s="143"/>
      <c r="X234" s="143"/>
      <c r="Y234" s="143"/>
      <c r="Z234" s="143"/>
      <c r="AA234" s="143"/>
      <c r="AB234" s="143"/>
      <c r="AC234" s="143"/>
      <c r="AD234" s="143"/>
      <c r="AE234" s="143"/>
      <c r="AF234" s="143"/>
      <c r="AG234" s="143"/>
      <c r="AH234" s="143"/>
      <c r="AI234" s="143"/>
      <c r="AJ234" s="143"/>
      <c r="AK234" s="143"/>
      <c r="AL234" s="143"/>
      <c r="AM234" s="143"/>
    </row>
    <row r="235" spans="1:39">
      <c r="A235" s="143"/>
      <c r="B235" s="143"/>
      <c r="C235" s="143"/>
      <c r="D235" s="143"/>
      <c r="E235" s="143"/>
      <c r="F235" s="143"/>
      <c r="G235" s="144"/>
      <c r="H235" s="143"/>
      <c r="I235" s="143"/>
      <c r="J235" s="143"/>
      <c r="K235" s="143"/>
      <c r="L235" s="143"/>
      <c r="M235" s="143"/>
      <c r="N235" s="143"/>
      <c r="O235" s="143"/>
      <c r="P235" s="143"/>
      <c r="Q235" s="143"/>
      <c r="R235" s="143"/>
      <c r="S235" s="143"/>
      <c r="T235" s="143"/>
      <c r="U235" s="143"/>
      <c r="V235" s="143"/>
      <c r="W235" s="143"/>
      <c r="X235" s="143"/>
      <c r="Y235" s="143"/>
      <c r="Z235" s="143"/>
      <c r="AA235" s="143"/>
      <c r="AB235" s="143"/>
      <c r="AC235" s="143"/>
      <c r="AD235" s="143"/>
      <c r="AE235" s="143"/>
      <c r="AF235" s="143"/>
      <c r="AG235" s="143"/>
      <c r="AH235" s="143"/>
      <c r="AI235" s="143"/>
      <c r="AJ235" s="143"/>
      <c r="AK235" s="143"/>
      <c r="AL235" s="143"/>
      <c r="AM235" s="143"/>
    </row>
    <row r="236" spans="1:39">
      <c r="A236" s="143"/>
      <c r="B236" s="143"/>
      <c r="C236" s="143"/>
      <c r="D236" s="143"/>
      <c r="E236" s="143"/>
      <c r="F236" s="143"/>
      <c r="G236" s="144"/>
      <c r="H236" s="143"/>
      <c r="I236" s="143"/>
      <c r="J236" s="143"/>
      <c r="K236" s="143"/>
      <c r="L236" s="143"/>
      <c r="M236" s="143"/>
      <c r="N236" s="143"/>
      <c r="O236" s="143"/>
      <c r="P236" s="143"/>
      <c r="Q236" s="143"/>
      <c r="R236" s="143"/>
      <c r="S236" s="143"/>
      <c r="T236" s="143"/>
      <c r="U236" s="143"/>
      <c r="V236" s="143"/>
      <c r="W236" s="143"/>
      <c r="X236" s="143"/>
      <c r="Y236" s="143"/>
      <c r="Z236" s="143"/>
      <c r="AA236" s="143"/>
      <c r="AB236" s="143"/>
      <c r="AC236" s="143"/>
      <c r="AD236" s="143"/>
      <c r="AE236" s="143"/>
      <c r="AF236" s="143"/>
      <c r="AG236" s="143"/>
      <c r="AH236" s="143"/>
      <c r="AI236" s="143"/>
      <c r="AJ236" s="143"/>
      <c r="AK236" s="143"/>
      <c r="AL236" s="143"/>
      <c r="AM236" s="143"/>
    </row>
    <row r="237" spans="1:39">
      <c r="A237" s="143"/>
      <c r="B237" s="143"/>
      <c r="C237" s="143"/>
      <c r="D237" s="143"/>
      <c r="E237" s="143"/>
      <c r="F237" s="143"/>
      <c r="G237" s="144"/>
      <c r="H237" s="143"/>
      <c r="I237" s="143"/>
      <c r="J237" s="143"/>
      <c r="K237" s="143"/>
      <c r="L237" s="143"/>
      <c r="M237" s="143"/>
      <c r="N237" s="143"/>
      <c r="O237" s="143"/>
      <c r="P237" s="143"/>
      <c r="Q237" s="143"/>
      <c r="R237" s="143"/>
      <c r="S237" s="143"/>
      <c r="T237" s="143"/>
      <c r="U237" s="143"/>
      <c r="V237" s="143"/>
      <c r="W237" s="143"/>
      <c r="X237" s="143"/>
      <c r="Y237" s="143"/>
      <c r="Z237" s="143"/>
      <c r="AA237" s="143"/>
      <c r="AB237" s="143"/>
      <c r="AC237" s="143"/>
      <c r="AD237" s="143"/>
      <c r="AE237" s="143"/>
      <c r="AF237" s="143"/>
      <c r="AG237" s="143"/>
      <c r="AH237" s="143"/>
      <c r="AI237" s="143"/>
      <c r="AJ237" s="143"/>
      <c r="AK237" s="143"/>
      <c r="AL237" s="143"/>
      <c r="AM237" s="143"/>
    </row>
    <row r="238" spans="1:39">
      <c r="A238" s="143"/>
      <c r="B238" s="143"/>
      <c r="C238" s="143"/>
      <c r="D238" s="143"/>
      <c r="E238" s="143"/>
      <c r="F238" s="143"/>
      <c r="G238" s="144"/>
      <c r="H238" s="143"/>
      <c r="I238" s="143"/>
      <c r="J238" s="143"/>
      <c r="K238" s="143"/>
      <c r="L238" s="143"/>
      <c r="M238" s="143"/>
      <c r="N238" s="143"/>
      <c r="O238" s="143"/>
      <c r="P238" s="143"/>
      <c r="Q238" s="143"/>
      <c r="R238" s="143"/>
      <c r="S238" s="143"/>
      <c r="T238" s="143"/>
      <c r="U238" s="143"/>
      <c r="V238" s="143"/>
      <c r="W238" s="143"/>
      <c r="X238" s="143"/>
      <c r="Y238" s="143"/>
      <c r="Z238" s="143"/>
      <c r="AA238" s="143"/>
      <c r="AB238" s="143"/>
      <c r="AC238" s="143"/>
      <c r="AD238" s="143"/>
      <c r="AE238" s="143"/>
      <c r="AF238" s="143"/>
      <c r="AG238" s="143"/>
      <c r="AH238" s="143"/>
      <c r="AI238" s="143"/>
      <c r="AJ238" s="143"/>
      <c r="AK238" s="143"/>
      <c r="AL238" s="143"/>
      <c r="AM238" s="143"/>
    </row>
    <row r="239" spans="1:39">
      <c r="A239" s="143"/>
      <c r="B239" s="143"/>
      <c r="C239" s="143"/>
      <c r="D239" s="143"/>
      <c r="E239" s="143"/>
      <c r="F239" s="143"/>
      <c r="G239" s="144"/>
      <c r="H239" s="143"/>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E239" s="143"/>
      <c r="AF239" s="143"/>
      <c r="AG239" s="143"/>
      <c r="AH239" s="143"/>
      <c r="AI239" s="143"/>
      <c r="AJ239" s="143"/>
      <c r="AK239" s="143"/>
      <c r="AL239" s="143"/>
      <c r="AM239" s="143"/>
    </row>
    <row r="240" spans="1:39">
      <c r="A240" s="143"/>
      <c r="B240" s="143"/>
      <c r="C240" s="143"/>
      <c r="D240" s="143"/>
      <c r="E240" s="143"/>
      <c r="F240" s="143"/>
      <c r="G240" s="144"/>
      <c r="H240" s="143"/>
      <c r="I240" s="143"/>
      <c r="J240" s="143"/>
      <c r="K240" s="143"/>
      <c r="L240" s="143"/>
      <c r="M240" s="143"/>
      <c r="N240" s="143"/>
      <c r="O240" s="143"/>
      <c r="P240" s="143"/>
      <c r="Q240" s="143"/>
      <c r="R240" s="143"/>
      <c r="S240" s="143"/>
      <c r="T240" s="143"/>
      <c r="U240" s="143"/>
      <c r="V240" s="143"/>
      <c r="W240" s="143"/>
      <c r="X240" s="143"/>
      <c r="Y240" s="143"/>
      <c r="Z240" s="143"/>
      <c r="AA240" s="143"/>
      <c r="AB240" s="143"/>
      <c r="AC240" s="143"/>
      <c r="AD240" s="143"/>
      <c r="AE240" s="143"/>
      <c r="AF240" s="143"/>
      <c r="AG240" s="143"/>
      <c r="AH240" s="143"/>
      <c r="AI240" s="143"/>
      <c r="AJ240" s="143"/>
      <c r="AK240" s="143"/>
      <c r="AL240" s="143"/>
      <c r="AM240" s="143"/>
    </row>
    <row r="241" spans="1:39">
      <c r="A241" s="143"/>
      <c r="B241" s="143"/>
      <c r="C241" s="143"/>
      <c r="D241" s="143"/>
      <c r="E241" s="143"/>
      <c r="F241" s="143"/>
      <c r="G241" s="144"/>
      <c r="H241" s="143"/>
      <c r="I241" s="143"/>
      <c r="J241" s="143"/>
      <c r="K241" s="143"/>
      <c r="L241" s="143"/>
      <c r="M241" s="143"/>
      <c r="N241" s="143"/>
      <c r="O241" s="143"/>
      <c r="P241" s="143"/>
      <c r="Q241" s="143"/>
      <c r="R241" s="143"/>
      <c r="S241" s="143"/>
      <c r="T241" s="143"/>
      <c r="U241" s="143"/>
      <c r="V241" s="143"/>
      <c r="W241" s="143"/>
      <c r="X241" s="143"/>
      <c r="Y241" s="143"/>
      <c r="Z241" s="143"/>
      <c r="AA241" s="143"/>
      <c r="AB241" s="143"/>
      <c r="AC241" s="143"/>
      <c r="AD241" s="143"/>
      <c r="AE241" s="143"/>
      <c r="AF241" s="143"/>
      <c r="AG241" s="143"/>
      <c r="AH241" s="143"/>
      <c r="AI241" s="143"/>
      <c r="AJ241" s="143"/>
      <c r="AK241" s="143"/>
      <c r="AL241" s="143"/>
      <c r="AM241" s="143"/>
    </row>
    <row r="242" spans="1:39">
      <c r="A242" s="143"/>
      <c r="B242" s="143"/>
      <c r="C242" s="143"/>
      <c r="D242" s="143"/>
      <c r="E242" s="143"/>
      <c r="F242" s="143"/>
      <c r="G242" s="144"/>
      <c r="H242" s="143"/>
      <c r="I242" s="143"/>
      <c r="J242" s="143"/>
      <c r="K242" s="143"/>
      <c r="L242" s="143"/>
      <c r="M242" s="143"/>
      <c r="N242" s="143"/>
      <c r="O242" s="143"/>
      <c r="P242" s="143"/>
      <c r="Q242" s="143"/>
      <c r="R242" s="143"/>
      <c r="S242" s="143"/>
      <c r="T242" s="143"/>
      <c r="U242" s="143"/>
      <c r="V242" s="143"/>
      <c r="W242" s="143"/>
      <c r="X242" s="143"/>
      <c r="Y242" s="143"/>
      <c r="Z242" s="143"/>
      <c r="AA242" s="143"/>
      <c r="AB242" s="143"/>
      <c r="AC242" s="143"/>
      <c r="AD242" s="143"/>
      <c r="AE242" s="143"/>
      <c r="AF242" s="143"/>
      <c r="AG242" s="143"/>
      <c r="AH242" s="143"/>
      <c r="AI242" s="143"/>
      <c r="AJ242" s="143"/>
      <c r="AK242" s="143"/>
      <c r="AL242" s="143"/>
      <c r="AM242" s="143"/>
    </row>
    <row r="243" spans="1:39">
      <c r="A243" s="143"/>
      <c r="B243" s="143"/>
      <c r="C243" s="143"/>
      <c r="D243" s="143"/>
      <c r="E243" s="143"/>
      <c r="F243" s="143"/>
      <c r="G243" s="144"/>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E243" s="143"/>
      <c r="AF243" s="143"/>
      <c r="AG243" s="143"/>
      <c r="AH243" s="143"/>
      <c r="AI243" s="143"/>
      <c r="AJ243" s="143"/>
      <c r="AK243" s="143"/>
      <c r="AL243" s="143"/>
      <c r="AM243" s="143"/>
    </row>
    <row r="244" spans="1:39">
      <c r="A244" s="143"/>
      <c r="B244" s="143"/>
      <c r="C244" s="143"/>
      <c r="D244" s="143"/>
      <c r="E244" s="143"/>
      <c r="F244" s="143"/>
      <c r="G244" s="144"/>
      <c r="H244" s="143"/>
      <c r="I244" s="143"/>
      <c r="J244" s="143"/>
      <c r="K244" s="143"/>
      <c r="L244" s="143"/>
      <c r="M244" s="143"/>
      <c r="N244" s="143"/>
      <c r="O244" s="143"/>
      <c r="P244" s="143"/>
      <c r="Q244" s="143"/>
      <c r="R244" s="143"/>
      <c r="S244" s="143"/>
      <c r="T244" s="143"/>
      <c r="U244" s="143"/>
      <c r="V244" s="143"/>
      <c r="W244" s="143"/>
      <c r="X244" s="143"/>
      <c r="Y244" s="143"/>
      <c r="Z244" s="143"/>
      <c r="AA244" s="143"/>
      <c r="AB244" s="143"/>
      <c r="AC244" s="143"/>
      <c r="AD244" s="143"/>
      <c r="AE244" s="143"/>
      <c r="AF244" s="143"/>
      <c r="AG244" s="143"/>
      <c r="AH244" s="143"/>
      <c r="AI244" s="143"/>
      <c r="AJ244" s="143"/>
      <c r="AK244" s="143"/>
      <c r="AL244" s="143"/>
      <c r="AM244" s="143"/>
    </row>
    <row r="245" spans="1:39">
      <c r="A245" s="143"/>
      <c r="B245" s="143"/>
      <c r="C245" s="143"/>
      <c r="D245" s="143"/>
      <c r="E245" s="143"/>
      <c r="F245" s="143"/>
      <c r="G245" s="144"/>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E245" s="143"/>
      <c r="AF245" s="143"/>
      <c r="AG245" s="143"/>
      <c r="AH245" s="143"/>
      <c r="AI245" s="143"/>
      <c r="AJ245" s="143"/>
      <c r="AK245" s="143"/>
      <c r="AL245" s="143"/>
      <c r="AM245" s="143"/>
    </row>
    <row r="246" spans="1:39">
      <c r="A246" s="143"/>
      <c r="B246" s="143"/>
      <c r="C246" s="143"/>
      <c r="D246" s="143"/>
      <c r="E246" s="143"/>
      <c r="F246" s="143"/>
      <c r="G246" s="144"/>
      <c r="H246" s="143"/>
      <c r="I246" s="143"/>
      <c r="J246" s="143"/>
      <c r="K246" s="143"/>
      <c r="L246" s="143"/>
      <c r="M246" s="143"/>
      <c r="N246" s="143"/>
      <c r="O246" s="143"/>
      <c r="P246" s="143"/>
      <c r="Q246" s="143"/>
      <c r="R246" s="143"/>
      <c r="S246" s="143"/>
      <c r="T246" s="143"/>
      <c r="U246" s="143"/>
      <c r="V246" s="143"/>
      <c r="W246" s="143"/>
      <c r="X246" s="143"/>
      <c r="Y246" s="143"/>
      <c r="Z246" s="143"/>
      <c r="AA246" s="143"/>
      <c r="AB246" s="143"/>
      <c r="AC246" s="143"/>
      <c r="AD246" s="143"/>
      <c r="AE246" s="143"/>
      <c r="AF246" s="143"/>
      <c r="AG246" s="143"/>
      <c r="AH246" s="143"/>
      <c r="AI246" s="143"/>
      <c r="AJ246" s="143"/>
      <c r="AK246" s="143"/>
      <c r="AL246" s="143"/>
      <c r="AM246" s="143"/>
    </row>
    <row r="247" spans="1:39">
      <c r="A247" s="143"/>
      <c r="B247" s="143"/>
      <c r="C247" s="143"/>
      <c r="D247" s="143"/>
      <c r="E247" s="143"/>
      <c r="F247" s="143"/>
      <c r="G247" s="144"/>
      <c r="H247" s="143"/>
      <c r="I247" s="143"/>
      <c r="J247" s="143"/>
      <c r="K247" s="143"/>
      <c r="L247" s="143"/>
      <c r="M247" s="143"/>
      <c r="N247" s="143"/>
      <c r="O247" s="143"/>
      <c r="P247" s="143"/>
      <c r="Q247" s="143"/>
      <c r="R247" s="143"/>
      <c r="S247" s="143"/>
      <c r="T247" s="143"/>
      <c r="U247" s="143"/>
      <c r="V247" s="143"/>
      <c r="W247" s="143"/>
      <c r="X247" s="143"/>
      <c r="Y247" s="143"/>
      <c r="Z247" s="143"/>
      <c r="AA247" s="143"/>
      <c r="AB247" s="143"/>
      <c r="AC247" s="143"/>
      <c r="AD247" s="143"/>
      <c r="AE247" s="143"/>
      <c r="AF247" s="143"/>
      <c r="AG247" s="143"/>
      <c r="AH247" s="143"/>
      <c r="AI247" s="143"/>
      <c r="AJ247" s="143"/>
      <c r="AK247" s="143"/>
      <c r="AL247" s="143"/>
      <c r="AM247" s="143"/>
    </row>
  </sheetData>
  <sheetProtection selectLockedCells="1"/>
  <mergeCells count="15">
    <mergeCell ref="B152:D152"/>
    <mergeCell ref="L2:M2"/>
    <mergeCell ref="A1:M1"/>
    <mergeCell ref="B16:B19"/>
    <mergeCell ref="D14:G15"/>
    <mergeCell ref="D22:F22"/>
    <mergeCell ref="D24:F25"/>
    <mergeCell ref="D16:I16"/>
    <mergeCell ref="D17:I17"/>
    <mergeCell ref="D18:I18"/>
    <mergeCell ref="D19:I19"/>
    <mergeCell ref="D23:F23"/>
    <mergeCell ref="B33:B34"/>
    <mergeCell ref="B45:B46"/>
    <mergeCell ref="I74:M74"/>
  </mergeCells>
  <phoneticPr fontId="5" type="noConversion"/>
  <conditionalFormatting sqref="G44:G48">
    <cfRule type="expression" dxfId="27" priority="48">
      <formula>$AN$48</formula>
    </cfRule>
  </conditionalFormatting>
  <conditionalFormatting sqref="F69">
    <cfRule type="colorScale" priority="46">
      <colorScale>
        <cfvo type="min" val="0"/>
        <cfvo type="formula" val="$AN$62*0.8"/>
        <cfvo type="num" val="$AN$62"/>
        <color theme="0"/>
        <color rgb="FFFFC000"/>
        <color rgb="FFFF0000"/>
      </colorScale>
    </cfRule>
  </conditionalFormatting>
  <conditionalFormatting sqref="F44:F45">
    <cfRule type="cellIs" dxfId="26" priority="43" operator="equal">
      <formula>"NA"</formula>
    </cfRule>
    <cfRule type="cellIs" dxfId="25" priority="49" operator="equal">
      <formula>"""NA"""</formula>
    </cfRule>
  </conditionalFormatting>
  <conditionalFormatting sqref="F79">
    <cfRule type="cellIs" dxfId="24" priority="88" operator="lessThan">
      <formula>0.25</formula>
    </cfRule>
  </conditionalFormatting>
  <conditionalFormatting sqref="F84">
    <cfRule type="cellIs" dxfId="23" priority="39" operator="lessThan">
      <formula>$F$83</formula>
    </cfRule>
  </conditionalFormatting>
  <conditionalFormatting sqref="F86">
    <cfRule type="cellIs" dxfId="22" priority="36" operator="lessThan">
      <formula>1.1</formula>
    </cfRule>
    <cfRule type="cellIs" dxfId="21" priority="37" operator="between">
      <formula>1.1</formula>
      <formula>1.3</formula>
    </cfRule>
  </conditionalFormatting>
  <conditionalFormatting sqref="F74">
    <cfRule type="cellIs" dxfId="20" priority="25" operator="lessThan">
      <formula>$F$70</formula>
    </cfRule>
  </conditionalFormatting>
  <conditionalFormatting sqref="E87:G90 E151:G151 G168 E168 C168">
    <cfRule type="expression" dxfId="19" priority="14">
      <formula>$F$81="single"</formula>
    </cfRule>
  </conditionalFormatting>
  <conditionalFormatting sqref="F81">
    <cfRule type="cellIs" dxfId="18" priority="12" operator="lessThan">
      <formula>$F$83</formula>
    </cfRule>
  </conditionalFormatting>
  <conditionalFormatting sqref="F71">
    <cfRule type="expression" dxfId="17" priority="11">
      <formula>$F$71&lt;$F$70</formula>
    </cfRule>
  </conditionalFormatting>
  <conditionalFormatting sqref="H151">
    <cfRule type="expression" dxfId="16" priority="10">
      <formula>$F$81="single"</formula>
    </cfRule>
  </conditionalFormatting>
  <conditionalFormatting sqref="B27:AM73 B74:I74 N74:AM74 B75:AM178">
    <cfRule type="expression" dxfId="15" priority="7">
      <formula>$G$23="No"</formula>
    </cfRule>
    <cfRule type="expression" dxfId="14" priority="8">
      <formula>$G$22="No"</formula>
    </cfRule>
  </conditionalFormatting>
  <conditionalFormatting sqref="D22">
    <cfRule type="expression" dxfId="13" priority="6">
      <formula>$G$22="Yes"</formula>
    </cfRule>
  </conditionalFormatting>
  <conditionalFormatting sqref="D23">
    <cfRule type="expression" dxfId="12" priority="5">
      <formula>$G$23="Yes"</formula>
    </cfRule>
  </conditionalFormatting>
  <conditionalFormatting sqref="F113:F114">
    <cfRule type="expression" dxfId="7" priority="3">
      <formula>$G$23="No"</formula>
    </cfRule>
    <cfRule type="expression" dxfId="6" priority="4">
      <formula>$G$22="No"</formula>
    </cfRule>
  </conditionalFormatting>
  <conditionalFormatting sqref="F116:F118">
    <cfRule type="expression" dxfId="3" priority="1">
      <formula>$G$23="No"</formula>
    </cfRule>
    <cfRule type="expression" dxfId="2" priority="2">
      <formula>$G$22="No"</formula>
    </cfRule>
  </conditionalFormatting>
  <dataValidations xWindow="708" yWindow="485" count="12">
    <dataValidation type="decimal" allowBlank="1" showInputMessage="1" showErrorMessage="1" errorTitle="Minimum System Voltage Violation" error="Input voltage should be between 2.9V and 17V." sqref="F28">
      <formula1>F27</formula1>
      <formula2>F29</formula2>
    </dataValidation>
    <dataValidation type="decimal" operator="greaterThanOrEqual" allowBlank="1" showInputMessage="1" showErrorMessage="1" errorTitle="Load Capacitance Violation" error="A minimum load capacitance of 10 uF is required to help prevent disruptions at turn off." sqref="F31">
      <formula1>10</formula1>
    </dataValidation>
    <dataValidation type="decimal" operator="greaterThan" allowBlank="1" showInputMessage="1" showErrorMessage="1" errorTitle="Maximum Load Current Violation" error="Maximum Load Current must be greater than 0." sqref="F30">
      <formula1>0</formula1>
    </dataValidation>
    <dataValidation type="whole" allowBlank="1" showInputMessage="1" showErrorMessage="1" sqref="F60">
      <formula1>1</formula1>
      <formula2>6</formula2>
    </dataValidation>
    <dataValidation type="decimal" allowBlank="1" showInputMessage="1" showErrorMessage="1" sqref="F63:F67">
      <formula1>0.001</formula1>
      <formula2>400</formula2>
    </dataValidation>
    <dataValidation type="decimal" allowBlank="1" showInputMessage="1" showErrorMessage="1" sqref="F62">
      <formula1>0</formula1>
      <formula2>200</formula2>
    </dataValidation>
    <dataValidation errorStyle="information" operator="equal" allowBlank="1" showInputMessage="1" showErrorMessage="1" errorTitle="Resistor Divider" error="When using resistor divider Rs should be set larger than Rs,eff. &#10;&#10;Otherwise switch to &quot;No resistor divider&quot;" sqref="F44"/>
    <dataValidation type="list" allowBlank="1" showInputMessage="1" showErrorMessage="1" sqref="F76">
      <formula1>$AN$76:$AN$77</formula1>
    </dataValidation>
    <dataValidation type="list" allowBlank="1" showInputMessage="1" showErrorMessage="1" sqref="F81">
      <formula1>$AN$80:$AN$81</formula1>
    </dataValidation>
    <dataValidation type="list" allowBlank="1" showInputMessage="1" showErrorMessage="1" errorTitle="Ambient Temperature Violation" error="The Ambient Temperature must be between -40C and 125C" sqref="F34:F37">
      <formula1>$AN$34:$AN$39</formula1>
    </dataValidation>
    <dataValidation type="list" allowBlank="1" showInputMessage="1" showErrorMessage="1" sqref="E157">
      <formula1>$AO$38:$AO$39</formula1>
    </dataValidation>
    <dataValidation type="list" allowBlank="1" showInputMessage="1" showErrorMessage="1" sqref="G22:G23">
      <formula1>yesno</formula1>
    </dataValidation>
  </dataValidations>
  <hyperlinks>
    <hyperlink ref="B2" r:id="rId1"/>
    <hyperlink ref="D19" r:id="rId2" display="Step 5: UVLO, OVLO &amp; PGD Thresholds"/>
    <hyperlink ref="D18" r:id="rId3" display="Step 4: Startup"/>
    <hyperlink ref="D17" r:id="rId4" display="Step 3: MOSFET Selection"/>
    <hyperlink ref="D16:F16" r:id="rId5" display="Steps 1 &amp; 2: Operating Conditions, Current Limit, &amp; Circuit Breaker"/>
    <hyperlink ref="D24:F25" r:id="rId6" display="*For additional questions not addressed in the videos, please post on E2E.ti.com"/>
    <hyperlink ref="D20" r:id="rId7"/>
    <hyperlink ref="B33:B34" r:id="rId8" display="Steps 1 &amp; 2: Operating Conditions, Current Limit, &amp; Circuit Breaker"/>
    <hyperlink ref="B45:B46" r:id="rId9" display="Steps 1 &amp; 2: Operating Conditions, Current Limit, &amp; Circuit Breaker"/>
    <hyperlink ref="B65" r:id="rId10"/>
    <hyperlink ref="B83" r:id="rId11"/>
    <hyperlink ref="B97" r:id="rId12"/>
  </hyperlinks>
  <pageMargins left="0.17" right="0.17" top="0.55000000000000004" bottom="0.92" header="0.48" footer="0.2"/>
  <pageSetup scale="62" fitToHeight="2" orientation="portrait" r:id="rId13"/>
  <headerFooter alignWithMargins="0"/>
  <drawing r:id="rId14"/>
  <legacyDrawing r:id="rId15"/>
  <extLst xmlns:x14="http://schemas.microsoft.com/office/spreadsheetml/2009/9/main">
    <ext uri="{78C0D931-6437-407d-A8EE-F0AAD7539E65}">
      <x14:conditionalFormattings>
        <x14:conditionalFormatting xmlns:xm="http://schemas.microsoft.com/office/excel/2006/main">
          <x14:cfRule type="cellIs" priority="86" stopIfTrue="1" operator="greaterThan" id="{E4A17A15-ABA9-492F-B873-F2BC2463FAF9}">
            <xm:f>Equations!$E$3</xm:f>
            <x14:dxf>
              <fill>
                <patternFill>
                  <bgColor indexed="10"/>
                </patternFill>
              </fill>
            </x14:dxf>
          </x14:cfRule>
          <xm:sqref>F42</xm:sqref>
        </x14:conditionalFormatting>
        <x14:conditionalFormatting xmlns:xm="http://schemas.microsoft.com/office/excel/2006/main">
          <x14:cfRule type="expression" priority="5" id="{023C471B-1CE0-4C50-9DDA-DFB18F921E07}">
            <xm:f>Equations!$C$100&gt;$F$105</xm:f>
            <x14:dxf>
              <fill>
                <patternFill>
                  <bgColor rgb="FFFF0000"/>
                </patternFill>
              </fill>
            </x14:dxf>
          </x14:cfRule>
          <xm:sqref>F105</xm:sqref>
        </x14:conditionalFormatting>
      </x14:conditionalFormattings>
    </ext>
    <ext uri="{CCE6A557-97BC-4b89-ADB6-D9C93CAAB3DF}">
      <x14:dataValidations xmlns:xm="http://schemas.microsoft.com/office/excel/2006/main" xWindow="708" yWindow="485" count="4">
        <x14:dataValidation type="decimal" allowBlank="1" showInputMessage="1" showErrorMessage="1">
          <x14:formula1>
            <xm:f>0</xm:f>
          </x14:formula1>
          <x14:formula2>
            <xm:f>Equations!#REF!</xm:f>
          </x14:formula2>
          <xm:sqref>F75</xm:sqref>
        </x14:dataValidation>
        <x14:dataValidation type="decimal" allowBlank="1" showInputMessage="1" showErrorMessage="1" errorTitle="Ambient Temperature Violation" error="The Ambient Temperature must be between -40C and 125C">
          <x14:formula1>
            <xm:f>'Device Parmaters'!C3</xm:f>
          </x14:formula1>
          <x14:formula2>
            <xm:f>'Device Parmaters'!E3</xm:f>
          </x14:formula2>
          <xm:sqref>F33</xm:sqref>
        </x14:dataValidation>
        <x14:dataValidation type="decimal" operator="lessThanOrEqual" allowBlank="1" showInputMessage="1" showErrorMessage="1" errorTitle="Maximum System Voltage Violation" error="The maximum system voltage must be no greater than 17V.">
          <x14:formula1>
            <xm:f>'Device Parmaters'!E4</xm:f>
          </x14:formula1>
          <xm:sqref>F29</xm:sqref>
        </x14:dataValidation>
        <x14:dataValidation type="decimal" operator="greaterThanOrEqual" allowBlank="1" showInputMessage="1" showErrorMessage="1" errorTitle="Minimum System Voltage Violation" error="The minimum system voltage must be at least 2.9V.">
          <x14:formula1>
            <xm:f>'Device Parmaters'!C4</xm:f>
          </x14:formula1>
          <xm:sqref>F27</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6"/>
  <dimension ref="A1:N381"/>
  <sheetViews>
    <sheetView topLeftCell="A28" workbookViewId="0">
      <selection activeCell="E68" sqref="D58:E68"/>
    </sheetView>
  </sheetViews>
  <sheetFormatPr defaultRowHeight="13.2"/>
  <cols>
    <col min="1" max="1" width="9.44140625" customWidth="1"/>
    <col min="2" max="2" width="44.109375" customWidth="1"/>
    <col min="12" max="12" width="13.5546875" customWidth="1"/>
  </cols>
  <sheetData>
    <row r="1" spans="1:14">
      <c r="A1" s="18"/>
      <c r="C1" s="18" t="s">
        <v>34</v>
      </c>
      <c r="D1" s="18" t="s">
        <v>35</v>
      </c>
      <c r="E1" s="18" t="s">
        <v>36</v>
      </c>
      <c r="F1" s="18" t="s">
        <v>98</v>
      </c>
    </row>
    <row r="2" spans="1:14">
      <c r="A2" s="15" t="s">
        <v>96</v>
      </c>
      <c r="C2" s="18"/>
      <c r="D2" s="18"/>
      <c r="E2" s="18"/>
    </row>
    <row r="3" spans="1:14">
      <c r="A3" s="15"/>
      <c r="B3" s="18" t="s">
        <v>103</v>
      </c>
      <c r="C3" s="38">
        <v>-40</v>
      </c>
      <c r="D3" s="38"/>
      <c r="E3" s="38">
        <v>125</v>
      </c>
      <c r="F3" s="18" t="s">
        <v>198</v>
      </c>
    </row>
    <row r="4" spans="1:14">
      <c r="B4" s="19" t="s">
        <v>97</v>
      </c>
      <c r="C4" s="1">
        <v>2.5</v>
      </c>
      <c r="D4" s="1"/>
      <c r="E4" s="1">
        <v>18</v>
      </c>
      <c r="F4" s="18" t="s">
        <v>49</v>
      </c>
      <c r="J4" s="2"/>
    </row>
    <row r="5" spans="1:14" ht="16.5" customHeight="1">
      <c r="A5" s="15" t="s">
        <v>75</v>
      </c>
      <c r="B5" s="19"/>
      <c r="C5" s="1"/>
      <c r="D5" s="1"/>
      <c r="E5" s="1"/>
      <c r="J5" s="2"/>
    </row>
    <row r="6" spans="1:14">
      <c r="B6" s="19"/>
      <c r="C6" s="1"/>
      <c r="D6" s="1"/>
      <c r="E6" s="1"/>
      <c r="F6" s="18"/>
      <c r="J6" s="2"/>
    </row>
    <row r="7" spans="1:14">
      <c r="B7" s="19"/>
      <c r="C7" s="1"/>
      <c r="D7" s="1"/>
      <c r="E7" s="1"/>
      <c r="J7" s="19"/>
    </row>
    <row r="8" spans="1:14">
      <c r="B8" s="19"/>
      <c r="C8" s="1"/>
      <c r="D8" s="1"/>
      <c r="E8" s="1"/>
      <c r="F8" s="18"/>
      <c r="J8" s="19"/>
    </row>
    <row r="9" spans="1:14">
      <c r="C9" s="1"/>
      <c r="D9" s="1"/>
      <c r="E9" s="1"/>
    </row>
    <row r="10" spans="1:14">
      <c r="A10" s="15" t="s">
        <v>105</v>
      </c>
      <c r="C10" s="1"/>
      <c r="D10" s="1"/>
      <c r="E10" s="1"/>
    </row>
    <row r="11" spans="1:14">
      <c r="A11" s="131"/>
      <c r="B11" s="19" t="s">
        <v>224</v>
      </c>
      <c r="C11" s="95">
        <v>10</v>
      </c>
      <c r="E11" s="93">
        <v>67.5</v>
      </c>
      <c r="F11" s="18" t="s">
        <v>106</v>
      </c>
      <c r="G11" s="18" t="s">
        <v>265</v>
      </c>
    </row>
    <row r="12" spans="1:14">
      <c r="B12" s="19" t="s">
        <v>267</v>
      </c>
      <c r="D12" s="110">
        <v>25</v>
      </c>
      <c r="G12" s="18" t="s">
        <v>268</v>
      </c>
    </row>
    <row r="14" spans="1:14">
      <c r="B14" s="19" t="s">
        <v>223</v>
      </c>
      <c r="D14" s="95">
        <v>1.5</v>
      </c>
      <c r="E14" s="62"/>
      <c r="F14" s="18" t="s">
        <v>106</v>
      </c>
      <c r="I14" s="18"/>
      <c r="M14" s="66"/>
      <c r="N14" s="65"/>
    </row>
    <row r="15" spans="1:14">
      <c r="B15" s="2"/>
      <c r="C15" s="1"/>
      <c r="D15" s="1"/>
      <c r="E15" s="1"/>
    </row>
    <row r="16" spans="1:14">
      <c r="A16" s="15" t="s">
        <v>100</v>
      </c>
      <c r="C16" s="1"/>
      <c r="D16" s="1"/>
      <c r="E16" s="1"/>
    </row>
    <row r="17" spans="1:6">
      <c r="B17" s="19" t="s">
        <v>101</v>
      </c>
      <c r="C17" s="1">
        <v>1.3</v>
      </c>
      <c r="D17" s="1">
        <v>1.35</v>
      </c>
      <c r="E17" s="1">
        <v>1.4</v>
      </c>
      <c r="F17" s="18" t="s">
        <v>49</v>
      </c>
    </row>
    <row r="18" spans="1:6">
      <c r="B18" s="19" t="s">
        <v>199</v>
      </c>
      <c r="C18" s="1">
        <v>0.33</v>
      </c>
      <c r="D18" s="1">
        <v>0.35</v>
      </c>
      <c r="E18" s="1">
        <v>0.37</v>
      </c>
      <c r="F18" s="18" t="s">
        <v>49</v>
      </c>
    </row>
    <row r="19" spans="1:6">
      <c r="B19" s="19" t="s">
        <v>461</v>
      </c>
      <c r="C19" s="82">
        <v>8</v>
      </c>
      <c r="D19" s="82">
        <v>10.25</v>
      </c>
      <c r="E19" s="82">
        <v>12.5</v>
      </c>
      <c r="F19" s="18" t="s">
        <v>99</v>
      </c>
    </row>
    <row r="20" spans="1:6">
      <c r="B20" s="19" t="s">
        <v>200</v>
      </c>
      <c r="C20" s="1"/>
      <c r="D20" s="1">
        <v>2</v>
      </c>
      <c r="E20" s="1"/>
      <c r="F20" s="18" t="s">
        <v>99</v>
      </c>
    </row>
    <row r="22" spans="1:6">
      <c r="A22" s="15" t="s">
        <v>139</v>
      </c>
      <c r="B22" s="2"/>
      <c r="C22" s="1"/>
      <c r="D22" s="1"/>
      <c r="E22" s="1"/>
    </row>
    <row r="23" spans="1:6">
      <c r="B23" s="19" t="s">
        <v>202</v>
      </c>
      <c r="C23" s="1">
        <v>44</v>
      </c>
      <c r="D23" s="1">
        <v>55</v>
      </c>
      <c r="E23" s="1">
        <v>66</v>
      </c>
      <c r="F23" s="18" t="s">
        <v>99</v>
      </c>
    </row>
    <row r="24" spans="1:6">
      <c r="B24" s="2"/>
      <c r="C24" s="1"/>
      <c r="D24" s="1"/>
      <c r="E24" s="1"/>
    </row>
    <row r="25" spans="1:6">
      <c r="A25" s="15" t="s">
        <v>203</v>
      </c>
      <c r="B25" s="2"/>
      <c r="C25" s="1"/>
      <c r="D25" s="1"/>
      <c r="E25" s="1"/>
    </row>
    <row r="26" spans="1:6">
      <c r="B26" s="19" t="s">
        <v>204</v>
      </c>
      <c r="C26" s="1">
        <v>1.3</v>
      </c>
      <c r="D26" s="1">
        <v>1.35</v>
      </c>
      <c r="E26" s="1">
        <v>1.4</v>
      </c>
      <c r="F26" s="18" t="s">
        <v>49</v>
      </c>
    </row>
    <row r="27" spans="1:6">
      <c r="B27" s="19" t="s">
        <v>205</v>
      </c>
      <c r="C27" s="94"/>
      <c r="D27" s="94">
        <v>50</v>
      </c>
      <c r="E27" s="94"/>
      <c r="F27" s="18" t="s">
        <v>106</v>
      </c>
    </row>
    <row r="28" spans="1:6">
      <c r="B28" s="19"/>
      <c r="C28" s="94"/>
      <c r="D28" s="94"/>
      <c r="E28" s="94"/>
    </row>
    <row r="29" spans="1:6">
      <c r="A29" s="15" t="s">
        <v>206</v>
      </c>
      <c r="B29" s="19"/>
      <c r="C29" s="94"/>
      <c r="D29" s="94"/>
      <c r="E29" s="94"/>
    </row>
    <row r="30" spans="1:6">
      <c r="A30" s="15"/>
      <c r="B30" s="19" t="s">
        <v>207</v>
      </c>
      <c r="C30" s="94">
        <v>2.2000000000000002</v>
      </c>
      <c r="D30" s="94">
        <v>2.3199999999999998</v>
      </c>
      <c r="E30" s="96">
        <v>2.4500000000000002</v>
      </c>
      <c r="F30" s="18" t="s">
        <v>49</v>
      </c>
    </row>
    <row r="31" spans="1:6">
      <c r="B31" s="19" t="s">
        <v>208</v>
      </c>
      <c r="C31" s="94">
        <v>2.1</v>
      </c>
      <c r="D31" s="94">
        <v>2.2200000000000002</v>
      </c>
      <c r="E31" s="94">
        <v>2.35</v>
      </c>
      <c r="F31" s="18" t="s">
        <v>49</v>
      </c>
    </row>
    <row r="32" spans="1:6">
      <c r="B32" s="19" t="s">
        <v>205</v>
      </c>
      <c r="C32" s="94"/>
      <c r="D32" s="94">
        <v>0.1</v>
      </c>
      <c r="E32" s="94"/>
      <c r="F32" s="18" t="s">
        <v>49</v>
      </c>
    </row>
    <row r="33" spans="1:8">
      <c r="B33" s="19"/>
      <c r="C33" s="94"/>
      <c r="D33" s="94"/>
      <c r="E33" s="94"/>
    </row>
    <row r="34" spans="1:8">
      <c r="A34" s="15" t="s">
        <v>209</v>
      </c>
      <c r="B34" s="19"/>
      <c r="C34" s="94"/>
      <c r="D34" s="94"/>
      <c r="E34" s="94"/>
    </row>
    <row r="35" spans="1:8">
      <c r="B35" s="19" t="s">
        <v>210</v>
      </c>
      <c r="C35" s="94">
        <v>1.3</v>
      </c>
      <c r="D35" s="94">
        <v>1.35</v>
      </c>
      <c r="E35" s="94">
        <v>1.4</v>
      </c>
      <c r="F35" s="18" t="s">
        <v>49</v>
      </c>
    </row>
    <row r="36" spans="1:8">
      <c r="A36" s="15"/>
      <c r="B36" s="19" t="s">
        <v>205</v>
      </c>
      <c r="C36" s="94"/>
      <c r="D36" s="94">
        <v>50</v>
      </c>
      <c r="E36" s="94"/>
      <c r="F36" s="18" t="s">
        <v>106</v>
      </c>
    </row>
    <row r="37" spans="1:8">
      <c r="A37" s="15"/>
      <c r="B37" s="19"/>
      <c r="C37" s="94"/>
      <c r="D37" s="94"/>
      <c r="E37" s="94"/>
    </row>
    <row r="38" spans="1:8">
      <c r="A38" s="15" t="s">
        <v>213</v>
      </c>
      <c r="B38" s="2"/>
      <c r="C38" s="94"/>
      <c r="D38" s="94"/>
      <c r="E38" s="94"/>
    </row>
    <row r="39" spans="1:8">
      <c r="A39" s="15"/>
      <c r="B39" s="19" t="s">
        <v>214</v>
      </c>
      <c r="C39" s="94">
        <v>0.3</v>
      </c>
      <c r="D39" s="94">
        <v>0.7</v>
      </c>
      <c r="E39" s="94">
        <v>1.4</v>
      </c>
      <c r="F39" s="18" t="s">
        <v>49</v>
      </c>
    </row>
    <row r="40" spans="1:8">
      <c r="A40" s="15"/>
      <c r="B40" s="19"/>
      <c r="C40" s="94"/>
      <c r="D40" s="94"/>
      <c r="E40" s="94"/>
    </row>
    <row r="41" spans="1:8">
      <c r="A41" s="15" t="s">
        <v>215</v>
      </c>
      <c r="B41" s="2"/>
      <c r="C41" s="94"/>
      <c r="D41" s="94"/>
      <c r="E41" s="94"/>
    </row>
    <row r="42" spans="1:8">
      <c r="A42" s="15"/>
      <c r="B42" s="19" t="s">
        <v>216</v>
      </c>
      <c r="C42" s="94"/>
      <c r="D42" s="94">
        <v>0.11</v>
      </c>
      <c r="E42" s="94">
        <v>0.25</v>
      </c>
      <c r="F42" s="18" t="s">
        <v>49</v>
      </c>
      <c r="G42">
        <v>2</v>
      </c>
      <c r="H42" s="18" t="s">
        <v>217</v>
      </c>
    </row>
    <row r="43" spans="1:8">
      <c r="A43" s="15"/>
      <c r="B43" s="2"/>
      <c r="C43" s="94"/>
      <c r="D43" s="94"/>
      <c r="E43" s="94"/>
    </row>
    <row r="44" spans="1:8">
      <c r="A44" s="15" t="s">
        <v>212</v>
      </c>
      <c r="B44" s="2"/>
      <c r="C44" s="94"/>
      <c r="D44" s="94"/>
      <c r="E44" s="94"/>
    </row>
    <row r="45" spans="1:8">
      <c r="A45" s="15"/>
      <c r="B45" s="19" t="s">
        <v>211</v>
      </c>
      <c r="C45" s="94">
        <v>140</v>
      </c>
      <c r="D45" s="94">
        <v>240</v>
      </c>
      <c r="E45" s="94">
        <v>340</v>
      </c>
      <c r="F45" s="18" t="s">
        <v>106</v>
      </c>
      <c r="H45" s="18"/>
    </row>
    <row r="46" spans="1:8">
      <c r="A46" s="15"/>
      <c r="B46" s="19" t="s">
        <v>205</v>
      </c>
      <c r="C46" s="94"/>
      <c r="D46" s="94">
        <v>70</v>
      </c>
      <c r="E46" s="94"/>
      <c r="F46" s="18" t="s">
        <v>106</v>
      </c>
    </row>
    <row r="48" spans="1:8">
      <c r="A48" s="15" t="s">
        <v>218</v>
      </c>
      <c r="B48" s="2"/>
      <c r="C48" s="94"/>
      <c r="D48" s="94"/>
      <c r="E48" s="94"/>
    </row>
    <row r="49" spans="1:6">
      <c r="A49" s="15"/>
      <c r="B49" s="19" t="s">
        <v>219</v>
      </c>
      <c r="C49" s="94">
        <v>90</v>
      </c>
      <c r="D49" s="94">
        <v>101</v>
      </c>
      <c r="E49" s="94">
        <v>115</v>
      </c>
      <c r="F49" s="18" t="s">
        <v>106</v>
      </c>
    </row>
    <row r="50" spans="1:6">
      <c r="A50" s="15"/>
      <c r="B50" s="2"/>
      <c r="C50" s="94"/>
      <c r="D50" s="94"/>
      <c r="E50" s="94"/>
    </row>
    <row r="51" spans="1:6">
      <c r="A51" s="15" t="s">
        <v>220</v>
      </c>
      <c r="B51" s="2"/>
      <c r="C51" s="94"/>
      <c r="D51" s="94"/>
      <c r="E51" s="94"/>
    </row>
    <row r="52" spans="1:6">
      <c r="A52" s="15"/>
      <c r="B52" s="19" t="s">
        <v>221</v>
      </c>
      <c r="C52" s="94">
        <v>0.65</v>
      </c>
      <c r="D52" s="94">
        <v>0.67800000000000005</v>
      </c>
      <c r="E52" s="94">
        <v>0.7</v>
      </c>
      <c r="F52" s="18" t="s">
        <v>49</v>
      </c>
    </row>
    <row r="53" spans="1:6">
      <c r="A53" s="15"/>
      <c r="B53" s="2"/>
      <c r="C53" s="94"/>
      <c r="D53" s="94"/>
      <c r="E53" s="94"/>
    </row>
    <row r="54" spans="1:6">
      <c r="A54" s="15"/>
      <c r="B54" s="2"/>
      <c r="C54" s="94"/>
      <c r="D54" s="94"/>
      <c r="E54" s="94"/>
    </row>
    <row r="55" spans="1:6">
      <c r="A55" s="15" t="s">
        <v>298</v>
      </c>
      <c r="B55" s="2"/>
      <c r="C55" s="94"/>
      <c r="D55" s="94"/>
      <c r="E55" s="94"/>
    </row>
    <row r="56" spans="1:6">
      <c r="A56" s="15"/>
      <c r="B56" s="19" t="s">
        <v>299</v>
      </c>
      <c r="C56" s="94">
        <v>1</v>
      </c>
      <c r="D56" s="111" t="s">
        <v>106</v>
      </c>
      <c r="E56" s="94"/>
    </row>
    <row r="57" spans="1:6">
      <c r="A57" s="15"/>
      <c r="B57" s="19" t="s">
        <v>263</v>
      </c>
      <c r="C57" s="115">
        <v>0.06</v>
      </c>
      <c r="D57" s="94"/>
      <c r="E57" s="94"/>
    </row>
    <row r="58" spans="1:6">
      <c r="A58" s="15"/>
      <c r="B58" s="2"/>
      <c r="C58" s="94"/>
      <c r="D58" s="94"/>
      <c r="E58" s="94"/>
    </row>
    <row r="59" spans="1:6">
      <c r="A59" s="15"/>
      <c r="B59" s="19" t="s">
        <v>310</v>
      </c>
      <c r="C59" s="94">
        <v>9.9000000000000005E-2</v>
      </c>
      <c r="D59" s="111" t="s">
        <v>201</v>
      </c>
      <c r="E59" s="94"/>
    </row>
    <row r="60" spans="1:6">
      <c r="A60" s="15"/>
      <c r="B60" s="2"/>
      <c r="C60" s="94"/>
      <c r="D60" s="94"/>
      <c r="E60" s="94"/>
    </row>
    <row r="61" spans="1:6">
      <c r="A61" s="15"/>
      <c r="B61" s="2"/>
      <c r="C61" s="94"/>
      <c r="D61" s="94"/>
      <c r="E61" s="94"/>
    </row>
    <row r="62" spans="1:6">
      <c r="A62" s="15"/>
      <c r="B62" s="2"/>
      <c r="C62" s="94"/>
      <c r="D62" s="94"/>
      <c r="E62" s="94"/>
    </row>
    <row r="63" spans="1:6">
      <c r="A63" s="15"/>
      <c r="B63" s="2"/>
      <c r="C63" s="94"/>
      <c r="D63" s="94"/>
      <c r="E63" s="94"/>
    </row>
    <row r="64" spans="1:6">
      <c r="A64" s="15"/>
      <c r="B64" s="2"/>
      <c r="C64" s="94"/>
      <c r="D64" s="94"/>
      <c r="E64" s="94"/>
    </row>
    <row r="65" spans="1:6">
      <c r="A65" s="15"/>
      <c r="B65" s="2"/>
      <c r="C65" s="94">
        <f>56.25*43.5^-0.57</f>
        <v>6.5491305892439273</v>
      </c>
      <c r="D65" s="94"/>
      <c r="E65" s="94"/>
    </row>
    <row r="66" spans="1:6">
      <c r="A66" s="15"/>
      <c r="B66" s="2"/>
      <c r="C66" s="94"/>
      <c r="D66" s="94"/>
      <c r="E66" s="94"/>
    </row>
    <row r="67" spans="1:6">
      <c r="A67" s="15"/>
      <c r="B67" s="2"/>
      <c r="C67" s="94">
        <f>(150-55)/(150-25)*C65</f>
        <v>4.9773392478253848</v>
      </c>
      <c r="D67" s="94"/>
      <c r="E67" s="94"/>
    </row>
    <row r="68" spans="1:6">
      <c r="A68" s="15"/>
      <c r="B68" s="2"/>
      <c r="C68" s="94"/>
      <c r="D68" s="94"/>
      <c r="E68" s="94"/>
    </row>
    <row r="69" spans="1:6">
      <c r="A69" s="15"/>
      <c r="B69" s="19"/>
      <c r="C69" s="94"/>
      <c r="D69" s="94"/>
      <c r="E69" s="94"/>
      <c r="F69" s="18"/>
    </row>
    <row r="70" spans="1:6">
      <c r="A70" s="15"/>
      <c r="B70" s="19"/>
      <c r="C70" s="94"/>
      <c r="D70" s="94"/>
      <c r="E70" s="94"/>
      <c r="F70" s="18"/>
    </row>
    <row r="71" spans="1:6">
      <c r="A71" s="15"/>
      <c r="B71" s="2"/>
      <c r="C71" s="94"/>
      <c r="D71" s="94"/>
      <c r="E71" s="94"/>
    </row>
    <row r="72" spans="1:6">
      <c r="A72" s="15"/>
      <c r="B72" s="2"/>
      <c r="C72" s="94"/>
      <c r="D72" s="94"/>
      <c r="E72" s="94"/>
    </row>
    <row r="73" spans="1:6">
      <c r="A73" s="15"/>
      <c r="B73" s="2"/>
      <c r="C73" s="94"/>
      <c r="D73" s="94"/>
      <c r="E73" s="94"/>
    </row>
    <row r="74" spans="1:6">
      <c r="A74" s="15"/>
      <c r="B74" s="2"/>
      <c r="C74" s="94"/>
      <c r="D74" s="94"/>
      <c r="E74" s="94"/>
    </row>
    <row r="75" spans="1:6">
      <c r="A75" s="15"/>
      <c r="B75" s="2"/>
      <c r="C75" s="94"/>
      <c r="D75" s="94"/>
      <c r="E75" s="94"/>
    </row>
    <row r="76" spans="1:6">
      <c r="A76" s="15"/>
      <c r="B76" s="2"/>
      <c r="C76" s="94"/>
      <c r="D76" s="94"/>
      <c r="E76" s="94"/>
    </row>
    <row r="77" spans="1:6">
      <c r="A77" s="15"/>
      <c r="B77" s="2"/>
      <c r="C77" s="94"/>
      <c r="D77" s="94"/>
      <c r="E77" s="94"/>
    </row>
    <row r="78" spans="1:6">
      <c r="A78" s="15"/>
      <c r="B78" s="2"/>
      <c r="C78" s="94"/>
      <c r="D78" s="94"/>
      <c r="E78" s="94"/>
    </row>
    <row r="79" spans="1:6">
      <c r="A79" s="15"/>
      <c r="B79" s="2"/>
      <c r="C79" s="94"/>
      <c r="D79" s="94"/>
      <c r="E79" s="94"/>
    </row>
    <row r="80" spans="1:6">
      <c r="A80" s="15"/>
      <c r="B80" s="2"/>
      <c r="C80" s="94"/>
      <c r="D80" s="94"/>
      <c r="E80" s="94"/>
    </row>
    <row r="81" spans="1:5">
      <c r="A81" s="15"/>
      <c r="B81" s="2"/>
      <c r="C81" s="94"/>
      <c r="D81" s="94"/>
      <c r="E81" s="94"/>
    </row>
    <row r="82" spans="1:5">
      <c r="A82" s="15"/>
      <c r="B82" s="2"/>
      <c r="C82" s="94"/>
      <c r="D82" s="94"/>
      <c r="E82" s="94"/>
    </row>
    <row r="83" spans="1:5">
      <c r="A83" s="15"/>
      <c r="B83" s="2"/>
      <c r="C83" s="94"/>
      <c r="D83" s="94"/>
      <c r="E83" s="94"/>
    </row>
    <row r="84" spans="1:5">
      <c r="A84" s="15"/>
      <c r="B84" s="2"/>
      <c r="C84" s="94"/>
      <c r="D84" s="94"/>
      <c r="E84" s="94"/>
    </row>
    <row r="85" spans="1:5">
      <c r="A85" s="15"/>
      <c r="B85" s="2"/>
      <c r="C85" s="94"/>
      <c r="D85" s="94"/>
      <c r="E85" s="94"/>
    </row>
    <row r="86" spans="1:5">
      <c r="A86" s="15"/>
      <c r="B86" s="2"/>
      <c r="C86" s="94"/>
      <c r="D86" s="94"/>
      <c r="E86" s="94"/>
    </row>
    <row r="87" spans="1:5">
      <c r="A87" s="15"/>
      <c r="B87" s="2"/>
      <c r="C87" s="94"/>
      <c r="D87" s="94"/>
      <c r="E87" s="94"/>
    </row>
    <row r="88" spans="1:5">
      <c r="A88" s="15"/>
      <c r="B88" s="2"/>
      <c r="C88" s="94"/>
      <c r="D88" s="94"/>
      <c r="E88" s="94"/>
    </row>
    <row r="89" spans="1:5">
      <c r="A89" s="15"/>
      <c r="B89" s="2"/>
      <c r="C89" s="94"/>
      <c r="D89" s="94"/>
      <c r="E89" s="94"/>
    </row>
    <row r="90" spans="1:5">
      <c r="A90" s="15"/>
      <c r="B90" s="2"/>
      <c r="C90" s="94"/>
      <c r="D90" s="94"/>
      <c r="E90" s="94"/>
    </row>
    <row r="91" spans="1:5">
      <c r="A91" s="15"/>
      <c r="B91" s="2"/>
      <c r="C91" s="94"/>
      <c r="D91" s="94"/>
      <c r="E91" s="94"/>
    </row>
    <row r="92" spans="1:5">
      <c r="A92" s="15"/>
      <c r="B92" s="2"/>
      <c r="C92" s="94"/>
      <c r="D92" s="94"/>
      <c r="E92" s="94"/>
    </row>
    <row r="93" spans="1:5">
      <c r="A93" s="15"/>
      <c r="B93" s="2"/>
      <c r="C93" s="94"/>
      <c r="D93" s="94"/>
      <c r="E93" s="94"/>
    </row>
    <row r="94" spans="1:5">
      <c r="A94" s="15"/>
      <c r="B94" s="2"/>
      <c r="C94" s="94"/>
      <c r="D94" s="94"/>
      <c r="E94" s="94"/>
    </row>
    <row r="95" spans="1:5">
      <c r="A95" s="15"/>
      <c r="B95" s="2"/>
      <c r="C95" s="94"/>
      <c r="D95" s="94"/>
      <c r="E95" s="94"/>
    </row>
    <row r="96" spans="1:5">
      <c r="A96" s="15"/>
      <c r="B96" s="2"/>
      <c r="C96" s="94"/>
      <c r="D96" s="94"/>
      <c r="E96" s="94"/>
    </row>
    <row r="97" spans="1:5">
      <c r="A97" s="15"/>
      <c r="B97" s="2"/>
      <c r="C97" s="94"/>
      <c r="D97" s="94"/>
      <c r="E97" s="94"/>
    </row>
    <row r="98" spans="1:5">
      <c r="A98" s="15"/>
      <c r="B98" s="2"/>
      <c r="C98" s="94"/>
      <c r="D98" s="94"/>
      <c r="E98" s="94"/>
    </row>
    <row r="99" spans="1:5">
      <c r="A99" s="15"/>
      <c r="B99" s="2"/>
      <c r="C99" s="94"/>
      <c r="D99" s="94"/>
      <c r="E99" s="94"/>
    </row>
    <row r="100" spans="1:5">
      <c r="A100" s="15"/>
      <c r="B100" s="2"/>
      <c r="C100" s="94"/>
      <c r="D100" s="94"/>
      <c r="E100" s="94"/>
    </row>
    <row r="101" spans="1:5">
      <c r="A101" s="15"/>
      <c r="B101" s="2"/>
      <c r="C101" s="94"/>
      <c r="D101" s="94"/>
      <c r="E101" s="94"/>
    </row>
    <row r="102" spans="1:5">
      <c r="A102" s="15"/>
      <c r="B102" s="2"/>
      <c r="C102" s="94"/>
      <c r="D102" s="94"/>
      <c r="E102" s="94"/>
    </row>
    <row r="103" spans="1:5">
      <c r="A103" s="15"/>
      <c r="B103" s="2"/>
      <c r="C103" s="94"/>
      <c r="D103" s="94"/>
      <c r="E103" s="94"/>
    </row>
    <row r="104" spans="1:5">
      <c r="A104" s="15"/>
      <c r="B104" s="2"/>
      <c r="C104" s="94"/>
      <c r="D104" s="94"/>
      <c r="E104" s="94"/>
    </row>
    <row r="105" spans="1:5">
      <c r="A105" s="15"/>
      <c r="B105" s="2"/>
      <c r="C105" s="94"/>
      <c r="D105" s="94"/>
      <c r="E105" s="94"/>
    </row>
    <row r="106" spans="1:5">
      <c r="A106" s="15"/>
      <c r="B106" s="2"/>
      <c r="C106" s="94"/>
      <c r="D106" s="94"/>
      <c r="E106" s="94"/>
    </row>
    <row r="107" spans="1:5">
      <c r="A107" s="15"/>
      <c r="B107" s="2"/>
      <c r="C107" s="94"/>
      <c r="D107" s="94"/>
      <c r="E107" s="94"/>
    </row>
    <row r="108" spans="1:5">
      <c r="A108" s="15"/>
      <c r="B108" s="2"/>
      <c r="C108" s="94"/>
      <c r="D108" s="94"/>
      <c r="E108" s="94"/>
    </row>
    <row r="109" spans="1:5">
      <c r="A109" s="15"/>
      <c r="B109" s="2"/>
      <c r="C109" s="94"/>
      <c r="D109" s="94"/>
      <c r="E109" s="94"/>
    </row>
    <row r="110" spans="1:5">
      <c r="A110" s="15"/>
      <c r="B110" s="2"/>
      <c r="C110" s="94"/>
      <c r="D110" s="94"/>
      <c r="E110" s="94"/>
    </row>
    <row r="111" spans="1:5">
      <c r="A111" s="15"/>
      <c r="B111" s="2"/>
      <c r="C111" s="94"/>
      <c r="D111" s="94"/>
      <c r="E111" s="94"/>
    </row>
    <row r="112" spans="1:5">
      <c r="A112" s="15"/>
      <c r="B112" s="2"/>
      <c r="C112" s="94"/>
      <c r="D112" s="94"/>
      <c r="E112" s="94"/>
    </row>
    <row r="113" spans="1:5">
      <c r="A113" s="15"/>
      <c r="B113" s="2"/>
      <c r="C113" s="94"/>
      <c r="D113" s="94"/>
      <c r="E113" s="94"/>
    </row>
    <row r="114" spans="1:5">
      <c r="A114" s="15"/>
      <c r="B114" s="2"/>
      <c r="C114" s="94"/>
      <c r="D114" s="94"/>
      <c r="E114" s="94"/>
    </row>
    <row r="115" spans="1:5">
      <c r="A115" s="15"/>
      <c r="B115" s="2"/>
      <c r="C115" s="94"/>
      <c r="D115" s="94"/>
      <c r="E115" s="94"/>
    </row>
    <row r="116" spans="1:5">
      <c r="A116" s="15"/>
      <c r="B116" s="2"/>
      <c r="C116" s="94"/>
      <c r="D116" s="94"/>
      <c r="E116" s="94"/>
    </row>
    <row r="117" spans="1:5">
      <c r="A117" s="15"/>
      <c r="B117" s="2"/>
      <c r="C117" s="94"/>
      <c r="D117" s="94"/>
      <c r="E117" s="94"/>
    </row>
    <row r="118" spans="1:5">
      <c r="A118" s="15"/>
      <c r="B118" s="2"/>
      <c r="C118" s="94"/>
      <c r="D118" s="94"/>
      <c r="E118" s="94"/>
    </row>
    <row r="119" spans="1:5">
      <c r="A119" s="15"/>
      <c r="B119" s="2"/>
      <c r="C119" s="94"/>
      <c r="D119" s="94"/>
      <c r="E119" s="94"/>
    </row>
    <row r="120" spans="1:5">
      <c r="A120" s="15"/>
      <c r="B120" s="2"/>
      <c r="C120" s="94"/>
      <c r="D120" s="94"/>
      <c r="E120" s="94"/>
    </row>
    <row r="121" spans="1:5">
      <c r="A121" s="15"/>
      <c r="B121" s="2"/>
      <c r="C121" s="94"/>
      <c r="D121" s="94"/>
      <c r="E121" s="94"/>
    </row>
    <row r="122" spans="1:5">
      <c r="A122" s="15"/>
      <c r="B122" s="2"/>
      <c r="C122" s="94"/>
      <c r="D122" s="94"/>
      <c r="E122" s="94"/>
    </row>
    <row r="123" spans="1:5">
      <c r="A123" s="15"/>
      <c r="B123" s="2"/>
      <c r="C123" s="94"/>
      <c r="D123" s="94"/>
      <c r="E123" s="94"/>
    </row>
    <row r="124" spans="1:5">
      <c r="A124" s="15"/>
      <c r="B124" s="2"/>
      <c r="C124" s="94"/>
      <c r="D124" s="94"/>
      <c r="E124" s="94"/>
    </row>
    <row r="125" spans="1:5">
      <c r="A125" s="15"/>
      <c r="B125" s="2"/>
      <c r="C125" s="94"/>
      <c r="D125" s="94"/>
      <c r="E125" s="94"/>
    </row>
    <row r="126" spans="1:5">
      <c r="A126" s="15"/>
      <c r="B126" s="2"/>
      <c r="C126" s="94"/>
      <c r="D126" s="94"/>
      <c r="E126" s="94"/>
    </row>
    <row r="127" spans="1:5">
      <c r="A127" s="15"/>
      <c r="B127" s="2"/>
      <c r="C127" s="94"/>
      <c r="D127" s="94"/>
      <c r="E127" s="94"/>
    </row>
    <row r="128" spans="1:5">
      <c r="A128" s="15"/>
      <c r="B128" s="2"/>
      <c r="C128" s="94"/>
      <c r="D128" s="94"/>
      <c r="E128" s="94"/>
    </row>
    <row r="129" spans="1:5">
      <c r="A129" s="15"/>
      <c r="B129" s="2"/>
      <c r="C129" s="94"/>
      <c r="D129" s="94"/>
      <c r="E129" s="94"/>
    </row>
    <row r="130" spans="1:5">
      <c r="A130" s="15"/>
      <c r="B130" s="2"/>
      <c r="C130" s="94"/>
      <c r="D130" s="94"/>
      <c r="E130" s="94"/>
    </row>
    <row r="131" spans="1:5">
      <c r="A131" s="15"/>
      <c r="B131" s="2"/>
      <c r="C131" s="94"/>
      <c r="D131" s="94"/>
      <c r="E131" s="94"/>
    </row>
    <row r="132" spans="1:5">
      <c r="A132" s="15"/>
      <c r="B132" s="2"/>
      <c r="C132" s="94"/>
      <c r="D132" s="94"/>
      <c r="E132" s="94"/>
    </row>
    <row r="133" spans="1:5">
      <c r="A133" s="15"/>
      <c r="B133" s="2"/>
      <c r="C133" s="94"/>
      <c r="D133" s="94"/>
      <c r="E133" s="94"/>
    </row>
    <row r="134" spans="1:5">
      <c r="A134" s="15"/>
      <c r="B134" s="2"/>
      <c r="C134" s="94"/>
      <c r="D134" s="94"/>
      <c r="E134" s="94"/>
    </row>
    <row r="135" spans="1:5">
      <c r="A135" s="15"/>
      <c r="B135" s="2"/>
      <c r="C135" s="94"/>
      <c r="D135" s="94"/>
      <c r="E135" s="94"/>
    </row>
    <row r="136" spans="1:5">
      <c r="A136" s="15"/>
      <c r="B136" s="2"/>
      <c r="C136" s="94"/>
      <c r="D136" s="94"/>
      <c r="E136" s="94"/>
    </row>
    <row r="137" spans="1:5">
      <c r="A137" s="15"/>
      <c r="B137" s="2"/>
      <c r="C137" s="94"/>
      <c r="D137" s="94"/>
      <c r="E137" s="94"/>
    </row>
    <row r="138" spans="1:5">
      <c r="A138" s="15"/>
      <c r="B138" s="2"/>
      <c r="C138" s="94"/>
      <c r="D138" s="94"/>
      <c r="E138" s="94"/>
    </row>
    <row r="139" spans="1:5">
      <c r="A139" s="15"/>
      <c r="B139" s="2"/>
      <c r="C139" s="94"/>
      <c r="D139" s="94"/>
      <c r="E139" s="94"/>
    </row>
    <row r="140" spans="1:5">
      <c r="A140" s="15"/>
      <c r="B140" s="2"/>
      <c r="C140" s="94"/>
      <c r="D140" s="94"/>
      <c r="E140" s="94"/>
    </row>
    <row r="141" spans="1:5">
      <c r="A141" s="15"/>
      <c r="B141" s="2"/>
      <c r="C141" s="94"/>
      <c r="D141" s="94"/>
      <c r="E141" s="94"/>
    </row>
    <row r="142" spans="1:5">
      <c r="A142" s="15"/>
      <c r="B142" s="2"/>
      <c r="C142" s="94"/>
      <c r="D142" s="94"/>
      <c r="E142" s="94"/>
    </row>
    <row r="143" spans="1:5">
      <c r="A143" s="15"/>
      <c r="B143" s="2"/>
      <c r="C143" s="94"/>
      <c r="D143" s="94"/>
      <c r="E143" s="94"/>
    </row>
    <row r="144" spans="1:5">
      <c r="A144" s="15"/>
      <c r="B144" s="2"/>
      <c r="C144" s="94"/>
      <c r="D144" s="94"/>
      <c r="E144" s="94"/>
    </row>
    <row r="145" spans="1:5">
      <c r="A145" s="15"/>
      <c r="B145" s="2"/>
      <c r="C145" s="94"/>
      <c r="D145" s="94"/>
      <c r="E145" s="94"/>
    </row>
    <row r="146" spans="1:5">
      <c r="A146" s="15"/>
      <c r="B146" s="2"/>
      <c r="C146" s="94"/>
      <c r="D146" s="94"/>
      <c r="E146" s="94"/>
    </row>
    <row r="147" spans="1:5">
      <c r="A147" s="15"/>
      <c r="B147" s="2"/>
      <c r="C147" s="94"/>
      <c r="D147" s="94"/>
      <c r="E147" s="94"/>
    </row>
    <row r="148" spans="1:5">
      <c r="A148" s="15"/>
      <c r="B148" s="2"/>
      <c r="C148" s="94"/>
      <c r="D148" s="94"/>
      <c r="E148" s="94"/>
    </row>
    <row r="149" spans="1:5">
      <c r="A149" s="15"/>
      <c r="B149" s="2"/>
      <c r="C149" s="94"/>
      <c r="D149" s="94"/>
      <c r="E149" s="94"/>
    </row>
    <row r="150" spans="1:5">
      <c r="A150" s="15"/>
      <c r="B150" s="2"/>
      <c r="C150" s="94"/>
      <c r="D150" s="94"/>
      <c r="E150" s="94"/>
    </row>
    <row r="151" spans="1:5">
      <c r="A151" s="15"/>
      <c r="B151" s="2"/>
      <c r="C151" s="94"/>
      <c r="D151" s="94"/>
      <c r="E151" s="94"/>
    </row>
    <row r="152" spans="1:5">
      <c r="A152" s="15"/>
      <c r="B152" s="2"/>
      <c r="C152" s="94"/>
      <c r="D152" s="94"/>
      <c r="E152" s="94"/>
    </row>
    <row r="153" spans="1:5">
      <c r="A153" s="15"/>
      <c r="B153" s="2"/>
      <c r="C153" s="94"/>
      <c r="D153" s="94"/>
      <c r="E153" s="94"/>
    </row>
    <row r="154" spans="1:5">
      <c r="A154" s="15"/>
      <c r="B154" s="2"/>
      <c r="C154" s="94"/>
      <c r="D154" s="94"/>
      <c r="E154" s="94"/>
    </row>
    <row r="155" spans="1:5">
      <c r="A155" s="15"/>
      <c r="B155" s="2"/>
      <c r="C155" s="94"/>
      <c r="D155" s="94"/>
      <c r="E155" s="94"/>
    </row>
    <row r="156" spans="1:5">
      <c r="A156" s="15"/>
      <c r="B156" s="2"/>
      <c r="C156" s="94"/>
      <c r="D156" s="94"/>
      <c r="E156" s="94"/>
    </row>
    <row r="157" spans="1:5">
      <c r="A157" s="15"/>
      <c r="B157" s="2"/>
      <c r="C157" s="94"/>
      <c r="D157" s="94"/>
      <c r="E157" s="94"/>
    </row>
    <row r="158" spans="1:5">
      <c r="A158" s="15"/>
      <c r="B158" s="2"/>
      <c r="C158" s="94"/>
      <c r="D158" s="94"/>
      <c r="E158" s="94"/>
    </row>
    <row r="159" spans="1:5">
      <c r="A159" s="15"/>
      <c r="B159" s="2"/>
      <c r="C159" s="94"/>
      <c r="D159" s="94"/>
      <c r="E159" s="94"/>
    </row>
    <row r="160" spans="1:5">
      <c r="A160" s="15"/>
      <c r="B160" s="2"/>
      <c r="C160" s="94"/>
      <c r="D160" s="94"/>
      <c r="E160" s="94"/>
    </row>
    <row r="161" spans="1:5">
      <c r="A161" s="15"/>
      <c r="B161" s="2"/>
      <c r="C161" s="94"/>
      <c r="D161" s="94"/>
      <c r="E161" s="94"/>
    </row>
    <row r="162" spans="1:5">
      <c r="A162" s="15"/>
      <c r="B162" s="2"/>
      <c r="C162" s="94"/>
      <c r="D162" s="94"/>
      <c r="E162" s="94"/>
    </row>
    <row r="163" spans="1:5">
      <c r="A163" s="15"/>
      <c r="B163" s="2"/>
      <c r="C163" s="94"/>
      <c r="D163" s="94"/>
      <c r="E163" s="94"/>
    </row>
    <row r="164" spans="1:5">
      <c r="A164" s="15"/>
      <c r="B164" s="2"/>
      <c r="C164" s="94"/>
      <c r="D164" s="94"/>
      <c r="E164" s="94"/>
    </row>
    <row r="165" spans="1:5">
      <c r="A165" s="15"/>
      <c r="B165" s="2"/>
      <c r="C165" s="94"/>
      <c r="D165" s="94"/>
      <c r="E165" s="94"/>
    </row>
    <row r="166" spans="1:5">
      <c r="A166" s="15"/>
      <c r="B166" s="2"/>
      <c r="C166" s="94"/>
      <c r="D166" s="94"/>
      <c r="E166" s="94"/>
    </row>
    <row r="167" spans="1:5">
      <c r="A167" s="15"/>
      <c r="B167" s="2"/>
      <c r="C167" s="94"/>
      <c r="D167" s="94"/>
      <c r="E167" s="94"/>
    </row>
    <row r="168" spans="1:5">
      <c r="A168" s="15"/>
      <c r="B168" s="2"/>
      <c r="C168" s="94"/>
      <c r="D168" s="94"/>
      <c r="E168" s="94"/>
    </row>
    <row r="169" spans="1:5">
      <c r="A169" s="15"/>
      <c r="B169" s="2"/>
      <c r="C169" s="94"/>
      <c r="D169" s="94"/>
      <c r="E169" s="94"/>
    </row>
    <row r="170" spans="1:5">
      <c r="A170" s="15"/>
      <c r="B170" s="2"/>
      <c r="C170" s="94"/>
      <c r="D170" s="94"/>
      <c r="E170" s="94"/>
    </row>
    <row r="171" spans="1:5">
      <c r="A171" s="15"/>
      <c r="B171" s="2"/>
      <c r="C171" s="94"/>
      <c r="D171" s="94"/>
      <c r="E171" s="94"/>
    </row>
    <row r="172" spans="1:5">
      <c r="A172" s="15"/>
      <c r="B172" s="2"/>
      <c r="C172" s="94"/>
      <c r="D172" s="94"/>
      <c r="E172" s="94"/>
    </row>
    <row r="173" spans="1:5">
      <c r="A173" s="15"/>
      <c r="B173" s="2"/>
      <c r="C173" s="94"/>
      <c r="D173" s="94"/>
      <c r="E173" s="94"/>
    </row>
    <row r="174" spans="1:5">
      <c r="A174" s="15"/>
      <c r="B174" s="2"/>
      <c r="C174" s="94"/>
      <c r="D174" s="94"/>
      <c r="E174" s="94"/>
    </row>
    <row r="175" spans="1:5">
      <c r="A175" s="15"/>
      <c r="B175" s="2"/>
      <c r="C175" s="94"/>
      <c r="D175" s="94"/>
      <c r="E175" s="94"/>
    </row>
    <row r="176" spans="1:5">
      <c r="A176" s="15"/>
      <c r="B176" s="2"/>
      <c r="C176" s="94"/>
      <c r="D176" s="94"/>
      <c r="E176" s="94"/>
    </row>
    <row r="177" spans="1:5">
      <c r="A177" s="15"/>
      <c r="B177" s="2"/>
      <c r="C177" s="94"/>
      <c r="D177" s="94"/>
      <c r="E177" s="94"/>
    </row>
    <row r="178" spans="1:5">
      <c r="A178" s="15"/>
      <c r="B178" s="2"/>
      <c r="C178" s="94"/>
      <c r="D178" s="94"/>
      <c r="E178" s="94"/>
    </row>
    <row r="179" spans="1:5">
      <c r="A179" s="15"/>
      <c r="B179" s="2"/>
      <c r="C179" s="94"/>
      <c r="D179" s="94"/>
      <c r="E179" s="94"/>
    </row>
    <row r="180" spans="1:5">
      <c r="A180" s="15"/>
      <c r="B180" s="2"/>
      <c r="C180" s="94"/>
      <c r="D180" s="94"/>
      <c r="E180" s="94"/>
    </row>
    <row r="181" spans="1:5">
      <c r="A181" s="15"/>
      <c r="B181" s="2"/>
      <c r="C181" s="94"/>
      <c r="D181" s="94"/>
      <c r="E181" s="94"/>
    </row>
    <row r="182" spans="1:5">
      <c r="A182" s="15"/>
      <c r="B182" s="2"/>
      <c r="C182" s="94"/>
      <c r="D182" s="94"/>
      <c r="E182" s="94"/>
    </row>
    <row r="183" spans="1:5">
      <c r="A183" s="15"/>
      <c r="B183" s="2"/>
      <c r="C183" s="94"/>
      <c r="D183" s="94"/>
      <c r="E183" s="94"/>
    </row>
    <row r="184" spans="1:5">
      <c r="A184" s="15"/>
      <c r="B184" s="2"/>
      <c r="C184" s="94"/>
      <c r="D184" s="94"/>
      <c r="E184" s="94"/>
    </row>
    <row r="185" spans="1:5">
      <c r="A185" s="15"/>
      <c r="B185" s="2"/>
      <c r="C185" s="94"/>
      <c r="D185" s="94"/>
      <c r="E185" s="94"/>
    </row>
    <row r="186" spans="1:5">
      <c r="A186" s="15"/>
      <c r="B186" s="2"/>
      <c r="C186" s="94"/>
      <c r="D186" s="94"/>
      <c r="E186" s="94"/>
    </row>
    <row r="187" spans="1:5">
      <c r="A187" s="15"/>
      <c r="B187" s="2"/>
      <c r="C187" s="94"/>
      <c r="D187" s="94"/>
      <c r="E187" s="94"/>
    </row>
    <row r="188" spans="1:5">
      <c r="A188" s="15"/>
      <c r="B188" s="2"/>
      <c r="C188" s="94"/>
      <c r="D188" s="94"/>
      <c r="E188" s="94"/>
    </row>
    <row r="189" spans="1:5">
      <c r="A189" s="15"/>
      <c r="B189" s="2"/>
      <c r="C189" s="94"/>
      <c r="D189" s="94"/>
      <c r="E189" s="94"/>
    </row>
    <row r="190" spans="1:5">
      <c r="A190" s="15"/>
      <c r="B190" s="2"/>
      <c r="C190" s="94"/>
      <c r="D190" s="94"/>
      <c r="E190" s="94"/>
    </row>
    <row r="191" spans="1:5">
      <c r="A191" s="15"/>
      <c r="B191" s="2"/>
      <c r="C191" s="94"/>
      <c r="D191" s="94"/>
      <c r="E191" s="94"/>
    </row>
    <row r="192" spans="1:5">
      <c r="A192" s="15"/>
      <c r="B192" s="2"/>
      <c r="C192" s="94"/>
      <c r="D192" s="94"/>
      <c r="E192" s="94"/>
    </row>
    <row r="193" spans="1:5">
      <c r="A193" s="15"/>
      <c r="B193" s="2"/>
      <c r="C193" s="94"/>
      <c r="D193" s="94"/>
      <c r="E193" s="94"/>
    </row>
    <row r="194" spans="1:5">
      <c r="A194" s="15"/>
      <c r="B194" s="2"/>
      <c r="C194" s="94"/>
      <c r="D194" s="94"/>
      <c r="E194" s="94"/>
    </row>
    <row r="195" spans="1:5">
      <c r="A195" s="15"/>
      <c r="B195" s="2"/>
      <c r="C195" s="94"/>
      <c r="D195" s="94"/>
      <c r="E195" s="94"/>
    </row>
    <row r="196" spans="1:5">
      <c r="A196" s="15"/>
      <c r="B196" s="2"/>
      <c r="C196" s="94"/>
      <c r="D196" s="94"/>
      <c r="E196" s="94"/>
    </row>
    <row r="197" spans="1:5">
      <c r="A197" s="15"/>
      <c r="B197" s="2"/>
      <c r="C197" s="94"/>
      <c r="D197" s="94"/>
      <c r="E197" s="94"/>
    </row>
    <row r="198" spans="1:5">
      <c r="A198" s="15"/>
      <c r="B198" s="2"/>
      <c r="C198" s="94"/>
      <c r="D198" s="94"/>
      <c r="E198" s="94"/>
    </row>
    <row r="199" spans="1:5">
      <c r="A199" s="15"/>
      <c r="B199" s="2"/>
      <c r="C199" s="94"/>
      <c r="D199" s="94"/>
      <c r="E199" s="94"/>
    </row>
    <row r="200" spans="1:5">
      <c r="A200" s="15"/>
      <c r="B200" s="2"/>
      <c r="C200" s="94"/>
      <c r="D200" s="94"/>
      <c r="E200" s="94"/>
    </row>
    <row r="201" spans="1:5">
      <c r="A201" s="15"/>
      <c r="B201" s="2"/>
      <c r="C201" s="94"/>
      <c r="D201" s="94"/>
      <c r="E201" s="94"/>
    </row>
    <row r="202" spans="1:5">
      <c r="A202" s="15"/>
      <c r="B202" s="2"/>
      <c r="C202" s="94"/>
      <c r="D202" s="94"/>
      <c r="E202" s="94"/>
    </row>
    <row r="203" spans="1:5">
      <c r="A203" s="15"/>
      <c r="B203" s="2"/>
      <c r="C203" s="94"/>
      <c r="D203" s="94"/>
      <c r="E203" s="94"/>
    </row>
    <row r="204" spans="1:5">
      <c r="A204" s="15"/>
      <c r="B204" s="2"/>
      <c r="C204" s="94"/>
      <c r="D204" s="94"/>
      <c r="E204" s="94"/>
    </row>
    <row r="205" spans="1:5">
      <c r="A205" s="15"/>
      <c r="B205" s="2"/>
      <c r="C205" s="94"/>
      <c r="D205" s="94"/>
      <c r="E205" s="94"/>
    </row>
    <row r="206" spans="1:5">
      <c r="A206" s="15"/>
      <c r="B206" s="2"/>
      <c r="C206" s="94"/>
      <c r="D206" s="94"/>
      <c r="E206" s="94"/>
    </row>
    <row r="207" spans="1:5">
      <c r="A207" s="15"/>
      <c r="B207" s="2"/>
      <c r="C207" s="94"/>
      <c r="D207" s="94"/>
      <c r="E207" s="94"/>
    </row>
    <row r="208" spans="1:5">
      <c r="A208" s="15"/>
      <c r="B208" s="2"/>
      <c r="C208" s="94"/>
      <c r="D208" s="94"/>
      <c r="E208" s="94"/>
    </row>
    <row r="209" spans="1:5">
      <c r="A209" s="15"/>
      <c r="B209" s="2"/>
      <c r="C209" s="94"/>
      <c r="D209" s="94"/>
      <c r="E209" s="94"/>
    </row>
    <row r="210" spans="1:5">
      <c r="A210" s="15"/>
      <c r="B210" s="2"/>
      <c r="C210" s="94"/>
      <c r="D210" s="94"/>
      <c r="E210" s="94"/>
    </row>
    <row r="211" spans="1:5">
      <c r="A211" s="15"/>
      <c r="B211" s="2"/>
      <c r="C211" s="94"/>
      <c r="D211" s="94"/>
      <c r="E211" s="94"/>
    </row>
    <row r="212" spans="1:5">
      <c r="A212" s="15"/>
      <c r="B212" s="2"/>
      <c r="C212" s="94"/>
      <c r="D212" s="94"/>
      <c r="E212" s="94"/>
    </row>
    <row r="213" spans="1:5">
      <c r="A213" s="15"/>
      <c r="B213" s="2"/>
      <c r="C213" s="94"/>
      <c r="D213" s="94"/>
      <c r="E213" s="94"/>
    </row>
    <row r="214" spans="1:5">
      <c r="A214" s="15"/>
      <c r="B214" s="2"/>
      <c r="C214" s="94"/>
      <c r="D214" s="94"/>
      <c r="E214" s="94"/>
    </row>
    <row r="215" spans="1:5">
      <c r="A215" s="15"/>
      <c r="B215" s="2"/>
      <c r="C215" s="94"/>
      <c r="D215" s="94"/>
      <c r="E215" s="94"/>
    </row>
    <row r="216" spans="1:5">
      <c r="A216" s="15"/>
      <c r="B216" s="2"/>
      <c r="C216" s="94"/>
      <c r="D216" s="94"/>
      <c r="E216" s="94"/>
    </row>
    <row r="217" spans="1:5">
      <c r="A217" s="15"/>
      <c r="B217" s="2"/>
      <c r="C217" s="94"/>
      <c r="D217" s="94"/>
      <c r="E217" s="94"/>
    </row>
    <row r="218" spans="1:5">
      <c r="A218" s="15"/>
      <c r="B218" s="2"/>
      <c r="C218" s="94"/>
      <c r="D218" s="94"/>
      <c r="E218" s="94"/>
    </row>
    <row r="219" spans="1:5">
      <c r="A219" s="15"/>
      <c r="B219" s="2"/>
      <c r="C219" s="94"/>
      <c r="D219" s="94"/>
      <c r="E219" s="94"/>
    </row>
    <row r="220" spans="1:5">
      <c r="A220" s="15"/>
      <c r="B220" s="2"/>
      <c r="C220" s="94"/>
      <c r="D220" s="94"/>
      <c r="E220" s="94"/>
    </row>
    <row r="221" spans="1:5">
      <c r="A221" s="15"/>
      <c r="B221" s="2"/>
      <c r="C221" s="94"/>
      <c r="D221" s="94"/>
      <c r="E221" s="94"/>
    </row>
    <row r="222" spans="1:5">
      <c r="A222" s="15"/>
      <c r="B222" s="2"/>
      <c r="C222" s="94"/>
      <c r="D222" s="94"/>
      <c r="E222" s="94"/>
    </row>
    <row r="223" spans="1:5">
      <c r="A223" s="15"/>
      <c r="B223" s="2"/>
      <c r="C223" s="94"/>
      <c r="D223" s="94"/>
      <c r="E223" s="94"/>
    </row>
    <row r="224" spans="1:5">
      <c r="A224" s="15"/>
      <c r="B224" s="2"/>
      <c r="C224" s="94"/>
      <c r="D224" s="94"/>
      <c r="E224" s="94"/>
    </row>
    <row r="225" spans="1:5">
      <c r="A225" s="15"/>
      <c r="B225" s="2"/>
      <c r="C225" s="94"/>
      <c r="D225" s="94"/>
      <c r="E225" s="94"/>
    </row>
    <row r="226" spans="1:5">
      <c r="A226" s="15"/>
      <c r="B226" s="2"/>
      <c r="C226" s="94"/>
      <c r="D226" s="94"/>
      <c r="E226" s="94"/>
    </row>
    <row r="227" spans="1:5">
      <c r="A227" s="15"/>
      <c r="B227" s="2"/>
      <c r="C227" s="94"/>
      <c r="D227" s="94"/>
      <c r="E227" s="94"/>
    </row>
    <row r="228" spans="1:5">
      <c r="A228" s="15"/>
      <c r="B228" s="2"/>
      <c r="C228" s="94"/>
      <c r="D228" s="94"/>
      <c r="E228" s="94"/>
    </row>
    <row r="229" spans="1:5">
      <c r="A229" s="15"/>
      <c r="B229" s="2"/>
      <c r="C229" s="94"/>
      <c r="D229" s="94"/>
      <c r="E229" s="94"/>
    </row>
    <row r="230" spans="1:5">
      <c r="A230" s="15"/>
      <c r="B230" s="2"/>
      <c r="C230" s="94"/>
      <c r="D230" s="94"/>
      <c r="E230" s="94"/>
    </row>
    <row r="231" spans="1:5">
      <c r="A231" s="15"/>
      <c r="B231" s="2"/>
      <c r="C231" s="94"/>
      <c r="D231" s="94"/>
      <c r="E231" s="94"/>
    </row>
    <row r="232" spans="1:5">
      <c r="A232" s="15"/>
      <c r="B232" s="2"/>
      <c r="C232" s="94"/>
      <c r="D232" s="94"/>
      <c r="E232" s="94"/>
    </row>
    <row r="233" spans="1:5">
      <c r="A233" s="15"/>
      <c r="B233" s="2"/>
      <c r="C233" s="94"/>
      <c r="D233" s="94"/>
      <c r="E233" s="94"/>
    </row>
    <row r="234" spans="1:5">
      <c r="A234" s="15"/>
      <c r="B234" s="2"/>
      <c r="C234" s="94"/>
      <c r="D234" s="94"/>
      <c r="E234" s="94"/>
    </row>
    <row r="235" spans="1:5">
      <c r="A235" s="15"/>
      <c r="B235" s="2"/>
      <c r="C235" s="94"/>
      <c r="D235" s="94"/>
      <c r="E235" s="94"/>
    </row>
    <row r="236" spans="1:5">
      <c r="A236" s="15"/>
      <c r="B236" s="2"/>
      <c r="C236" s="94"/>
      <c r="D236" s="94"/>
      <c r="E236" s="94"/>
    </row>
    <row r="237" spans="1:5">
      <c r="A237" s="15"/>
      <c r="B237" s="2"/>
      <c r="C237" s="94"/>
      <c r="D237" s="94"/>
      <c r="E237" s="94"/>
    </row>
    <row r="238" spans="1:5">
      <c r="A238" s="15"/>
      <c r="B238" s="2"/>
      <c r="C238" s="94"/>
      <c r="D238" s="94"/>
      <c r="E238" s="94"/>
    </row>
    <row r="239" spans="1:5">
      <c r="A239" s="15"/>
      <c r="B239" s="2"/>
      <c r="C239" s="94"/>
      <c r="D239" s="94"/>
      <c r="E239" s="94"/>
    </row>
    <row r="240" spans="1:5">
      <c r="A240" s="15"/>
      <c r="B240" s="2"/>
      <c r="C240" s="94"/>
      <c r="D240" s="94"/>
      <c r="E240" s="94"/>
    </row>
    <row r="241" spans="1:5">
      <c r="A241" s="15"/>
      <c r="B241" s="2"/>
      <c r="C241" s="94"/>
      <c r="D241" s="94"/>
      <c r="E241" s="94"/>
    </row>
    <row r="242" spans="1:5">
      <c r="A242" s="15"/>
      <c r="B242" s="2"/>
      <c r="C242" s="94"/>
      <c r="D242" s="94"/>
      <c r="E242" s="94"/>
    </row>
    <row r="243" spans="1:5">
      <c r="A243" s="15"/>
      <c r="B243" s="2"/>
      <c r="C243" s="94"/>
      <c r="D243" s="94"/>
      <c r="E243" s="94"/>
    </row>
    <row r="244" spans="1:5">
      <c r="A244" s="15"/>
      <c r="B244" s="2"/>
      <c r="C244" s="94"/>
      <c r="D244" s="94"/>
      <c r="E244" s="94"/>
    </row>
    <row r="245" spans="1:5">
      <c r="A245" s="15"/>
      <c r="B245" s="2"/>
      <c r="C245" s="94"/>
      <c r="D245" s="94"/>
      <c r="E245" s="94"/>
    </row>
    <row r="246" spans="1:5">
      <c r="A246" s="15"/>
      <c r="B246" s="2"/>
      <c r="C246" s="94"/>
      <c r="D246" s="94"/>
      <c r="E246" s="94"/>
    </row>
    <row r="247" spans="1:5">
      <c r="A247" s="15"/>
      <c r="B247" s="2"/>
      <c r="C247" s="94"/>
      <c r="D247" s="94"/>
      <c r="E247" s="94"/>
    </row>
    <row r="248" spans="1:5">
      <c r="A248" s="15"/>
      <c r="B248" s="2"/>
      <c r="C248" s="94"/>
      <c r="D248" s="94"/>
      <c r="E248" s="94"/>
    </row>
    <row r="249" spans="1:5">
      <c r="A249" s="15"/>
      <c r="B249" s="2"/>
      <c r="C249" s="94"/>
      <c r="D249" s="94"/>
      <c r="E249" s="94"/>
    </row>
    <row r="250" spans="1:5">
      <c r="A250" s="15"/>
      <c r="B250" s="2"/>
      <c r="C250" s="94"/>
      <c r="D250" s="94"/>
      <c r="E250" s="94"/>
    </row>
    <row r="251" spans="1:5">
      <c r="A251" s="15"/>
      <c r="B251" s="2"/>
      <c r="C251" s="94"/>
      <c r="D251" s="94"/>
      <c r="E251" s="94"/>
    </row>
    <row r="252" spans="1:5">
      <c r="A252" s="15"/>
      <c r="B252" s="2"/>
      <c r="C252" s="94"/>
      <c r="D252" s="94"/>
      <c r="E252" s="94"/>
    </row>
    <row r="253" spans="1:5">
      <c r="A253" s="15"/>
      <c r="B253" s="2"/>
      <c r="C253" s="94"/>
      <c r="D253" s="94"/>
      <c r="E253" s="94"/>
    </row>
    <row r="254" spans="1:5">
      <c r="A254" s="15"/>
      <c r="B254" s="2"/>
      <c r="C254" s="94"/>
      <c r="D254" s="94"/>
      <c r="E254" s="94"/>
    </row>
    <row r="255" spans="1:5">
      <c r="A255" s="15"/>
      <c r="B255" s="2"/>
      <c r="C255" s="94"/>
      <c r="D255" s="94"/>
      <c r="E255" s="94"/>
    </row>
    <row r="256" spans="1:5">
      <c r="A256" s="15"/>
      <c r="B256" s="2"/>
      <c r="C256" s="94"/>
      <c r="D256" s="94"/>
      <c r="E256" s="94"/>
    </row>
    <row r="257" spans="1:5">
      <c r="A257" s="15"/>
      <c r="B257" s="2"/>
      <c r="C257" s="94"/>
      <c r="D257" s="94"/>
      <c r="E257" s="94"/>
    </row>
    <row r="258" spans="1:5">
      <c r="A258" s="15"/>
      <c r="B258" s="2"/>
      <c r="C258" s="94"/>
      <c r="D258" s="94"/>
      <c r="E258" s="94"/>
    </row>
    <row r="259" spans="1:5">
      <c r="A259" s="15"/>
      <c r="B259" s="2"/>
      <c r="C259" s="94"/>
      <c r="D259" s="94"/>
      <c r="E259" s="94"/>
    </row>
    <row r="260" spans="1:5">
      <c r="A260" s="15"/>
      <c r="B260" s="2"/>
      <c r="C260" s="94"/>
      <c r="D260" s="94"/>
      <c r="E260" s="94"/>
    </row>
    <row r="261" spans="1:5">
      <c r="A261" s="15"/>
      <c r="B261" s="2"/>
      <c r="C261" s="94"/>
      <c r="D261" s="94"/>
      <c r="E261" s="94"/>
    </row>
    <row r="262" spans="1:5">
      <c r="A262" s="15"/>
      <c r="B262" s="2"/>
      <c r="C262" s="94"/>
      <c r="D262" s="94"/>
      <c r="E262" s="94"/>
    </row>
    <row r="263" spans="1:5">
      <c r="A263" s="15"/>
      <c r="B263" s="2"/>
      <c r="C263" s="94"/>
      <c r="D263" s="94"/>
      <c r="E263" s="94"/>
    </row>
    <row r="264" spans="1:5">
      <c r="A264" s="15"/>
      <c r="B264" s="2"/>
      <c r="C264" s="94"/>
      <c r="D264" s="94"/>
      <c r="E264" s="94"/>
    </row>
    <row r="265" spans="1:5">
      <c r="A265" s="15"/>
      <c r="B265" s="2"/>
      <c r="C265" s="94"/>
      <c r="D265" s="94"/>
      <c r="E265" s="94"/>
    </row>
    <row r="266" spans="1:5">
      <c r="A266" s="15"/>
      <c r="B266" s="2"/>
      <c r="C266" s="94"/>
      <c r="D266" s="94"/>
      <c r="E266" s="94"/>
    </row>
    <row r="267" spans="1:5">
      <c r="A267" s="15"/>
      <c r="B267" s="2"/>
      <c r="C267" s="94"/>
      <c r="D267" s="94"/>
      <c r="E267" s="94"/>
    </row>
    <row r="268" spans="1:5">
      <c r="A268" s="15"/>
      <c r="B268" s="2"/>
      <c r="C268" s="94"/>
      <c r="D268" s="94"/>
      <c r="E268" s="94"/>
    </row>
    <row r="269" spans="1:5">
      <c r="A269" s="15"/>
      <c r="B269" s="2"/>
      <c r="C269" s="94"/>
      <c r="D269" s="94"/>
      <c r="E269" s="94"/>
    </row>
    <row r="270" spans="1:5">
      <c r="A270" s="15"/>
      <c r="B270" s="2"/>
      <c r="C270" s="94"/>
      <c r="D270" s="94"/>
      <c r="E270" s="94"/>
    </row>
    <row r="271" spans="1:5">
      <c r="A271" s="15"/>
      <c r="B271" s="2"/>
      <c r="C271" s="94"/>
      <c r="D271" s="94"/>
      <c r="E271" s="94"/>
    </row>
    <row r="272" spans="1:5">
      <c r="A272" s="15"/>
      <c r="B272" s="2"/>
      <c r="C272" s="94"/>
      <c r="D272" s="94"/>
      <c r="E272" s="94"/>
    </row>
    <row r="273" spans="1:5">
      <c r="A273" s="15"/>
      <c r="B273" s="2"/>
      <c r="C273" s="94"/>
      <c r="D273" s="94"/>
      <c r="E273" s="94"/>
    </row>
    <row r="274" spans="1:5">
      <c r="A274" s="15"/>
      <c r="B274" s="2"/>
      <c r="C274" s="94"/>
      <c r="D274" s="94"/>
      <c r="E274" s="94"/>
    </row>
    <row r="275" spans="1:5">
      <c r="A275" s="15"/>
      <c r="B275" s="2"/>
      <c r="C275" s="94"/>
      <c r="D275" s="94"/>
      <c r="E275" s="94"/>
    </row>
    <row r="276" spans="1:5">
      <c r="A276" s="15"/>
      <c r="B276" s="2"/>
      <c r="C276" s="94"/>
      <c r="D276" s="94"/>
      <c r="E276" s="94"/>
    </row>
    <row r="277" spans="1:5">
      <c r="A277" s="15"/>
      <c r="B277" s="2"/>
      <c r="C277" s="94"/>
      <c r="D277" s="94"/>
      <c r="E277" s="94"/>
    </row>
    <row r="278" spans="1:5">
      <c r="A278" s="15"/>
      <c r="B278" s="2"/>
      <c r="C278" s="94"/>
      <c r="D278" s="94"/>
      <c r="E278" s="94"/>
    </row>
    <row r="279" spans="1:5">
      <c r="A279" s="15"/>
      <c r="B279" s="2"/>
      <c r="C279" s="94"/>
      <c r="D279" s="94"/>
      <c r="E279" s="94"/>
    </row>
    <row r="280" spans="1:5">
      <c r="A280" s="15"/>
      <c r="B280" s="2"/>
      <c r="C280" s="94"/>
      <c r="D280" s="94"/>
      <c r="E280" s="94"/>
    </row>
    <row r="281" spans="1:5">
      <c r="A281" s="15"/>
      <c r="B281" s="2"/>
      <c r="C281" s="94"/>
      <c r="D281" s="94"/>
      <c r="E281" s="94"/>
    </row>
    <row r="282" spans="1:5">
      <c r="A282" s="15"/>
      <c r="B282" s="2"/>
      <c r="C282" s="94"/>
      <c r="D282" s="94"/>
      <c r="E282" s="94"/>
    </row>
    <row r="283" spans="1:5">
      <c r="A283" s="15"/>
      <c r="B283" s="2"/>
      <c r="C283" s="94"/>
      <c r="D283" s="94"/>
      <c r="E283" s="94"/>
    </row>
    <row r="284" spans="1:5">
      <c r="A284" s="15"/>
      <c r="B284" s="2"/>
      <c r="C284" s="94"/>
      <c r="D284" s="94"/>
      <c r="E284" s="94"/>
    </row>
    <row r="285" spans="1:5">
      <c r="A285" s="15"/>
      <c r="B285" s="2"/>
      <c r="C285" s="94"/>
      <c r="D285" s="94"/>
      <c r="E285" s="94"/>
    </row>
    <row r="286" spans="1:5">
      <c r="A286" s="15"/>
      <c r="B286" s="2"/>
      <c r="C286" s="94"/>
      <c r="D286" s="94"/>
      <c r="E286" s="94"/>
    </row>
    <row r="287" spans="1:5">
      <c r="A287" s="15"/>
      <c r="B287" s="2"/>
      <c r="C287" s="94"/>
      <c r="D287" s="94"/>
      <c r="E287" s="94"/>
    </row>
    <row r="288" spans="1:5">
      <c r="A288" s="15"/>
      <c r="B288" s="2"/>
      <c r="C288" s="94"/>
      <c r="D288" s="94"/>
      <c r="E288" s="94"/>
    </row>
    <row r="289" spans="1:5">
      <c r="A289" s="15"/>
      <c r="B289" s="2"/>
      <c r="C289" s="94"/>
      <c r="D289" s="94"/>
      <c r="E289" s="94"/>
    </row>
    <row r="290" spans="1:5">
      <c r="A290" s="15"/>
      <c r="B290" s="2"/>
      <c r="C290" s="94"/>
      <c r="D290" s="94"/>
      <c r="E290" s="94"/>
    </row>
    <row r="291" spans="1:5">
      <c r="A291" s="15"/>
      <c r="B291" s="2"/>
      <c r="C291" s="94"/>
      <c r="D291" s="94"/>
      <c r="E291" s="94"/>
    </row>
    <row r="292" spans="1:5">
      <c r="A292" s="15"/>
      <c r="B292" s="2"/>
      <c r="C292" s="94"/>
      <c r="D292" s="94"/>
      <c r="E292" s="94"/>
    </row>
    <row r="293" spans="1:5">
      <c r="A293" s="15"/>
      <c r="B293" s="2"/>
      <c r="C293" s="94"/>
      <c r="D293" s="94"/>
      <c r="E293" s="94"/>
    </row>
    <row r="294" spans="1:5">
      <c r="A294" s="15"/>
      <c r="B294" s="2"/>
      <c r="C294" s="94"/>
      <c r="D294" s="94"/>
      <c r="E294" s="94"/>
    </row>
    <row r="295" spans="1:5">
      <c r="A295" s="15"/>
      <c r="B295" s="2"/>
      <c r="C295" s="94"/>
      <c r="D295" s="94"/>
      <c r="E295" s="94"/>
    </row>
    <row r="296" spans="1:5">
      <c r="A296" s="15"/>
      <c r="B296" s="2"/>
      <c r="C296" s="94"/>
      <c r="D296" s="94"/>
      <c r="E296" s="94"/>
    </row>
    <row r="297" spans="1:5">
      <c r="A297" s="15"/>
      <c r="B297" s="2"/>
      <c r="C297" s="94"/>
      <c r="D297" s="94"/>
      <c r="E297" s="94"/>
    </row>
    <row r="298" spans="1:5">
      <c r="A298" s="15"/>
      <c r="B298" s="2"/>
      <c r="C298" s="94"/>
      <c r="D298" s="94"/>
      <c r="E298" s="94"/>
    </row>
    <row r="299" spans="1:5">
      <c r="A299" s="15"/>
      <c r="B299" s="2"/>
      <c r="C299" s="94"/>
      <c r="D299" s="94"/>
      <c r="E299" s="94"/>
    </row>
    <row r="300" spans="1:5">
      <c r="A300" s="15"/>
      <c r="B300" s="2"/>
      <c r="C300" s="94"/>
      <c r="D300" s="94"/>
      <c r="E300" s="94"/>
    </row>
    <row r="301" spans="1:5">
      <c r="A301" s="15"/>
      <c r="B301" s="2"/>
      <c r="C301" s="94"/>
      <c r="D301" s="94"/>
      <c r="E301" s="94"/>
    </row>
    <row r="302" spans="1:5">
      <c r="A302" s="15"/>
      <c r="B302" s="2"/>
      <c r="C302" s="94"/>
      <c r="D302" s="94"/>
      <c r="E302" s="94"/>
    </row>
    <row r="303" spans="1:5">
      <c r="A303" s="15"/>
      <c r="B303" s="2"/>
      <c r="C303" s="94"/>
      <c r="D303" s="94"/>
      <c r="E303" s="94"/>
    </row>
    <row r="304" spans="1:5">
      <c r="A304" s="15"/>
      <c r="B304" s="2"/>
      <c r="C304" s="94"/>
      <c r="D304" s="94"/>
      <c r="E304" s="94"/>
    </row>
    <row r="305" spans="1:5">
      <c r="A305" s="15"/>
      <c r="B305" s="2"/>
      <c r="C305" s="94"/>
      <c r="D305" s="94"/>
      <c r="E305" s="94"/>
    </row>
    <row r="306" spans="1:5">
      <c r="A306" s="15"/>
      <c r="B306" s="2"/>
      <c r="C306" s="94"/>
      <c r="D306" s="94"/>
      <c r="E306" s="94"/>
    </row>
    <row r="307" spans="1:5">
      <c r="A307" s="15"/>
      <c r="B307" s="2"/>
      <c r="C307" s="94"/>
      <c r="D307" s="94"/>
      <c r="E307" s="94"/>
    </row>
    <row r="308" spans="1:5">
      <c r="A308" s="15"/>
      <c r="B308" s="2"/>
      <c r="C308" s="94"/>
      <c r="D308" s="94"/>
      <c r="E308" s="94"/>
    </row>
    <row r="309" spans="1:5">
      <c r="A309" s="15"/>
      <c r="B309" s="2"/>
      <c r="C309" s="94"/>
      <c r="D309" s="94"/>
      <c r="E309" s="94"/>
    </row>
    <row r="310" spans="1:5">
      <c r="A310" s="15"/>
      <c r="B310" s="2"/>
      <c r="C310" s="94"/>
      <c r="D310" s="94"/>
      <c r="E310" s="94"/>
    </row>
    <row r="311" spans="1:5">
      <c r="A311" s="15"/>
      <c r="B311" s="2"/>
      <c r="C311" s="94"/>
      <c r="D311" s="94"/>
      <c r="E311" s="94"/>
    </row>
    <row r="312" spans="1:5">
      <c r="A312" s="15"/>
      <c r="B312" s="2"/>
      <c r="C312" s="94"/>
      <c r="D312" s="94"/>
      <c r="E312" s="94"/>
    </row>
    <row r="313" spans="1:5">
      <c r="A313" s="15"/>
      <c r="B313" s="2"/>
      <c r="C313" s="94"/>
      <c r="D313" s="94"/>
      <c r="E313" s="94"/>
    </row>
    <row r="314" spans="1:5">
      <c r="A314" s="15"/>
      <c r="B314" s="2"/>
      <c r="C314" s="94"/>
      <c r="D314" s="94"/>
      <c r="E314" s="94"/>
    </row>
    <row r="315" spans="1:5">
      <c r="A315" s="15"/>
      <c r="B315" s="2"/>
      <c r="C315" s="94"/>
      <c r="D315" s="94"/>
      <c r="E315" s="94"/>
    </row>
    <row r="316" spans="1:5">
      <c r="A316" s="15"/>
      <c r="B316" s="2"/>
      <c r="C316" s="94"/>
      <c r="D316" s="94"/>
      <c r="E316" s="94"/>
    </row>
    <row r="317" spans="1:5">
      <c r="A317" s="15"/>
      <c r="B317" s="2"/>
      <c r="C317" s="94"/>
      <c r="D317" s="94"/>
      <c r="E317" s="94"/>
    </row>
    <row r="318" spans="1:5">
      <c r="A318" s="15"/>
      <c r="B318" s="2"/>
      <c r="C318" s="94"/>
      <c r="D318" s="94"/>
      <c r="E318" s="94"/>
    </row>
    <row r="319" spans="1:5">
      <c r="A319" s="15"/>
      <c r="B319" s="2"/>
      <c r="C319" s="94"/>
      <c r="D319" s="94"/>
      <c r="E319" s="94"/>
    </row>
    <row r="320" spans="1:5">
      <c r="A320" s="15"/>
      <c r="B320" s="2"/>
      <c r="C320" s="94"/>
      <c r="D320" s="94"/>
      <c r="E320" s="94"/>
    </row>
    <row r="321" spans="1:5">
      <c r="A321" s="15"/>
      <c r="B321" s="2"/>
      <c r="C321" s="94"/>
      <c r="D321" s="94"/>
      <c r="E321" s="94"/>
    </row>
    <row r="322" spans="1:5">
      <c r="A322" s="15"/>
      <c r="B322" s="2"/>
      <c r="C322" s="94"/>
      <c r="D322" s="94"/>
      <c r="E322" s="94"/>
    </row>
    <row r="323" spans="1:5">
      <c r="A323" s="15"/>
      <c r="B323" s="2"/>
      <c r="C323" s="94"/>
      <c r="D323" s="94"/>
      <c r="E323" s="94"/>
    </row>
    <row r="324" spans="1:5">
      <c r="A324" s="15"/>
      <c r="B324" s="2"/>
      <c r="C324" s="94"/>
      <c r="D324" s="94"/>
      <c r="E324" s="94"/>
    </row>
    <row r="325" spans="1:5">
      <c r="A325" s="15"/>
      <c r="B325" s="2"/>
      <c r="C325" s="94"/>
      <c r="D325" s="94"/>
      <c r="E325" s="94"/>
    </row>
    <row r="326" spans="1:5">
      <c r="A326" s="15"/>
      <c r="B326" s="2"/>
      <c r="C326" s="94"/>
      <c r="D326" s="94"/>
      <c r="E326" s="94"/>
    </row>
    <row r="327" spans="1:5">
      <c r="A327" s="15"/>
      <c r="B327" s="2"/>
      <c r="C327" s="94"/>
      <c r="D327" s="94"/>
      <c r="E327" s="94"/>
    </row>
    <row r="328" spans="1:5">
      <c r="A328" s="15"/>
      <c r="B328" s="2"/>
      <c r="C328" s="94"/>
      <c r="D328" s="94"/>
      <c r="E328" s="94"/>
    </row>
    <row r="329" spans="1:5">
      <c r="A329" s="15"/>
      <c r="B329" s="2"/>
      <c r="C329" s="94"/>
      <c r="D329" s="94"/>
      <c r="E329" s="94"/>
    </row>
    <row r="330" spans="1:5">
      <c r="A330" s="15"/>
      <c r="B330" s="2"/>
      <c r="C330" s="94"/>
      <c r="D330" s="94"/>
      <c r="E330" s="94"/>
    </row>
    <row r="331" spans="1:5">
      <c r="A331" s="15"/>
      <c r="B331" s="2"/>
      <c r="C331" s="94"/>
      <c r="D331" s="94"/>
      <c r="E331" s="94"/>
    </row>
    <row r="332" spans="1:5">
      <c r="A332" s="15"/>
      <c r="B332" s="2"/>
      <c r="C332" s="94"/>
      <c r="D332" s="94"/>
      <c r="E332" s="94"/>
    </row>
    <row r="333" spans="1:5">
      <c r="A333" s="15"/>
      <c r="B333" s="2"/>
      <c r="C333" s="94"/>
      <c r="D333" s="94"/>
      <c r="E333" s="94"/>
    </row>
    <row r="334" spans="1:5">
      <c r="A334" s="15"/>
      <c r="B334" s="2"/>
      <c r="C334" s="94"/>
      <c r="D334" s="94"/>
      <c r="E334" s="94"/>
    </row>
    <row r="335" spans="1:5">
      <c r="A335" s="15"/>
      <c r="B335" s="2"/>
      <c r="C335" s="94"/>
      <c r="D335" s="94"/>
      <c r="E335" s="94"/>
    </row>
    <row r="336" spans="1:5">
      <c r="A336" s="15"/>
      <c r="B336" s="2"/>
      <c r="C336" s="94"/>
      <c r="D336" s="94"/>
      <c r="E336" s="94"/>
    </row>
    <row r="337" spans="1:5">
      <c r="A337" s="15"/>
      <c r="B337" s="2"/>
      <c r="C337" s="94"/>
      <c r="D337" s="94"/>
      <c r="E337" s="94"/>
    </row>
    <row r="338" spans="1:5">
      <c r="A338" s="15"/>
      <c r="B338" s="2"/>
      <c r="C338" s="94"/>
      <c r="D338" s="94"/>
      <c r="E338" s="94"/>
    </row>
    <row r="339" spans="1:5">
      <c r="A339" s="15"/>
      <c r="B339" s="2"/>
      <c r="C339" s="94"/>
      <c r="D339" s="94"/>
      <c r="E339" s="94"/>
    </row>
    <row r="340" spans="1:5">
      <c r="B340" s="2"/>
      <c r="C340" s="94"/>
      <c r="D340" s="94"/>
      <c r="E340" s="94"/>
    </row>
    <row r="341" spans="1:5">
      <c r="B341" s="2"/>
      <c r="C341" s="94"/>
      <c r="D341" s="94"/>
      <c r="E341" s="94"/>
    </row>
    <row r="342" spans="1:5">
      <c r="B342" s="2"/>
      <c r="C342" s="94"/>
      <c r="D342" s="94"/>
      <c r="E342" s="94"/>
    </row>
    <row r="343" spans="1:5">
      <c r="B343" s="2"/>
      <c r="C343" s="94"/>
      <c r="D343" s="94"/>
      <c r="E343" s="94"/>
    </row>
    <row r="344" spans="1:5">
      <c r="B344" s="2"/>
      <c r="C344" s="94"/>
      <c r="D344" s="94"/>
      <c r="E344" s="94"/>
    </row>
    <row r="345" spans="1:5">
      <c r="B345" s="2"/>
      <c r="C345" s="94"/>
      <c r="D345" s="94"/>
      <c r="E345" s="94"/>
    </row>
    <row r="346" spans="1:5">
      <c r="B346" s="2"/>
      <c r="C346" s="94"/>
      <c r="D346" s="94"/>
      <c r="E346" s="94"/>
    </row>
    <row r="347" spans="1:5">
      <c r="B347" s="2"/>
      <c r="C347" s="94"/>
      <c r="D347" s="94"/>
      <c r="E347" s="94"/>
    </row>
    <row r="348" spans="1:5">
      <c r="B348" s="2"/>
      <c r="C348" s="94"/>
      <c r="D348" s="94"/>
      <c r="E348" s="94"/>
    </row>
    <row r="349" spans="1:5">
      <c r="B349" s="2"/>
      <c r="C349" s="94"/>
      <c r="D349" s="94"/>
      <c r="E349" s="94"/>
    </row>
    <row r="350" spans="1:5">
      <c r="B350" s="2"/>
      <c r="C350" s="94"/>
      <c r="D350" s="94"/>
      <c r="E350" s="94"/>
    </row>
    <row r="351" spans="1:5">
      <c r="B351" s="2"/>
      <c r="C351" s="94"/>
      <c r="D351" s="94"/>
      <c r="E351" s="94"/>
    </row>
    <row r="352" spans="1:5">
      <c r="B352" s="2"/>
      <c r="C352" s="94"/>
      <c r="D352" s="94"/>
      <c r="E352" s="94"/>
    </row>
    <row r="353" spans="2:5">
      <c r="B353" s="2"/>
      <c r="C353" s="94"/>
      <c r="D353" s="94"/>
      <c r="E353" s="94"/>
    </row>
    <row r="354" spans="2:5">
      <c r="B354" s="2"/>
      <c r="C354" s="94"/>
      <c r="D354" s="94"/>
      <c r="E354" s="94"/>
    </row>
    <row r="355" spans="2:5">
      <c r="B355" s="2"/>
      <c r="C355" s="94"/>
      <c r="D355" s="94"/>
      <c r="E355" s="94"/>
    </row>
    <row r="356" spans="2:5">
      <c r="B356" s="2"/>
      <c r="C356" s="94"/>
      <c r="D356" s="94"/>
      <c r="E356" s="94"/>
    </row>
    <row r="357" spans="2:5">
      <c r="B357" s="2"/>
      <c r="C357" s="94"/>
      <c r="D357" s="94"/>
      <c r="E357" s="94"/>
    </row>
    <row r="358" spans="2:5">
      <c r="B358" s="2"/>
      <c r="C358" s="94"/>
      <c r="D358" s="94"/>
      <c r="E358" s="94"/>
    </row>
    <row r="359" spans="2:5">
      <c r="B359" s="2"/>
      <c r="C359" s="94"/>
      <c r="D359" s="94"/>
      <c r="E359" s="94"/>
    </row>
    <row r="360" spans="2:5">
      <c r="B360" s="2"/>
      <c r="C360" s="94"/>
      <c r="D360" s="94"/>
      <c r="E360" s="94"/>
    </row>
    <row r="361" spans="2:5">
      <c r="B361" s="2"/>
      <c r="C361" s="94"/>
      <c r="D361" s="94"/>
      <c r="E361" s="94"/>
    </row>
    <row r="362" spans="2:5">
      <c r="B362" s="2"/>
      <c r="C362" s="94"/>
      <c r="D362" s="94"/>
      <c r="E362" s="94"/>
    </row>
    <row r="363" spans="2:5">
      <c r="B363" s="2"/>
      <c r="C363" s="94"/>
      <c r="D363" s="94"/>
      <c r="E363" s="94"/>
    </row>
    <row r="364" spans="2:5">
      <c r="B364" s="2"/>
      <c r="C364" s="94"/>
      <c r="D364" s="94"/>
      <c r="E364" s="94"/>
    </row>
    <row r="365" spans="2:5">
      <c r="B365" s="2"/>
      <c r="C365" s="94"/>
      <c r="D365" s="94"/>
      <c r="E365" s="94"/>
    </row>
    <row r="366" spans="2:5">
      <c r="B366" s="2"/>
      <c r="C366" s="94"/>
      <c r="D366" s="94"/>
      <c r="E366" s="94"/>
    </row>
    <row r="367" spans="2:5">
      <c r="B367" s="2"/>
      <c r="C367" s="94"/>
      <c r="D367" s="94"/>
      <c r="E367" s="94"/>
    </row>
    <row r="368" spans="2:5">
      <c r="B368" s="2"/>
      <c r="C368" s="94"/>
      <c r="D368" s="94"/>
      <c r="E368" s="94"/>
    </row>
    <row r="369" spans="2:5">
      <c r="B369" s="2"/>
      <c r="C369" s="94"/>
      <c r="D369" s="94"/>
      <c r="E369" s="94"/>
    </row>
    <row r="370" spans="2:5">
      <c r="B370" s="2"/>
      <c r="C370" s="94"/>
      <c r="D370" s="94"/>
      <c r="E370" s="94"/>
    </row>
    <row r="371" spans="2:5">
      <c r="B371" s="2"/>
      <c r="C371" s="94"/>
      <c r="D371" s="94"/>
      <c r="E371" s="94"/>
    </row>
    <row r="372" spans="2:5">
      <c r="B372" s="2"/>
      <c r="C372" s="94"/>
      <c r="D372" s="94"/>
      <c r="E372" s="94"/>
    </row>
    <row r="373" spans="2:5">
      <c r="B373" s="2"/>
      <c r="C373" s="94"/>
      <c r="D373" s="94"/>
      <c r="E373" s="94"/>
    </row>
    <row r="374" spans="2:5">
      <c r="B374" s="2"/>
      <c r="C374" s="94"/>
      <c r="D374" s="94"/>
      <c r="E374" s="94"/>
    </row>
    <row r="375" spans="2:5">
      <c r="B375" s="2"/>
      <c r="C375" s="94"/>
      <c r="D375" s="94"/>
      <c r="E375" s="94"/>
    </row>
    <row r="376" spans="2:5">
      <c r="B376" s="2"/>
      <c r="C376" s="94"/>
      <c r="D376" s="94"/>
      <c r="E376" s="94"/>
    </row>
    <row r="377" spans="2:5">
      <c r="B377" s="2"/>
      <c r="C377" s="94"/>
      <c r="D377" s="94"/>
      <c r="E377" s="94"/>
    </row>
    <row r="378" spans="2:5">
      <c r="C378" s="94"/>
      <c r="D378" s="94"/>
      <c r="E378" s="94"/>
    </row>
    <row r="379" spans="2:5">
      <c r="C379" s="94"/>
      <c r="D379" s="94"/>
      <c r="E379" s="94"/>
    </row>
    <row r="380" spans="2:5">
      <c r="C380" s="94"/>
      <c r="D380" s="94"/>
      <c r="E380" s="94"/>
    </row>
    <row r="381" spans="2:5">
      <c r="C381" s="94"/>
      <c r="D381" s="94"/>
      <c r="E381" s="9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3"/>
  <dimension ref="A1:Y156"/>
  <sheetViews>
    <sheetView topLeftCell="A79" workbookViewId="0">
      <selection activeCell="C97" sqref="C97"/>
    </sheetView>
  </sheetViews>
  <sheetFormatPr defaultRowHeight="13.2"/>
  <cols>
    <col min="1" max="1" width="13.44140625" customWidth="1"/>
    <col min="2" max="2" width="10.33203125" customWidth="1"/>
    <col min="3" max="3" width="8.33203125" customWidth="1"/>
    <col min="5" max="5" width="10.6640625" customWidth="1"/>
    <col min="6" max="6" width="12.44140625" bestFit="1" customWidth="1"/>
    <col min="8" max="8" width="14" customWidth="1"/>
    <col min="9" max="9" width="12.6640625" customWidth="1"/>
    <col min="10" max="10" width="11.6640625" customWidth="1"/>
  </cols>
  <sheetData>
    <row r="1" spans="1:12">
      <c r="A1" s="15" t="s">
        <v>75</v>
      </c>
    </row>
    <row r="2" spans="1:12">
      <c r="E2" s="2"/>
    </row>
    <row r="3" spans="1:12">
      <c r="D3" s="2" t="s">
        <v>0</v>
      </c>
      <c r="E3">
        <f>'Device Parmaters'!E11/ILIM_tgt</f>
        <v>0.84375</v>
      </c>
    </row>
    <row r="4" spans="1:12">
      <c r="D4" s="19" t="s">
        <v>266</v>
      </c>
      <c r="E4">
        <f>'Device Parmaters'!C11/ILIM_tgt</f>
        <v>0.125</v>
      </c>
    </row>
    <row r="5" spans="1:12">
      <c r="A5" s="131"/>
      <c r="D5" s="2" t="s">
        <v>1</v>
      </c>
      <c r="E5" s="3">
        <f>CLMIN_Threshold/Rs</f>
        <v>77.222222222222229</v>
      </c>
      <c r="F5" s="3"/>
    </row>
    <row r="6" spans="1:12">
      <c r="A6" s="131"/>
      <c r="D6" s="2" t="s">
        <v>2</v>
      </c>
      <c r="E6">
        <f>CLNOM_Threshold/Rs</f>
        <v>80</v>
      </c>
    </row>
    <row r="7" spans="1:12">
      <c r="A7" s="131"/>
      <c r="D7" s="2" t="s">
        <v>3</v>
      </c>
      <c r="E7">
        <f>CLMAX_Threshold/Rs</f>
        <v>82.777777777777771</v>
      </c>
    </row>
    <row r="8" spans="1:12">
      <c r="D8" s="2" t="s">
        <v>4</v>
      </c>
      <c r="E8">
        <f>E7^2*'Design Calculator'!F42</f>
        <v>3426.0802469135797</v>
      </c>
    </row>
    <row r="10" spans="1:12">
      <c r="A10" s="138"/>
      <c r="D10" s="19" t="s">
        <v>225</v>
      </c>
      <c r="E10">
        <f>(ILIM_tgt*Rs)/0.25</f>
        <v>160</v>
      </c>
    </row>
    <row r="11" spans="1:12">
      <c r="D11" s="19" t="s">
        <v>226</v>
      </c>
      <c r="E11">
        <f>(0.675*'Design Calculator'!F44)/(ILIM_tgt*Rs*0.001)</f>
        <v>2700</v>
      </c>
    </row>
    <row r="13" spans="1:12">
      <c r="D13" s="19" t="s">
        <v>255</v>
      </c>
      <c r="E13" s="2">
        <f>(675*'Design Calculator'!F44/RDIV1)</f>
        <v>40</v>
      </c>
      <c r="F13" t="s">
        <v>106</v>
      </c>
    </row>
    <row r="14" spans="1:12">
      <c r="G14" s="18" t="s">
        <v>264</v>
      </c>
    </row>
    <row r="15" spans="1:12">
      <c r="D15" t="s">
        <v>142</v>
      </c>
      <c r="E15">
        <f>CLNOM_Threshold-J16-CLNOM_Threshold*J17</f>
        <v>38.611111111111114</v>
      </c>
      <c r="F15" s="57" t="s">
        <v>106</v>
      </c>
      <c r="G15">
        <f>(CLMIN_Threshold-CLNOM_Threshold)/CLNOM_Threshold</f>
        <v>-3.472222222222214E-2</v>
      </c>
      <c r="H15" s="18" t="s">
        <v>261</v>
      </c>
      <c r="L15" s="131"/>
    </row>
    <row r="16" spans="1:12">
      <c r="D16" t="s">
        <v>141</v>
      </c>
      <c r="E16">
        <f>E13</f>
        <v>40</v>
      </c>
      <c r="F16" s="57" t="s">
        <v>106</v>
      </c>
      <c r="I16" s="18" t="s">
        <v>262</v>
      </c>
      <c r="J16">
        <v>0.5</v>
      </c>
      <c r="K16" s="18" t="s">
        <v>106</v>
      </c>
      <c r="L16" s="131"/>
    </row>
    <row r="17" spans="1:12">
      <c r="D17" t="s">
        <v>140</v>
      </c>
      <c r="E17">
        <f>CLNOM_Threshold+J16+CLNOM_Threshold*J17</f>
        <v>41.388888888888886</v>
      </c>
      <c r="F17" s="57" t="s">
        <v>106</v>
      </c>
      <c r="G17">
        <f>(CLMAX_Threshold-CLNOM_Threshold)/CLNOM_Threshold</f>
        <v>3.472222222222214E-2</v>
      </c>
      <c r="I17" s="18" t="s">
        <v>263</v>
      </c>
      <c r="J17">
        <f>15/675</f>
        <v>2.2222222222222223E-2</v>
      </c>
      <c r="L17" s="131"/>
    </row>
    <row r="18" spans="1:12">
      <c r="E18" s="2"/>
    </row>
    <row r="19" spans="1:12">
      <c r="A19" s="15" t="s">
        <v>95</v>
      </c>
    </row>
    <row r="20" spans="1:12">
      <c r="A20" s="18"/>
      <c r="F20" s="18"/>
      <c r="H20" s="18"/>
    </row>
    <row r="21" spans="1:12">
      <c r="A21" s="18"/>
      <c r="E21" s="25"/>
      <c r="F21" s="26"/>
      <c r="G21" s="18"/>
    </row>
    <row r="22" spans="1:12">
      <c r="A22" s="18"/>
      <c r="E22" s="25"/>
      <c r="F22" s="26"/>
      <c r="G22" s="18"/>
      <c r="H22">
        <f>FoldBack_max</f>
        <v>25</v>
      </c>
    </row>
    <row r="23" spans="1:12">
      <c r="A23" s="18"/>
      <c r="E23" s="25"/>
      <c r="F23" s="26"/>
      <c r="G23" s="18"/>
    </row>
    <row r="24" spans="1:12">
      <c r="A24" s="18"/>
      <c r="E24" s="25"/>
      <c r="F24" s="26"/>
      <c r="G24" s="34"/>
    </row>
    <row r="25" spans="1:12">
      <c r="A25" s="18"/>
      <c r="E25" s="36"/>
      <c r="F25" s="35"/>
      <c r="G25" s="34"/>
    </row>
    <row r="26" spans="1:12">
      <c r="A26" s="132"/>
      <c r="E26" s="36" t="s">
        <v>107</v>
      </c>
      <c r="F26" s="35">
        <f>VINMAX*MAX(Vsns_min, CLNOM_Threshold/FoldBack_max)/Rs</f>
        <v>53.760000000000005</v>
      </c>
      <c r="G26" s="34" t="s">
        <v>50</v>
      </c>
    </row>
    <row r="27" spans="1:12">
      <c r="A27" s="18"/>
      <c r="E27" s="36" t="s">
        <v>154</v>
      </c>
      <c r="F27" s="35">
        <f>'Design Calculator'!F71</f>
        <v>300</v>
      </c>
      <c r="G27" s="34" t="s">
        <v>50</v>
      </c>
    </row>
    <row r="28" spans="1:12">
      <c r="A28" s="18"/>
      <c r="E28" s="36" t="s">
        <v>228</v>
      </c>
      <c r="F28">
        <f>(84375*'Design Calculator'!F44)/('Design Calculator'!F71*Rs*RDIV1)</f>
        <v>33.333333333333336</v>
      </c>
      <c r="G28" s="34" t="s">
        <v>155</v>
      </c>
    </row>
    <row r="29" spans="1:12">
      <c r="A29" s="18"/>
      <c r="E29" s="36" t="s">
        <v>229</v>
      </c>
      <c r="F29" s="35">
        <f>RPROG</f>
        <v>32.4</v>
      </c>
      <c r="G29" s="34" t="s">
        <v>155</v>
      </c>
    </row>
    <row r="30" spans="1:12">
      <c r="A30" s="133"/>
      <c r="E30" s="36" t="s">
        <v>156</v>
      </c>
      <c r="F30" s="35">
        <f>(84375*'Design Calculator'!F44)/(Rs*RDIV1*RPROG)</f>
        <v>308.64197530864197</v>
      </c>
      <c r="G30" s="34" t="s">
        <v>50</v>
      </c>
    </row>
    <row r="31" spans="1:12">
      <c r="A31" s="18"/>
      <c r="E31" s="36"/>
      <c r="G31" s="34"/>
    </row>
    <row r="32" spans="1:12">
      <c r="A32" s="18"/>
      <c r="E32" s="36"/>
      <c r="G32" s="34"/>
    </row>
    <row r="33" spans="1:12">
      <c r="A33" s="18"/>
      <c r="E33" s="36"/>
      <c r="G33" s="34"/>
    </row>
    <row r="34" spans="1:12">
      <c r="E34" s="2" t="s">
        <v>5</v>
      </c>
      <c r="F34" s="3">
        <f>F35*(1-0.24)</f>
        <v>234.5679012345679</v>
      </c>
    </row>
    <row r="35" spans="1:12">
      <c r="E35" s="2" t="s">
        <v>6</v>
      </c>
      <c r="F35" s="3">
        <f>F30</f>
        <v>308.64197530864197</v>
      </c>
    </row>
    <row r="36" spans="1:12">
      <c r="E36" s="2" t="s">
        <v>7</v>
      </c>
      <c r="F36" s="3">
        <f>F35*(1+0.24)</f>
        <v>382.71604938271605</v>
      </c>
    </row>
    <row r="37" spans="1:12">
      <c r="E37" s="2"/>
      <c r="F37" s="1"/>
      <c r="H37" s="2"/>
      <c r="I37" s="1"/>
      <c r="K37" s="2"/>
      <c r="L37" s="1"/>
    </row>
    <row r="38" spans="1:12">
      <c r="E38" s="2"/>
      <c r="F38" s="1"/>
      <c r="H38" s="2"/>
      <c r="I38" s="1"/>
      <c r="K38" s="2"/>
      <c r="L38" s="1"/>
    </row>
    <row r="39" spans="1:12">
      <c r="A39" s="15" t="s">
        <v>94</v>
      </c>
    </row>
    <row r="40" spans="1:12">
      <c r="A40" s="15"/>
      <c r="D40" s="369"/>
      <c r="E40" s="370"/>
      <c r="F40" s="370"/>
      <c r="G40" s="370"/>
    </row>
    <row r="41" spans="1:12">
      <c r="A41" s="15"/>
      <c r="E41" s="19" t="s">
        <v>170</v>
      </c>
      <c r="F41" s="3">
        <f>Start_up!L2</f>
        <v>0.23017473491025028</v>
      </c>
      <c r="G41" s="18" t="s">
        <v>8</v>
      </c>
    </row>
    <row r="42" spans="1:12">
      <c r="A42" s="15"/>
      <c r="E42" s="19" t="s">
        <v>230</v>
      </c>
      <c r="F42" s="3">
        <f>NUMFETS*'Design Calculator'!AN67*5.9/'Device Parmaters'!C23</f>
        <v>2.6818181818181821E-2</v>
      </c>
      <c r="G42" s="18" t="s">
        <v>8</v>
      </c>
    </row>
    <row r="43" spans="1:12">
      <c r="A43" s="15"/>
      <c r="E43" s="19" t="s">
        <v>171</v>
      </c>
      <c r="F43" s="3">
        <f>F41+F42</f>
        <v>0.25699291672843211</v>
      </c>
      <c r="G43" s="18" t="s">
        <v>8</v>
      </c>
    </row>
    <row r="44" spans="1:12">
      <c r="A44" s="135"/>
      <c r="E44" s="19" t="s">
        <v>172</v>
      </c>
      <c r="F44">
        <f>('Device Parmaters'!D19-IF('Design Calculator'!F81="single", 'Device Parmaters'!D20,0))*'Design Calculator'!F82/'Device Parmaters'!D17</f>
        <v>2.657407407407407</v>
      </c>
      <c r="G44" s="18" t="s">
        <v>62</v>
      </c>
    </row>
    <row r="45" spans="1:12">
      <c r="A45" s="15"/>
      <c r="E45" s="19" t="s">
        <v>173</v>
      </c>
      <c r="F45" s="3">
        <f>'Design Calculator'!F84</f>
        <v>2.7</v>
      </c>
      <c r="G45" s="18" t="s">
        <v>62</v>
      </c>
    </row>
    <row r="46" spans="1:12">
      <c r="A46" s="15"/>
      <c r="E46" s="19" t="s">
        <v>333</v>
      </c>
      <c r="F46">
        <f>(F45*'Device Parmaters'!D17)/('Device Parmaters'!D19-IF('Design Calculator'!F81="single", 'Device Parmaters'!D20,0))</f>
        <v>0.35560975609756101</v>
      </c>
      <c r="G46" s="18" t="s">
        <v>8</v>
      </c>
    </row>
    <row r="47" spans="1:12">
      <c r="A47" s="15"/>
      <c r="E47" s="19" t="s">
        <v>182</v>
      </c>
      <c r="F47">
        <f>SOA!C25/F35</f>
        <v>1.6243028467610567</v>
      </c>
      <c r="G47" s="18"/>
    </row>
    <row r="48" spans="1:12">
      <c r="A48" s="15"/>
      <c r="E48" s="19"/>
      <c r="G48" s="18"/>
    </row>
    <row r="49" spans="1:12">
      <c r="A49" s="134"/>
      <c r="E49" s="19" t="s">
        <v>330</v>
      </c>
      <c r="F49">
        <f>('Device Parmaters'!D19)*'Design Calculator'!F87/'Device Parmaters'!D17</f>
        <v>1898.148148148148</v>
      </c>
      <c r="G49" s="18" t="s">
        <v>62</v>
      </c>
    </row>
    <row r="50" spans="1:12">
      <c r="A50" s="15"/>
      <c r="E50" s="19" t="s">
        <v>331</v>
      </c>
      <c r="F50">
        <f>'Design Calculator'!F89</f>
        <v>2200</v>
      </c>
      <c r="G50" s="18" t="s">
        <v>62</v>
      </c>
    </row>
    <row r="51" spans="1:12">
      <c r="A51" s="15"/>
      <c r="E51" s="19" t="s">
        <v>332</v>
      </c>
      <c r="F51">
        <f>(F50*'Device Parmaters'!D17)/('Device Parmaters'!D19)</f>
        <v>289.7560975609756</v>
      </c>
      <c r="G51" s="18" t="s">
        <v>8</v>
      </c>
    </row>
    <row r="52" spans="1:12">
      <c r="A52" s="15"/>
      <c r="E52" s="19"/>
      <c r="G52" s="18"/>
    </row>
    <row r="53" spans="1:12">
      <c r="A53" s="15"/>
      <c r="E53" s="19"/>
      <c r="G53" s="18"/>
    </row>
    <row r="54" spans="1:12">
      <c r="A54" s="15"/>
      <c r="D54" s="369"/>
      <c r="E54" s="370"/>
      <c r="F54" s="370"/>
      <c r="G54" s="370"/>
    </row>
    <row r="55" spans="1:12">
      <c r="A55" s="15"/>
      <c r="C55" s="18"/>
      <c r="D55" s="77"/>
      <c r="E55" s="19"/>
      <c r="F55" s="72"/>
      <c r="G55" s="63"/>
    </row>
    <row r="56" spans="1:12">
      <c r="A56" s="15"/>
      <c r="C56" s="18"/>
      <c r="D56" s="77"/>
      <c r="E56" s="19"/>
      <c r="F56" s="371" t="s">
        <v>307</v>
      </c>
      <c r="G56" s="372"/>
    </row>
    <row r="57" spans="1:12">
      <c r="A57" s="15"/>
      <c r="C57" s="18"/>
      <c r="D57" s="77"/>
      <c r="E57" s="19"/>
      <c r="F57" s="72" t="s">
        <v>309</v>
      </c>
      <c r="G57" s="18">
        <f>(C64*G58)/('Design Calculator'!F91-C64)</f>
        <v>7.7878612716763014</v>
      </c>
    </row>
    <row r="58" spans="1:12">
      <c r="D58" s="15"/>
      <c r="F58" s="2" t="s">
        <v>15</v>
      </c>
      <c r="G58" s="13">
        <f>'Design Calculator'!F93</f>
        <v>49.9</v>
      </c>
      <c r="I58" t="s">
        <v>10</v>
      </c>
      <c r="L58" t="s">
        <v>16</v>
      </c>
    </row>
    <row r="59" spans="1:12">
      <c r="B59" s="19"/>
      <c r="C59" s="77"/>
      <c r="F59" s="2" t="s">
        <v>14</v>
      </c>
      <c r="G59" s="5">
        <f>G57-G60</f>
        <v>2.2251032204789443</v>
      </c>
      <c r="I59" t="s">
        <v>11</v>
      </c>
      <c r="L59" t="s">
        <v>17</v>
      </c>
    </row>
    <row r="60" spans="1:12">
      <c r="B60" s="19"/>
      <c r="C60" s="77"/>
      <c r="F60" s="2" t="s">
        <v>13</v>
      </c>
      <c r="G60" s="5">
        <f>(G58+G57)*C66/'Design Calculator'!F92</f>
        <v>5.5627580511973571</v>
      </c>
      <c r="I60" t="s">
        <v>12</v>
      </c>
      <c r="L60" t="s">
        <v>18</v>
      </c>
    </row>
    <row r="61" spans="1:12">
      <c r="B61" s="18"/>
      <c r="C61" s="77"/>
    </row>
    <row r="63" spans="1:12">
      <c r="B63" s="18" t="s">
        <v>301</v>
      </c>
      <c r="C63" s="18" t="s">
        <v>300</v>
      </c>
      <c r="D63" s="18" t="s">
        <v>302</v>
      </c>
      <c r="F63" s="371" t="s">
        <v>308</v>
      </c>
      <c r="G63" s="372"/>
    </row>
    <row r="64" spans="1:12">
      <c r="A64" s="133" t="s">
        <v>304</v>
      </c>
      <c r="B64" s="136">
        <f>'Device Parmaters'!C35</f>
        <v>1.3</v>
      </c>
      <c r="C64" s="136">
        <f>'Device Parmaters'!D35</f>
        <v>1.35</v>
      </c>
      <c r="D64" s="136">
        <f>'Device Parmaters'!E35</f>
        <v>1.4</v>
      </c>
      <c r="E64" s="137"/>
      <c r="F64" s="2" t="s">
        <v>15</v>
      </c>
      <c r="G64" s="13">
        <f>G58</f>
        <v>49.9</v>
      </c>
    </row>
    <row r="65" spans="1:7">
      <c r="A65" s="133" t="s">
        <v>303</v>
      </c>
      <c r="B65" s="136">
        <f>C65-C64+B64</f>
        <v>1.25</v>
      </c>
      <c r="C65" s="136">
        <f>C64-'Device Parmaters'!D36*0.001</f>
        <v>1.3</v>
      </c>
      <c r="D65" s="136">
        <f>C65+D64-C64</f>
        <v>1.35</v>
      </c>
      <c r="E65" s="137"/>
      <c r="F65" s="2" t="s">
        <v>14</v>
      </c>
      <c r="G65" s="5">
        <f>'Design Calculator'!F96</f>
        <v>2.21</v>
      </c>
    </row>
    <row r="66" spans="1:7">
      <c r="A66" s="18" t="s">
        <v>305</v>
      </c>
      <c r="B66">
        <f>'Device Parmaters'!C26</f>
        <v>1.3</v>
      </c>
      <c r="C66">
        <v>1.35</v>
      </c>
      <c r="D66">
        <f>'Device Parmaters'!E26</f>
        <v>1.4</v>
      </c>
      <c r="F66" s="2" t="s">
        <v>13</v>
      </c>
      <c r="G66" s="5">
        <f>'Design Calculator'!F97</f>
        <v>5.56</v>
      </c>
    </row>
    <row r="67" spans="1:7">
      <c r="A67" s="18" t="s">
        <v>306</v>
      </c>
      <c r="B67">
        <f>C67-C66+B66</f>
        <v>1.25</v>
      </c>
      <c r="C67">
        <f>C66-'Device Parmaters'!D27*0.001</f>
        <v>1.3</v>
      </c>
      <c r="D67">
        <f>C67+D66-C66</f>
        <v>1.35</v>
      </c>
    </row>
    <row r="68" spans="1:7">
      <c r="G68" s="13"/>
    </row>
    <row r="69" spans="1:7">
      <c r="E69" s="2"/>
      <c r="F69" s="106"/>
      <c r="G69" s="13"/>
    </row>
    <row r="70" spans="1:7">
      <c r="B70" s="8"/>
      <c r="C70" s="9"/>
      <c r="D70" s="9"/>
      <c r="E70" s="102" t="s">
        <v>241</v>
      </c>
      <c r="F70" s="3">
        <f t="shared" ref="F70:F81" si="0">G70</f>
        <v>9.6487773487773492</v>
      </c>
      <c r="G70" s="13">
        <f>($G$64+$G$65+$G$66)/($G$65+$G$66)*B64</f>
        <v>9.6487773487773492</v>
      </c>
    </row>
    <row r="71" spans="1:7">
      <c r="B71" s="10"/>
      <c r="C71" s="7"/>
      <c r="D71" s="7"/>
      <c r="E71" s="103" t="s">
        <v>242</v>
      </c>
      <c r="F71" s="3">
        <f t="shared" si="0"/>
        <v>10.019884169884172</v>
      </c>
      <c r="G71" s="13">
        <f>($G$64+$G$65+$G$66)/($G$65+$G$66)*C64</f>
        <v>10.019884169884172</v>
      </c>
    </row>
    <row r="72" spans="1:7">
      <c r="B72" s="11"/>
      <c r="C72" s="12"/>
      <c r="D72" s="12"/>
      <c r="E72" s="104" t="s">
        <v>243</v>
      </c>
      <c r="F72" s="3">
        <f t="shared" si="0"/>
        <v>10.390990990990991</v>
      </c>
      <c r="G72" s="13">
        <f>($G$64+$G$65+$G$66)/($G$65+$G$66)*D64</f>
        <v>10.390990990990991</v>
      </c>
    </row>
    <row r="73" spans="1:7">
      <c r="E73" s="80" t="s">
        <v>244</v>
      </c>
      <c r="F73" s="3">
        <f t="shared" si="0"/>
        <v>9.2776705276705282</v>
      </c>
      <c r="G73" s="13">
        <f>($G$64+$G$65+$G$66)/($G$65+$G$66)*B65</f>
        <v>9.2776705276705282</v>
      </c>
    </row>
    <row r="74" spans="1:7">
      <c r="E74" s="80" t="s">
        <v>245</v>
      </c>
      <c r="F74" s="3">
        <f t="shared" si="0"/>
        <v>9.6487773487773492</v>
      </c>
      <c r="G74" s="13">
        <f>($G$64+$G$65+$G$66)/($G$65+$G$66)*C65</f>
        <v>9.6487773487773492</v>
      </c>
    </row>
    <row r="75" spans="1:7">
      <c r="E75" s="80" t="s">
        <v>246</v>
      </c>
      <c r="F75" s="3">
        <f t="shared" si="0"/>
        <v>10.019884169884172</v>
      </c>
      <c r="G75" s="13">
        <f>($G$64+$G$65+$G$66)/($G$65+$G$66)*D65</f>
        <v>10.019884169884172</v>
      </c>
    </row>
    <row r="76" spans="1:7">
      <c r="B76" s="8"/>
      <c r="C76" s="9"/>
      <c r="D76" s="9"/>
      <c r="E76" s="102" t="s">
        <v>247</v>
      </c>
      <c r="F76" s="3">
        <f t="shared" si="0"/>
        <v>13.483992805755399</v>
      </c>
      <c r="G76" s="13">
        <f>($G$64+$G$65+$G$66)/($G$66)*B66</f>
        <v>13.483992805755399</v>
      </c>
    </row>
    <row r="77" spans="1:7">
      <c r="B77" s="10"/>
      <c r="C77" s="7"/>
      <c r="D77" s="7"/>
      <c r="E77" s="103" t="s">
        <v>248</v>
      </c>
      <c r="F77" s="3">
        <f>G77</f>
        <v>14.002607913669069</v>
      </c>
      <c r="G77" s="13">
        <f>($G$64+$G$65+$G$66)/($G$66)*C66</f>
        <v>14.002607913669069</v>
      </c>
    </row>
    <row r="78" spans="1:7">
      <c r="B78" s="11"/>
      <c r="C78" s="12"/>
      <c r="D78" s="12"/>
      <c r="E78" s="104" t="s">
        <v>249</v>
      </c>
      <c r="F78" s="3">
        <f t="shared" si="0"/>
        <v>14.521223021582735</v>
      </c>
      <c r="G78" s="13">
        <f>($G$64+$G$65+$G$66)/($G$66)*D66</f>
        <v>14.521223021582735</v>
      </c>
    </row>
    <row r="79" spans="1:7">
      <c r="E79" s="80" t="s">
        <v>250</v>
      </c>
      <c r="F79" s="3">
        <f t="shared" si="0"/>
        <v>12.965377697841729</v>
      </c>
      <c r="G79" s="13">
        <f>($G$64+$G$65+$G$66)/($G$66)*B67</f>
        <v>12.965377697841729</v>
      </c>
    </row>
    <row r="80" spans="1:7">
      <c r="E80" s="80" t="s">
        <v>251</v>
      </c>
      <c r="F80" s="3">
        <f t="shared" si="0"/>
        <v>13.483992805755399</v>
      </c>
      <c r="G80" s="13">
        <f>($G$64+$G$65+$G$66)/($G$66)*C67</f>
        <v>13.483992805755399</v>
      </c>
    </row>
    <row r="81" spans="2:7">
      <c r="E81" s="80" t="s">
        <v>252</v>
      </c>
      <c r="F81" s="3">
        <f t="shared" si="0"/>
        <v>14.002607913669069</v>
      </c>
      <c r="G81" s="13">
        <f>($G$64+$G$65+$G$66)/($G$66)*D67</f>
        <v>14.002607913669069</v>
      </c>
    </row>
    <row r="89" spans="2:7">
      <c r="E89" s="19"/>
      <c r="F89" s="18"/>
      <c r="G89" s="18"/>
    </row>
    <row r="90" spans="2:7">
      <c r="E90" s="19"/>
      <c r="F90" s="18"/>
      <c r="G90" s="18"/>
    </row>
    <row r="91" spans="2:7" ht="12" customHeight="1">
      <c r="B91" s="15" t="s">
        <v>471</v>
      </c>
      <c r="E91" s="19"/>
      <c r="G91" s="18"/>
    </row>
    <row r="92" spans="2:7">
      <c r="B92" s="18" t="s">
        <v>288</v>
      </c>
      <c r="C92">
        <f>NUMFETS</f>
        <v>1</v>
      </c>
    </row>
    <row r="94" spans="2:7">
      <c r="B94" s="18" t="s">
        <v>472</v>
      </c>
      <c r="C94">
        <f>'Design Calculator'!F100/SQRT('Design Calculator'!F101)</f>
        <v>26.563132345414385</v>
      </c>
      <c r="E94" s="18" t="s">
        <v>474</v>
      </c>
      <c r="F94">
        <f>RDIV1/'Design Calculator'!F44</f>
        <v>16.875</v>
      </c>
    </row>
    <row r="96" spans="2:7">
      <c r="B96" s="18" t="s">
        <v>473</v>
      </c>
      <c r="C96">
        <f>(0.00000000000654)*C94*F94^1.5*SQRT(Rs*0.001)/SQRT(C92)</f>
        <v>2.6928223846386395E-10</v>
      </c>
    </row>
    <row r="98" spans="2:4">
      <c r="B98" s="18" t="s">
        <v>473</v>
      </c>
      <c r="C98">
        <f>C96*1000000000</f>
        <v>0.26928223846386395</v>
      </c>
      <c r="D98" s="18" t="s">
        <v>62</v>
      </c>
    </row>
    <row r="100" spans="2:4">
      <c r="B100" s="18" t="s">
        <v>475</v>
      </c>
      <c r="C100">
        <f>C98*2 - 'Design Calculator'!F102</f>
        <v>-2.5614355230722721</v>
      </c>
      <c r="D100" s="18" t="s">
        <v>62</v>
      </c>
    </row>
    <row r="102" spans="2:4">
      <c r="B102" s="160" t="s">
        <v>466</v>
      </c>
      <c r="C102" s="202" t="str">
        <f>IF(C100&lt;0, "NO", "YES")</f>
        <v>NO</v>
      </c>
      <c r="D102" s="216"/>
    </row>
    <row r="103" spans="2:4">
      <c r="B103" s="160" t="s">
        <v>467</v>
      </c>
      <c r="C103" s="202" t="str">
        <f>IF(C102="NO", "none", C100)</f>
        <v>none</v>
      </c>
      <c r="D103" s="203" t="s">
        <v>62</v>
      </c>
    </row>
    <row r="112" spans="2:4">
      <c r="C112" s="15" t="s">
        <v>19</v>
      </c>
    </row>
    <row r="113" spans="4:18">
      <c r="E113" s="2" t="s">
        <v>20</v>
      </c>
      <c r="F113" s="106">
        <f>'Design Calculator'!F42</f>
        <v>0.5</v>
      </c>
    </row>
    <row r="114" spans="4:18" ht="15.6">
      <c r="E114" s="2" t="s">
        <v>21</v>
      </c>
      <c r="F114" s="106">
        <f>'Design Calculator'!F73</f>
        <v>32.4</v>
      </c>
    </row>
    <row r="115" spans="4:18">
      <c r="E115" s="2" t="s">
        <v>22</v>
      </c>
      <c r="F115" s="106">
        <f>'Design Calculator'!F29</f>
        <v>16.8</v>
      </c>
    </row>
    <row r="117" spans="4:18">
      <c r="E117" s="2" t="s">
        <v>23</v>
      </c>
      <c r="F117" s="13">
        <f>E5</f>
        <v>77.222222222222229</v>
      </c>
    </row>
    <row r="118" spans="4:18">
      <c r="E118" s="2" t="s">
        <v>24</v>
      </c>
      <c r="F118" s="13">
        <f>E6</f>
        <v>80</v>
      </c>
    </row>
    <row r="119" spans="4:18">
      <c r="E119" s="2" t="s">
        <v>25</v>
      </c>
      <c r="F119" s="13">
        <f>E7</f>
        <v>82.777777777777771</v>
      </c>
    </row>
    <row r="121" spans="4:18">
      <c r="E121" s="2" t="s">
        <v>26</v>
      </c>
      <c r="F121" s="5">
        <f>F34</f>
        <v>234.5679012345679</v>
      </c>
    </row>
    <row r="122" spans="4:18">
      <c r="E122" s="2" t="s">
        <v>27</v>
      </c>
      <c r="F122" s="5">
        <f>F35</f>
        <v>308.64197530864197</v>
      </c>
    </row>
    <row r="123" spans="4:18">
      <c r="E123" s="2" t="s">
        <v>28</v>
      </c>
      <c r="F123" s="5">
        <f>F36</f>
        <v>382.71604938271605</v>
      </c>
    </row>
    <row r="128" spans="4:18">
      <c r="D128" t="s">
        <v>29</v>
      </c>
      <c r="E128" s="2"/>
      <c r="I128" t="s">
        <v>30</v>
      </c>
      <c r="N128" t="s">
        <v>45</v>
      </c>
      <c r="R128" s="18" t="s">
        <v>51</v>
      </c>
    </row>
    <row r="129" spans="2:25">
      <c r="D129" t="s">
        <v>31</v>
      </c>
      <c r="I129" t="s">
        <v>32</v>
      </c>
      <c r="N129" t="s">
        <v>37</v>
      </c>
      <c r="R129" s="18" t="s">
        <v>52</v>
      </c>
    </row>
    <row r="130" spans="2:25">
      <c r="B130" s="18" t="s">
        <v>87</v>
      </c>
      <c r="D130" s="108" t="s">
        <v>33</v>
      </c>
      <c r="E130" s="108" t="s">
        <v>34</v>
      </c>
      <c r="F130" s="107" t="s">
        <v>35</v>
      </c>
      <c r="G130" s="108" t="s">
        <v>36</v>
      </c>
      <c r="I130" s="108" t="s">
        <v>33</v>
      </c>
      <c r="J130" s="108" t="s">
        <v>34</v>
      </c>
      <c r="K130" s="108" t="s">
        <v>35</v>
      </c>
      <c r="L130" s="108" t="s">
        <v>36</v>
      </c>
      <c r="N130" t="s">
        <v>38</v>
      </c>
      <c r="R130" s="108" t="s">
        <v>33</v>
      </c>
      <c r="S130" s="14" t="s">
        <v>34</v>
      </c>
      <c r="T130" s="14" t="s">
        <v>35</v>
      </c>
      <c r="U130" s="14" t="s">
        <v>36</v>
      </c>
      <c r="V130" s="73" t="s">
        <v>44</v>
      </c>
      <c r="X130" s="74" t="s">
        <v>180</v>
      </c>
    </row>
    <row r="131" spans="2:25">
      <c r="B131">
        <f>D131*F131</f>
        <v>308.64197530864197</v>
      </c>
      <c r="D131" s="108">
        <v>1</v>
      </c>
      <c r="E131" s="16">
        <f t="shared" ref="E131:E147" si="1">(1-$F$154)*F131</f>
        <v>231.48148148148147</v>
      </c>
      <c r="F131" s="16">
        <f t="shared" ref="F131:F147" si="2">($F$122+(D131-VINMAX)*$E$151/$E$152)/D131</f>
        <v>308.64197530864197</v>
      </c>
      <c r="G131" s="16">
        <f t="shared" ref="G131:G147" si="3">F131*(1+$F$154)</f>
        <v>385.80246913580248</v>
      </c>
      <c r="I131" s="108">
        <v>1</v>
      </c>
      <c r="J131" s="16">
        <f t="shared" ref="J131:J147" si="4">IF(E131&gt;$F$117,$F$117,E131)</f>
        <v>77.222222222222229</v>
      </c>
      <c r="K131" s="16">
        <f>IF(F131&gt;$F$118,$F$118,F131)</f>
        <v>80</v>
      </c>
      <c r="L131" s="16">
        <f t="shared" ref="L131:L147" si="5">IF(G131&gt;$F$119,$F$119,G131)</f>
        <v>82.777777777777771</v>
      </c>
      <c r="N131" t="s">
        <v>39</v>
      </c>
      <c r="R131" s="108">
        <v>1</v>
      </c>
      <c r="S131" s="16">
        <f t="shared" ref="S131:S150" si="6">IF($R131&gt;$F$115,0.0000000005,J131)</f>
        <v>77.222222222222229</v>
      </c>
      <c r="T131" s="16">
        <f t="shared" ref="T131:T150" si="7">IF($R131&gt;$F$115,0.0000000005,K131)</f>
        <v>80</v>
      </c>
      <c r="U131" s="16">
        <f t="shared" ref="U131:U150" si="8">IF($R131&gt;$F$115,0.0000000005,L131)</f>
        <v>82.777777777777771</v>
      </c>
      <c r="V131" s="16">
        <f>$X$131/R131</f>
        <v>501.32803912378296</v>
      </c>
      <c r="X131">
        <f>SOA!C25</f>
        <v>501.32803912378296</v>
      </c>
      <c r="Y131" s="18" t="s">
        <v>50</v>
      </c>
    </row>
    <row r="132" spans="2:25">
      <c r="B132">
        <f t="shared" ref="B132:B147" si="9">D132*F132</f>
        <v>308.64197530864197</v>
      </c>
      <c r="D132" s="108">
        <v>2</v>
      </c>
      <c r="E132" s="16">
        <f t="shared" si="1"/>
        <v>115.74074074074073</v>
      </c>
      <c r="F132" s="16">
        <f t="shared" si="2"/>
        <v>154.32098765432099</v>
      </c>
      <c r="G132" s="16">
        <f t="shared" si="3"/>
        <v>192.90123456790124</v>
      </c>
      <c r="I132" s="108">
        <v>2</v>
      </c>
      <c r="J132" s="16">
        <f t="shared" si="4"/>
        <v>77.222222222222229</v>
      </c>
      <c r="K132" s="16">
        <f t="shared" ref="K132:K147" si="10">IF(F132&gt;$F$118,$F$118,F132)</f>
        <v>80</v>
      </c>
      <c r="L132" s="16">
        <f t="shared" si="5"/>
        <v>82.777777777777771</v>
      </c>
      <c r="R132" s="108">
        <v>2</v>
      </c>
      <c r="S132" s="16">
        <f t="shared" si="6"/>
        <v>77.222222222222229</v>
      </c>
      <c r="T132" s="16">
        <f t="shared" si="7"/>
        <v>80</v>
      </c>
      <c r="U132" s="16">
        <f t="shared" si="8"/>
        <v>82.777777777777771</v>
      </c>
      <c r="V132" s="16">
        <f>$X$131/R132</f>
        <v>250.66401956189148</v>
      </c>
    </row>
    <row r="133" spans="2:25">
      <c r="B133">
        <f t="shared" si="9"/>
        <v>308.64197530864197</v>
      </c>
      <c r="D133" s="108">
        <v>3</v>
      </c>
      <c r="E133" s="16">
        <f t="shared" si="1"/>
        <v>77.160493827160494</v>
      </c>
      <c r="F133" s="16">
        <f t="shared" si="2"/>
        <v>102.88065843621399</v>
      </c>
      <c r="G133" s="16">
        <f t="shared" si="3"/>
        <v>128.60082304526748</v>
      </c>
      <c r="I133" s="108">
        <v>3</v>
      </c>
      <c r="J133" s="16">
        <f t="shared" si="4"/>
        <v>77.160493827160494</v>
      </c>
      <c r="K133" s="16">
        <f t="shared" si="10"/>
        <v>80</v>
      </c>
      <c r="L133" s="16">
        <f t="shared" si="5"/>
        <v>82.777777777777771</v>
      </c>
      <c r="O133" s="109" t="s">
        <v>40</v>
      </c>
      <c r="R133" s="108">
        <v>3</v>
      </c>
      <c r="S133" s="16">
        <f t="shared" si="6"/>
        <v>77.160493827160494</v>
      </c>
      <c r="T133" s="16">
        <f t="shared" si="7"/>
        <v>80</v>
      </c>
      <c r="U133" s="16">
        <f t="shared" si="8"/>
        <v>82.777777777777771</v>
      </c>
      <c r="V133" s="16">
        <f>$X$131/R133</f>
        <v>167.10934637459431</v>
      </c>
    </row>
    <row r="134" spans="2:25">
      <c r="B134">
        <f t="shared" si="9"/>
        <v>308.64197530864197</v>
      </c>
      <c r="D134" s="4">
        <v>4</v>
      </c>
      <c r="E134" s="16">
        <f t="shared" si="1"/>
        <v>57.870370370370367</v>
      </c>
      <c r="F134" s="16">
        <f t="shared" si="2"/>
        <v>77.160493827160494</v>
      </c>
      <c r="G134" s="16">
        <f t="shared" si="3"/>
        <v>96.450617283950621</v>
      </c>
      <c r="I134" s="4">
        <v>4</v>
      </c>
      <c r="J134" s="16">
        <f t="shared" si="4"/>
        <v>57.870370370370367</v>
      </c>
      <c r="K134" s="16">
        <f t="shared" si="10"/>
        <v>77.160493827160494</v>
      </c>
      <c r="L134" s="16">
        <f t="shared" si="5"/>
        <v>82.777777777777771</v>
      </c>
      <c r="N134" s="6" t="s">
        <v>33</v>
      </c>
      <c r="O134" s="17" t="s">
        <v>41</v>
      </c>
      <c r="R134" s="4">
        <v>4</v>
      </c>
      <c r="S134" s="16">
        <f t="shared" si="6"/>
        <v>57.870370370370367</v>
      </c>
      <c r="T134" s="16">
        <f t="shared" si="7"/>
        <v>77.160493827160494</v>
      </c>
      <c r="U134" s="16">
        <f t="shared" si="8"/>
        <v>82.777777777777771</v>
      </c>
      <c r="V134" s="16">
        <f>$X$131/R134</f>
        <v>125.33200978094574</v>
      </c>
    </row>
    <row r="135" spans="2:25">
      <c r="B135">
        <f t="shared" si="9"/>
        <v>308.64197530864197</v>
      </c>
      <c r="D135" s="4">
        <v>5</v>
      </c>
      <c r="E135" s="16">
        <f t="shared" si="1"/>
        <v>46.296296296296291</v>
      </c>
      <c r="F135" s="16">
        <f t="shared" si="2"/>
        <v>61.728395061728392</v>
      </c>
      <c r="G135" s="16">
        <f t="shared" si="3"/>
        <v>77.160493827160494</v>
      </c>
      <c r="I135" s="4">
        <v>5</v>
      </c>
      <c r="J135" s="16">
        <f t="shared" si="4"/>
        <v>46.296296296296291</v>
      </c>
      <c r="K135" s="16">
        <f t="shared" si="10"/>
        <v>61.728395061728392</v>
      </c>
      <c r="L135" s="16">
        <f t="shared" si="5"/>
        <v>77.160493827160494</v>
      </c>
      <c r="N135" s="4">
        <v>1</v>
      </c>
      <c r="O135" s="4" t="e">
        <f>#REF!</f>
        <v>#REF!</v>
      </c>
      <c r="P135" t="s">
        <v>42</v>
      </c>
      <c r="R135" s="4">
        <v>5</v>
      </c>
      <c r="S135" s="16">
        <f t="shared" si="6"/>
        <v>46.296296296296291</v>
      </c>
      <c r="T135" s="16">
        <f t="shared" si="7"/>
        <v>61.728395061728392</v>
      </c>
      <c r="U135" s="16">
        <f t="shared" si="8"/>
        <v>77.160493827160494</v>
      </c>
      <c r="V135" s="16">
        <f t="shared" ref="V135:V150" si="11">$X$131/R135</f>
        <v>100.26560782475659</v>
      </c>
    </row>
    <row r="136" spans="2:25">
      <c r="B136">
        <f t="shared" si="9"/>
        <v>308.64197530864197</v>
      </c>
      <c r="D136" s="4">
        <v>6</v>
      </c>
      <c r="E136" s="16">
        <f t="shared" si="1"/>
        <v>38.580246913580247</v>
      </c>
      <c r="F136" s="16">
        <f t="shared" si="2"/>
        <v>51.440329218106996</v>
      </c>
      <c r="G136" s="16">
        <f t="shared" si="3"/>
        <v>64.300411522633738</v>
      </c>
      <c r="I136" s="4">
        <v>6</v>
      </c>
      <c r="J136" s="16">
        <f t="shared" si="4"/>
        <v>38.580246913580247</v>
      </c>
      <c r="K136" s="16">
        <f t="shared" si="10"/>
        <v>51.440329218106996</v>
      </c>
      <c r="L136" s="16">
        <f t="shared" si="5"/>
        <v>64.300411522633738</v>
      </c>
      <c r="N136" s="4">
        <v>2</v>
      </c>
      <c r="O136" s="16" t="e">
        <f>O139+((O135-O139)*3/7)</f>
        <v>#REF!</v>
      </c>
      <c r="R136" s="4">
        <v>6</v>
      </c>
      <c r="S136" s="16">
        <f t="shared" si="6"/>
        <v>38.580246913580247</v>
      </c>
      <c r="T136" s="16">
        <f t="shared" si="7"/>
        <v>51.440329218106996</v>
      </c>
      <c r="U136" s="16">
        <f t="shared" si="8"/>
        <v>64.300411522633738</v>
      </c>
      <c r="V136" s="16">
        <f t="shared" si="11"/>
        <v>83.554673187297155</v>
      </c>
    </row>
    <row r="137" spans="2:25">
      <c r="B137">
        <f t="shared" si="9"/>
        <v>308.64197530864197</v>
      </c>
      <c r="D137" s="4">
        <v>7</v>
      </c>
      <c r="E137" s="16">
        <f t="shared" si="1"/>
        <v>33.06878306878307</v>
      </c>
      <c r="F137" s="16">
        <f t="shared" si="2"/>
        <v>44.091710758377424</v>
      </c>
      <c r="G137" s="16">
        <f t="shared" si="3"/>
        <v>55.114638447971778</v>
      </c>
      <c r="I137" s="4">
        <v>7</v>
      </c>
      <c r="J137" s="16">
        <f t="shared" si="4"/>
        <v>33.06878306878307</v>
      </c>
      <c r="K137" s="16">
        <f t="shared" si="10"/>
        <v>44.091710758377424</v>
      </c>
      <c r="L137" s="16">
        <f t="shared" si="5"/>
        <v>55.114638447971778</v>
      </c>
      <c r="N137" s="4">
        <v>3</v>
      </c>
      <c r="O137" s="16" t="e">
        <f>O139+((O135-O139)*2/8)</f>
        <v>#REF!</v>
      </c>
      <c r="R137" s="4">
        <v>7</v>
      </c>
      <c r="S137" s="16">
        <f t="shared" si="6"/>
        <v>33.06878306878307</v>
      </c>
      <c r="T137" s="16">
        <f t="shared" si="7"/>
        <v>44.091710758377424</v>
      </c>
      <c r="U137" s="16">
        <f t="shared" si="8"/>
        <v>55.114638447971778</v>
      </c>
      <c r="V137" s="16">
        <f t="shared" si="11"/>
        <v>71.618291303397569</v>
      </c>
    </row>
    <row r="138" spans="2:25">
      <c r="B138">
        <f t="shared" si="9"/>
        <v>308.64197530864197</v>
      </c>
      <c r="D138" s="4">
        <v>8</v>
      </c>
      <c r="E138" s="16">
        <f t="shared" si="1"/>
        <v>28.935185185185183</v>
      </c>
      <c r="F138" s="16">
        <f t="shared" si="2"/>
        <v>38.580246913580247</v>
      </c>
      <c r="G138" s="16">
        <f t="shared" si="3"/>
        <v>48.22530864197531</v>
      </c>
      <c r="I138" s="4">
        <v>8</v>
      </c>
      <c r="J138" s="16">
        <f t="shared" si="4"/>
        <v>28.935185185185183</v>
      </c>
      <c r="K138" s="16">
        <f t="shared" si="10"/>
        <v>38.580246913580247</v>
      </c>
      <c r="L138" s="16">
        <f t="shared" si="5"/>
        <v>48.22530864197531</v>
      </c>
      <c r="N138" s="4">
        <v>4</v>
      </c>
      <c r="O138" s="16" t="e">
        <f>O139+((O135-O139)*1/9)</f>
        <v>#REF!</v>
      </c>
      <c r="R138" s="4">
        <v>8</v>
      </c>
      <c r="S138" s="16">
        <f t="shared" si="6"/>
        <v>28.935185185185183</v>
      </c>
      <c r="T138" s="16">
        <f t="shared" si="7"/>
        <v>38.580246913580247</v>
      </c>
      <c r="U138" s="16">
        <f t="shared" si="8"/>
        <v>48.22530864197531</v>
      </c>
      <c r="V138" s="16">
        <f t="shared" si="11"/>
        <v>62.66600489047287</v>
      </c>
    </row>
    <row r="139" spans="2:25">
      <c r="B139">
        <f t="shared" si="9"/>
        <v>308.64197530864197</v>
      </c>
      <c r="D139" s="4">
        <v>9</v>
      </c>
      <c r="E139" s="16">
        <f t="shared" si="1"/>
        <v>25.720164609053498</v>
      </c>
      <c r="F139" s="16">
        <f t="shared" si="2"/>
        <v>34.293552812071333</v>
      </c>
      <c r="G139" s="16">
        <f t="shared" si="3"/>
        <v>42.866941015089168</v>
      </c>
      <c r="I139" s="4">
        <v>9</v>
      </c>
      <c r="J139" s="16">
        <f t="shared" si="4"/>
        <v>25.720164609053498</v>
      </c>
      <c r="K139" s="16">
        <f t="shared" si="10"/>
        <v>34.293552812071333</v>
      </c>
      <c r="L139" s="16">
        <f t="shared" si="5"/>
        <v>42.866941015089168</v>
      </c>
      <c r="N139" s="4">
        <v>5</v>
      </c>
      <c r="O139" s="16" t="e">
        <f>#REF!</f>
        <v>#REF!</v>
      </c>
      <c r="P139" t="s">
        <v>43</v>
      </c>
      <c r="R139" s="4">
        <v>9</v>
      </c>
      <c r="S139" s="16">
        <f t="shared" si="6"/>
        <v>25.720164609053498</v>
      </c>
      <c r="T139" s="16">
        <f t="shared" si="7"/>
        <v>34.293552812071333</v>
      </c>
      <c r="U139" s="16">
        <f t="shared" si="8"/>
        <v>42.866941015089168</v>
      </c>
      <c r="V139" s="16">
        <f t="shared" si="11"/>
        <v>55.703115458198106</v>
      </c>
    </row>
    <row r="140" spans="2:25">
      <c r="B140">
        <f t="shared" si="9"/>
        <v>308.64197530864197</v>
      </c>
      <c r="D140" s="4">
        <v>10</v>
      </c>
      <c r="E140" s="16">
        <f t="shared" si="1"/>
        <v>23.148148148148145</v>
      </c>
      <c r="F140" s="16">
        <f t="shared" si="2"/>
        <v>30.864197530864196</v>
      </c>
      <c r="G140" s="16">
        <f t="shared" si="3"/>
        <v>38.580246913580247</v>
      </c>
      <c r="I140" s="4">
        <v>10</v>
      </c>
      <c r="J140" s="16">
        <f t="shared" si="4"/>
        <v>23.148148148148145</v>
      </c>
      <c r="K140" s="16">
        <f t="shared" si="10"/>
        <v>30.864197530864196</v>
      </c>
      <c r="L140" s="16">
        <f t="shared" si="5"/>
        <v>38.580246913580247</v>
      </c>
      <c r="N140" s="4">
        <v>6</v>
      </c>
      <c r="O140" s="16" t="e">
        <f>O$144+((O$139-O$144)*4/6)</f>
        <v>#REF!</v>
      </c>
      <c r="R140" s="4">
        <v>10</v>
      </c>
      <c r="S140" s="16">
        <f t="shared" si="6"/>
        <v>23.148148148148145</v>
      </c>
      <c r="T140" s="16">
        <f t="shared" si="7"/>
        <v>30.864197530864196</v>
      </c>
      <c r="U140" s="16">
        <f t="shared" si="8"/>
        <v>38.580246913580247</v>
      </c>
      <c r="V140" s="16">
        <f t="shared" si="11"/>
        <v>50.132803912378293</v>
      </c>
    </row>
    <row r="141" spans="2:25">
      <c r="B141">
        <f t="shared" si="9"/>
        <v>308.64197530864197</v>
      </c>
      <c r="D141" s="4">
        <v>11</v>
      </c>
      <c r="E141" s="16">
        <f t="shared" si="1"/>
        <v>21.043771043771045</v>
      </c>
      <c r="F141" s="16">
        <f t="shared" si="2"/>
        <v>28.058361391694724</v>
      </c>
      <c r="G141" s="16">
        <f t="shared" si="3"/>
        <v>35.072951739618404</v>
      </c>
      <c r="I141" s="4">
        <v>11</v>
      </c>
      <c r="J141" s="16">
        <f t="shared" si="4"/>
        <v>21.043771043771045</v>
      </c>
      <c r="K141" s="16">
        <f t="shared" si="10"/>
        <v>28.058361391694724</v>
      </c>
      <c r="L141" s="16">
        <f t="shared" si="5"/>
        <v>35.072951739618404</v>
      </c>
      <c r="N141" s="4">
        <v>7</v>
      </c>
      <c r="O141" s="16" t="e">
        <f>O$144+((O$139-O$144)*3/7)</f>
        <v>#REF!</v>
      </c>
      <c r="R141" s="4">
        <v>11</v>
      </c>
      <c r="S141" s="16">
        <f t="shared" si="6"/>
        <v>21.043771043771045</v>
      </c>
      <c r="T141" s="16">
        <f t="shared" si="7"/>
        <v>28.058361391694724</v>
      </c>
      <c r="U141" s="16">
        <f t="shared" si="8"/>
        <v>35.072951739618404</v>
      </c>
      <c r="V141" s="16">
        <f t="shared" si="11"/>
        <v>45.575276283980266</v>
      </c>
    </row>
    <row r="142" spans="2:25">
      <c r="B142">
        <f t="shared" si="9"/>
        <v>308.64197530864197</v>
      </c>
      <c r="D142" s="4">
        <v>12</v>
      </c>
      <c r="E142" s="16">
        <f t="shared" si="1"/>
        <v>19.290123456790123</v>
      </c>
      <c r="F142" s="16">
        <f t="shared" si="2"/>
        <v>25.720164609053498</v>
      </c>
      <c r="G142" s="16">
        <f t="shared" si="3"/>
        <v>32.150205761316869</v>
      </c>
      <c r="I142" s="4">
        <v>12</v>
      </c>
      <c r="J142" s="16">
        <f t="shared" si="4"/>
        <v>19.290123456790123</v>
      </c>
      <c r="K142" s="16">
        <f t="shared" si="10"/>
        <v>25.720164609053498</v>
      </c>
      <c r="L142" s="16">
        <f t="shared" si="5"/>
        <v>32.150205761316869</v>
      </c>
      <c r="N142" s="4">
        <v>8</v>
      </c>
      <c r="O142" s="16" t="e">
        <f>O$144+((O$139-O$144)*2/8)</f>
        <v>#REF!</v>
      </c>
      <c r="R142" s="4">
        <v>12</v>
      </c>
      <c r="S142" s="16">
        <f t="shared" si="6"/>
        <v>19.290123456790123</v>
      </c>
      <c r="T142" s="16">
        <f t="shared" si="7"/>
        <v>25.720164609053498</v>
      </c>
      <c r="U142" s="16">
        <f t="shared" si="8"/>
        <v>32.150205761316869</v>
      </c>
      <c r="V142" s="16">
        <f t="shared" si="11"/>
        <v>41.777336593648577</v>
      </c>
    </row>
    <row r="143" spans="2:25">
      <c r="B143">
        <f t="shared" si="9"/>
        <v>308.64197530864197</v>
      </c>
      <c r="D143" s="4">
        <v>13</v>
      </c>
      <c r="E143" s="16">
        <f t="shared" si="1"/>
        <v>17.806267806267808</v>
      </c>
      <c r="F143" s="16">
        <f t="shared" si="2"/>
        <v>23.741690408357076</v>
      </c>
      <c r="G143" s="16">
        <f t="shared" si="3"/>
        <v>29.677113010446345</v>
      </c>
      <c r="I143" s="4">
        <v>13</v>
      </c>
      <c r="J143" s="16">
        <f t="shared" si="4"/>
        <v>17.806267806267808</v>
      </c>
      <c r="K143" s="16">
        <f t="shared" si="10"/>
        <v>23.741690408357076</v>
      </c>
      <c r="L143" s="16">
        <f t="shared" si="5"/>
        <v>29.677113010446345</v>
      </c>
      <c r="N143" s="4">
        <v>9</v>
      </c>
      <c r="O143" s="16" t="e">
        <f>O$144+((O$139-O$144)*1/9)</f>
        <v>#REF!</v>
      </c>
      <c r="R143" s="4">
        <v>13</v>
      </c>
      <c r="S143" s="16">
        <f t="shared" si="6"/>
        <v>17.806267806267808</v>
      </c>
      <c r="T143" s="16">
        <f t="shared" si="7"/>
        <v>23.741690408357076</v>
      </c>
      <c r="U143" s="16">
        <f t="shared" si="8"/>
        <v>29.677113010446345</v>
      </c>
      <c r="V143" s="16">
        <f t="shared" si="11"/>
        <v>38.563695317214076</v>
      </c>
    </row>
    <row r="144" spans="2:25">
      <c r="B144">
        <f t="shared" si="9"/>
        <v>308.64197530864197</v>
      </c>
      <c r="D144" s="4">
        <v>14</v>
      </c>
      <c r="E144" s="16">
        <f t="shared" si="1"/>
        <v>16.534391534391535</v>
      </c>
      <c r="F144" s="16">
        <f t="shared" si="2"/>
        <v>22.045855379188712</v>
      </c>
      <c r="G144" s="16">
        <f t="shared" si="3"/>
        <v>27.557319223985889</v>
      </c>
      <c r="I144" s="4">
        <v>14</v>
      </c>
      <c r="J144" s="16">
        <f t="shared" si="4"/>
        <v>16.534391534391535</v>
      </c>
      <c r="K144" s="16">
        <f t="shared" si="10"/>
        <v>22.045855379188712</v>
      </c>
      <c r="L144" s="16">
        <f t="shared" si="5"/>
        <v>27.557319223985889</v>
      </c>
      <c r="N144" s="4">
        <v>10</v>
      </c>
      <c r="O144" s="16" t="e">
        <f>#REF!</f>
        <v>#REF!</v>
      </c>
      <c r="P144" t="s">
        <v>43</v>
      </c>
      <c r="R144" s="4">
        <v>14</v>
      </c>
      <c r="S144" s="16">
        <f t="shared" si="6"/>
        <v>16.534391534391535</v>
      </c>
      <c r="T144" s="16">
        <f>IF($R144&gt;$F$115,0.0000000005,K144)</f>
        <v>22.045855379188712</v>
      </c>
      <c r="U144" s="16">
        <f t="shared" si="8"/>
        <v>27.557319223985889</v>
      </c>
      <c r="V144" s="16">
        <f t="shared" si="11"/>
        <v>35.809145651698785</v>
      </c>
    </row>
    <row r="145" spans="2:22">
      <c r="B145">
        <f t="shared" si="9"/>
        <v>308.64197530864197</v>
      </c>
      <c r="D145" s="4">
        <v>15</v>
      </c>
      <c r="E145" s="16">
        <f t="shared" si="1"/>
        <v>15.4320987654321</v>
      </c>
      <c r="F145" s="16">
        <f t="shared" si="2"/>
        <v>20.5761316872428</v>
      </c>
      <c r="G145" s="16">
        <f t="shared" si="3"/>
        <v>25.720164609053498</v>
      </c>
      <c r="I145" s="4">
        <v>15</v>
      </c>
      <c r="J145" s="16">
        <f t="shared" si="4"/>
        <v>15.4320987654321</v>
      </c>
      <c r="K145" s="16">
        <f t="shared" si="10"/>
        <v>20.5761316872428</v>
      </c>
      <c r="L145" s="16">
        <f t="shared" si="5"/>
        <v>25.720164609053498</v>
      </c>
      <c r="N145" s="4">
        <v>11</v>
      </c>
      <c r="O145" s="16" t="e">
        <f>O$149+((O$144-O$149)*4/6)</f>
        <v>#REF!</v>
      </c>
      <c r="R145" s="4">
        <v>15</v>
      </c>
      <c r="S145" s="16">
        <f t="shared" si="6"/>
        <v>15.4320987654321</v>
      </c>
      <c r="T145" s="16">
        <f t="shared" si="7"/>
        <v>20.5761316872428</v>
      </c>
      <c r="U145" s="16">
        <f t="shared" si="8"/>
        <v>25.720164609053498</v>
      </c>
      <c r="V145" s="16">
        <f t="shared" si="11"/>
        <v>33.421869274918862</v>
      </c>
    </row>
    <row r="146" spans="2:22">
      <c r="B146">
        <f t="shared" si="9"/>
        <v>308.64197530864197</v>
      </c>
      <c r="D146" s="4">
        <v>16</v>
      </c>
      <c r="E146" s="16">
        <f t="shared" si="1"/>
        <v>14.467592592592592</v>
      </c>
      <c r="F146" s="16">
        <f t="shared" si="2"/>
        <v>19.290123456790123</v>
      </c>
      <c r="G146" s="16">
        <f t="shared" si="3"/>
        <v>24.112654320987655</v>
      </c>
      <c r="I146" s="4">
        <v>16</v>
      </c>
      <c r="J146" s="16">
        <f t="shared" si="4"/>
        <v>14.467592592592592</v>
      </c>
      <c r="K146" s="16">
        <f t="shared" si="10"/>
        <v>19.290123456790123</v>
      </c>
      <c r="L146" s="16">
        <f t="shared" si="5"/>
        <v>24.112654320987655</v>
      </c>
      <c r="N146" s="4">
        <v>12</v>
      </c>
      <c r="O146" s="16" t="e">
        <f>O$149+((O$144-O$149)*3/7)</f>
        <v>#REF!</v>
      </c>
      <c r="R146" s="4">
        <v>16</v>
      </c>
      <c r="S146" s="16">
        <f t="shared" si="6"/>
        <v>14.467592592592592</v>
      </c>
      <c r="T146" s="16">
        <f t="shared" si="7"/>
        <v>19.290123456790123</v>
      </c>
      <c r="U146" s="16">
        <f t="shared" si="8"/>
        <v>24.112654320987655</v>
      </c>
      <c r="V146" s="16">
        <f t="shared" si="11"/>
        <v>31.333002445236435</v>
      </c>
    </row>
    <row r="147" spans="2:22">
      <c r="B147">
        <f t="shared" si="9"/>
        <v>308.64197530864197</v>
      </c>
      <c r="D147" s="4">
        <v>17</v>
      </c>
      <c r="E147" s="16">
        <f t="shared" si="1"/>
        <v>13.616557734204793</v>
      </c>
      <c r="F147" s="16">
        <f t="shared" si="2"/>
        <v>18.155410312273059</v>
      </c>
      <c r="G147" s="16">
        <f t="shared" si="3"/>
        <v>22.694262890341324</v>
      </c>
      <c r="I147" s="4">
        <v>17</v>
      </c>
      <c r="J147" s="16">
        <f t="shared" si="4"/>
        <v>13.616557734204793</v>
      </c>
      <c r="K147" s="16">
        <f t="shared" si="10"/>
        <v>18.155410312273059</v>
      </c>
      <c r="L147" s="16">
        <f t="shared" si="5"/>
        <v>22.694262890341324</v>
      </c>
      <c r="N147" s="4">
        <v>13</v>
      </c>
      <c r="O147" s="16" t="e">
        <f>O$149+((O$144-O$149)*2/8)</f>
        <v>#REF!</v>
      </c>
      <c r="R147" s="4">
        <v>17</v>
      </c>
      <c r="S147" s="16">
        <f t="shared" si="6"/>
        <v>5.0000000000000003E-10</v>
      </c>
      <c r="T147" s="16">
        <f t="shared" si="7"/>
        <v>5.0000000000000003E-10</v>
      </c>
      <c r="U147" s="16">
        <f t="shared" si="8"/>
        <v>5.0000000000000003E-10</v>
      </c>
      <c r="V147" s="16">
        <f t="shared" si="11"/>
        <v>29.489884654340173</v>
      </c>
    </row>
    <row r="148" spans="2:22">
      <c r="N148" s="4">
        <v>14</v>
      </c>
      <c r="O148" s="16" t="e">
        <f>O$149+((O$144-O$149)*1/9)</f>
        <v>#REF!</v>
      </c>
      <c r="R148" s="14">
        <v>18</v>
      </c>
      <c r="S148" s="16">
        <f t="shared" si="6"/>
        <v>5.0000000000000003E-10</v>
      </c>
      <c r="T148" s="16">
        <f t="shared" si="7"/>
        <v>5.0000000000000003E-10</v>
      </c>
      <c r="U148" s="16">
        <f t="shared" si="8"/>
        <v>5.0000000000000003E-10</v>
      </c>
      <c r="V148" s="16">
        <f t="shared" si="11"/>
        <v>27.851557729099053</v>
      </c>
    </row>
    <row r="149" spans="2:22">
      <c r="D149" s="18" t="s">
        <v>175</v>
      </c>
      <c r="N149" s="4">
        <v>15</v>
      </c>
      <c r="O149" s="16" t="e">
        <f>#REF!</f>
        <v>#REF!</v>
      </c>
      <c r="P149" t="s">
        <v>43</v>
      </c>
      <c r="R149" s="14">
        <v>19</v>
      </c>
      <c r="S149" s="16">
        <f t="shared" si="6"/>
        <v>5.0000000000000003E-10</v>
      </c>
      <c r="T149" s="16">
        <f t="shared" si="7"/>
        <v>5.0000000000000003E-10</v>
      </c>
      <c r="U149" s="16">
        <f t="shared" si="8"/>
        <v>5.0000000000000003E-10</v>
      </c>
      <c r="V149" s="16">
        <f t="shared" si="11"/>
        <v>26.385686269672789</v>
      </c>
    </row>
    <row r="150" spans="2:22">
      <c r="N150" s="4">
        <v>16</v>
      </c>
      <c r="O150" s="16" t="e">
        <f>O$154+((O$149-O$154)*4/6)</f>
        <v>#REF!</v>
      </c>
      <c r="R150" s="14">
        <v>20</v>
      </c>
      <c r="S150" s="16">
        <f t="shared" si="6"/>
        <v>5.0000000000000003E-10</v>
      </c>
      <c r="T150" s="16">
        <f t="shared" si="7"/>
        <v>5.0000000000000003E-10</v>
      </c>
      <c r="U150" s="16">
        <f t="shared" si="8"/>
        <v>5.0000000000000003E-10</v>
      </c>
      <c r="V150" s="16">
        <f t="shared" si="11"/>
        <v>25.066401956189146</v>
      </c>
    </row>
    <row r="151" spans="2:22">
      <c r="D151" s="18" t="s">
        <v>176</v>
      </c>
      <c r="E151">
        <v>0</v>
      </c>
      <c r="N151" s="4">
        <v>17</v>
      </c>
      <c r="O151" s="16" t="e">
        <f>O$154+((O$149-O$154)*3/7)</f>
        <v>#REF!</v>
      </c>
    </row>
    <row r="152" spans="2:22">
      <c r="D152" s="18" t="s">
        <v>177</v>
      </c>
      <c r="E152">
        <f>RsEFF*0.001</f>
        <v>1.25E-4</v>
      </c>
      <c r="N152" s="14">
        <v>18</v>
      </c>
      <c r="O152" s="16" t="e">
        <f>O$154+((O$149-O$154)*2/8)</f>
        <v>#REF!</v>
      </c>
    </row>
    <row r="153" spans="2:22">
      <c r="D153" s="18" t="s">
        <v>178</v>
      </c>
      <c r="E153">
        <f>VINMAX</f>
        <v>16.8</v>
      </c>
      <c r="N153" s="14">
        <v>19</v>
      </c>
      <c r="O153" s="16" t="e">
        <f>O$154+((O$149-O$154)*1/9)</f>
        <v>#REF!</v>
      </c>
    </row>
    <row r="154" spans="2:22">
      <c r="D154" s="18" t="s">
        <v>179</v>
      </c>
      <c r="E154" s="62"/>
      <c r="F154">
        <v>0.25</v>
      </c>
      <c r="N154" s="14">
        <v>20</v>
      </c>
      <c r="O154" s="16" t="e">
        <f>#REF!</f>
        <v>#REF!</v>
      </c>
      <c r="P154" t="s">
        <v>43</v>
      </c>
    </row>
    <row r="156" spans="2:22">
      <c r="D156" s="64" t="s">
        <v>152</v>
      </c>
    </row>
  </sheetData>
  <mergeCells count="4">
    <mergeCell ref="D40:G40"/>
    <mergeCell ref="D54:G54"/>
    <mergeCell ref="F56:G56"/>
    <mergeCell ref="F63:G6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1:X112"/>
  <sheetViews>
    <sheetView workbookViewId="0">
      <selection activeCell="F19" sqref="F19"/>
    </sheetView>
  </sheetViews>
  <sheetFormatPr defaultColWidth="9.109375" defaultRowHeight="13.2"/>
  <cols>
    <col min="1" max="1" width="11" style="28" customWidth="1"/>
    <col min="2" max="3" width="9.109375" style="28"/>
    <col min="4" max="5" width="15" style="28" customWidth="1"/>
    <col min="6" max="6" width="15.44140625" style="28" customWidth="1"/>
    <col min="7" max="7" width="14.88671875" style="28" customWidth="1"/>
    <col min="8" max="8" width="10.6640625" style="28" customWidth="1"/>
    <col min="9" max="9" width="12.44140625" style="28" bestFit="1" customWidth="1"/>
    <col min="10" max="10" width="14.88671875" style="28" customWidth="1"/>
    <col min="11" max="11" width="14.33203125" style="28" customWidth="1"/>
    <col min="12" max="12" width="20.88671875" style="28" customWidth="1"/>
    <col min="13" max="13" width="12.6640625" style="28" customWidth="1"/>
    <col min="14" max="14" width="10.109375" style="28" bestFit="1" customWidth="1"/>
    <col min="15" max="15" width="18.88671875" style="28" customWidth="1"/>
    <col min="16" max="16" width="10.88671875" style="28" customWidth="1"/>
    <col min="17" max="16384" width="9.109375" style="28"/>
  </cols>
  <sheetData>
    <row r="1" spans="1:24">
      <c r="B1" s="28" t="s">
        <v>87</v>
      </c>
      <c r="C1" s="28" t="s">
        <v>158</v>
      </c>
      <c r="D1" s="28" t="s">
        <v>159</v>
      </c>
      <c r="F1" s="75"/>
      <c r="G1" s="75" t="s">
        <v>160</v>
      </c>
      <c r="H1" s="75" t="s">
        <v>161</v>
      </c>
      <c r="I1" s="75" t="s">
        <v>162</v>
      </c>
      <c r="J1" s="75" t="s">
        <v>163</v>
      </c>
      <c r="K1" s="75"/>
      <c r="L1" s="75" t="s">
        <v>167</v>
      </c>
      <c r="M1" s="75"/>
      <c r="N1" s="75" t="s">
        <v>168</v>
      </c>
      <c r="P1" s="28" t="s">
        <v>189</v>
      </c>
      <c r="Q1" s="28" t="s">
        <v>190</v>
      </c>
    </row>
    <row r="2" spans="1:24">
      <c r="B2" s="67">
        <f>'Design Calculator'!F74</f>
        <v>308.64197530864197</v>
      </c>
      <c r="C2" s="28">
        <f>'Design Calculator'!F50</f>
        <v>80</v>
      </c>
      <c r="D2" s="28" t="str">
        <f>IF( 'Design Calculator'!F76 = "Constant Current", "CC", "R")</f>
        <v>CC</v>
      </c>
      <c r="G2" s="28">
        <f>'Design Calculator'!F77</f>
        <v>1</v>
      </c>
      <c r="H2" s="28">
        <f>'Design Calculator'!F75</f>
        <v>10</v>
      </c>
      <c r="I2" s="28">
        <f>RsEFF</f>
        <v>0.125</v>
      </c>
      <c r="J2" s="28">
        <v>0</v>
      </c>
      <c r="L2" s="67">
        <f>J112*1000</f>
        <v>0.23017473491025028</v>
      </c>
      <c r="M2" s="28" t="s">
        <v>8</v>
      </c>
      <c r="N2" s="71">
        <f>MIN(K8:K109)</f>
        <v>0.97801784615384613</v>
      </c>
      <c r="P2" s="28">
        <f>'Device Parmaters'!E23/'Device Parmaters'!D23</f>
        <v>1.2</v>
      </c>
      <c r="Q2" s="28">
        <f>'Device Parmaters'!C23/'Device Parmaters'!D23</f>
        <v>0.8</v>
      </c>
    </row>
    <row r="3" spans="1:24">
      <c r="B3" s="67"/>
      <c r="L3" s="67"/>
      <c r="N3" s="71"/>
    </row>
    <row r="4" spans="1:24">
      <c r="B4" s="67"/>
      <c r="L4" s="67"/>
      <c r="N4" s="71"/>
      <c r="O4" s="28" t="s">
        <v>191</v>
      </c>
      <c r="P4" s="28">
        <f>MAX(N8:N112)</f>
        <v>308.64197530864197</v>
      </c>
      <c r="Q4" s="28" t="s">
        <v>50</v>
      </c>
    </row>
    <row r="5" spans="1:24">
      <c r="B5" s="67"/>
      <c r="L5" s="28" t="s">
        <v>185</v>
      </c>
      <c r="M5" s="28">
        <f>SUM(M8:M112)</f>
        <v>6.7272000348305883E-2</v>
      </c>
      <c r="N5" s="71" t="s">
        <v>186</v>
      </c>
    </row>
    <row r="7" spans="1:24">
      <c r="A7" s="68" t="s">
        <v>104</v>
      </c>
      <c r="B7" s="69" t="s">
        <v>81</v>
      </c>
      <c r="C7" s="69" t="s">
        <v>82</v>
      </c>
      <c r="D7" s="69" t="s">
        <v>87</v>
      </c>
      <c r="E7" s="69" t="s">
        <v>183</v>
      </c>
      <c r="F7" s="69"/>
      <c r="G7" s="69" t="s">
        <v>165</v>
      </c>
      <c r="H7" s="69" t="s">
        <v>102</v>
      </c>
      <c r="I7" s="69" t="s">
        <v>164</v>
      </c>
      <c r="J7" s="70" t="s">
        <v>93</v>
      </c>
      <c r="K7" s="68" t="s">
        <v>166</v>
      </c>
      <c r="L7" s="68" t="s">
        <v>187</v>
      </c>
      <c r="M7" s="68" t="s">
        <v>197</v>
      </c>
      <c r="N7" s="68" t="s">
        <v>188</v>
      </c>
    </row>
    <row r="8" spans="1:24">
      <c r="A8" s="28">
        <f t="shared" ref="A8:A39" si="0">VINMAX</f>
        <v>16.8</v>
      </c>
      <c r="B8" s="31">
        <f t="shared" ref="B8:B39" si="1">VINMAX*((ROW()-8)/104)</f>
        <v>0</v>
      </c>
      <c r="C8" s="29">
        <f t="shared" ref="C8:C39" si="2">IF(B8&gt;=$H$2,IF($D$2="CC", $G$2, B8/$G$2), 0)</f>
        <v>0</v>
      </c>
      <c r="D8" s="27">
        <f>$B$2-B8*$J$2/($I$2*0.001)</f>
        <v>308.64197530864197</v>
      </c>
      <c r="E8" s="27">
        <f>MIN(D8/(A8-B8),$C$2)</f>
        <v>18.371546149323926</v>
      </c>
      <c r="F8" s="29"/>
      <c r="G8" s="27">
        <f>E8</f>
        <v>18.371546149323926</v>
      </c>
      <c r="H8" s="29">
        <f t="shared" ref="H8:H39" si="3">G8-C8</f>
        <v>18.371546149323926</v>
      </c>
      <c r="I8" s="30">
        <f>(COUTMAX/1000000)*(B8)/H8</f>
        <v>0</v>
      </c>
      <c r="J8" s="37">
        <f>I8</f>
        <v>0</v>
      </c>
      <c r="K8" s="71">
        <f>H8/G8</f>
        <v>1</v>
      </c>
      <c r="L8" s="28">
        <f t="shared" ref="L8:L39" si="4">1/COUTMAX*(E8/2-C8)*1000</f>
        <v>19.137027238879092</v>
      </c>
      <c r="M8" s="28">
        <f>I8*G8*(A8-B8)</f>
        <v>0</v>
      </c>
      <c r="N8" s="28">
        <f>G8*(A8-B8)</f>
        <v>308.64197530864197</v>
      </c>
    </row>
    <row r="9" spans="1:24">
      <c r="A9" s="28">
        <f t="shared" si="0"/>
        <v>16.8</v>
      </c>
      <c r="B9" s="31">
        <f t="shared" si="1"/>
        <v>0.16153846153846155</v>
      </c>
      <c r="C9" s="29">
        <f t="shared" si="2"/>
        <v>0</v>
      </c>
      <c r="D9" s="27">
        <f t="shared" ref="D9:D39" si="5">$B$2-B9*$J$2/($I$2*0.001)</f>
        <v>308.64197530864197</v>
      </c>
      <c r="E9" s="27">
        <f t="shared" ref="E9:E72" si="6">MIN(D9/(A9-B9),$C$2)</f>
        <v>18.54991067504552</v>
      </c>
      <c r="F9" s="29"/>
      <c r="G9" s="27">
        <f t="shared" ref="G9:G72" si="7">E9</f>
        <v>18.54991067504552</v>
      </c>
      <c r="H9" s="29">
        <f t="shared" si="3"/>
        <v>18.54991067504552</v>
      </c>
      <c r="I9" s="30">
        <f t="shared" ref="I9:I40" si="8">(COUTMAX/1000000)*(B9-B8)/H9</f>
        <v>4.1799911005917162E-6</v>
      </c>
      <c r="J9" s="37">
        <f>J8+I9</f>
        <v>4.1799911005917162E-6</v>
      </c>
      <c r="K9" s="71">
        <f t="shared" ref="K9:K72" si="9">H9/G9</f>
        <v>1</v>
      </c>
      <c r="L9" s="28">
        <f t="shared" si="4"/>
        <v>19.322823619839081</v>
      </c>
      <c r="M9" s="28">
        <f>I9*G9*(A9-B9)</f>
        <v>1.2901207100591717E-3</v>
      </c>
      <c r="N9" s="28">
        <f t="shared" ref="N9:N72" si="10">G9*(A9-B9)</f>
        <v>308.64197530864197</v>
      </c>
    </row>
    <row r="10" spans="1:24">
      <c r="A10" s="28">
        <f t="shared" si="0"/>
        <v>16.8</v>
      </c>
      <c r="B10" s="31">
        <f t="shared" si="1"/>
        <v>0.32307692307692309</v>
      </c>
      <c r="C10" s="29">
        <f t="shared" si="2"/>
        <v>0</v>
      </c>
      <c r="D10" s="27">
        <f t="shared" si="5"/>
        <v>308.64197530864197</v>
      </c>
      <c r="E10" s="27">
        <f t="shared" si="6"/>
        <v>18.73177254440871</v>
      </c>
      <c r="F10" s="29"/>
      <c r="G10" s="27">
        <f t="shared" si="7"/>
        <v>18.73177254440871</v>
      </c>
      <c r="H10" s="29">
        <f t="shared" si="3"/>
        <v>18.73177254440871</v>
      </c>
      <c r="I10" s="30">
        <f t="shared" si="8"/>
        <v>4.139408662721894E-6</v>
      </c>
      <c r="J10" s="37">
        <f t="shared" ref="J10:J73" si="11">J9+I10</f>
        <v>8.319399763313611E-6</v>
      </c>
      <c r="K10" s="71">
        <f t="shared" si="9"/>
        <v>1</v>
      </c>
      <c r="L10" s="28">
        <f t="shared" si="4"/>
        <v>19.512263067092405</v>
      </c>
      <c r="M10" s="28">
        <f>I10*G10*(A10-B10)</f>
        <v>1.2775952662721895E-3</v>
      </c>
      <c r="N10" s="28">
        <f t="shared" si="10"/>
        <v>308.64197530864197</v>
      </c>
      <c r="W10" s="373" t="s">
        <v>83</v>
      </c>
      <c r="X10" s="373"/>
    </row>
    <row r="11" spans="1:24">
      <c r="A11" s="28">
        <f t="shared" si="0"/>
        <v>16.8</v>
      </c>
      <c r="B11" s="31">
        <f t="shared" si="1"/>
        <v>0.48461538461538467</v>
      </c>
      <c r="C11" s="29">
        <f t="shared" si="2"/>
        <v>0</v>
      </c>
      <c r="D11" s="27">
        <f t="shared" si="5"/>
        <v>308.64197530864197</v>
      </c>
      <c r="E11" s="27">
        <f t="shared" si="6"/>
        <v>18.917235638907805</v>
      </c>
      <c r="F11" s="29"/>
      <c r="G11" s="27">
        <f t="shared" si="7"/>
        <v>18.917235638907805</v>
      </c>
      <c r="H11" s="29">
        <f t="shared" si="3"/>
        <v>18.917235638907805</v>
      </c>
      <c r="I11" s="30">
        <f t="shared" si="8"/>
        <v>4.0988262248520727E-6</v>
      </c>
      <c r="J11" s="37">
        <f t="shared" si="11"/>
        <v>1.2418225988165683E-5</v>
      </c>
      <c r="K11" s="71">
        <f t="shared" si="9"/>
        <v>1</v>
      </c>
      <c r="L11" s="28">
        <f t="shared" si="4"/>
        <v>19.705453790528964</v>
      </c>
      <c r="M11" s="28">
        <f>I11*G11*(A11-B11)</f>
        <v>1.2650698224852075E-3</v>
      </c>
      <c r="N11" s="28">
        <f t="shared" si="10"/>
        <v>308.64197530864197</v>
      </c>
      <c r="W11" s="32" t="s">
        <v>84</v>
      </c>
      <c r="X11" s="33">
        <v>0.3</v>
      </c>
    </row>
    <row r="12" spans="1:24">
      <c r="A12" s="28">
        <f t="shared" si="0"/>
        <v>16.8</v>
      </c>
      <c r="B12" s="31">
        <f t="shared" si="1"/>
        <v>0.64615384615384619</v>
      </c>
      <c r="C12" s="29">
        <f t="shared" si="2"/>
        <v>0</v>
      </c>
      <c r="D12" s="27">
        <f t="shared" si="5"/>
        <v>308.64197530864197</v>
      </c>
      <c r="E12" s="27">
        <f t="shared" si="6"/>
        <v>19.106407995296884</v>
      </c>
      <c r="F12" s="29"/>
      <c r="G12" s="27">
        <f t="shared" si="7"/>
        <v>19.106407995296884</v>
      </c>
      <c r="H12" s="29">
        <f t="shared" si="3"/>
        <v>19.106407995296884</v>
      </c>
      <c r="I12" s="30">
        <f t="shared" si="8"/>
        <v>4.058243786982248E-6</v>
      </c>
      <c r="J12" s="37">
        <f t="shared" si="11"/>
        <v>1.647646977514793E-5</v>
      </c>
      <c r="K12" s="71">
        <f t="shared" si="9"/>
        <v>1</v>
      </c>
      <c r="L12" s="28">
        <f t="shared" si="4"/>
        <v>19.902508328434255</v>
      </c>
      <c r="M12" s="28">
        <f t="shared" ref="M12:M72" si="12">I12*G12*(A12-B12)</f>
        <v>1.2525443786982247E-3</v>
      </c>
      <c r="N12" s="28">
        <f t="shared" si="10"/>
        <v>308.64197530864197</v>
      </c>
      <c r="W12" s="32" t="s">
        <v>85</v>
      </c>
      <c r="X12" s="33">
        <v>0.3</v>
      </c>
    </row>
    <row r="13" spans="1:24">
      <c r="A13" s="28">
        <f t="shared" si="0"/>
        <v>16.8</v>
      </c>
      <c r="B13" s="31">
        <f t="shared" si="1"/>
        <v>0.80769230769230782</v>
      </c>
      <c r="C13" s="29">
        <f t="shared" si="2"/>
        <v>0</v>
      </c>
      <c r="D13" s="27">
        <f t="shared" si="5"/>
        <v>308.64197530864197</v>
      </c>
      <c r="E13" s="27">
        <f t="shared" si="6"/>
        <v>19.299402015451399</v>
      </c>
      <c r="F13" s="29"/>
      <c r="G13" s="27">
        <f t="shared" si="7"/>
        <v>19.299402015451399</v>
      </c>
      <c r="H13" s="29">
        <f t="shared" si="3"/>
        <v>19.299402015451399</v>
      </c>
      <c r="I13" s="30">
        <f t="shared" si="8"/>
        <v>4.0176613491124283E-6</v>
      </c>
      <c r="J13" s="37">
        <f t="shared" si="11"/>
        <v>2.0494131124260359E-5</v>
      </c>
      <c r="K13" s="71">
        <f t="shared" si="9"/>
        <v>1</v>
      </c>
      <c r="L13" s="28">
        <f t="shared" si="4"/>
        <v>20.103543766095207</v>
      </c>
      <c r="M13" s="28">
        <f t="shared" si="12"/>
        <v>1.2400189349112433E-3</v>
      </c>
      <c r="N13" s="28">
        <f t="shared" si="10"/>
        <v>308.64197530864197</v>
      </c>
      <c r="W13" s="32" t="s">
        <v>86</v>
      </c>
      <c r="X13" s="33">
        <f>SQRT(X12^2+X11^2)</f>
        <v>0.42426406871192851</v>
      </c>
    </row>
    <row r="14" spans="1:24">
      <c r="A14" s="28">
        <f t="shared" si="0"/>
        <v>16.8</v>
      </c>
      <c r="B14" s="31">
        <f t="shared" si="1"/>
        <v>0.96923076923076934</v>
      </c>
      <c r="C14" s="29">
        <f t="shared" si="2"/>
        <v>0</v>
      </c>
      <c r="D14" s="27">
        <f t="shared" si="5"/>
        <v>308.64197530864197</v>
      </c>
      <c r="E14" s="27">
        <f t="shared" si="6"/>
        <v>19.496334689078452</v>
      </c>
      <c r="F14" s="29"/>
      <c r="G14" s="27">
        <f t="shared" si="7"/>
        <v>19.496334689078452</v>
      </c>
      <c r="H14" s="29">
        <f t="shared" si="3"/>
        <v>19.496334689078452</v>
      </c>
      <c r="I14" s="30">
        <f t="shared" si="8"/>
        <v>3.9770789112426036E-6</v>
      </c>
      <c r="J14" s="37">
        <f t="shared" si="11"/>
        <v>2.4471210035502964E-5</v>
      </c>
      <c r="K14" s="71">
        <f t="shared" si="9"/>
        <v>1</v>
      </c>
      <c r="L14" s="28">
        <f t="shared" si="4"/>
        <v>20.308681967790054</v>
      </c>
      <c r="M14" s="28">
        <f t="shared" si="12"/>
        <v>1.2274934911242603E-3</v>
      </c>
      <c r="N14" s="28">
        <f t="shared" si="10"/>
        <v>308.64197530864197</v>
      </c>
      <c r="W14" s="33"/>
      <c r="X14" s="33"/>
    </row>
    <row r="15" spans="1:24">
      <c r="A15" s="28">
        <f t="shared" si="0"/>
        <v>16.8</v>
      </c>
      <c r="B15" s="31">
        <f t="shared" si="1"/>
        <v>1.1307692307692307</v>
      </c>
      <c r="C15" s="29">
        <f t="shared" si="2"/>
        <v>0</v>
      </c>
      <c r="D15" s="27">
        <f t="shared" si="5"/>
        <v>308.64197530864197</v>
      </c>
      <c r="E15" s="27">
        <f t="shared" si="6"/>
        <v>19.697327830202973</v>
      </c>
      <c r="F15" s="29"/>
      <c r="G15" s="27">
        <f t="shared" si="7"/>
        <v>19.697327830202973</v>
      </c>
      <c r="H15" s="29">
        <f t="shared" si="3"/>
        <v>19.697327830202973</v>
      </c>
      <c r="I15" s="30">
        <f t="shared" si="8"/>
        <v>3.9364964733727781E-6</v>
      </c>
      <c r="J15" s="37">
        <f t="shared" si="11"/>
        <v>2.8407706508875743E-5</v>
      </c>
      <c r="K15" s="71">
        <f t="shared" si="9"/>
        <v>1</v>
      </c>
      <c r="L15" s="28">
        <f t="shared" si="4"/>
        <v>20.518049823128099</v>
      </c>
      <c r="M15" s="28">
        <f t="shared" si="12"/>
        <v>1.2149680473372772E-3</v>
      </c>
      <c r="N15" s="28">
        <f t="shared" si="10"/>
        <v>308.64197530864197</v>
      </c>
      <c r="W15" s="32" t="s">
        <v>87</v>
      </c>
      <c r="X15" s="33">
        <v>0.3</v>
      </c>
    </row>
    <row r="16" spans="1:24">
      <c r="A16" s="28">
        <f t="shared" si="0"/>
        <v>16.8</v>
      </c>
      <c r="B16" s="31">
        <f t="shared" si="1"/>
        <v>1.2923076923076924</v>
      </c>
      <c r="C16" s="29">
        <f t="shared" si="2"/>
        <v>0</v>
      </c>
      <c r="D16" s="27">
        <f t="shared" si="5"/>
        <v>308.64197530864197</v>
      </c>
      <c r="E16" s="27">
        <f t="shared" si="6"/>
        <v>19.902508328434255</v>
      </c>
      <c r="F16" s="29"/>
      <c r="G16" s="27">
        <f t="shared" si="7"/>
        <v>19.902508328434255</v>
      </c>
      <c r="H16" s="29">
        <f t="shared" si="3"/>
        <v>19.902508328434255</v>
      </c>
      <c r="I16" s="30">
        <f t="shared" si="8"/>
        <v>3.895914035502961E-6</v>
      </c>
      <c r="J16" s="37">
        <f t="shared" si="11"/>
        <v>3.2303620544378705E-5</v>
      </c>
      <c r="K16" s="71">
        <f t="shared" si="9"/>
        <v>1</v>
      </c>
      <c r="L16" s="28">
        <f t="shared" si="4"/>
        <v>20.731779508785682</v>
      </c>
      <c r="M16" s="28">
        <f t="shared" si="12"/>
        <v>1.2024426035502965E-3</v>
      </c>
      <c r="N16" s="28">
        <f t="shared" si="10"/>
        <v>308.64197530864197</v>
      </c>
      <c r="W16" s="32" t="s">
        <v>88</v>
      </c>
      <c r="X16" s="33">
        <f>MAX(X13:X15)</f>
        <v>0.42426406871192851</v>
      </c>
    </row>
    <row r="17" spans="1:24">
      <c r="A17" s="28">
        <f t="shared" si="0"/>
        <v>16.8</v>
      </c>
      <c r="B17" s="31">
        <f t="shared" si="1"/>
        <v>1.4538461538461538</v>
      </c>
      <c r="C17" s="29">
        <f t="shared" si="2"/>
        <v>0</v>
      </c>
      <c r="D17" s="27">
        <f t="shared" si="5"/>
        <v>308.64197530864197</v>
      </c>
      <c r="E17" s="27">
        <f t="shared" si="6"/>
        <v>20.112008416101983</v>
      </c>
      <c r="F17" s="29"/>
      <c r="G17" s="27">
        <f t="shared" si="7"/>
        <v>20.112008416101983</v>
      </c>
      <c r="H17" s="29">
        <f t="shared" si="3"/>
        <v>20.112008416101983</v>
      </c>
      <c r="I17" s="30">
        <f t="shared" si="8"/>
        <v>3.8553315976331329E-6</v>
      </c>
      <c r="J17" s="37">
        <f t="shared" si="11"/>
        <v>3.6158952142011836E-5</v>
      </c>
      <c r="K17" s="71">
        <f t="shared" si="9"/>
        <v>1</v>
      </c>
      <c r="L17" s="28">
        <f t="shared" si="4"/>
        <v>20.950008766772896</v>
      </c>
      <c r="M17" s="28">
        <f t="shared" si="12"/>
        <v>1.1899171597633128E-3</v>
      </c>
      <c r="N17" s="28">
        <f t="shared" si="10"/>
        <v>308.64197530864197</v>
      </c>
      <c r="W17" s="33"/>
      <c r="X17" s="33"/>
    </row>
    <row r="18" spans="1:24">
      <c r="A18" s="28">
        <f t="shared" si="0"/>
        <v>16.8</v>
      </c>
      <c r="B18" s="31">
        <f t="shared" si="1"/>
        <v>1.6153846153846156</v>
      </c>
      <c r="C18" s="29">
        <f t="shared" si="2"/>
        <v>0</v>
      </c>
      <c r="D18" s="27">
        <f t="shared" si="5"/>
        <v>308.64197530864197</v>
      </c>
      <c r="E18" s="27">
        <f t="shared" si="6"/>
        <v>20.325965952443493</v>
      </c>
      <c r="F18" s="29"/>
      <c r="G18" s="27">
        <f t="shared" si="7"/>
        <v>20.325965952443493</v>
      </c>
      <c r="H18" s="29">
        <f t="shared" si="3"/>
        <v>20.325965952443493</v>
      </c>
      <c r="I18" s="30">
        <f t="shared" si="8"/>
        <v>3.8147491597633217E-6</v>
      </c>
      <c r="J18" s="37">
        <f t="shared" si="11"/>
        <v>3.9973701301775155E-5</v>
      </c>
      <c r="K18" s="71">
        <f t="shared" si="9"/>
        <v>1</v>
      </c>
      <c r="L18" s="28">
        <f t="shared" si="4"/>
        <v>21.172881200461973</v>
      </c>
      <c r="M18" s="28">
        <f t="shared" si="12"/>
        <v>1.1773917159763341E-3</v>
      </c>
      <c r="N18" s="28">
        <f t="shared" si="10"/>
        <v>308.64197530864197</v>
      </c>
      <c r="W18" s="32" t="s">
        <v>89</v>
      </c>
      <c r="X18" s="33">
        <v>0.2</v>
      </c>
    </row>
    <row r="19" spans="1:24">
      <c r="A19" s="28">
        <f t="shared" si="0"/>
        <v>16.8</v>
      </c>
      <c r="B19" s="31">
        <f t="shared" si="1"/>
        <v>1.776923076923077</v>
      </c>
      <c r="C19" s="29">
        <f t="shared" si="2"/>
        <v>0</v>
      </c>
      <c r="D19" s="27">
        <f t="shared" si="5"/>
        <v>308.64197530864197</v>
      </c>
      <c r="E19" s="27">
        <f t="shared" si="6"/>
        <v>20.544524726125683</v>
      </c>
      <c r="F19" s="29"/>
      <c r="G19" s="27">
        <f t="shared" si="7"/>
        <v>20.544524726125683</v>
      </c>
      <c r="H19" s="29">
        <f t="shared" si="3"/>
        <v>20.544524726125683</v>
      </c>
      <c r="I19" s="30">
        <f t="shared" si="8"/>
        <v>3.7741667218934877E-6</v>
      </c>
      <c r="J19" s="37">
        <f t="shared" si="11"/>
        <v>4.3747868023668642E-5</v>
      </c>
      <c r="K19" s="71">
        <f t="shared" si="9"/>
        <v>1</v>
      </c>
      <c r="L19" s="28">
        <f t="shared" si="4"/>
        <v>21.400546589714253</v>
      </c>
      <c r="M19" s="28">
        <f t="shared" si="12"/>
        <v>1.1648662721893482E-3</v>
      </c>
      <c r="N19" s="28">
        <f t="shared" si="10"/>
        <v>308.64197530864197</v>
      </c>
      <c r="W19" s="32" t="s">
        <v>90</v>
      </c>
      <c r="X19" s="33">
        <v>0.2</v>
      </c>
    </row>
    <row r="20" spans="1:24">
      <c r="A20" s="28">
        <f t="shared" si="0"/>
        <v>16.8</v>
      </c>
      <c r="B20" s="31">
        <f t="shared" si="1"/>
        <v>1.9384615384615387</v>
      </c>
      <c r="C20" s="29">
        <f t="shared" si="2"/>
        <v>0</v>
      </c>
      <c r="D20" s="27">
        <f t="shared" si="5"/>
        <v>308.64197530864197</v>
      </c>
      <c r="E20" s="27">
        <f t="shared" si="6"/>
        <v>20.767834777496613</v>
      </c>
      <c r="F20" s="29"/>
      <c r="G20" s="27">
        <f t="shared" si="7"/>
        <v>20.767834777496613</v>
      </c>
      <c r="H20" s="29">
        <f t="shared" si="3"/>
        <v>20.767834777496613</v>
      </c>
      <c r="I20" s="30">
        <f t="shared" si="8"/>
        <v>3.7335842840236711E-6</v>
      </c>
      <c r="J20" s="37">
        <f t="shared" si="11"/>
        <v>4.7481452307692312E-5</v>
      </c>
      <c r="K20" s="71">
        <f t="shared" si="9"/>
        <v>1</v>
      </c>
      <c r="L20" s="28">
        <f t="shared" si="4"/>
        <v>21.633161226558972</v>
      </c>
      <c r="M20" s="28">
        <f t="shared" si="12"/>
        <v>1.1523408284023675E-3</v>
      </c>
      <c r="N20" s="28">
        <f t="shared" si="10"/>
        <v>308.64197530864197</v>
      </c>
      <c r="W20" s="32" t="s">
        <v>86</v>
      </c>
      <c r="X20" s="33">
        <f>SQRT(X19^2+X18^2)</f>
        <v>0.28284271247461906</v>
      </c>
    </row>
    <row r="21" spans="1:24">
      <c r="A21" s="28">
        <f t="shared" si="0"/>
        <v>16.8</v>
      </c>
      <c r="B21" s="31">
        <f t="shared" si="1"/>
        <v>2.1</v>
      </c>
      <c r="C21" s="29">
        <f t="shared" si="2"/>
        <v>0</v>
      </c>
      <c r="D21" s="27">
        <f t="shared" si="5"/>
        <v>308.64197530864197</v>
      </c>
      <c r="E21" s="27">
        <f t="shared" si="6"/>
        <v>20.996052742084487</v>
      </c>
      <c r="F21" s="29"/>
      <c r="G21" s="27">
        <f t="shared" si="7"/>
        <v>20.996052742084487</v>
      </c>
      <c r="H21" s="29">
        <f t="shared" si="3"/>
        <v>20.996052742084487</v>
      </c>
      <c r="I21" s="30">
        <f t="shared" si="8"/>
        <v>3.6930018461538434E-6</v>
      </c>
      <c r="J21" s="37">
        <f t="shared" si="11"/>
        <v>5.1174454153846157E-5</v>
      </c>
      <c r="K21" s="71">
        <f t="shared" si="9"/>
        <v>1</v>
      </c>
      <c r="L21" s="28">
        <f t="shared" si="4"/>
        <v>21.870888273004674</v>
      </c>
      <c r="M21" s="28">
        <f t="shared" si="12"/>
        <v>1.1398153846153838E-3</v>
      </c>
      <c r="N21" s="28">
        <f t="shared" si="10"/>
        <v>308.64197530864197</v>
      </c>
      <c r="W21" s="33"/>
      <c r="X21" s="33"/>
    </row>
    <row r="22" spans="1:24">
      <c r="A22" s="28">
        <f t="shared" si="0"/>
        <v>16.8</v>
      </c>
      <c r="B22" s="31">
        <f t="shared" si="1"/>
        <v>2.2615384615384615</v>
      </c>
      <c r="C22" s="29">
        <f t="shared" si="2"/>
        <v>0</v>
      </c>
      <c r="D22" s="27">
        <f t="shared" si="5"/>
        <v>308.64197530864197</v>
      </c>
      <c r="E22" s="27">
        <f t="shared" si="6"/>
        <v>21.229342216996535</v>
      </c>
      <c r="F22" s="29"/>
      <c r="G22" s="27">
        <f t="shared" si="7"/>
        <v>21.229342216996535</v>
      </c>
      <c r="H22" s="29">
        <f t="shared" si="3"/>
        <v>21.229342216996535</v>
      </c>
      <c r="I22" s="30">
        <f t="shared" si="8"/>
        <v>3.6524194082840212E-6</v>
      </c>
      <c r="J22" s="37">
        <f t="shared" si="11"/>
        <v>5.4826873562130178E-5</v>
      </c>
      <c r="K22" s="71">
        <f t="shared" si="9"/>
        <v>1</v>
      </c>
      <c r="L22" s="28">
        <f t="shared" si="4"/>
        <v>22.113898142704723</v>
      </c>
      <c r="M22" s="28">
        <f t="shared" si="12"/>
        <v>1.1272899408284016E-3</v>
      </c>
      <c r="N22" s="28">
        <f t="shared" si="10"/>
        <v>308.64197530864197</v>
      </c>
      <c r="W22" s="32" t="s">
        <v>91</v>
      </c>
      <c r="X22" s="33">
        <f>SQRT(X16^2+X20^2)</f>
        <v>0.50990195135927852</v>
      </c>
    </row>
    <row r="23" spans="1:24">
      <c r="A23" s="28">
        <f t="shared" si="0"/>
        <v>16.8</v>
      </c>
      <c r="B23" s="31">
        <f t="shared" si="1"/>
        <v>2.4230769230769229</v>
      </c>
      <c r="C23" s="29">
        <f t="shared" si="2"/>
        <v>0</v>
      </c>
      <c r="D23" s="27">
        <f t="shared" si="5"/>
        <v>308.64197530864197</v>
      </c>
      <c r="E23" s="27">
        <f t="shared" si="6"/>
        <v>21.467874152018972</v>
      </c>
      <c r="F23" s="29"/>
      <c r="G23" s="27">
        <f t="shared" si="7"/>
        <v>21.467874152018972</v>
      </c>
      <c r="H23" s="29">
        <f t="shared" si="3"/>
        <v>21.467874152018972</v>
      </c>
      <c r="I23" s="30">
        <f t="shared" si="8"/>
        <v>3.6118369704141982E-6</v>
      </c>
      <c r="J23" s="37">
        <f t="shared" si="11"/>
        <v>5.8438710532544373E-5</v>
      </c>
      <c r="K23" s="71">
        <f t="shared" si="9"/>
        <v>1</v>
      </c>
      <c r="L23" s="28">
        <f t="shared" si="4"/>
        <v>22.362368908353094</v>
      </c>
      <c r="M23" s="28">
        <f t="shared" si="12"/>
        <v>1.1147644970414192E-3</v>
      </c>
      <c r="N23" s="28">
        <f t="shared" si="10"/>
        <v>308.64197530864197</v>
      </c>
    </row>
    <row r="24" spans="1:24">
      <c r="A24" s="28">
        <f t="shared" si="0"/>
        <v>16.8</v>
      </c>
      <c r="B24" s="31">
        <f t="shared" si="1"/>
        <v>2.5846153846153848</v>
      </c>
      <c r="C24" s="29">
        <f t="shared" si="2"/>
        <v>0</v>
      </c>
      <c r="D24" s="27">
        <f t="shared" si="5"/>
        <v>308.64197530864197</v>
      </c>
      <c r="E24" s="27">
        <f t="shared" si="6"/>
        <v>21.711827267382823</v>
      </c>
      <c r="F24" s="29"/>
      <c r="G24" s="27">
        <f t="shared" si="7"/>
        <v>21.711827267382823</v>
      </c>
      <c r="H24" s="29">
        <f t="shared" si="3"/>
        <v>21.711827267382823</v>
      </c>
      <c r="I24" s="30">
        <f t="shared" si="8"/>
        <v>3.5712545325443858E-6</v>
      </c>
      <c r="J24" s="37">
        <f t="shared" si="11"/>
        <v>6.2009965065088765E-5</v>
      </c>
      <c r="K24" s="71">
        <f t="shared" si="9"/>
        <v>1</v>
      </c>
      <c r="L24" s="28">
        <f t="shared" si="4"/>
        <v>22.616486736857109</v>
      </c>
      <c r="M24" s="28">
        <f t="shared" si="12"/>
        <v>1.1022390532544402E-3</v>
      </c>
      <c r="N24" s="28">
        <f t="shared" si="10"/>
        <v>308.64197530864197</v>
      </c>
    </row>
    <row r="25" spans="1:24">
      <c r="A25" s="28">
        <f t="shared" si="0"/>
        <v>16.8</v>
      </c>
      <c r="B25" s="31">
        <f t="shared" si="1"/>
        <v>2.7461538461538462</v>
      </c>
      <c r="C25" s="29">
        <f t="shared" si="2"/>
        <v>0</v>
      </c>
      <c r="D25" s="27">
        <f t="shared" si="5"/>
        <v>308.64197530864197</v>
      </c>
      <c r="E25" s="27">
        <f t="shared" si="6"/>
        <v>21.961388500341243</v>
      </c>
      <c r="F25" s="29"/>
      <c r="G25" s="27">
        <f t="shared" si="7"/>
        <v>21.961388500341243</v>
      </c>
      <c r="H25" s="29">
        <f t="shared" si="3"/>
        <v>21.961388500341243</v>
      </c>
      <c r="I25" s="30">
        <f t="shared" si="8"/>
        <v>3.5306720946745539E-6</v>
      </c>
      <c r="J25" s="37">
        <f t="shared" si="11"/>
        <v>6.5540637159763318E-5</v>
      </c>
      <c r="K25" s="71">
        <f t="shared" si="9"/>
        <v>1</v>
      </c>
      <c r="L25" s="28">
        <f t="shared" si="4"/>
        <v>22.87644635452213</v>
      </c>
      <c r="M25" s="28">
        <f t="shared" si="12"/>
        <v>1.089713609467455E-3</v>
      </c>
      <c r="N25" s="28">
        <f t="shared" si="10"/>
        <v>308.64197530864197</v>
      </c>
    </row>
    <row r="26" spans="1:24">
      <c r="A26" s="28">
        <f t="shared" si="0"/>
        <v>16.8</v>
      </c>
      <c r="B26" s="31">
        <f t="shared" si="1"/>
        <v>2.9076923076923076</v>
      </c>
      <c r="C26" s="29">
        <f t="shared" si="2"/>
        <v>0</v>
      </c>
      <c r="D26" s="27">
        <f t="shared" si="5"/>
        <v>308.64197530864197</v>
      </c>
      <c r="E26" s="27">
        <f t="shared" si="6"/>
        <v>22.216753482903354</v>
      </c>
      <c r="F26" s="29"/>
      <c r="G26" s="27">
        <f t="shared" si="7"/>
        <v>22.216753482903354</v>
      </c>
      <c r="H26" s="29">
        <f t="shared" si="3"/>
        <v>22.216753482903354</v>
      </c>
      <c r="I26" s="30">
        <f t="shared" si="8"/>
        <v>3.4900896568047309E-6</v>
      </c>
      <c r="J26" s="37">
        <f t="shared" si="11"/>
        <v>6.9030726816568053E-5</v>
      </c>
      <c r="K26" s="71">
        <f t="shared" si="9"/>
        <v>1</v>
      </c>
      <c r="L26" s="28">
        <f t="shared" si="4"/>
        <v>23.142451544690992</v>
      </c>
      <c r="M26" s="28">
        <f t="shared" si="12"/>
        <v>1.0771881656804726E-3</v>
      </c>
      <c r="N26" s="28">
        <f t="shared" si="10"/>
        <v>308.64197530864197</v>
      </c>
    </row>
    <row r="27" spans="1:24">
      <c r="A27" s="28">
        <f t="shared" si="0"/>
        <v>16.8</v>
      </c>
      <c r="B27" s="31">
        <f t="shared" si="1"/>
        <v>3.069230769230769</v>
      </c>
      <c r="C27" s="29">
        <f t="shared" si="2"/>
        <v>0</v>
      </c>
      <c r="D27" s="27">
        <f t="shared" si="5"/>
        <v>308.64197530864197</v>
      </c>
      <c r="E27" s="27">
        <f t="shared" si="6"/>
        <v>22.47812705329045</v>
      </c>
      <c r="F27" s="29"/>
      <c r="G27" s="27">
        <f t="shared" si="7"/>
        <v>22.47812705329045</v>
      </c>
      <c r="H27" s="29">
        <f t="shared" si="3"/>
        <v>22.47812705329045</v>
      </c>
      <c r="I27" s="30">
        <f t="shared" si="8"/>
        <v>3.4495072189349087E-6</v>
      </c>
      <c r="J27" s="37">
        <f t="shared" si="11"/>
        <v>7.2480234035502956E-5</v>
      </c>
      <c r="K27" s="71">
        <f t="shared" si="9"/>
        <v>1</v>
      </c>
      <c r="L27" s="28">
        <f t="shared" si="4"/>
        <v>23.414715680510888</v>
      </c>
      <c r="M27" s="28">
        <f t="shared" si="12"/>
        <v>1.0646627218934904E-3</v>
      </c>
      <c r="N27" s="28">
        <f t="shared" si="10"/>
        <v>308.64197530864197</v>
      </c>
    </row>
    <row r="28" spans="1:24">
      <c r="A28" s="28">
        <f t="shared" si="0"/>
        <v>16.8</v>
      </c>
      <c r="B28" s="31">
        <f t="shared" si="1"/>
        <v>3.2307692307692313</v>
      </c>
      <c r="C28" s="29">
        <f t="shared" si="2"/>
        <v>0</v>
      </c>
      <c r="D28" s="27">
        <f t="shared" si="5"/>
        <v>308.64197530864197</v>
      </c>
      <c r="E28" s="27">
        <f t="shared" si="6"/>
        <v>22.745723803924861</v>
      </c>
      <c r="F28" s="29"/>
      <c r="G28" s="27">
        <f t="shared" si="7"/>
        <v>22.745723803924861</v>
      </c>
      <c r="H28" s="29">
        <f t="shared" si="3"/>
        <v>22.745723803924861</v>
      </c>
      <c r="I28" s="30">
        <f t="shared" si="8"/>
        <v>3.4089247810651052E-6</v>
      </c>
      <c r="J28" s="37">
        <f t="shared" si="11"/>
        <v>7.5889158816568056E-5</v>
      </c>
      <c r="K28" s="71">
        <f t="shared" si="9"/>
        <v>1</v>
      </c>
      <c r="L28" s="28">
        <f t="shared" si="4"/>
        <v>23.693462295755065</v>
      </c>
      <c r="M28" s="28">
        <f t="shared" si="12"/>
        <v>1.0521372781065138E-3</v>
      </c>
      <c r="N28" s="28">
        <f t="shared" si="10"/>
        <v>308.64197530864197</v>
      </c>
    </row>
    <row r="29" spans="1:24">
      <c r="A29" s="28">
        <f t="shared" si="0"/>
        <v>16.8</v>
      </c>
      <c r="B29" s="31">
        <f t="shared" si="1"/>
        <v>3.3923076923076927</v>
      </c>
      <c r="C29" s="29">
        <f t="shared" si="2"/>
        <v>0</v>
      </c>
      <c r="D29" s="27">
        <f t="shared" si="5"/>
        <v>308.64197530864197</v>
      </c>
      <c r="E29" s="27">
        <f t="shared" si="6"/>
        <v>23.019768669032391</v>
      </c>
      <c r="F29" s="29"/>
      <c r="G29" s="27">
        <f t="shared" si="7"/>
        <v>23.019768669032391</v>
      </c>
      <c r="H29" s="29">
        <f t="shared" si="3"/>
        <v>23.019768669032391</v>
      </c>
      <c r="I29" s="30">
        <f t="shared" si="8"/>
        <v>3.3683423431952635E-6</v>
      </c>
      <c r="J29" s="37">
        <f t="shared" si="11"/>
        <v>7.9257501159763323E-5</v>
      </c>
      <c r="K29" s="71">
        <f t="shared" si="9"/>
        <v>1</v>
      </c>
      <c r="L29" s="28">
        <f t="shared" si="4"/>
        <v>23.978925696908739</v>
      </c>
      <c r="M29" s="28">
        <f t="shared" si="12"/>
        <v>1.0396118343195258E-3</v>
      </c>
      <c r="N29" s="28">
        <f t="shared" si="10"/>
        <v>308.64197530864197</v>
      </c>
    </row>
    <row r="30" spans="1:24">
      <c r="A30" s="28">
        <f t="shared" si="0"/>
        <v>16.8</v>
      </c>
      <c r="B30" s="31">
        <f t="shared" si="1"/>
        <v>3.5538461538461541</v>
      </c>
      <c r="C30" s="29">
        <f t="shared" si="2"/>
        <v>0</v>
      </c>
      <c r="D30" s="27">
        <f t="shared" si="5"/>
        <v>308.64197530864197</v>
      </c>
      <c r="E30" s="27">
        <f t="shared" si="6"/>
        <v>23.300497555240103</v>
      </c>
      <c r="F30" s="29"/>
      <c r="G30" s="27">
        <f t="shared" si="7"/>
        <v>23.300497555240103</v>
      </c>
      <c r="H30" s="29">
        <f t="shared" si="3"/>
        <v>23.300497555240103</v>
      </c>
      <c r="I30" s="30">
        <f t="shared" si="8"/>
        <v>3.3277599053254409E-6</v>
      </c>
      <c r="J30" s="37">
        <f t="shared" si="11"/>
        <v>8.258526106508876E-5</v>
      </c>
      <c r="K30" s="71">
        <f t="shared" si="9"/>
        <v>1</v>
      </c>
      <c r="L30" s="28">
        <f t="shared" si="4"/>
        <v>24.271351620041774</v>
      </c>
      <c r="M30" s="28">
        <f t="shared" si="12"/>
        <v>1.0270863905325436E-3</v>
      </c>
      <c r="N30" s="28">
        <f t="shared" si="10"/>
        <v>308.64197530864197</v>
      </c>
    </row>
    <row r="31" spans="1:24">
      <c r="A31" s="28">
        <f t="shared" si="0"/>
        <v>16.8</v>
      </c>
      <c r="B31" s="31">
        <f t="shared" si="1"/>
        <v>3.7153846153846155</v>
      </c>
      <c r="C31" s="29">
        <f t="shared" si="2"/>
        <v>0</v>
      </c>
      <c r="D31" s="27">
        <f t="shared" si="5"/>
        <v>308.64197530864197</v>
      </c>
      <c r="E31" s="27">
        <f t="shared" si="6"/>
        <v>23.588158018885039</v>
      </c>
      <c r="F31" s="29"/>
      <c r="G31" s="27">
        <f t="shared" si="7"/>
        <v>23.588158018885039</v>
      </c>
      <c r="H31" s="29">
        <f t="shared" si="3"/>
        <v>23.588158018885039</v>
      </c>
      <c r="I31" s="30">
        <f t="shared" si="8"/>
        <v>3.2871774674556192E-6</v>
      </c>
      <c r="J31" s="37">
        <f t="shared" si="11"/>
        <v>8.5872438532544378E-5</v>
      </c>
      <c r="K31" s="71">
        <f t="shared" si="9"/>
        <v>1</v>
      </c>
      <c r="L31" s="28">
        <f t="shared" si="4"/>
        <v>24.570997936338582</v>
      </c>
      <c r="M31" s="28">
        <f t="shared" si="12"/>
        <v>1.0145609467455614E-3</v>
      </c>
      <c r="N31" s="28">
        <f t="shared" si="10"/>
        <v>308.64197530864197</v>
      </c>
    </row>
    <row r="32" spans="1:24">
      <c r="A32" s="28">
        <f t="shared" si="0"/>
        <v>16.8</v>
      </c>
      <c r="B32" s="31">
        <f t="shared" si="1"/>
        <v>3.8769230769230774</v>
      </c>
      <c r="C32" s="29">
        <f t="shared" si="2"/>
        <v>0</v>
      </c>
      <c r="D32" s="27">
        <f t="shared" si="5"/>
        <v>308.64197530864197</v>
      </c>
      <c r="E32" s="27">
        <f t="shared" si="6"/>
        <v>23.883009994121103</v>
      </c>
      <c r="F32" s="29"/>
      <c r="G32" s="27">
        <f t="shared" si="7"/>
        <v>23.883009994121103</v>
      </c>
      <c r="H32" s="29">
        <f t="shared" si="3"/>
        <v>23.883009994121103</v>
      </c>
      <c r="I32" s="30">
        <f t="shared" si="8"/>
        <v>3.2465950295858055E-6</v>
      </c>
      <c r="J32" s="37">
        <f t="shared" si="11"/>
        <v>8.9119033562130178E-5</v>
      </c>
      <c r="K32" s="71">
        <f t="shared" si="9"/>
        <v>1</v>
      </c>
      <c r="L32" s="28">
        <f t="shared" si="4"/>
        <v>24.878135410542814</v>
      </c>
      <c r="M32" s="28">
        <f t="shared" si="12"/>
        <v>1.002035502958582E-3</v>
      </c>
      <c r="N32" s="28">
        <f t="shared" si="10"/>
        <v>308.64197530864197</v>
      </c>
    </row>
    <row r="33" spans="1:14">
      <c r="A33" s="28">
        <f t="shared" si="0"/>
        <v>16.8</v>
      </c>
      <c r="B33" s="31">
        <f t="shared" si="1"/>
        <v>4.0384615384615383</v>
      </c>
      <c r="C33" s="29">
        <f t="shared" si="2"/>
        <v>0</v>
      </c>
      <c r="D33" s="27">
        <f t="shared" si="5"/>
        <v>308.64197530864197</v>
      </c>
      <c r="E33" s="27">
        <f t="shared" si="6"/>
        <v>24.185326576325167</v>
      </c>
      <c r="F33" s="29"/>
      <c r="G33" s="27">
        <f t="shared" si="7"/>
        <v>24.185326576325167</v>
      </c>
      <c r="H33" s="29">
        <f t="shared" si="3"/>
        <v>24.185326576325167</v>
      </c>
      <c r="I33" s="30">
        <f t="shared" si="8"/>
        <v>3.2060125917159651E-6</v>
      </c>
      <c r="J33" s="37">
        <f t="shared" si="11"/>
        <v>9.2325046153846147E-5</v>
      </c>
      <c r="K33" s="71">
        <f t="shared" si="9"/>
        <v>1</v>
      </c>
      <c r="L33" s="28">
        <f t="shared" si="4"/>
        <v>25.193048517005384</v>
      </c>
      <c r="M33" s="28">
        <f t="shared" si="12"/>
        <v>9.8951005917159414E-4</v>
      </c>
      <c r="N33" s="28">
        <f t="shared" si="10"/>
        <v>308.64197530864197</v>
      </c>
    </row>
    <row r="34" spans="1:14">
      <c r="A34" s="28">
        <f t="shared" si="0"/>
        <v>16.8</v>
      </c>
      <c r="B34" s="31">
        <f t="shared" si="1"/>
        <v>4.2</v>
      </c>
      <c r="C34" s="29">
        <f t="shared" si="2"/>
        <v>0</v>
      </c>
      <c r="D34" s="27">
        <f t="shared" si="5"/>
        <v>308.64197530864197</v>
      </c>
      <c r="E34" s="27">
        <f t="shared" si="6"/>
        <v>24.495394865765235</v>
      </c>
      <c r="F34" s="29"/>
      <c r="G34" s="27">
        <f t="shared" si="7"/>
        <v>24.495394865765235</v>
      </c>
      <c r="H34" s="29">
        <f t="shared" si="3"/>
        <v>24.495394865765235</v>
      </c>
      <c r="I34" s="30">
        <f t="shared" si="8"/>
        <v>3.1654301538461603E-6</v>
      </c>
      <c r="J34" s="37">
        <f t="shared" si="11"/>
        <v>9.5490476307692312E-5</v>
      </c>
      <c r="K34" s="71">
        <f t="shared" si="9"/>
        <v>1</v>
      </c>
      <c r="L34" s="28">
        <f t="shared" si="4"/>
        <v>25.516036318505453</v>
      </c>
      <c r="M34" s="28">
        <f t="shared" si="12"/>
        <v>9.7698461538461736E-4</v>
      </c>
      <c r="N34" s="28">
        <f t="shared" si="10"/>
        <v>308.64197530864197</v>
      </c>
    </row>
    <row r="35" spans="1:14">
      <c r="A35" s="28">
        <f t="shared" si="0"/>
        <v>16.8</v>
      </c>
      <c r="B35" s="31">
        <f t="shared" si="1"/>
        <v>4.361538461538462</v>
      </c>
      <c r="C35" s="29">
        <f t="shared" si="2"/>
        <v>0</v>
      </c>
      <c r="D35" s="27">
        <f t="shared" si="5"/>
        <v>308.64197530864197</v>
      </c>
      <c r="E35" s="27">
        <f t="shared" si="6"/>
        <v>24.81351687700894</v>
      </c>
      <c r="F35" s="29"/>
      <c r="G35" s="27">
        <f t="shared" si="7"/>
        <v>24.81351687700894</v>
      </c>
      <c r="H35" s="29">
        <f t="shared" si="3"/>
        <v>24.81351687700894</v>
      </c>
      <c r="I35" s="30">
        <f t="shared" si="8"/>
        <v>3.1248477159763377E-6</v>
      </c>
      <c r="J35" s="37">
        <f t="shared" si="11"/>
        <v>9.8615324023668645E-5</v>
      </c>
      <c r="K35" s="71">
        <f t="shared" si="9"/>
        <v>1</v>
      </c>
      <c r="L35" s="28">
        <f t="shared" si="4"/>
        <v>25.847413413550978</v>
      </c>
      <c r="M35" s="28">
        <f t="shared" si="12"/>
        <v>9.6445917159763506E-4</v>
      </c>
      <c r="N35" s="28">
        <f t="shared" si="10"/>
        <v>308.64197530864197</v>
      </c>
    </row>
    <row r="36" spans="1:14">
      <c r="A36" s="28">
        <f t="shared" si="0"/>
        <v>16.8</v>
      </c>
      <c r="B36" s="31">
        <f t="shared" si="1"/>
        <v>4.523076923076923</v>
      </c>
      <c r="C36" s="29">
        <f t="shared" si="2"/>
        <v>0</v>
      </c>
      <c r="D36" s="27">
        <f t="shared" si="5"/>
        <v>308.64197530864197</v>
      </c>
      <c r="E36" s="27">
        <f t="shared" si="6"/>
        <v>25.140010520127479</v>
      </c>
      <c r="F36" s="29"/>
      <c r="G36" s="27">
        <f t="shared" si="7"/>
        <v>25.140010520127479</v>
      </c>
      <c r="H36" s="29">
        <f t="shared" si="3"/>
        <v>25.140010520127479</v>
      </c>
      <c r="I36" s="30">
        <f t="shared" si="8"/>
        <v>3.0842652781064978E-6</v>
      </c>
      <c r="J36" s="37">
        <f t="shared" si="11"/>
        <v>1.0169958930177515E-4</v>
      </c>
      <c r="K36" s="71">
        <f t="shared" si="9"/>
        <v>1</v>
      </c>
      <c r="L36" s="28">
        <f t="shared" si="4"/>
        <v>26.187510958466124</v>
      </c>
      <c r="M36" s="28">
        <f t="shared" si="12"/>
        <v>9.5193372781064755E-4</v>
      </c>
      <c r="N36" s="28">
        <f t="shared" si="10"/>
        <v>308.64197530864197</v>
      </c>
    </row>
    <row r="37" spans="1:14">
      <c r="A37" s="28">
        <f t="shared" si="0"/>
        <v>16.8</v>
      </c>
      <c r="B37" s="31">
        <f t="shared" si="1"/>
        <v>4.6846153846153848</v>
      </c>
      <c r="C37" s="29">
        <f t="shared" si="2"/>
        <v>0</v>
      </c>
      <c r="D37" s="27">
        <f t="shared" si="5"/>
        <v>308.64197530864197</v>
      </c>
      <c r="E37" s="27">
        <f t="shared" si="6"/>
        <v>25.475210660395842</v>
      </c>
      <c r="F37" s="29"/>
      <c r="G37" s="27">
        <f t="shared" si="7"/>
        <v>25.475210660395842</v>
      </c>
      <c r="H37" s="29">
        <f t="shared" si="3"/>
        <v>25.475210660395842</v>
      </c>
      <c r="I37" s="30">
        <f t="shared" si="8"/>
        <v>3.043682840236693E-6</v>
      </c>
      <c r="J37" s="37">
        <f t="shared" si="11"/>
        <v>1.0474327214201184E-4</v>
      </c>
      <c r="K37" s="71">
        <f t="shared" si="9"/>
        <v>1</v>
      </c>
      <c r="L37" s="28">
        <f t="shared" si="4"/>
        <v>26.536677771245671</v>
      </c>
      <c r="M37" s="28">
        <f t="shared" si="12"/>
        <v>9.3940828402367066E-4</v>
      </c>
      <c r="N37" s="28">
        <f t="shared" si="10"/>
        <v>308.64197530864197</v>
      </c>
    </row>
    <row r="38" spans="1:14">
      <c r="A38" s="28">
        <f t="shared" si="0"/>
        <v>16.8</v>
      </c>
      <c r="B38" s="31">
        <f t="shared" si="1"/>
        <v>4.8461538461538458</v>
      </c>
      <c r="C38" s="29">
        <f t="shared" si="2"/>
        <v>0</v>
      </c>
      <c r="D38" s="27">
        <f t="shared" si="5"/>
        <v>308.64197530864197</v>
      </c>
      <c r="E38" s="27">
        <f t="shared" si="6"/>
        <v>25.81947026391471</v>
      </c>
      <c r="F38" s="29"/>
      <c r="G38" s="27">
        <f t="shared" si="7"/>
        <v>25.81947026391471</v>
      </c>
      <c r="H38" s="29">
        <f t="shared" si="3"/>
        <v>25.81947026391471</v>
      </c>
      <c r="I38" s="30">
        <f t="shared" si="8"/>
        <v>3.003100402366853E-6</v>
      </c>
      <c r="J38" s="37">
        <f t="shared" si="11"/>
        <v>1.077463725443787E-4</v>
      </c>
      <c r="K38" s="71">
        <f t="shared" si="9"/>
        <v>1</v>
      </c>
      <c r="L38" s="28">
        <f t="shared" si="4"/>
        <v>26.895281524911155</v>
      </c>
      <c r="M38" s="28">
        <f t="shared" si="12"/>
        <v>9.2688284023668304E-4</v>
      </c>
      <c r="N38" s="28">
        <f t="shared" si="10"/>
        <v>308.64197530864197</v>
      </c>
    </row>
    <row r="39" spans="1:14">
      <c r="A39" s="28">
        <f t="shared" si="0"/>
        <v>16.8</v>
      </c>
      <c r="B39" s="31">
        <f t="shared" si="1"/>
        <v>5.0076923076923077</v>
      </c>
      <c r="C39" s="29">
        <f t="shared" si="2"/>
        <v>0</v>
      </c>
      <c r="D39" s="27">
        <f t="shared" si="5"/>
        <v>308.64197530864197</v>
      </c>
      <c r="E39" s="27">
        <f t="shared" si="6"/>
        <v>26.17316163739299</v>
      </c>
      <c r="F39" s="29"/>
      <c r="G39" s="27">
        <f t="shared" si="7"/>
        <v>26.17316163739299</v>
      </c>
      <c r="H39" s="29">
        <f t="shared" si="3"/>
        <v>26.17316163739299</v>
      </c>
      <c r="I39" s="30">
        <f t="shared" si="8"/>
        <v>2.9625179644970474E-6</v>
      </c>
      <c r="J39" s="37">
        <f t="shared" si="11"/>
        <v>1.1070889050887574E-4</v>
      </c>
      <c r="K39" s="71">
        <f t="shared" si="9"/>
        <v>1</v>
      </c>
      <c r="L39" s="28">
        <f t="shared" si="4"/>
        <v>27.263710038951029</v>
      </c>
      <c r="M39" s="28">
        <f t="shared" si="12"/>
        <v>9.1435739644970605E-4</v>
      </c>
      <c r="N39" s="28">
        <f t="shared" si="10"/>
        <v>308.64197530864197</v>
      </c>
    </row>
    <row r="40" spans="1:14">
      <c r="A40" s="28">
        <f t="shared" ref="A40:A71" si="13">VINMAX</f>
        <v>16.8</v>
      </c>
      <c r="B40" s="31">
        <f t="shared" ref="B40:B71" si="14">VINMAX*((ROW()-8)/104)</f>
        <v>5.1692307692307695</v>
      </c>
      <c r="C40" s="29">
        <f t="shared" ref="C40:C71" si="15">IF(B40&gt;=$H$2,IF($D$2="CC", $G$2, B40/$G$2), 0)</f>
        <v>0</v>
      </c>
      <c r="D40" s="27">
        <f t="shared" ref="D40:D71" si="16">$B$2-B40*$J$2/($I$2*0.001)</f>
        <v>308.64197530864197</v>
      </c>
      <c r="E40" s="27">
        <f t="shared" si="6"/>
        <v>26.536677771245671</v>
      </c>
      <c r="F40" s="29"/>
      <c r="G40" s="27">
        <f t="shared" si="7"/>
        <v>26.536677771245671</v>
      </c>
      <c r="H40" s="29">
        <f t="shared" ref="H40:H71" si="17">G40-C40</f>
        <v>26.536677771245671</v>
      </c>
      <c r="I40" s="30">
        <f t="shared" si="8"/>
        <v>2.9219355266272248E-6</v>
      </c>
      <c r="J40" s="37">
        <f t="shared" si="11"/>
        <v>1.1363082603550297E-4</v>
      </c>
      <c r="K40" s="71">
        <f t="shared" si="9"/>
        <v>1</v>
      </c>
      <c r="L40" s="28">
        <f t="shared" ref="L40:L71" si="18">1/COUTMAX*(E40/2-C40)*1000</f>
        <v>27.642372678380905</v>
      </c>
      <c r="M40" s="28">
        <f t="shared" si="12"/>
        <v>9.0183195266272385E-4</v>
      </c>
      <c r="N40" s="28">
        <f t="shared" si="10"/>
        <v>308.64197530864197</v>
      </c>
    </row>
    <row r="41" spans="1:14">
      <c r="A41" s="28">
        <f t="shared" si="13"/>
        <v>16.8</v>
      </c>
      <c r="B41" s="31">
        <f t="shared" si="14"/>
        <v>5.3307692307692305</v>
      </c>
      <c r="C41" s="29">
        <f t="shared" si="15"/>
        <v>0</v>
      </c>
      <c r="D41" s="27">
        <f t="shared" si="16"/>
        <v>308.64197530864197</v>
      </c>
      <c r="E41" s="27">
        <f t="shared" si="6"/>
        <v>26.910433796192795</v>
      </c>
      <c r="F41" s="29"/>
      <c r="G41" s="27">
        <f t="shared" si="7"/>
        <v>26.910433796192795</v>
      </c>
      <c r="H41" s="29">
        <f t="shared" si="17"/>
        <v>26.910433796192795</v>
      </c>
      <c r="I41" s="30">
        <f t="shared" ref="I41:I72" si="19">(COUTMAX/1000000)*(B41-B40)/H41</f>
        <v>2.8813530887573861E-6</v>
      </c>
      <c r="J41" s="37">
        <f t="shared" si="11"/>
        <v>1.1651217912426036E-4</v>
      </c>
      <c r="K41" s="71">
        <f t="shared" si="9"/>
        <v>1</v>
      </c>
      <c r="L41" s="28">
        <f t="shared" si="18"/>
        <v>28.031701871034162</v>
      </c>
      <c r="M41" s="28">
        <f t="shared" si="12"/>
        <v>8.8930650887573644E-4</v>
      </c>
      <c r="N41" s="28">
        <f t="shared" si="10"/>
        <v>308.64197530864197</v>
      </c>
    </row>
    <row r="42" spans="1:14">
      <c r="A42" s="28">
        <f t="shared" si="13"/>
        <v>16.8</v>
      </c>
      <c r="B42" s="31">
        <f t="shared" si="14"/>
        <v>5.4923076923076923</v>
      </c>
      <c r="C42" s="29">
        <f t="shared" si="15"/>
        <v>0</v>
      </c>
      <c r="D42" s="27">
        <f t="shared" si="16"/>
        <v>308.64197530864197</v>
      </c>
      <c r="E42" s="27">
        <f t="shared" si="6"/>
        <v>27.294868564709834</v>
      </c>
      <c r="F42" s="29"/>
      <c r="G42" s="27">
        <f t="shared" si="7"/>
        <v>27.294868564709834</v>
      </c>
      <c r="H42" s="29">
        <f t="shared" si="17"/>
        <v>27.294868564709834</v>
      </c>
      <c r="I42" s="30">
        <f t="shared" si="19"/>
        <v>2.8407706508875796E-6</v>
      </c>
      <c r="J42" s="37">
        <f t="shared" si="11"/>
        <v>1.1935294977514794E-4</v>
      </c>
      <c r="K42" s="71">
        <f t="shared" si="9"/>
        <v>1</v>
      </c>
      <c r="L42" s="28">
        <f t="shared" si="18"/>
        <v>28.432154754906076</v>
      </c>
      <c r="M42" s="28">
        <f t="shared" si="12"/>
        <v>8.7678106508875923E-4</v>
      </c>
      <c r="N42" s="28">
        <f t="shared" si="10"/>
        <v>308.64197530864197</v>
      </c>
    </row>
    <row r="43" spans="1:14">
      <c r="A43" s="28">
        <f t="shared" si="13"/>
        <v>16.8</v>
      </c>
      <c r="B43" s="31">
        <f t="shared" si="14"/>
        <v>5.6538461538461542</v>
      </c>
      <c r="C43" s="29">
        <f t="shared" si="15"/>
        <v>0</v>
      </c>
      <c r="D43" s="27">
        <f t="shared" si="16"/>
        <v>308.64197530864197</v>
      </c>
      <c r="E43" s="27">
        <f t="shared" si="6"/>
        <v>27.690446369995481</v>
      </c>
      <c r="F43" s="29"/>
      <c r="G43" s="27">
        <f t="shared" si="7"/>
        <v>27.690446369995481</v>
      </c>
      <c r="H43" s="29">
        <f t="shared" si="17"/>
        <v>27.690446369995481</v>
      </c>
      <c r="I43" s="30">
        <f t="shared" si="19"/>
        <v>2.8001882130177574E-6</v>
      </c>
      <c r="J43" s="37">
        <f t="shared" si="11"/>
        <v>1.2215313798816569E-4</v>
      </c>
      <c r="K43" s="71">
        <f t="shared" si="9"/>
        <v>1</v>
      </c>
      <c r="L43" s="28">
        <f t="shared" si="18"/>
        <v>28.844214968745291</v>
      </c>
      <c r="M43" s="28">
        <f t="shared" si="12"/>
        <v>8.6425562130177692E-4</v>
      </c>
      <c r="N43" s="28">
        <f t="shared" si="10"/>
        <v>308.64197530864197</v>
      </c>
    </row>
    <row r="44" spans="1:14">
      <c r="A44" s="28">
        <f t="shared" si="13"/>
        <v>16.8</v>
      </c>
      <c r="B44" s="31">
        <f t="shared" si="14"/>
        <v>5.8153846153846152</v>
      </c>
      <c r="C44" s="29">
        <f t="shared" si="15"/>
        <v>0</v>
      </c>
      <c r="D44" s="27">
        <f t="shared" si="16"/>
        <v>308.64197530864197</v>
      </c>
      <c r="E44" s="27">
        <f t="shared" si="6"/>
        <v>28.097658816613066</v>
      </c>
      <c r="F44" s="29"/>
      <c r="G44" s="27">
        <f t="shared" si="7"/>
        <v>28.097658816613066</v>
      </c>
      <c r="H44" s="29">
        <f t="shared" si="17"/>
        <v>28.097658816613066</v>
      </c>
      <c r="I44" s="30">
        <f t="shared" si="19"/>
        <v>2.7596057751479192E-6</v>
      </c>
      <c r="J44" s="37">
        <f t="shared" si="11"/>
        <v>1.2491274376331361E-4</v>
      </c>
      <c r="K44" s="71">
        <f t="shared" si="9"/>
        <v>1</v>
      </c>
      <c r="L44" s="28">
        <f t="shared" si="18"/>
        <v>29.268394600638612</v>
      </c>
      <c r="M44" s="28">
        <f t="shared" si="12"/>
        <v>8.5173017751478985E-4</v>
      </c>
      <c r="N44" s="28">
        <f t="shared" si="10"/>
        <v>308.64197530864197</v>
      </c>
    </row>
    <row r="45" spans="1:14">
      <c r="A45" s="28">
        <f t="shared" si="13"/>
        <v>16.8</v>
      </c>
      <c r="B45" s="31">
        <f t="shared" si="14"/>
        <v>5.976923076923077</v>
      </c>
      <c r="C45" s="29">
        <f t="shared" si="15"/>
        <v>0</v>
      </c>
      <c r="D45" s="27">
        <f t="shared" si="16"/>
        <v>308.64197530864197</v>
      </c>
      <c r="E45" s="27">
        <f t="shared" si="6"/>
        <v>28.517026858652063</v>
      </c>
      <c r="F45" s="29"/>
      <c r="G45" s="27">
        <f t="shared" si="7"/>
        <v>28.517026858652063</v>
      </c>
      <c r="H45" s="29">
        <f t="shared" si="17"/>
        <v>28.517026858652063</v>
      </c>
      <c r="I45" s="30">
        <f t="shared" si="19"/>
        <v>2.7190233372781122E-6</v>
      </c>
      <c r="J45" s="37">
        <f t="shared" si="11"/>
        <v>1.2763176710059172E-4</v>
      </c>
      <c r="K45" s="71">
        <f t="shared" si="9"/>
        <v>1</v>
      </c>
      <c r="L45" s="28">
        <f t="shared" si="18"/>
        <v>29.705236311095899</v>
      </c>
      <c r="M45" s="28">
        <f t="shared" si="12"/>
        <v>8.3920473372781242E-4</v>
      </c>
      <c r="N45" s="28">
        <f t="shared" si="10"/>
        <v>308.64197530864197</v>
      </c>
    </row>
    <row r="46" spans="1:14">
      <c r="A46" s="28">
        <f t="shared" si="13"/>
        <v>16.8</v>
      </c>
      <c r="B46" s="31">
        <f t="shared" si="14"/>
        <v>6.138461538461538</v>
      </c>
      <c r="C46" s="29">
        <f t="shared" si="15"/>
        <v>0</v>
      </c>
      <c r="D46" s="27">
        <f t="shared" si="16"/>
        <v>308.64197530864197</v>
      </c>
      <c r="E46" s="27">
        <f t="shared" si="6"/>
        <v>28.949103023177095</v>
      </c>
      <c r="F46" s="29"/>
      <c r="G46" s="27">
        <f t="shared" si="7"/>
        <v>28.949103023177095</v>
      </c>
      <c r="H46" s="29">
        <f t="shared" si="17"/>
        <v>28.949103023177095</v>
      </c>
      <c r="I46" s="30">
        <f t="shared" si="19"/>
        <v>2.6784408994082744E-6</v>
      </c>
      <c r="J46" s="37">
        <f t="shared" si="11"/>
        <v>1.30310208E-4</v>
      </c>
      <c r="K46" s="71">
        <f t="shared" si="9"/>
        <v>1</v>
      </c>
      <c r="L46" s="28">
        <f t="shared" si="18"/>
        <v>30.155315649142807</v>
      </c>
      <c r="M46" s="28">
        <f t="shared" si="12"/>
        <v>8.2667928994082556E-4</v>
      </c>
      <c r="N46" s="28">
        <f t="shared" si="10"/>
        <v>308.64197530864197</v>
      </c>
    </row>
    <row r="47" spans="1:14">
      <c r="A47" s="28">
        <f t="shared" si="13"/>
        <v>16.8</v>
      </c>
      <c r="B47" s="31">
        <f t="shared" si="14"/>
        <v>6.3000000000000007</v>
      </c>
      <c r="C47" s="29">
        <f t="shared" si="15"/>
        <v>0</v>
      </c>
      <c r="D47" s="27">
        <f t="shared" si="16"/>
        <v>308.64197530864197</v>
      </c>
      <c r="E47" s="27">
        <f t="shared" si="6"/>
        <v>29.394473838918284</v>
      </c>
      <c r="F47" s="29"/>
      <c r="G47" s="27">
        <f t="shared" si="7"/>
        <v>29.394473838918284</v>
      </c>
      <c r="H47" s="29">
        <f t="shared" si="17"/>
        <v>29.394473838918284</v>
      </c>
      <c r="I47" s="30">
        <f t="shared" si="19"/>
        <v>2.637858461538481E-6</v>
      </c>
      <c r="J47" s="37">
        <f t="shared" si="11"/>
        <v>1.3294806646153848E-4</v>
      </c>
      <c r="K47" s="71">
        <f t="shared" si="9"/>
        <v>1</v>
      </c>
      <c r="L47" s="28">
        <f t="shared" si="18"/>
        <v>30.619243582206543</v>
      </c>
      <c r="M47" s="28">
        <f t="shared" si="12"/>
        <v>8.1415384615385225E-4</v>
      </c>
      <c r="N47" s="28">
        <f t="shared" si="10"/>
        <v>308.64197530864197</v>
      </c>
    </row>
    <row r="48" spans="1:14">
      <c r="A48" s="28">
        <f t="shared" si="13"/>
        <v>16.8</v>
      </c>
      <c r="B48" s="31">
        <f t="shared" si="14"/>
        <v>6.4615384615384626</v>
      </c>
      <c r="C48" s="29">
        <f t="shared" si="15"/>
        <v>0</v>
      </c>
      <c r="D48" s="27">
        <f t="shared" si="16"/>
        <v>308.64197530864197</v>
      </c>
      <c r="E48" s="27">
        <f t="shared" si="6"/>
        <v>29.853762492651384</v>
      </c>
      <c r="F48" s="29"/>
      <c r="G48" s="27">
        <f t="shared" si="7"/>
        <v>29.853762492651384</v>
      </c>
      <c r="H48" s="29">
        <f t="shared" si="17"/>
        <v>29.853762492651384</v>
      </c>
      <c r="I48" s="30">
        <f t="shared" si="19"/>
        <v>2.5972760236686441E-6</v>
      </c>
      <c r="J48" s="37">
        <f t="shared" si="11"/>
        <v>1.3554534248520712E-4</v>
      </c>
      <c r="K48" s="71">
        <f t="shared" si="9"/>
        <v>1</v>
      </c>
      <c r="L48" s="28">
        <f t="shared" si="18"/>
        <v>31.097669263178524</v>
      </c>
      <c r="M48" s="28">
        <f t="shared" si="12"/>
        <v>8.0162840236686539E-4</v>
      </c>
      <c r="N48" s="28">
        <f t="shared" si="10"/>
        <v>308.64197530864197</v>
      </c>
    </row>
    <row r="49" spans="1:14">
      <c r="A49" s="28">
        <f t="shared" si="13"/>
        <v>16.8</v>
      </c>
      <c r="B49" s="31">
        <f t="shared" si="14"/>
        <v>6.6230769230769235</v>
      </c>
      <c r="C49" s="29">
        <f t="shared" si="15"/>
        <v>0</v>
      </c>
      <c r="D49" s="27">
        <f t="shared" si="16"/>
        <v>308.64197530864197</v>
      </c>
      <c r="E49" s="27">
        <f t="shared" si="6"/>
        <v>30.327631738566481</v>
      </c>
      <c r="F49" s="29"/>
      <c r="G49" s="27">
        <f t="shared" si="7"/>
        <v>30.327631738566481</v>
      </c>
      <c r="H49" s="29">
        <f t="shared" si="17"/>
        <v>30.327631738566481</v>
      </c>
      <c r="I49" s="30">
        <f t="shared" si="19"/>
        <v>2.5566935857988075E-6</v>
      </c>
      <c r="J49" s="37">
        <f t="shared" si="11"/>
        <v>1.3810203607100594E-4</v>
      </c>
      <c r="K49" s="71">
        <f t="shared" si="9"/>
        <v>1</v>
      </c>
      <c r="L49" s="28">
        <f t="shared" si="18"/>
        <v>31.591283061006752</v>
      </c>
      <c r="M49" s="28">
        <f t="shared" si="12"/>
        <v>7.8910295857987896E-4</v>
      </c>
      <c r="N49" s="28">
        <f t="shared" si="10"/>
        <v>308.64197530864197</v>
      </c>
    </row>
    <row r="50" spans="1:14">
      <c r="A50" s="28">
        <f t="shared" si="13"/>
        <v>16.8</v>
      </c>
      <c r="B50" s="31">
        <f t="shared" si="14"/>
        <v>6.7846153846153854</v>
      </c>
      <c r="C50" s="29">
        <f t="shared" si="15"/>
        <v>0</v>
      </c>
      <c r="D50" s="27">
        <f t="shared" si="16"/>
        <v>308.64197530864197</v>
      </c>
      <c r="E50" s="27">
        <f t="shared" si="6"/>
        <v>30.816787089188523</v>
      </c>
      <c r="F50" s="29"/>
      <c r="G50" s="27">
        <f t="shared" si="7"/>
        <v>30.816787089188523</v>
      </c>
      <c r="H50" s="29">
        <f t="shared" si="17"/>
        <v>30.816787089188523</v>
      </c>
      <c r="I50" s="30">
        <f t="shared" si="19"/>
        <v>2.5161111479289993E-6</v>
      </c>
      <c r="J50" s="37">
        <f t="shared" si="11"/>
        <v>1.4061814721893495E-4</v>
      </c>
      <c r="K50" s="71">
        <f t="shared" si="9"/>
        <v>1</v>
      </c>
      <c r="L50" s="28">
        <f t="shared" si="18"/>
        <v>32.100819884571379</v>
      </c>
      <c r="M50" s="28">
        <f t="shared" si="12"/>
        <v>7.7657751479290099E-4</v>
      </c>
      <c r="N50" s="28">
        <f t="shared" si="10"/>
        <v>308.64197530864197</v>
      </c>
    </row>
    <row r="51" spans="1:14">
      <c r="A51" s="28">
        <f t="shared" si="13"/>
        <v>16.8</v>
      </c>
      <c r="B51" s="31">
        <f t="shared" si="14"/>
        <v>6.9461538461538463</v>
      </c>
      <c r="C51" s="29">
        <f t="shared" si="15"/>
        <v>0</v>
      </c>
      <c r="D51" s="27">
        <f t="shared" si="16"/>
        <v>308.64197530864197</v>
      </c>
      <c r="E51" s="27">
        <f t="shared" si="6"/>
        <v>31.321980320158826</v>
      </c>
      <c r="F51" s="29"/>
      <c r="G51" s="27">
        <f t="shared" si="7"/>
        <v>31.321980320158826</v>
      </c>
      <c r="H51" s="29">
        <f t="shared" si="17"/>
        <v>31.321980320158826</v>
      </c>
      <c r="I51" s="30">
        <f t="shared" si="19"/>
        <v>2.4755287100591627E-6</v>
      </c>
      <c r="J51" s="37">
        <f t="shared" si="11"/>
        <v>1.430936759289941E-4</v>
      </c>
      <c r="K51" s="71">
        <f t="shared" si="9"/>
        <v>1</v>
      </c>
      <c r="L51" s="28">
        <f t="shared" si="18"/>
        <v>32.627062833498776</v>
      </c>
      <c r="M51" s="28">
        <f t="shared" si="12"/>
        <v>7.6405207100591445E-4</v>
      </c>
      <c r="N51" s="28">
        <f t="shared" si="10"/>
        <v>308.64197530864197</v>
      </c>
    </row>
    <row r="52" spans="1:14">
      <c r="A52" s="28">
        <f t="shared" si="13"/>
        <v>16.8</v>
      </c>
      <c r="B52" s="31">
        <f t="shared" si="14"/>
        <v>7.1076923076923082</v>
      </c>
      <c r="C52" s="29">
        <f t="shared" si="15"/>
        <v>0</v>
      </c>
      <c r="D52" s="27">
        <f t="shared" si="16"/>
        <v>308.64197530864197</v>
      </c>
      <c r="E52" s="27">
        <f t="shared" si="6"/>
        <v>31.844013325494803</v>
      </c>
      <c r="F52" s="29"/>
      <c r="G52" s="27">
        <f t="shared" si="7"/>
        <v>31.844013325494803</v>
      </c>
      <c r="H52" s="29">
        <f t="shared" si="17"/>
        <v>31.844013325494803</v>
      </c>
      <c r="I52" s="30">
        <f t="shared" si="19"/>
        <v>2.4349462721893541E-6</v>
      </c>
      <c r="J52" s="37">
        <f t="shared" si="11"/>
        <v>1.4552862220118345E-4</v>
      </c>
      <c r="K52" s="71">
        <f t="shared" si="9"/>
        <v>1</v>
      </c>
      <c r="L52" s="28">
        <f t="shared" si="18"/>
        <v>33.17084721405709</v>
      </c>
      <c r="M52" s="28">
        <f t="shared" si="12"/>
        <v>7.5152662721893648E-4</v>
      </c>
      <c r="N52" s="28">
        <f t="shared" si="10"/>
        <v>308.64197530864197</v>
      </c>
    </row>
    <row r="53" spans="1:14">
      <c r="A53" s="28">
        <f t="shared" si="13"/>
        <v>16.8</v>
      </c>
      <c r="B53" s="31">
        <f t="shared" si="14"/>
        <v>7.2692307692307701</v>
      </c>
      <c r="C53" s="29">
        <f t="shared" si="15"/>
        <v>0</v>
      </c>
      <c r="D53" s="27">
        <f t="shared" si="16"/>
        <v>308.64197530864197</v>
      </c>
      <c r="E53" s="27">
        <f t="shared" si="6"/>
        <v>32.38374236490997</v>
      </c>
      <c r="F53" s="29"/>
      <c r="G53" s="27">
        <f t="shared" si="7"/>
        <v>32.38374236490997</v>
      </c>
      <c r="H53" s="29">
        <f t="shared" si="17"/>
        <v>32.38374236490997</v>
      </c>
      <c r="I53" s="30">
        <f t="shared" si="19"/>
        <v>2.3943638343195315E-6</v>
      </c>
      <c r="J53" s="37">
        <f t="shared" si="11"/>
        <v>1.4792298603550299E-4</v>
      </c>
      <c r="K53" s="71">
        <f t="shared" si="9"/>
        <v>1</v>
      </c>
      <c r="L53" s="28">
        <f t="shared" si="18"/>
        <v>33.733064963447887</v>
      </c>
      <c r="M53" s="28">
        <f t="shared" si="12"/>
        <v>7.3900118343195418E-4</v>
      </c>
      <c r="N53" s="28">
        <f t="shared" si="10"/>
        <v>308.64197530864192</v>
      </c>
    </row>
    <row r="54" spans="1:14">
      <c r="A54" s="28">
        <f t="shared" si="13"/>
        <v>16.8</v>
      </c>
      <c r="B54" s="31">
        <f t="shared" si="14"/>
        <v>7.430769230769231</v>
      </c>
      <c r="C54" s="29">
        <f t="shared" si="15"/>
        <v>0</v>
      </c>
      <c r="D54" s="27">
        <f t="shared" si="16"/>
        <v>308.64197530864197</v>
      </c>
      <c r="E54" s="27">
        <f t="shared" si="6"/>
        <v>32.942082750511865</v>
      </c>
      <c r="F54" s="29"/>
      <c r="G54" s="27">
        <f t="shared" si="7"/>
        <v>32.942082750511865</v>
      </c>
      <c r="H54" s="29">
        <f t="shared" si="17"/>
        <v>32.942082750511865</v>
      </c>
      <c r="I54" s="30">
        <f t="shared" si="19"/>
        <v>2.3537813964496958E-6</v>
      </c>
      <c r="J54" s="37">
        <f t="shared" si="11"/>
        <v>1.5027676743195267E-4</v>
      </c>
      <c r="K54" s="71">
        <f t="shared" si="9"/>
        <v>1</v>
      </c>
      <c r="L54" s="28">
        <f t="shared" si="18"/>
        <v>34.314669531783196</v>
      </c>
      <c r="M54" s="28">
        <f t="shared" si="12"/>
        <v>7.2647573964496786E-4</v>
      </c>
      <c r="N54" s="28">
        <f t="shared" si="10"/>
        <v>308.64197530864197</v>
      </c>
    </row>
    <row r="55" spans="1:14">
      <c r="A55" s="28">
        <f t="shared" si="13"/>
        <v>16.8</v>
      </c>
      <c r="B55" s="31">
        <f t="shared" si="14"/>
        <v>7.5923076923076929</v>
      </c>
      <c r="C55" s="29">
        <f t="shared" si="15"/>
        <v>0</v>
      </c>
      <c r="D55" s="27">
        <f t="shared" si="16"/>
        <v>308.64197530864197</v>
      </c>
      <c r="E55" s="27">
        <f t="shared" si="6"/>
        <v>33.520014026836634</v>
      </c>
      <c r="F55" s="29"/>
      <c r="G55" s="27">
        <f t="shared" si="7"/>
        <v>33.520014026836634</v>
      </c>
      <c r="H55" s="29">
        <f t="shared" si="17"/>
        <v>33.520014026836634</v>
      </c>
      <c r="I55" s="30">
        <f t="shared" si="19"/>
        <v>2.3131989585798868E-6</v>
      </c>
      <c r="J55" s="37">
        <f t="shared" si="11"/>
        <v>1.5258996639053255E-4</v>
      </c>
      <c r="K55" s="71">
        <f t="shared" si="9"/>
        <v>1</v>
      </c>
      <c r="L55" s="28">
        <f t="shared" si="18"/>
        <v>34.916681277954822</v>
      </c>
      <c r="M55" s="28">
        <f t="shared" si="12"/>
        <v>7.1395029585798967E-4</v>
      </c>
      <c r="N55" s="28">
        <f t="shared" si="10"/>
        <v>308.64197530864197</v>
      </c>
    </row>
    <row r="56" spans="1:14">
      <c r="A56" s="28">
        <f t="shared" si="13"/>
        <v>16.8</v>
      </c>
      <c r="B56" s="31">
        <f t="shared" si="14"/>
        <v>7.7538461538461547</v>
      </c>
      <c r="C56" s="29">
        <f t="shared" si="15"/>
        <v>0</v>
      </c>
      <c r="D56" s="27">
        <f t="shared" si="16"/>
        <v>308.64197530864197</v>
      </c>
      <c r="E56" s="27">
        <f t="shared" si="6"/>
        <v>34.118585705887291</v>
      </c>
      <c r="F56" s="29"/>
      <c r="G56" s="27">
        <f t="shared" si="7"/>
        <v>34.118585705887291</v>
      </c>
      <c r="H56" s="29">
        <f t="shared" si="17"/>
        <v>34.118585705887291</v>
      </c>
      <c r="I56" s="30">
        <f t="shared" si="19"/>
        <v>2.2726165207100638E-6</v>
      </c>
      <c r="J56" s="37">
        <f t="shared" si="11"/>
        <v>1.5486258291124263E-4</v>
      </c>
      <c r="K56" s="71">
        <f t="shared" si="9"/>
        <v>1</v>
      </c>
      <c r="L56" s="28">
        <f t="shared" si="18"/>
        <v>35.540193443632596</v>
      </c>
      <c r="M56" s="28">
        <f t="shared" si="12"/>
        <v>7.0142485207100726E-4</v>
      </c>
      <c r="N56" s="28">
        <f t="shared" si="10"/>
        <v>308.64197530864197</v>
      </c>
    </row>
    <row r="57" spans="1:14">
      <c r="A57" s="28">
        <f t="shared" si="13"/>
        <v>16.8</v>
      </c>
      <c r="B57" s="31">
        <f t="shared" si="14"/>
        <v>7.9153846153846157</v>
      </c>
      <c r="C57" s="29">
        <f t="shared" si="15"/>
        <v>0</v>
      </c>
      <c r="D57" s="27">
        <f t="shared" si="16"/>
        <v>308.64197530864197</v>
      </c>
      <c r="E57" s="27">
        <f t="shared" si="6"/>
        <v>34.738923627812518</v>
      </c>
      <c r="F57" s="29"/>
      <c r="G57" s="27">
        <f t="shared" si="7"/>
        <v>34.738923627812518</v>
      </c>
      <c r="H57" s="29">
        <f t="shared" si="17"/>
        <v>34.738923627812518</v>
      </c>
      <c r="I57" s="30">
        <f t="shared" si="19"/>
        <v>2.2320340828402285E-6</v>
      </c>
      <c r="J57" s="37">
        <f t="shared" si="11"/>
        <v>1.5709461699408284E-4</v>
      </c>
      <c r="K57" s="71">
        <f t="shared" si="9"/>
        <v>1</v>
      </c>
      <c r="L57" s="28">
        <f t="shared" si="18"/>
        <v>36.186378778971374</v>
      </c>
      <c r="M57" s="28">
        <f t="shared" si="12"/>
        <v>6.8889940828402126E-4</v>
      </c>
      <c r="N57" s="28">
        <f t="shared" si="10"/>
        <v>308.64197530864197</v>
      </c>
    </row>
    <row r="58" spans="1:14">
      <c r="A58" s="28">
        <f t="shared" si="13"/>
        <v>16.8</v>
      </c>
      <c r="B58" s="31">
        <f t="shared" si="14"/>
        <v>8.0769230769230766</v>
      </c>
      <c r="C58" s="29">
        <f t="shared" si="15"/>
        <v>0</v>
      </c>
      <c r="D58" s="27">
        <f t="shared" si="16"/>
        <v>308.64197530864197</v>
      </c>
      <c r="E58" s="27">
        <f t="shared" si="6"/>
        <v>35.382237028327559</v>
      </c>
      <c r="F58" s="29"/>
      <c r="G58" s="27">
        <f t="shared" si="7"/>
        <v>35.382237028327559</v>
      </c>
      <c r="H58" s="29">
        <f t="shared" si="17"/>
        <v>35.382237028327559</v>
      </c>
      <c r="I58" s="30">
        <f t="shared" si="19"/>
        <v>2.1914516449704067E-6</v>
      </c>
      <c r="J58" s="37">
        <f t="shared" si="11"/>
        <v>1.5928606863905326E-4</v>
      </c>
      <c r="K58" s="71">
        <f t="shared" si="9"/>
        <v>1</v>
      </c>
      <c r="L58" s="28">
        <f t="shared" si="18"/>
        <v>36.856496904507871</v>
      </c>
      <c r="M58" s="28">
        <f t="shared" si="12"/>
        <v>6.7637396449703906E-4</v>
      </c>
      <c r="N58" s="28">
        <f t="shared" si="10"/>
        <v>308.64197530864197</v>
      </c>
    </row>
    <row r="59" spans="1:14">
      <c r="A59" s="28">
        <f t="shared" si="13"/>
        <v>16.8</v>
      </c>
      <c r="B59" s="31">
        <f t="shared" si="14"/>
        <v>8.2384615384615376</v>
      </c>
      <c r="C59" s="29">
        <f t="shared" si="15"/>
        <v>0</v>
      </c>
      <c r="D59" s="27">
        <f t="shared" si="16"/>
        <v>308.64197530864197</v>
      </c>
      <c r="E59" s="27">
        <f t="shared" si="6"/>
        <v>36.049826406220532</v>
      </c>
      <c r="F59" s="29"/>
      <c r="G59" s="27">
        <f t="shared" si="7"/>
        <v>36.049826406220532</v>
      </c>
      <c r="H59" s="29">
        <f t="shared" si="17"/>
        <v>36.049826406220532</v>
      </c>
      <c r="I59" s="30">
        <f t="shared" si="19"/>
        <v>2.1508692071005841E-6</v>
      </c>
      <c r="J59" s="37">
        <f t="shared" si="11"/>
        <v>1.6143693784615384E-4</v>
      </c>
      <c r="K59" s="71">
        <f t="shared" si="9"/>
        <v>1</v>
      </c>
      <c r="L59" s="28">
        <f t="shared" si="18"/>
        <v>37.551902506479721</v>
      </c>
      <c r="M59" s="28">
        <f>I59*G59*(A59-B59)</f>
        <v>6.6384852071005686E-4</v>
      </c>
      <c r="N59" s="28">
        <f t="shared" si="10"/>
        <v>308.64197530864197</v>
      </c>
    </row>
    <row r="60" spans="1:14">
      <c r="A60" s="28">
        <f t="shared" si="13"/>
        <v>16.8</v>
      </c>
      <c r="B60" s="31">
        <f t="shared" si="14"/>
        <v>8.4</v>
      </c>
      <c r="C60" s="29">
        <f t="shared" si="15"/>
        <v>0</v>
      </c>
      <c r="D60" s="27">
        <f t="shared" si="16"/>
        <v>308.64197530864197</v>
      </c>
      <c r="E60" s="27">
        <f t="shared" si="6"/>
        <v>36.743092298647852</v>
      </c>
      <c r="F60" s="29"/>
      <c r="G60" s="27">
        <f t="shared" si="7"/>
        <v>36.743092298647852</v>
      </c>
      <c r="H60" s="29">
        <f t="shared" si="17"/>
        <v>36.743092298647852</v>
      </c>
      <c r="I60" s="30">
        <f t="shared" si="19"/>
        <v>2.1102867692307848E-6</v>
      </c>
      <c r="J60" s="37">
        <f t="shared" si="11"/>
        <v>1.6354722461538461E-4</v>
      </c>
      <c r="K60" s="71">
        <f t="shared" si="9"/>
        <v>1</v>
      </c>
      <c r="L60" s="28">
        <f t="shared" si="18"/>
        <v>38.274054477758185</v>
      </c>
      <c r="M60" s="28">
        <f t="shared" si="12"/>
        <v>6.5132307692308182E-4</v>
      </c>
      <c r="N60" s="28">
        <f t="shared" si="10"/>
        <v>308.64197530864197</v>
      </c>
    </row>
    <row r="61" spans="1:14">
      <c r="A61" s="28">
        <f t="shared" si="13"/>
        <v>16.8</v>
      </c>
      <c r="B61" s="31">
        <f t="shared" si="14"/>
        <v>8.5615384615384613</v>
      </c>
      <c r="C61" s="29">
        <f t="shared" si="15"/>
        <v>0</v>
      </c>
      <c r="D61" s="27">
        <f t="shared" si="16"/>
        <v>308.64197530864197</v>
      </c>
      <c r="E61" s="27">
        <f t="shared" si="6"/>
        <v>37.463545088817419</v>
      </c>
      <c r="F61" s="29"/>
      <c r="G61" s="27">
        <f t="shared" si="7"/>
        <v>37.463545088817419</v>
      </c>
      <c r="H61" s="29">
        <f t="shared" si="17"/>
        <v>37.463545088817419</v>
      </c>
      <c r="I61" s="30">
        <f t="shared" si="19"/>
        <v>2.0697043313609394E-6</v>
      </c>
      <c r="J61" s="37">
        <f t="shared" si="11"/>
        <v>1.6561692894674556E-4</v>
      </c>
      <c r="K61" s="71">
        <f t="shared" si="9"/>
        <v>1</v>
      </c>
      <c r="L61" s="28">
        <f t="shared" si="18"/>
        <v>39.024526134184811</v>
      </c>
      <c r="M61" s="28">
        <f t="shared" si="12"/>
        <v>6.3879763313609247E-4</v>
      </c>
      <c r="N61" s="28">
        <f t="shared" si="10"/>
        <v>308.64197530864197</v>
      </c>
    </row>
    <row r="62" spans="1:14">
      <c r="A62" s="28">
        <f t="shared" si="13"/>
        <v>16.8</v>
      </c>
      <c r="B62" s="31">
        <f t="shared" si="14"/>
        <v>8.7230769230769241</v>
      </c>
      <c r="C62" s="29">
        <f t="shared" si="15"/>
        <v>0</v>
      </c>
      <c r="D62" s="27">
        <f t="shared" si="16"/>
        <v>308.64197530864197</v>
      </c>
      <c r="E62" s="27">
        <f t="shared" si="6"/>
        <v>38.212815990593768</v>
      </c>
      <c r="F62" s="29"/>
      <c r="G62" s="27">
        <f t="shared" si="7"/>
        <v>38.212815990593768</v>
      </c>
      <c r="H62" s="29">
        <f t="shared" si="17"/>
        <v>38.212815990593768</v>
      </c>
      <c r="I62" s="30">
        <f t="shared" si="19"/>
        <v>2.0291218934911392E-6</v>
      </c>
      <c r="J62" s="37">
        <f t="shared" si="11"/>
        <v>1.676460508402367E-4</v>
      </c>
      <c r="K62" s="71">
        <f t="shared" si="9"/>
        <v>1</v>
      </c>
      <c r="L62" s="28">
        <f t="shared" si="18"/>
        <v>39.80501665686851</v>
      </c>
      <c r="M62" s="28">
        <f t="shared" si="12"/>
        <v>6.262721893491171E-4</v>
      </c>
      <c r="N62" s="28">
        <f t="shared" si="10"/>
        <v>308.64197530864197</v>
      </c>
    </row>
    <row r="63" spans="1:14">
      <c r="A63" s="28">
        <f t="shared" si="13"/>
        <v>16.8</v>
      </c>
      <c r="B63" s="31">
        <f t="shared" si="14"/>
        <v>8.884615384615385</v>
      </c>
      <c r="C63" s="29">
        <f t="shared" si="15"/>
        <v>0</v>
      </c>
      <c r="D63" s="27">
        <f t="shared" si="16"/>
        <v>308.64197530864197</v>
      </c>
      <c r="E63" s="27">
        <f t="shared" si="6"/>
        <v>38.992669378156904</v>
      </c>
      <c r="F63" s="29"/>
      <c r="G63" s="27">
        <f t="shared" si="7"/>
        <v>38.992669378156904</v>
      </c>
      <c r="H63" s="29">
        <f t="shared" si="17"/>
        <v>38.992669378156904</v>
      </c>
      <c r="I63" s="30">
        <f t="shared" si="19"/>
        <v>1.9885394556212946E-6</v>
      </c>
      <c r="J63" s="37">
        <f t="shared" si="11"/>
        <v>1.6963459029585798E-4</v>
      </c>
      <c r="K63" s="71">
        <f t="shared" si="9"/>
        <v>1</v>
      </c>
      <c r="L63" s="28">
        <f t="shared" si="18"/>
        <v>40.617363935580109</v>
      </c>
      <c r="M63" s="28">
        <f t="shared" si="12"/>
        <v>6.1374674556212796E-4</v>
      </c>
      <c r="N63" s="28">
        <f t="shared" si="10"/>
        <v>308.64197530864197</v>
      </c>
    </row>
    <row r="64" spans="1:14">
      <c r="A64" s="28">
        <f t="shared" si="13"/>
        <v>16.8</v>
      </c>
      <c r="B64" s="31">
        <f t="shared" si="14"/>
        <v>9.046153846153846</v>
      </c>
      <c r="C64" s="29">
        <f t="shared" si="15"/>
        <v>0</v>
      </c>
      <c r="D64" s="27">
        <f t="shared" si="16"/>
        <v>308.64197530864197</v>
      </c>
      <c r="E64" s="27">
        <f t="shared" si="6"/>
        <v>39.805016656868503</v>
      </c>
      <c r="F64" s="29"/>
      <c r="G64" s="27">
        <f t="shared" si="7"/>
        <v>39.805016656868503</v>
      </c>
      <c r="H64" s="29">
        <f t="shared" si="17"/>
        <v>39.805016656868503</v>
      </c>
      <c r="I64" s="30">
        <f t="shared" si="19"/>
        <v>1.9479570177514724E-6</v>
      </c>
      <c r="J64" s="37">
        <f t="shared" si="11"/>
        <v>1.7158254731360946E-4</v>
      </c>
      <c r="K64" s="71">
        <f t="shared" si="9"/>
        <v>1</v>
      </c>
      <c r="L64" s="28">
        <f t="shared" si="18"/>
        <v>41.463559017571356</v>
      </c>
      <c r="M64" s="28">
        <f t="shared" si="12"/>
        <v>6.0122130177514587E-4</v>
      </c>
      <c r="N64" s="28">
        <f t="shared" si="10"/>
        <v>308.64197530864197</v>
      </c>
    </row>
    <row r="65" spans="1:14">
      <c r="A65" s="28">
        <f t="shared" si="13"/>
        <v>16.8</v>
      </c>
      <c r="B65" s="31">
        <f t="shared" si="14"/>
        <v>9.2076923076923087</v>
      </c>
      <c r="C65" s="29">
        <f t="shared" si="15"/>
        <v>0</v>
      </c>
      <c r="D65" s="27">
        <f t="shared" si="16"/>
        <v>308.64197530864197</v>
      </c>
      <c r="E65" s="27">
        <f t="shared" si="6"/>
        <v>40.651931904886986</v>
      </c>
      <c r="F65" s="29"/>
      <c r="G65" s="27">
        <f t="shared" si="7"/>
        <v>40.651931904886986</v>
      </c>
      <c r="H65" s="29">
        <f t="shared" si="17"/>
        <v>40.651931904886986</v>
      </c>
      <c r="I65" s="30">
        <f t="shared" si="19"/>
        <v>1.907374579881671E-6</v>
      </c>
      <c r="J65" s="37">
        <f t="shared" si="11"/>
        <v>1.7348992189349113E-4</v>
      </c>
      <c r="K65" s="71">
        <f t="shared" si="9"/>
        <v>1</v>
      </c>
      <c r="L65" s="28">
        <f t="shared" si="18"/>
        <v>42.345762400923945</v>
      </c>
      <c r="M65" s="28">
        <f t="shared" si="12"/>
        <v>5.8869585798817007E-4</v>
      </c>
      <c r="N65" s="28">
        <f t="shared" si="10"/>
        <v>308.64197530864197</v>
      </c>
    </row>
    <row r="66" spans="1:14">
      <c r="A66" s="28">
        <f t="shared" si="13"/>
        <v>16.8</v>
      </c>
      <c r="B66" s="31">
        <f t="shared" si="14"/>
        <v>9.3692307692307697</v>
      </c>
      <c r="C66" s="29">
        <f t="shared" si="15"/>
        <v>0</v>
      </c>
      <c r="D66" s="27">
        <f t="shared" si="16"/>
        <v>308.64197530864197</v>
      </c>
      <c r="E66" s="27">
        <f t="shared" si="6"/>
        <v>41.535669554993227</v>
      </c>
      <c r="F66" s="29"/>
      <c r="G66" s="27">
        <f t="shared" si="7"/>
        <v>41.535669554993227</v>
      </c>
      <c r="H66" s="29">
        <f t="shared" si="17"/>
        <v>41.535669554993227</v>
      </c>
      <c r="I66" s="30">
        <f t="shared" si="19"/>
        <v>1.8667921420118277E-6</v>
      </c>
      <c r="J66" s="37">
        <f t="shared" si="11"/>
        <v>1.7535671403550294E-4</v>
      </c>
      <c r="K66" s="71">
        <f t="shared" si="9"/>
        <v>1</v>
      </c>
      <c r="L66" s="28">
        <f t="shared" si="18"/>
        <v>43.266322453117944</v>
      </c>
      <c r="M66" s="28">
        <f t="shared" si="12"/>
        <v>5.7617041420118136E-4</v>
      </c>
      <c r="N66" s="28">
        <f t="shared" si="10"/>
        <v>308.64197530864197</v>
      </c>
    </row>
    <row r="67" spans="1:14">
      <c r="A67" s="28">
        <f t="shared" si="13"/>
        <v>16.8</v>
      </c>
      <c r="B67" s="31">
        <f t="shared" si="14"/>
        <v>9.5307692307692307</v>
      </c>
      <c r="C67" s="29">
        <f t="shared" si="15"/>
        <v>0</v>
      </c>
      <c r="D67" s="27">
        <f t="shared" si="16"/>
        <v>308.64197530864197</v>
      </c>
      <c r="E67" s="27">
        <f t="shared" si="6"/>
        <v>42.458684433993071</v>
      </c>
      <c r="F67" s="29"/>
      <c r="G67" s="27">
        <f t="shared" si="7"/>
        <v>42.458684433993071</v>
      </c>
      <c r="H67" s="29">
        <f t="shared" si="17"/>
        <v>42.458684433993071</v>
      </c>
      <c r="I67" s="30">
        <f t="shared" si="19"/>
        <v>1.8262097041420055E-6</v>
      </c>
      <c r="J67" s="37">
        <f t="shared" si="11"/>
        <v>1.7718292373964496E-4</v>
      </c>
      <c r="K67" s="71">
        <f t="shared" si="9"/>
        <v>1</v>
      </c>
      <c r="L67" s="28">
        <f t="shared" si="18"/>
        <v>44.227796285409447</v>
      </c>
      <c r="M67" s="28">
        <f t="shared" si="12"/>
        <v>5.6364497041419927E-4</v>
      </c>
      <c r="N67" s="28">
        <f t="shared" si="10"/>
        <v>308.64197530864197</v>
      </c>
    </row>
    <row r="68" spans="1:14">
      <c r="A68" s="28">
        <f t="shared" si="13"/>
        <v>16.8</v>
      </c>
      <c r="B68" s="31">
        <f t="shared" si="14"/>
        <v>9.6923076923076916</v>
      </c>
      <c r="C68" s="29">
        <f t="shared" si="15"/>
        <v>0</v>
      </c>
      <c r="D68" s="27">
        <f t="shared" si="16"/>
        <v>308.64197530864197</v>
      </c>
      <c r="E68" s="27">
        <f t="shared" si="6"/>
        <v>43.423654534765639</v>
      </c>
      <c r="F68" s="29"/>
      <c r="G68" s="27">
        <f t="shared" si="7"/>
        <v>43.423654534765639</v>
      </c>
      <c r="H68" s="29">
        <f t="shared" si="17"/>
        <v>43.423654534765639</v>
      </c>
      <c r="I68" s="30">
        <f t="shared" si="19"/>
        <v>1.7856272662721831E-6</v>
      </c>
      <c r="J68" s="37">
        <f t="shared" si="11"/>
        <v>1.7896855100591713E-4</v>
      </c>
      <c r="K68" s="71">
        <f t="shared" si="9"/>
        <v>1</v>
      </c>
      <c r="L68" s="28">
        <f t="shared" si="18"/>
        <v>45.23297347371421</v>
      </c>
      <c r="M68" s="28">
        <f t="shared" si="12"/>
        <v>5.5111952662721707E-4</v>
      </c>
      <c r="N68" s="28">
        <f t="shared" si="10"/>
        <v>308.64197530864197</v>
      </c>
    </row>
    <row r="69" spans="1:14">
      <c r="A69" s="28">
        <f t="shared" si="13"/>
        <v>16.8</v>
      </c>
      <c r="B69" s="31">
        <f t="shared" si="14"/>
        <v>9.8538461538461544</v>
      </c>
      <c r="C69" s="29">
        <f t="shared" si="15"/>
        <v>0</v>
      </c>
      <c r="D69" s="27">
        <f t="shared" si="16"/>
        <v>308.64197530864197</v>
      </c>
      <c r="E69" s="27">
        <f t="shared" si="6"/>
        <v>44.433506965806707</v>
      </c>
      <c r="F69" s="29"/>
      <c r="G69" s="27">
        <f t="shared" si="7"/>
        <v>44.433506965806707</v>
      </c>
      <c r="H69" s="29">
        <f t="shared" si="17"/>
        <v>44.433506965806707</v>
      </c>
      <c r="I69" s="30">
        <f t="shared" si="19"/>
        <v>1.7450448284023798E-6</v>
      </c>
      <c r="J69" s="37">
        <f t="shared" si="11"/>
        <v>1.8071359583431951E-4</v>
      </c>
      <c r="K69" s="71">
        <f t="shared" si="9"/>
        <v>1</v>
      </c>
      <c r="L69" s="28">
        <f t="shared" si="18"/>
        <v>46.284903089381984</v>
      </c>
      <c r="M69" s="28">
        <f t="shared" si="12"/>
        <v>5.3859408284024073E-4</v>
      </c>
      <c r="N69" s="28">
        <f t="shared" si="10"/>
        <v>308.64197530864197</v>
      </c>
    </row>
    <row r="70" spans="1:14">
      <c r="A70" s="28">
        <f t="shared" si="13"/>
        <v>16.8</v>
      </c>
      <c r="B70" s="31">
        <f t="shared" si="14"/>
        <v>10.015384615384615</v>
      </c>
      <c r="C70" s="29">
        <f t="shared" si="15"/>
        <v>1</v>
      </c>
      <c r="D70" s="27">
        <f t="shared" si="16"/>
        <v>308.64197530864197</v>
      </c>
      <c r="E70" s="27">
        <f t="shared" si="6"/>
        <v>45.491447607849722</v>
      </c>
      <c r="F70" s="29"/>
      <c r="G70" s="27">
        <f t="shared" si="7"/>
        <v>45.491447607849722</v>
      </c>
      <c r="H70" s="29">
        <f t="shared" si="17"/>
        <v>44.491447607849722</v>
      </c>
      <c r="I70" s="30">
        <f t="shared" si="19"/>
        <v>1.7427722788858185E-6</v>
      </c>
      <c r="J70" s="37">
        <f t="shared" si="11"/>
        <v>1.8245636811320534E-4</v>
      </c>
      <c r="K70" s="71">
        <f t="shared" si="9"/>
        <v>0.97801784615384613</v>
      </c>
      <c r="L70" s="28">
        <f t="shared" si="18"/>
        <v>45.303591258176787</v>
      </c>
      <c r="M70" s="28">
        <f t="shared" si="12"/>
        <v>5.3789267866846257E-4</v>
      </c>
      <c r="N70" s="28">
        <f t="shared" si="10"/>
        <v>308.64197530864197</v>
      </c>
    </row>
    <row r="71" spans="1:14">
      <c r="A71" s="28">
        <f t="shared" si="13"/>
        <v>16.8</v>
      </c>
      <c r="B71" s="31">
        <f t="shared" si="14"/>
        <v>10.176923076923076</v>
      </c>
      <c r="C71" s="29">
        <f t="shared" si="15"/>
        <v>1</v>
      </c>
      <c r="D71" s="27">
        <f t="shared" si="16"/>
        <v>308.64197530864197</v>
      </c>
      <c r="E71" s="27">
        <f t="shared" si="6"/>
        <v>46.600995110480198</v>
      </c>
      <c r="F71" s="29"/>
      <c r="G71" s="27">
        <f t="shared" si="7"/>
        <v>46.600995110480198</v>
      </c>
      <c r="H71" s="29">
        <f t="shared" si="17"/>
        <v>45.600995110480198</v>
      </c>
      <c r="I71" s="30">
        <f t="shared" si="19"/>
        <v>1.7003677518572631E-6</v>
      </c>
      <c r="J71" s="37">
        <f t="shared" si="11"/>
        <v>1.8415673586506261E-4</v>
      </c>
      <c r="K71" s="71">
        <f t="shared" si="9"/>
        <v>0.97854123076923072</v>
      </c>
      <c r="L71" s="28">
        <f t="shared" si="18"/>
        <v>46.459369906750204</v>
      </c>
      <c r="M71" s="28">
        <f t="shared" si="12"/>
        <v>5.2480486168434044E-4</v>
      </c>
      <c r="N71" s="28">
        <f t="shared" si="10"/>
        <v>308.64197530864197</v>
      </c>
    </row>
    <row r="72" spans="1:14">
      <c r="A72" s="28">
        <f t="shared" ref="A72:A103" si="20">VINMAX</f>
        <v>16.8</v>
      </c>
      <c r="B72" s="31">
        <f t="shared" ref="B72:B103" si="21">VINMAX*((ROW()-8)/104)</f>
        <v>10.338461538461539</v>
      </c>
      <c r="C72" s="29">
        <f t="shared" ref="C72:C103" si="22">IF(B72&gt;=$H$2,IF($D$2="CC", $G$2, B72/$G$2), 0)</f>
        <v>1</v>
      </c>
      <c r="D72" s="27">
        <f t="shared" ref="D72:D103" si="23">$B$2-B72*$J$2/($I$2*0.001)</f>
        <v>308.64197530864197</v>
      </c>
      <c r="E72" s="27">
        <f t="shared" si="6"/>
        <v>47.766019988242206</v>
      </c>
      <c r="F72" s="29"/>
      <c r="G72" s="27">
        <f t="shared" si="7"/>
        <v>47.766019988242206</v>
      </c>
      <c r="H72" s="29">
        <f t="shared" ref="H72:H103" si="24">G72-C72</f>
        <v>46.766019988242206</v>
      </c>
      <c r="I72" s="30">
        <f t="shared" si="19"/>
        <v>1.658008561728294E-6</v>
      </c>
      <c r="J72" s="37">
        <f t="shared" si="11"/>
        <v>1.858147444267909E-4</v>
      </c>
      <c r="K72" s="71">
        <f t="shared" si="9"/>
        <v>0.97906461538461542</v>
      </c>
      <c r="L72" s="28">
        <f t="shared" ref="L72:L103" si="25">1/COUTMAX*(E72/2-C72)*1000</f>
        <v>47.672937487752293</v>
      </c>
      <c r="M72" s="28">
        <f t="shared" si="12"/>
        <v>5.1173103757046103E-4</v>
      </c>
      <c r="N72" s="28">
        <f t="shared" si="10"/>
        <v>308.64197530864197</v>
      </c>
    </row>
    <row r="73" spans="1:14">
      <c r="A73" s="28">
        <f t="shared" si="20"/>
        <v>16.8</v>
      </c>
      <c r="B73" s="31">
        <f t="shared" si="21"/>
        <v>10.5</v>
      </c>
      <c r="C73" s="29">
        <f t="shared" si="22"/>
        <v>1</v>
      </c>
      <c r="D73" s="27">
        <f t="shared" si="23"/>
        <v>308.64197530864197</v>
      </c>
      <c r="E73" s="27">
        <f t="shared" ref="E73:E108" si="26">MIN(D73/(A73-B73),$C$2)</f>
        <v>48.990789731530469</v>
      </c>
      <c r="F73" s="29"/>
      <c r="G73" s="27">
        <f t="shared" ref="G73:G112" si="27">E73</f>
        <v>48.990789731530469</v>
      </c>
      <c r="H73" s="29">
        <f t="shared" si="24"/>
        <v>47.990789731530469</v>
      </c>
      <c r="I73" s="30">
        <f t="shared" ref="I73:I104" si="28">(COUTMAX/1000000)*(B73-B72)/H73</f>
        <v>1.6156946358296257E-6</v>
      </c>
      <c r="J73" s="37">
        <f t="shared" si="11"/>
        <v>1.8743043906262053E-4</v>
      </c>
      <c r="K73" s="71">
        <f t="shared" ref="K73:K108" si="29">H73/G73</f>
        <v>0.97958800000000001</v>
      </c>
      <c r="L73" s="28">
        <f t="shared" si="25"/>
        <v>48.948739303677577</v>
      </c>
      <c r="M73" s="28">
        <f t="shared" ref="M73:M108" si="30">I73*G73*(A73-B73)</f>
        <v>4.9867118389803266E-4</v>
      </c>
      <c r="N73" s="28">
        <f t="shared" ref="N73:N112" si="31">G73*(A73-B73)</f>
        <v>308.64197530864197</v>
      </c>
    </row>
    <row r="74" spans="1:14">
      <c r="A74" s="28">
        <f t="shared" si="20"/>
        <v>16.8</v>
      </c>
      <c r="B74" s="31">
        <f t="shared" si="21"/>
        <v>10.661538461538461</v>
      </c>
      <c r="C74" s="29">
        <f t="shared" si="22"/>
        <v>1</v>
      </c>
      <c r="D74" s="27">
        <f t="shared" si="23"/>
        <v>308.64197530864197</v>
      </c>
      <c r="E74" s="27">
        <f t="shared" si="26"/>
        <v>50.280021040254951</v>
      </c>
      <c r="F74" s="29"/>
      <c r="G74" s="27">
        <f t="shared" si="27"/>
        <v>50.280021040254951</v>
      </c>
      <c r="H74" s="29">
        <f t="shared" si="24"/>
        <v>49.280021040254951</v>
      </c>
      <c r="I74" s="30">
        <f t="shared" si="28"/>
        <v>1.5734259016473039E-6</v>
      </c>
      <c r="J74" s="37">
        <f t="shared" ref="J74:J108" si="32">J73+I74</f>
        <v>1.8900386496426783E-4</v>
      </c>
      <c r="K74" s="71">
        <f t="shared" si="29"/>
        <v>0.98011138461538461</v>
      </c>
      <c r="L74" s="28">
        <f t="shared" si="25"/>
        <v>50.291688583598905</v>
      </c>
      <c r="M74" s="28">
        <f t="shared" si="30"/>
        <v>4.8562527828620495E-4</v>
      </c>
      <c r="N74" s="28">
        <f t="shared" si="31"/>
        <v>308.64197530864197</v>
      </c>
    </row>
    <row r="75" spans="1:14">
      <c r="A75" s="28">
        <f t="shared" si="20"/>
        <v>16.8</v>
      </c>
      <c r="B75" s="31">
        <f t="shared" si="21"/>
        <v>10.823076923076924</v>
      </c>
      <c r="C75" s="29">
        <f t="shared" si="22"/>
        <v>1</v>
      </c>
      <c r="D75" s="27">
        <f t="shared" si="23"/>
        <v>308.64197530864197</v>
      </c>
      <c r="E75" s="27">
        <f t="shared" si="26"/>
        <v>51.638940527829419</v>
      </c>
      <c r="F75" s="29"/>
      <c r="G75" s="27">
        <f t="shared" si="27"/>
        <v>51.638940527829419</v>
      </c>
      <c r="H75" s="29">
        <f t="shared" si="24"/>
        <v>50.638940527829419</v>
      </c>
      <c r="I75" s="30">
        <f t="shared" si="28"/>
        <v>1.5312022868221273E-6</v>
      </c>
      <c r="J75" s="37">
        <f t="shared" si="32"/>
        <v>1.9053506725108996E-4</v>
      </c>
      <c r="K75" s="71">
        <f t="shared" si="29"/>
        <v>0.9806347692307692</v>
      </c>
      <c r="L75" s="28">
        <f t="shared" si="25"/>
        <v>51.707229716488982</v>
      </c>
      <c r="M75" s="28">
        <f t="shared" si="30"/>
        <v>4.7259329840189119E-4</v>
      </c>
      <c r="N75" s="28">
        <f t="shared" si="31"/>
        <v>308.64197530864197</v>
      </c>
    </row>
    <row r="76" spans="1:14">
      <c r="A76" s="28">
        <f t="shared" si="20"/>
        <v>16.8</v>
      </c>
      <c r="B76" s="31">
        <f t="shared" si="21"/>
        <v>10.984615384615385</v>
      </c>
      <c r="C76" s="29">
        <f t="shared" si="22"/>
        <v>1</v>
      </c>
      <c r="D76" s="27">
        <f t="shared" si="23"/>
        <v>308.64197530864197</v>
      </c>
      <c r="E76" s="27">
        <f t="shared" si="26"/>
        <v>53.073355542491342</v>
      </c>
      <c r="F76" s="29"/>
      <c r="G76" s="27">
        <f t="shared" si="27"/>
        <v>53.073355542491342</v>
      </c>
      <c r="H76" s="29">
        <f t="shared" si="24"/>
        <v>52.073355542491342</v>
      </c>
      <c r="I76" s="30">
        <f t="shared" si="28"/>
        <v>1.4890237191492421E-6</v>
      </c>
      <c r="J76" s="37">
        <f t="shared" si="32"/>
        <v>1.9202409097023918E-4</v>
      </c>
      <c r="K76" s="71">
        <f t="shared" si="29"/>
        <v>0.98115815384615379</v>
      </c>
      <c r="L76" s="28">
        <f t="shared" si="25"/>
        <v>53.201412023428475</v>
      </c>
      <c r="M76" s="28">
        <f t="shared" si="30"/>
        <v>4.5957522195964266E-4</v>
      </c>
      <c r="N76" s="28">
        <f t="shared" si="31"/>
        <v>308.64197530864197</v>
      </c>
    </row>
    <row r="77" spans="1:14">
      <c r="A77" s="28">
        <f t="shared" si="20"/>
        <v>16.8</v>
      </c>
      <c r="B77" s="31">
        <f t="shared" si="21"/>
        <v>11.146153846153846</v>
      </c>
      <c r="C77" s="29">
        <f t="shared" si="22"/>
        <v>1</v>
      </c>
      <c r="D77" s="27">
        <f t="shared" si="23"/>
        <v>308.64197530864197</v>
      </c>
      <c r="E77" s="27">
        <f t="shared" si="26"/>
        <v>54.58973712941966</v>
      </c>
      <c r="F77" s="29"/>
      <c r="G77" s="27">
        <f t="shared" si="27"/>
        <v>54.58973712941966</v>
      </c>
      <c r="H77" s="29">
        <f t="shared" si="24"/>
        <v>53.58973712941966</v>
      </c>
      <c r="I77" s="30">
        <f t="shared" si="28"/>
        <v>1.4468901265778787E-6</v>
      </c>
      <c r="J77" s="37">
        <f t="shared" si="32"/>
        <v>1.9347098109681707E-4</v>
      </c>
      <c r="K77" s="71">
        <f t="shared" si="29"/>
        <v>0.98168153846153849</v>
      </c>
      <c r="L77" s="28">
        <f t="shared" si="25"/>
        <v>54.780976176478816</v>
      </c>
      <c r="M77" s="28">
        <f t="shared" si="30"/>
        <v>4.4657102672156749E-4</v>
      </c>
      <c r="N77" s="28">
        <f t="shared" si="31"/>
        <v>308.64197530864197</v>
      </c>
    </row>
    <row r="78" spans="1:14">
      <c r="A78" s="28">
        <f t="shared" si="20"/>
        <v>16.8</v>
      </c>
      <c r="B78" s="31">
        <f t="shared" si="21"/>
        <v>11.307692307692308</v>
      </c>
      <c r="C78" s="29">
        <f t="shared" si="22"/>
        <v>1</v>
      </c>
      <c r="D78" s="27">
        <f t="shared" si="23"/>
        <v>308.64197530864197</v>
      </c>
      <c r="E78" s="27">
        <f t="shared" si="26"/>
        <v>56.195317633226132</v>
      </c>
      <c r="F78" s="29"/>
      <c r="G78" s="27">
        <f t="shared" si="27"/>
        <v>56.195317633226132</v>
      </c>
      <c r="H78" s="29">
        <f t="shared" si="24"/>
        <v>55.195317633226132</v>
      </c>
      <c r="I78" s="30">
        <f t="shared" si="28"/>
        <v>1.4048014372107898E-6</v>
      </c>
      <c r="J78" s="37">
        <f t="shared" si="32"/>
        <v>1.9487578253402787E-4</v>
      </c>
      <c r="K78" s="71">
        <f t="shared" si="29"/>
        <v>0.98220492307692309</v>
      </c>
      <c r="L78" s="28">
        <f t="shared" si="25"/>
        <v>56.453455867943887</v>
      </c>
      <c r="M78" s="28">
        <f t="shared" si="30"/>
        <v>4.3358069049715731E-4</v>
      </c>
      <c r="N78" s="28">
        <f t="shared" si="31"/>
        <v>308.64197530864197</v>
      </c>
    </row>
    <row r="79" spans="1:14">
      <c r="A79" s="28">
        <f t="shared" si="20"/>
        <v>16.8</v>
      </c>
      <c r="B79" s="31">
        <f t="shared" si="21"/>
        <v>11.469230769230769</v>
      </c>
      <c r="C79" s="29">
        <f t="shared" si="22"/>
        <v>1</v>
      </c>
      <c r="D79" s="27">
        <f t="shared" si="23"/>
        <v>308.64197530864197</v>
      </c>
      <c r="E79" s="27">
        <f t="shared" si="26"/>
        <v>57.89820604635419</v>
      </c>
      <c r="F79" s="29"/>
      <c r="G79" s="27">
        <f t="shared" si="27"/>
        <v>57.89820604635419</v>
      </c>
      <c r="H79" s="29">
        <f t="shared" si="24"/>
        <v>56.89820604635419</v>
      </c>
      <c r="I79" s="30">
        <f t="shared" si="28"/>
        <v>1.362757579303849E-6</v>
      </c>
      <c r="J79" s="37">
        <f t="shared" si="32"/>
        <v>1.9623854011333172E-4</v>
      </c>
      <c r="K79" s="71">
        <f t="shared" si="29"/>
        <v>0.98272830769230768</v>
      </c>
      <c r="L79" s="28">
        <f t="shared" si="25"/>
        <v>58.227297964952285</v>
      </c>
      <c r="M79" s="28">
        <f t="shared" si="30"/>
        <v>4.2060419114316324E-4</v>
      </c>
      <c r="N79" s="28">
        <f t="shared" si="31"/>
        <v>308.64197530864197</v>
      </c>
    </row>
    <row r="80" spans="1:14">
      <c r="A80" s="28">
        <f t="shared" si="20"/>
        <v>16.8</v>
      </c>
      <c r="B80" s="31">
        <f t="shared" si="21"/>
        <v>11.63076923076923</v>
      </c>
      <c r="C80" s="29">
        <f t="shared" si="22"/>
        <v>1</v>
      </c>
      <c r="D80" s="27">
        <f t="shared" si="23"/>
        <v>308.64197530864197</v>
      </c>
      <c r="E80" s="27">
        <f t="shared" si="26"/>
        <v>59.707524985302747</v>
      </c>
      <c r="F80" s="29"/>
      <c r="G80" s="27">
        <f t="shared" si="27"/>
        <v>59.707524985302747</v>
      </c>
      <c r="H80" s="29">
        <f t="shared" si="24"/>
        <v>58.707524985302747</v>
      </c>
      <c r="I80" s="30">
        <f t="shared" si="28"/>
        <v>1.3207584812657794E-6</v>
      </c>
      <c r="J80" s="37">
        <f t="shared" si="32"/>
        <v>1.9755929859459749E-4</v>
      </c>
      <c r="K80" s="71">
        <f t="shared" si="29"/>
        <v>0.98325169230769227</v>
      </c>
      <c r="L80" s="28">
        <f t="shared" si="25"/>
        <v>60.112005193023698</v>
      </c>
      <c r="M80" s="28">
        <f t="shared" si="30"/>
        <v>4.0764150656351215E-4</v>
      </c>
      <c r="N80" s="28">
        <f t="shared" si="31"/>
        <v>308.64197530864197</v>
      </c>
    </row>
    <row r="81" spans="1:14">
      <c r="A81" s="28">
        <f t="shared" si="20"/>
        <v>16.8</v>
      </c>
      <c r="B81" s="31">
        <f t="shared" si="21"/>
        <v>11.792307692307691</v>
      </c>
      <c r="C81" s="29">
        <f t="shared" si="22"/>
        <v>1</v>
      </c>
      <c r="D81" s="27">
        <f t="shared" si="23"/>
        <v>308.64197530864197</v>
      </c>
      <c r="E81" s="27">
        <f t="shared" si="26"/>
        <v>61.633574178377025</v>
      </c>
      <c r="F81" s="29"/>
      <c r="G81" s="27">
        <f t="shared" si="27"/>
        <v>61.633574178377025</v>
      </c>
      <c r="H81" s="29">
        <f t="shared" si="24"/>
        <v>60.633574178377025</v>
      </c>
      <c r="I81" s="30">
        <f t="shared" si="28"/>
        <v>1.2788040716575934E-6</v>
      </c>
      <c r="J81" s="37">
        <f t="shared" si="32"/>
        <v>1.9883810266625509E-4</v>
      </c>
      <c r="K81" s="71">
        <f t="shared" si="29"/>
        <v>0.98377507692307686</v>
      </c>
      <c r="L81" s="28">
        <f t="shared" si="25"/>
        <v>62.118306435809401</v>
      </c>
      <c r="M81" s="28">
        <f t="shared" si="30"/>
        <v>3.9469261470913373E-4</v>
      </c>
      <c r="N81" s="28">
        <f t="shared" si="31"/>
        <v>308.64197530864197</v>
      </c>
    </row>
    <row r="82" spans="1:14">
      <c r="A82" s="28">
        <f t="shared" si="20"/>
        <v>16.8</v>
      </c>
      <c r="B82" s="31">
        <f t="shared" si="21"/>
        <v>11.953846153846154</v>
      </c>
      <c r="C82" s="29">
        <f t="shared" si="22"/>
        <v>1</v>
      </c>
      <c r="D82" s="27">
        <f t="shared" si="23"/>
        <v>308.64197530864197</v>
      </c>
      <c r="E82" s="27">
        <f t="shared" si="26"/>
        <v>63.688026650989606</v>
      </c>
      <c r="F82" s="29"/>
      <c r="G82" s="27">
        <f t="shared" si="27"/>
        <v>63.688026650989606</v>
      </c>
      <c r="H82" s="29">
        <f t="shared" si="24"/>
        <v>62.688026650989606</v>
      </c>
      <c r="I82" s="30">
        <f t="shared" si="28"/>
        <v>1.2368942791922782E-6</v>
      </c>
      <c r="J82" s="37">
        <f t="shared" si="32"/>
        <v>2.0007499694544737E-4</v>
      </c>
      <c r="K82" s="71">
        <f t="shared" si="29"/>
        <v>0.98429846153846157</v>
      </c>
      <c r="L82" s="28">
        <f t="shared" si="25"/>
        <v>64.258361094780838</v>
      </c>
      <c r="M82" s="28">
        <f t="shared" si="30"/>
        <v>3.8175749357786368E-4</v>
      </c>
      <c r="N82" s="28">
        <f t="shared" si="31"/>
        <v>308.64197530864197</v>
      </c>
    </row>
    <row r="83" spans="1:14">
      <c r="A83" s="28">
        <f t="shared" si="20"/>
        <v>16.8</v>
      </c>
      <c r="B83" s="31">
        <f t="shared" si="21"/>
        <v>12.115384615384615</v>
      </c>
      <c r="C83" s="29">
        <f t="shared" si="22"/>
        <v>1</v>
      </c>
      <c r="D83" s="27">
        <f t="shared" si="23"/>
        <v>308.64197530864197</v>
      </c>
      <c r="E83" s="27">
        <f t="shared" si="26"/>
        <v>65.884165501023716</v>
      </c>
      <c r="F83" s="29"/>
      <c r="G83" s="27">
        <f t="shared" si="27"/>
        <v>65.884165501023716</v>
      </c>
      <c r="H83" s="29">
        <f t="shared" si="24"/>
        <v>64.884165501023716</v>
      </c>
      <c r="I83" s="30">
        <f t="shared" si="28"/>
        <v>1.1950290327343101E-6</v>
      </c>
      <c r="J83" s="37">
        <f t="shared" si="32"/>
        <v>2.0127002597818169E-4</v>
      </c>
      <c r="K83" s="71">
        <f t="shared" si="29"/>
        <v>0.98482184615384616</v>
      </c>
      <c r="L83" s="28">
        <f t="shared" si="25"/>
        <v>66.546005730233034</v>
      </c>
      <c r="M83" s="28">
        <f t="shared" si="30"/>
        <v>3.688361212142932E-4</v>
      </c>
      <c r="N83" s="28">
        <f t="shared" si="31"/>
        <v>308.64197530864192</v>
      </c>
    </row>
    <row r="84" spans="1:14">
      <c r="A84" s="28">
        <f t="shared" si="20"/>
        <v>16.8</v>
      </c>
      <c r="B84" s="31">
        <f t="shared" si="21"/>
        <v>12.276923076923076</v>
      </c>
      <c r="C84" s="29">
        <f t="shared" si="22"/>
        <v>1</v>
      </c>
      <c r="D84" s="27">
        <f t="shared" si="23"/>
        <v>308.64197530864197</v>
      </c>
      <c r="E84" s="27">
        <f t="shared" si="26"/>
        <v>68.237171411774554</v>
      </c>
      <c r="F84" s="29"/>
      <c r="G84" s="27">
        <f t="shared" si="27"/>
        <v>68.237171411774554</v>
      </c>
      <c r="H84" s="29">
        <f t="shared" si="24"/>
        <v>67.237171411774554</v>
      </c>
      <c r="I84" s="30">
        <f t="shared" si="28"/>
        <v>1.1532082612993851E-6</v>
      </c>
      <c r="J84" s="37">
        <f t="shared" si="32"/>
        <v>2.0242323423948108E-4</v>
      </c>
      <c r="K84" s="71">
        <f t="shared" si="29"/>
        <v>0.98534523076923075</v>
      </c>
      <c r="L84" s="28">
        <f t="shared" si="25"/>
        <v>68.997053553931821</v>
      </c>
      <c r="M84" s="28">
        <f t="shared" si="30"/>
        <v>3.5592847570968674E-4</v>
      </c>
      <c r="N84" s="28">
        <f t="shared" si="31"/>
        <v>308.64197530864192</v>
      </c>
    </row>
    <row r="85" spans="1:14">
      <c r="A85" s="28">
        <f t="shared" si="20"/>
        <v>16.8</v>
      </c>
      <c r="B85" s="31">
        <f t="shared" si="21"/>
        <v>12.438461538461539</v>
      </c>
      <c r="C85" s="29">
        <f t="shared" si="22"/>
        <v>1</v>
      </c>
      <c r="D85" s="27">
        <f t="shared" si="23"/>
        <v>308.64197530864197</v>
      </c>
      <c r="E85" s="27">
        <f t="shared" si="26"/>
        <v>70.764474056655118</v>
      </c>
      <c r="F85" s="29"/>
      <c r="G85" s="27">
        <f t="shared" si="27"/>
        <v>70.764474056655118</v>
      </c>
      <c r="H85" s="29">
        <f t="shared" si="24"/>
        <v>69.764474056655118</v>
      </c>
      <c r="I85" s="30">
        <f t="shared" si="28"/>
        <v>1.1114318940538964E-6</v>
      </c>
      <c r="J85" s="37">
        <f t="shared" si="32"/>
        <v>2.0353466613353498E-4</v>
      </c>
      <c r="K85" s="71">
        <f t="shared" si="29"/>
        <v>0.98586861538461534</v>
      </c>
      <c r="L85" s="28">
        <f t="shared" si="25"/>
        <v>71.629660475682414</v>
      </c>
      <c r="M85" s="28">
        <f t="shared" si="30"/>
        <v>3.4303453520181986E-4</v>
      </c>
      <c r="N85" s="28">
        <f t="shared" si="31"/>
        <v>308.64197530864197</v>
      </c>
    </row>
    <row r="86" spans="1:14">
      <c r="A86" s="28">
        <f t="shared" si="20"/>
        <v>16.8</v>
      </c>
      <c r="B86" s="31">
        <f t="shared" si="21"/>
        <v>12.600000000000001</v>
      </c>
      <c r="C86" s="29">
        <f t="shared" si="22"/>
        <v>1</v>
      </c>
      <c r="D86" s="27">
        <f t="shared" si="23"/>
        <v>308.64197530864197</v>
      </c>
      <c r="E86" s="27">
        <f t="shared" si="26"/>
        <v>73.486184597295718</v>
      </c>
      <c r="F86" s="29"/>
      <c r="G86" s="27">
        <f t="shared" si="27"/>
        <v>73.486184597295718</v>
      </c>
      <c r="H86" s="29">
        <f t="shared" si="24"/>
        <v>72.486184597295718</v>
      </c>
      <c r="I86" s="30">
        <f t="shared" si="28"/>
        <v>1.0696998603145527E-6</v>
      </c>
      <c r="J86" s="37">
        <f t="shared" si="32"/>
        <v>2.0460436599384953E-4</v>
      </c>
      <c r="K86" s="71">
        <f t="shared" si="29"/>
        <v>0.98639200000000005</v>
      </c>
      <c r="L86" s="28">
        <f t="shared" si="25"/>
        <v>74.464775622183041</v>
      </c>
      <c r="M86" s="28">
        <f t="shared" si="30"/>
        <v>3.3015427787486188E-4</v>
      </c>
      <c r="N86" s="28">
        <f t="shared" si="31"/>
        <v>308.64197530864197</v>
      </c>
    </row>
    <row r="87" spans="1:14">
      <c r="A87" s="28">
        <f t="shared" si="20"/>
        <v>16.8</v>
      </c>
      <c r="B87" s="31">
        <f t="shared" si="21"/>
        <v>12.761538461538462</v>
      </c>
      <c r="C87" s="29">
        <f t="shared" si="22"/>
        <v>1</v>
      </c>
      <c r="D87" s="27">
        <f t="shared" si="23"/>
        <v>308.64197530864197</v>
      </c>
      <c r="E87" s="27">
        <f t="shared" si="26"/>
        <v>76.425631981187536</v>
      </c>
      <c r="F87" s="29"/>
      <c r="G87" s="27">
        <f t="shared" si="27"/>
        <v>76.425631981187536</v>
      </c>
      <c r="H87" s="29">
        <f t="shared" si="24"/>
        <v>75.425631981187536</v>
      </c>
      <c r="I87" s="30">
        <f t="shared" si="28"/>
        <v>1.0280120895480293E-6</v>
      </c>
      <c r="J87" s="37">
        <f t="shared" si="32"/>
        <v>2.0563237808339757E-4</v>
      </c>
      <c r="K87" s="71">
        <f t="shared" si="29"/>
        <v>0.98691538461538464</v>
      </c>
      <c r="L87" s="28">
        <f t="shared" si="25"/>
        <v>77.526699980403677</v>
      </c>
      <c r="M87" s="28">
        <f t="shared" si="30"/>
        <v>3.1728768195926833E-4</v>
      </c>
      <c r="N87" s="28">
        <f t="shared" si="31"/>
        <v>308.64197530864197</v>
      </c>
    </row>
    <row r="88" spans="1:14">
      <c r="A88" s="28">
        <f t="shared" si="20"/>
        <v>16.8</v>
      </c>
      <c r="B88" s="31">
        <f t="shared" si="21"/>
        <v>12.923076923076925</v>
      </c>
      <c r="C88" s="29">
        <f t="shared" si="22"/>
        <v>1</v>
      </c>
      <c r="D88" s="27">
        <f t="shared" si="23"/>
        <v>308.64197530864197</v>
      </c>
      <c r="E88" s="27">
        <f t="shared" si="26"/>
        <v>79.610033313737048</v>
      </c>
      <c r="F88" s="29"/>
      <c r="G88" s="27">
        <f t="shared" si="27"/>
        <v>79.610033313737048</v>
      </c>
      <c r="H88" s="29">
        <f t="shared" si="24"/>
        <v>78.610033313737048</v>
      </c>
      <c r="I88" s="30">
        <f t="shared" si="28"/>
        <v>9.8636851137057481E-7</v>
      </c>
      <c r="J88" s="37">
        <f t="shared" si="32"/>
        <v>2.0661874659476815E-4</v>
      </c>
      <c r="K88" s="71">
        <f t="shared" si="29"/>
        <v>0.98743876923076923</v>
      </c>
      <c r="L88" s="28">
        <f t="shared" si="25"/>
        <v>80.843784701809412</v>
      </c>
      <c r="M88" s="28">
        <f t="shared" si="30"/>
        <v>3.0443472573165892E-4</v>
      </c>
      <c r="N88" s="28">
        <f t="shared" si="31"/>
        <v>308.64197530864197</v>
      </c>
    </row>
    <row r="89" spans="1:14">
      <c r="A89" s="28">
        <f t="shared" si="20"/>
        <v>16.8</v>
      </c>
      <c r="B89" s="31">
        <f t="shared" si="21"/>
        <v>13.084615384615386</v>
      </c>
      <c r="C89" s="29">
        <f t="shared" si="22"/>
        <v>1</v>
      </c>
      <c r="D89" s="27">
        <f t="shared" si="23"/>
        <v>308.64197530864197</v>
      </c>
      <c r="E89" s="27">
        <f t="shared" si="26"/>
        <v>80</v>
      </c>
      <c r="F89" s="29"/>
      <c r="G89" s="27">
        <f t="shared" si="27"/>
        <v>80</v>
      </c>
      <c r="H89" s="29">
        <f t="shared" si="24"/>
        <v>79</v>
      </c>
      <c r="I89" s="30">
        <f t="shared" si="28"/>
        <v>9.8149951314507925E-7</v>
      </c>
      <c r="J89" s="37">
        <f t="shared" si="32"/>
        <v>2.0760024610791324E-4</v>
      </c>
      <c r="K89" s="71">
        <f t="shared" si="29"/>
        <v>0.98750000000000004</v>
      </c>
      <c r="L89" s="28">
        <f t="shared" si="25"/>
        <v>81.25</v>
      </c>
      <c r="M89" s="28">
        <f t="shared" si="30"/>
        <v>2.9173185529173733E-4</v>
      </c>
      <c r="N89" s="28">
        <f t="shared" si="31"/>
        <v>297.23076923076917</v>
      </c>
    </row>
    <row r="90" spans="1:14">
      <c r="A90" s="28">
        <f t="shared" si="20"/>
        <v>16.8</v>
      </c>
      <c r="B90" s="31">
        <f t="shared" si="21"/>
        <v>13.246153846153847</v>
      </c>
      <c r="C90" s="29">
        <f t="shared" si="22"/>
        <v>1</v>
      </c>
      <c r="D90" s="27">
        <f t="shared" si="23"/>
        <v>308.64197530864197</v>
      </c>
      <c r="E90" s="27">
        <f t="shared" si="26"/>
        <v>80</v>
      </c>
      <c r="F90" s="29"/>
      <c r="G90" s="27">
        <f t="shared" si="27"/>
        <v>80</v>
      </c>
      <c r="H90" s="29">
        <f t="shared" si="24"/>
        <v>79</v>
      </c>
      <c r="I90" s="30">
        <f t="shared" si="28"/>
        <v>9.8149951314507925E-7</v>
      </c>
      <c r="J90" s="37">
        <f t="shared" si="32"/>
        <v>2.0858174562105833E-4</v>
      </c>
      <c r="K90" s="71">
        <f t="shared" si="29"/>
        <v>0.98750000000000004</v>
      </c>
      <c r="L90" s="28">
        <f t="shared" si="25"/>
        <v>81.25</v>
      </c>
      <c r="M90" s="28">
        <f t="shared" si="30"/>
        <v>2.7904786158340096E-4</v>
      </c>
      <c r="N90" s="28">
        <f t="shared" si="31"/>
        <v>284.30769230769226</v>
      </c>
    </row>
    <row r="91" spans="1:14">
      <c r="A91" s="28">
        <f t="shared" si="20"/>
        <v>16.8</v>
      </c>
      <c r="B91" s="31">
        <f t="shared" si="21"/>
        <v>13.40769230769231</v>
      </c>
      <c r="C91" s="29">
        <f t="shared" si="22"/>
        <v>1</v>
      </c>
      <c r="D91" s="27">
        <f t="shared" si="23"/>
        <v>308.64197530864197</v>
      </c>
      <c r="E91" s="27">
        <f t="shared" si="26"/>
        <v>80</v>
      </c>
      <c r="F91" s="29"/>
      <c r="G91" s="27">
        <f t="shared" si="27"/>
        <v>80</v>
      </c>
      <c r="H91" s="29">
        <f t="shared" si="24"/>
        <v>79</v>
      </c>
      <c r="I91" s="30">
        <f t="shared" si="28"/>
        <v>9.8149951314509005E-7</v>
      </c>
      <c r="J91" s="37">
        <f t="shared" si="32"/>
        <v>2.0956324513420342E-4</v>
      </c>
      <c r="K91" s="71">
        <f t="shared" si="29"/>
        <v>0.98750000000000004</v>
      </c>
      <c r="L91" s="28">
        <f t="shared" si="25"/>
        <v>81.25</v>
      </c>
      <c r="M91" s="28">
        <f t="shared" si="30"/>
        <v>2.6636386787506742E-4</v>
      </c>
      <c r="N91" s="28">
        <f t="shared" si="31"/>
        <v>271.38461538461524</v>
      </c>
    </row>
    <row r="92" spans="1:14">
      <c r="A92" s="28">
        <f t="shared" si="20"/>
        <v>16.8</v>
      </c>
      <c r="B92" s="31">
        <f t="shared" si="21"/>
        <v>13.569230769230771</v>
      </c>
      <c r="C92" s="29">
        <f t="shared" si="22"/>
        <v>1</v>
      </c>
      <c r="D92" s="27">
        <f t="shared" si="23"/>
        <v>308.64197530864197</v>
      </c>
      <c r="E92" s="27">
        <f t="shared" si="26"/>
        <v>80</v>
      </c>
      <c r="F92" s="29"/>
      <c r="G92" s="27">
        <f t="shared" si="27"/>
        <v>80</v>
      </c>
      <c r="H92" s="29">
        <f t="shared" si="24"/>
        <v>79</v>
      </c>
      <c r="I92" s="30">
        <f t="shared" si="28"/>
        <v>9.8149951314507925E-7</v>
      </c>
      <c r="J92" s="37">
        <f t="shared" si="32"/>
        <v>2.1054474464734851E-4</v>
      </c>
      <c r="K92" s="71">
        <f t="shared" si="29"/>
        <v>0.98750000000000004</v>
      </c>
      <c r="L92" s="28">
        <f t="shared" si="25"/>
        <v>81.25</v>
      </c>
      <c r="M92" s="28">
        <f t="shared" si="30"/>
        <v>2.5367987416672808E-4</v>
      </c>
      <c r="N92" s="28">
        <f t="shared" si="31"/>
        <v>258.4615384615384</v>
      </c>
    </row>
    <row r="93" spans="1:14">
      <c r="A93" s="28">
        <f t="shared" si="20"/>
        <v>16.8</v>
      </c>
      <c r="B93" s="31">
        <f t="shared" si="21"/>
        <v>13.730769230769232</v>
      </c>
      <c r="C93" s="29">
        <f t="shared" si="22"/>
        <v>1</v>
      </c>
      <c r="D93" s="27">
        <f t="shared" si="23"/>
        <v>308.64197530864197</v>
      </c>
      <c r="E93" s="27">
        <f t="shared" si="26"/>
        <v>80</v>
      </c>
      <c r="F93" s="29"/>
      <c r="G93" s="27">
        <f t="shared" si="27"/>
        <v>80</v>
      </c>
      <c r="H93" s="29">
        <f t="shared" si="24"/>
        <v>79</v>
      </c>
      <c r="I93" s="30">
        <f t="shared" si="28"/>
        <v>9.8149951314507925E-7</v>
      </c>
      <c r="J93" s="37">
        <f t="shared" si="32"/>
        <v>2.115262441604936E-4</v>
      </c>
      <c r="K93" s="71">
        <f t="shared" si="29"/>
        <v>0.98750000000000004</v>
      </c>
      <c r="L93" s="28">
        <f t="shared" si="25"/>
        <v>81.25</v>
      </c>
      <c r="M93" s="28">
        <f t="shared" si="30"/>
        <v>2.4099588045839175E-4</v>
      </c>
      <c r="N93" s="28">
        <f t="shared" si="31"/>
        <v>245.53846153846152</v>
      </c>
    </row>
    <row r="94" spans="1:14">
      <c r="A94" s="28">
        <f t="shared" si="20"/>
        <v>16.8</v>
      </c>
      <c r="B94" s="31">
        <f t="shared" si="21"/>
        <v>13.892307692307693</v>
      </c>
      <c r="C94" s="29">
        <f t="shared" si="22"/>
        <v>1</v>
      </c>
      <c r="D94" s="27">
        <f t="shared" si="23"/>
        <v>308.64197530864197</v>
      </c>
      <c r="E94" s="27">
        <f t="shared" si="26"/>
        <v>80</v>
      </c>
      <c r="F94" s="29"/>
      <c r="G94" s="27">
        <f t="shared" si="27"/>
        <v>80</v>
      </c>
      <c r="H94" s="29">
        <f t="shared" si="24"/>
        <v>79</v>
      </c>
      <c r="I94" s="30">
        <f t="shared" si="28"/>
        <v>9.8149951314507925E-7</v>
      </c>
      <c r="J94" s="37">
        <f t="shared" si="32"/>
        <v>2.1250774367363869E-4</v>
      </c>
      <c r="K94" s="71">
        <f t="shared" si="29"/>
        <v>0.98750000000000004</v>
      </c>
      <c r="L94" s="28">
        <f t="shared" si="25"/>
        <v>81.25</v>
      </c>
      <c r="M94" s="28">
        <f t="shared" si="30"/>
        <v>2.2831188675005539E-4</v>
      </c>
      <c r="N94" s="28">
        <f t="shared" si="31"/>
        <v>232.61538461538464</v>
      </c>
    </row>
    <row r="95" spans="1:14">
      <c r="A95" s="28">
        <f t="shared" si="20"/>
        <v>16.8</v>
      </c>
      <c r="B95" s="31">
        <f t="shared" si="21"/>
        <v>14.053846153846155</v>
      </c>
      <c r="C95" s="29">
        <f t="shared" si="22"/>
        <v>1</v>
      </c>
      <c r="D95" s="27">
        <f t="shared" si="23"/>
        <v>308.64197530864197</v>
      </c>
      <c r="E95" s="27">
        <f t="shared" si="26"/>
        <v>80</v>
      </c>
      <c r="F95" s="29"/>
      <c r="G95" s="27">
        <f t="shared" si="27"/>
        <v>80</v>
      </c>
      <c r="H95" s="29">
        <f t="shared" si="24"/>
        <v>79</v>
      </c>
      <c r="I95" s="30">
        <f t="shared" si="28"/>
        <v>9.8149951314509005E-7</v>
      </c>
      <c r="J95" s="37">
        <f t="shared" si="32"/>
        <v>2.1348924318678378E-4</v>
      </c>
      <c r="K95" s="71">
        <f t="shared" si="29"/>
        <v>0.98750000000000004</v>
      </c>
      <c r="L95" s="28">
        <f t="shared" si="25"/>
        <v>81.25</v>
      </c>
      <c r="M95" s="28">
        <f t="shared" si="30"/>
        <v>2.1562789304172125E-4</v>
      </c>
      <c r="N95" s="28">
        <f t="shared" si="31"/>
        <v>219.69230769230762</v>
      </c>
    </row>
    <row r="96" spans="1:14">
      <c r="A96" s="28">
        <f t="shared" si="20"/>
        <v>16.8</v>
      </c>
      <c r="B96" s="31">
        <f t="shared" si="21"/>
        <v>14.215384615384616</v>
      </c>
      <c r="C96" s="29">
        <f t="shared" si="22"/>
        <v>1</v>
      </c>
      <c r="D96" s="27">
        <f t="shared" si="23"/>
        <v>308.64197530864197</v>
      </c>
      <c r="E96" s="27">
        <f t="shared" si="26"/>
        <v>80</v>
      </c>
      <c r="F96" s="29"/>
      <c r="G96" s="27">
        <f t="shared" si="27"/>
        <v>80</v>
      </c>
      <c r="H96" s="29">
        <f t="shared" si="24"/>
        <v>79</v>
      </c>
      <c r="I96" s="30">
        <f t="shared" si="28"/>
        <v>9.8149951314507925E-7</v>
      </c>
      <c r="J96" s="37">
        <f t="shared" si="32"/>
        <v>2.1447074269992887E-4</v>
      </c>
      <c r="K96" s="71">
        <f t="shared" si="29"/>
        <v>0.98750000000000004</v>
      </c>
      <c r="L96" s="28">
        <f t="shared" si="25"/>
        <v>81.25</v>
      </c>
      <c r="M96" s="28">
        <f t="shared" si="30"/>
        <v>2.029438993333825E-4</v>
      </c>
      <c r="N96" s="28">
        <f t="shared" si="31"/>
        <v>206.76923076923075</v>
      </c>
    </row>
    <row r="97" spans="1:14">
      <c r="A97" s="28">
        <f t="shared" si="20"/>
        <v>16.8</v>
      </c>
      <c r="B97" s="31">
        <f t="shared" si="21"/>
        <v>14.376923076923077</v>
      </c>
      <c r="C97" s="29">
        <f t="shared" si="22"/>
        <v>1</v>
      </c>
      <c r="D97" s="27">
        <f t="shared" si="23"/>
        <v>308.64197530864197</v>
      </c>
      <c r="E97" s="27">
        <f t="shared" si="26"/>
        <v>80</v>
      </c>
      <c r="F97" s="29"/>
      <c r="G97" s="27">
        <f t="shared" si="27"/>
        <v>80</v>
      </c>
      <c r="H97" s="29">
        <f t="shared" si="24"/>
        <v>79</v>
      </c>
      <c r="I97" s="30">
        <f t="shared" si="28"/>
        <v>9.8149951314507925E-7</v>
      </c>
      <c r="J97" s="37">
        <f t="shared" si="32"/>
        <v>2.1545224221307396E-4</v>
      </c>
      <c r="K97" s="71">
        <f t="shared" si="29"/>
        <v>0.98750000000000004</v>
      </c>
      <c r="L97" s="28">
        <f t="shared" si="25"/>
        <v>81.25</v>
      </c>
      <c r="M97" s="28">
        <f t="shared" si="30"/>
        <v>1.9025990562504614E-4</v>
      </c>
      <c r="N97" s="28">
        <f t="shared" si="31"/>
        <v>193.84615384615387</v>
      </c>
    </row>
    <row r="98" spans="1:14">
      <c r="A98" s="28">
        <f t="shared" si="20"/>
        <v>16.8</v>
      </c>
      <c r="B98" s="31">
        <f t="shared" si="21"/>
        <v>14.53846153846154</v>
      </c>
      <c r="C98" s="29">
        <f t="shared" si="22"/>
        <v>1</v>
      </c>
      <c r="D98" s="27">
        <f t="shared" si="23"/>
        <v>308.64197530864197</v>
      </c>
      <c r="E98" s="27">
        <f t="shared" si="26"/>
        <v>80</v>
      </c>
      <c r="F98" s="29"/>
      <c r="G98" s="27">
        <f t="shared" si="27"/>
        <v>80</v>
      </c>
      <c r="H98" s="29">
        <f t="shared" si="24"/>
        <v>79</v>
      </c>
      <c r="I98" s="30">
        <f t="shared" si="28"/>
        <v>9.8149951314509005E-7</v>
      </c>
      <c r="J98" s="37">
        <f t="shared" si="32"/>
        <v>2.1643374172621905E-4</v>
      </c>
      <c r="K98" s="71">
        <f t="shared" si="29"/>
        <v>0.98750000000000004</v>
      </c>
      <c r="L98" s="28">
        <f t="shared" si="25"/>
        <v>81.25</v>
      </c>
      <c r="M98" s="28">
        <f t="shared" si="30"/>
        <v>1.775759119167116E-4</v>
      </c>
      <c r="N98" s="28">
        <f t="shared" si="31"/>
        <v>180.92307692307685</v>
      </c>
    </row>
    <row r="99" spans="1:14">
      <c r="A99" s="28">
        <f t="shared" si="20"/>
        <v>16.8</v>
      </c>
      <c r="B99" s="31">
        <f t="shared" si="21"/>
        <v>14.700000000000001</v>
      </c>
      <c r="C99" s="29">
        <f t="shared" si="22"/>
        <v>1</v>
      </c>
      <c r="D99" s="27">
        <f t="shared" si="23"/>
        <v>308.64197530864197</v>
      </c>
      <c r="E99" s="27">
        <f t="shared" si="26"/>
        <v>80</v>
      </c>
      <c r="F99" s="29"/>
      <c r="G99" s="27">
        <f t="shared" si="27"/>
        <v>80</v>
      </c>
      <c r="H99" s="29">
        <f t="shared" si="24"/>
        <v>79</v>
      </c>
      <c r="I99" s="30">
        <f t="shared" si="28"/>
        <v>9.8149951314507925E-7</v>
      </c>
      <c r="J99" s="37">
        <f t="shared" si="32"/>
        <v>2.1741524123936414E-4</v>
      </c>
      <c r="K99" s="71">
        <f t="shared" si="29"/>
        <v>0.98750000000000004</v>
      </c>
      <c r="L99" s="28">
        <f t="shared" si="25"/>
        <v>81.25</v>
      </c>
      <c r="M99" s="28">
        <f t="shared" si="30"/>
        <v>1.6489191820837328E-4</v>
      </c>
      <c r="N99" s="28">
        <f t="shared" si="31"/>
        <v>167.99999999999997</v>
      </c>
    </row>
    <row r="100" spans="1:14">
      <c r="A100" s="28">
        <f t="shared" si="20"/>
        <v>16.8</v>
      </c>
      <c r="B100" s="31">
        <f t="shared" si="21"/>
        <v>14.861538461538462</v>
      </c>
      <c r="C100" s="29">
        <f t="shared" si="22"/>
        <v>1</v>
      </c>
      <c r="D100" s="27">
        <f t="shared" si="23"/>
        <v>308.64197530864197</v>
      </c>
      <c r="E100" s="27">
        <f t="shared" si="26"/>
        <v>80</v>
      </c>
      <c r="F100" s="29"/>
      <c r="G100" s="27">
        <f t="shared" si="27"/>
        <v>80</v>
      </c>
      <c r="H100" s="29">
        <f t="shared" si="24"/>
        <v>79</v>
      </c>
      <c r="I100" s="30">
        <f t="shared" si="28"/>
        <v>9.8149951314507925E-7</v>
      </c>
      <c r="J100" s="37">
        <f t="shared" si="32"/>
        <v>2.1839674075250923E-4</v>
      </c>
      <c r="K100" s="71">
        <f t="shared" si="29"/>
        <v>0.98750000000000004</v>
      </c>
      <c r="L100" s="28">
        <f t="shared" si="25"/>
        <v>81.25</v>
      </c>
      <c r="M100" s="28">
        <f t="shared" si="30"/>
        <v>1.5220792450003692E-4</v>
      </c>
      <c r="N100" s="28">
        <f t="shared" si="31"/>
        <v>155.07692307692309</v>
      </c>
    </row>
    <row r="101" spans="1:14">
      <c r="A101" s="28">
        <f t="shared" si="20"/>
        <v>16.8</v>
      </c>
      <c r="B101" s="31">
        <f t="shared" si="21"/>
        <v>15.023076923076925</v>
      </c>
      <c r="C101" s="29">
        <f t="shared" si="22"/>
        <v>1</v>
      </c>
      <c r="D101" s="27">
        <f t="shared" si="23"/>
        <v>308.64197530864197</v>
      </c>
      <c r="E101" s="27">
        <f t="shared" si="26"/>
        <v>80</v>
      </c>
      <c r="F101" s="29"/>
      <c r="G101" s="27">
        <f t="shared" si="27"/>
        <v>80</v>
      </c>
      <c r="H101" s="29">
        <f t="shared" si="24"/>
        <v>79</v>
      </c>
      <c r="I101" s="30">
        <f t="shared" si="28"/>
        <v>9.8149951314509005E-7</v>
      </c>
      <c r="J101" s="37">
        <f t="shared" si="32"/>
        <v>2.1937824026565432E-4</v>
      </c>
      <c r="K101" s="71">
        <f t="shared" si="29"/>
        <v>0.98750000000000004</v>
      </c>
      <c r="L101" s="28">
        <f t="shared" si="25"/>
        <v>81.25</v>
      </c>
      <c r="M101" s="28">
        <f t="shared" si="30"/>
        <v>1.3952393079170195E-4</v>
      </c>
      <c r="N101" s="28">
        <f t="shared" si="31"/>
        <v>142.15384615384608</v>
      </c>
    </row>
    <row r="102" spans="1:14">
      <c r="A102" s="28">
        <f t="shared" si="20"/>
        <v>16.8</v>
      </c>
      <c r="B102" s="31">
        <f t="shared" si="21"/>
        <v>15.184615384615386</v>
      </c>
      <c r="C102" s="29">
        <f t="shared" si="22"/>
        <v>1</v>
      </c>
      <c r="D102" s="27">
        <f t="shared" si="23"/>
        <v>308.64197530864197</v>
      </c>
      <c r="E102" s="27">
        <f t="shared" si="26"/>
        <v>80</v>
      </c>
      <c r="F102" s="29"/>
      <c r="G102" s="27">
        <f t="shared" si="27"/>
        <v>80</v>
      </c>
      <c r="H102" s="29">
        <f t="shared" si="24"/>
        <v>79</v>
      </c>
      <c r="I102" s="30">
        <f t="shared" si="28"/>
        <v>9.8149951314507925E-7</v>
      </c>
      <c r="J102" s="37">
        <f t="shared" si="32"/>
        <v>2.2035973977879941E-4</v>
      </c>
      <c r="K102" s="71">
        <f t="shared" si="29"/>
        <v>0.98750000000000004</v>
      </c>
      <c r="L102" s="28">
        <f t="shared" si="25"/>
        <v>81.25</v>
      </c>
      <c r="M102" s="28">
        <f t="shared" si="30"/>
        <v>1.2683993708336404E-4</v>
      </c>
      <c r="N102" s="28">
        <f t="shared" si="31"/>
        <v>129.2307692307692</v>
      </c>
    </row>
    <row r="103" spans="1:14">
      <c r="A103" s="28">
        <f t="shared" si="20"/>
        <v>16.8</v>
      </c>
      <c r="B103" s="31">
        <f t="shared" si="21"/>
        <v>15.346153846153847</v>
      </c>
      <c r="C103" s="29">
        <f t="shared" si="22"/>
        <v>1</v>
      </c>
      <c r="D103" s="27">
        <f t="shared" si="23"/>
        <v>308.64197530864197</v>
      </c>
      <c r="E103" s="27">
        <f t="shared" si="26"/>
        <v>80</v>
      </c>
      <c r="F103" s="29"/>
      <c r="G103" s="27">
        <f t="shared" si="27"/>
        <v>80</v>
      </c>
      <c r="H103" s="29">
        <f t="shared" si="24"/>
        <v>79</v>
      </c>
      <c r="I103" s="30">
        <f t="shared" si="28"/>
        <v>9.8149951314507925E-7</v>
      </c>
      <c r="J103" s="37">
        <f t="shared" si="32"/>
        <v>2.213412392919445E-4</v>
      </c>
      <c r="K103" s="71">
        <f t="shared" si="29"/>
        <v>0.98750000000000004</v>
      </c>
      <c r="L103" s="28">
        <f t="shared" si="25"/>
        <v>81.25</v>
      </c>
      <c r="M103" s="28">
        <f t="shared" si="30"/>
        <v>1.1415594337502769E-4</v>
      </c>
      <c r="N103" s="28">
        <f t="shared" si="31"/>
        <v>116.30769230769232</v>
      </c>
    </row>
    <row r="104" spans="1:14">
      <c r="A104" s="28">
        <f t="shared" ref="A104:A112" si="33">VINMAX</f>
        <v>16.8</v>
      </c>
      <c r="B104" s="31">
        <f t="shared" ref="B104:B112" si="34">VINMAX*((ROW()-8)/104)</f>
        <v>15.507692307692309</v>
      </c>
      <c r="C104" s="29">
        <f t="shared" ref="C104:C112" si="35">IF(B104&gt;=$H$2,IF($D$2="CC", $G$2, B104/$G$2), 0)</f>
        <v>1</v>
      </c>
      <c r="D104" s="27">
        <f t="shared" ref="D104:D112" si="36">$B$2-B104*$J$2/($I$2*0.001)</f>
        <v>308.64197530864197</v>
      </c>
      <c r="E104" s="27">
        <f t="shared" si="26"/>
        <v>80</v>
      </c>
      <c r="F104" s="29"/>
      <c r="G104" s="27">
        <f t="shared" si="27"/>
        <v>80</v>
      </c>
      <c r="H104" s="29">
        <f t="shared" ref="H104:H112" si="37">G104-C104</f>
        <v>79</v>
      </c>
      <c r="I104" s="30">
        <f t="shared" si="28"/>
        <v>9.8149951314509005E-7</v>
      </c>
      <c r="J104" s="37">
        <f t="shared" si="32"/>
        <v>2.2232273880508959E-4</v>
      </c>
      <c r="K104" s="71">
        <f t="shared" si="29"/>
        <v>0.98750000000000004</v>
      </c>
      <c r="L104" s="28">
        <f t="shared" ref="L104:L112" si="38">1/COUTMAX*(E104/2-C104)*1000</f>
        <v>81.25</v>
      </c>
      <c r="M104" s="28">
        <f t="shared" si="30"/>
        <v>1.0147194966669231E-4</v>
      </c>
      <c r="N104" s="28">
        <f t="shared" si="31"/>
        <v>103.3846153846153</v>
      </c>
    </row>
    <row r="105" spans="1:14">
      <c r="A105" s="28">
        <f t="shared" si="33"/>
        <v>16.8</v>
      </c>
      <c r="B105" s="31">
        <f t="shared" si="34"/>
        <v>15.66923076923077</v>
      </c>
      <c r="C105" s="29">
        <f t="shared" si="35"/>
        <v>1</v>
      </c>
      <c r="D105" s="27">
        <f t="shared" si="36"/>
        <v>308.64197530864197</v>
      </c>
      <c r="E105" s="27">
        <f t="shared" si="26"/>
        <v>80</v>
      </c>
      <c r="F105" s="29"/>
      <c r="G105" s="27">
        <f t="shared" si="27"/>
        <v>80</v>
      </c>
      <c r="H105" s="29">
        <f t="shared" si="37"/>
        <v>79</v>
      </c>
      <c r="I105" s="30">
        <f t="shared" ref="I105:I112" si="39">(COUTMAX/1000000)*(B105-B104)/H105</f>
        <v>9.8149951314507925E-7</v>
      </c>
      <c r="J105" s="37">
        <f t="shared" si="32"/>
        <v>2.2330423831823468E-4</v>
      </c>
      <c r="K105" s="71">
        <f t="shared" si="29"/>
        <v>0.98750000000000004</v>
      </c>
      <c r="L105" s="28">
        <f t="shared" si="38"/>
        <v>81.25</v>
      </c>
      <c r="M105" s="28">
        <f t="shared" si="30"/>
        <v>8.8787955958354823E-5</v>
      </c>
      <c r="N105" s="28">
        <f t="shared" si="31"/>
        <v>90.461538461538424</v>
      </c>
    </row>
    <row r="106" spans="1:14">
      <c r="A106" s="28">
        <f t="shared" si="33"/>
        <v>16.8</v>
      </c>
      <c r="B106" s="31">
        <f t="shared" si="34"/>
        <v>15.830769230769231</v>
      </c>
      <c r="C106" s="29">
        <f t="shared" si="35"/>
        <v>1</v>
      </c>
      <c r="D106" s="27">
        <f t="shared" si="36"/>
        <v>308.64197530864197</v>
      </c>
      <c r="E106" s="27">
        <f t="shared" si="26"/>
        <v>80</v>
      </c>
      <c r="F106" s="29"/>
      <c r="G106" s="27">
        <f t="shared" si="27"/>
        <v>80</v>
      </c>
      <c r="H106" s="29">
        <f t="shared" si="37"/>
        <v>79</v>
      </c>
      <c r="I106" s="30">
        <f t="shared" si="39"/>
        <v>9.8149951314507925E-7</v>
      </c>
      <c r="J106" s="37">
        <f t="shared" si="32"/>
        <v>2.2428573783137977E-4</v>
      </c>
      <c r="K106" s="71">
        <f t="shared" si="29"/>
        <v>0.98750000000000004</v>
      </c>
      <c r="L106" s="28">
        <f t="shared" si="38"/>
        <v>81.25</v>
      </c>
      <c r="M106" s="28">
        <f t="shared" si="30"/>
        <v>7.6103962250018462E-5</v>
      </c>
      <c r="N106" s="28">
        <f t="shared" si="31"/>
        <v>77.538461538461547</v>
      </c>
    </row>
    <row r="107" spans="1:14">
      <c r="A107" s="28">
        <f t="shared" si="33"/>
        <v>16.8</v>
      </c>
      <c r="B107" s="31">
        <f t="shared" si="34"/>
        <v>15.992307692307692</v>
      </c>
      <c r="C107" s="29">
        <f t="shared" si="35"/>
        <v>1</v>
      </c>
      <c r="D107" s="27">
        <f t="shared" si="36"/>
        <v>308.64197530864197</v>
      </c>
      <c r="E107" s="27">
        <f t="shared" si="26"/>
        <v>80</v>
      </c>
      <c r="F107" s="29"/>
      <c r="G107" s="27">
        <f t="shared" si="27"/>
        <v>80</v>
      </c>
      <c r="H107" s="29">
        <f t="shared" si="37"/>
        <v>79</v>
      </c>
      <c r="I107" s="30">
        <f t="shared" si="39"/>
        <v>9.8149951314507925E-7</v>
      </c>
      <c r="J107" s="37">
        <f t="shared" si="32"/>
        <v>2.2526723734452486E-4</v>
      </c>
      <c r="K107" s="71">
        <f t="shared" si="29"/>
        <v>0.98750000000000004</v>
      </c>
      <c r="L107" s="28">
        <f t="shared" si="38"/>
        <v>81.25</v>
      </c>
      <c r="M107" s="28">
        <f t="shared" si="30"/>
        <v>6.3419968541682088E-5</v>
      </c>
      <c r="N107" s="28">
        <f t="shared" si="31"/>
        <v>64.61538461538467</v>
      </c>
    </row>
    <row r="108" spans="1:14">
      <c r="A108" s="28">
        <f t="shared" si="33"/>
        <v>16.8</v>
      </c>
      <c r="B108" s="31">
        <f t="shared" si="34"/>
        <v>16.153846153846153</v>
      </c>
      <c r="C108" s="29">
        <f t="shared" si="35"/>
        <v>1</v>
      </c>
      <c r="D108" s="27">
        <f t="shared" si="36"/>
        <v>308.64197530864197</v>
      </c>
      <c r="E108" s="27">
        <f t="shared" si="26"/>
        <v>80</v>
      </c>
      <c r="F108" s="29"/>
      <c r="G108" s="27">
        <f t="shared" si="27"/>
        <v>80</v>
      </c>
      <c r="H108" s="29">
        <f t="shared" si="37"/>
        <v>79</v>
      </c>
      <c r="I108" s="30">
        <f t="shared" si="39"/>
        <v>9.8149951314507925E-7</v>
      </c>
      <c r="J108" s="37">
        <f t="shared" si="32"/>
        <v>2.2624873685766995E-4</v>
      </c>
      <c r="K108" s="71">
        <f t="shared" si="29"/>
        <v>0.98750000000000004</v>
      </c>
      <c r="L108" s="28">
        <f t="shared" si="38"/>
        <v>81.25</v>
      </c>
      <c r="M108" s="28">
        <f t="shared" si="30"/>
        <v>5.0735974833345734E-5</v>
      </c>
      <c r="N108" s="28">
        <f t="shared" si="31"/>
        <v>51.692307692307793</v>
      </c>
    </row>
    <row r="109" spans="1:14">
      <c r="A109" s="28">
        <f t="shared" si="33"/>
        <v>16.8</v>
      </c>
      <c r="B109" s="31">
        <f t="shared" si="34"/>
        <v>16.315384615384616</v>
      </c>
      <c r="C109" s="29">
        <f t="shared" si="35"/>
        <v>1</v>
      </c>
      <c r="D109" s="27">
        <f t="shared" si="36"/>
        <v>308.64197530864197</v>
      </c>
      <c r="E109" s="27">
        <f>$C$2</f>
        <v>80</v>
      </c>
      <c r="F109" s="29"/>
      <c r="G109" s="27">
        <f t="shared" si="27"/>
        <v>80</v>
      </c>
      <c r="H109" s="29">
        <f t="shared" si="37"/>
        <v>79</v>
      </c>
      <c r="I109" s="30">
        <f t="shared" si="39"/>
        <v>9.8149951314509005E-7</v>
      </c>
      <c r="J109" s="37">
        <f>J108+I109</f>
        <v>2.2723023637081504E-4</v>
      </c>
      <c r="K109" s="71">
        <f>H109/G109</f>
        <v>0.98750000000000004</v>
      </c>
      <c r="L109" s="28">
        <f t="shared" si="38"/>
        <v>81.25</v>
      </c>
      <c r="M109" s="28">
        <f>I109*G109*(A109-B109)</f>
        <v>3.8051981125009651E-5</v>
      </c>
      <c r="N109" s="28">
        <f t="shared" si="31"/>
        <v>38.769230769230774</v>
      </c>
    </row>
    <row r="110" spans="1:14">
      <c r="A110" s="28">
        <f t="shared" si="33"/>
        <v>16.8</v>
      </c>
      <c r="B110" s="31">
        <f t="shared" si="34"/>
        <v>16.476923076923075</v>
      </c>
      <c r="C110" s="29">
        <f t="shared" si="35"/>
        <v>1</v>
      </c>
      <c r="D110" s="27">
        <f t="shared" si="36"/>
        <v>308.64197530864197</v>
      </c>
      <c r="E110" s="27">
        <f>$C$2</f>
        <v>80</v>
      </c>
      <c r="F110" s="29"/>
      <c r="G110" s="27">
        <f t="shared" si="27"/>
        <v>80</v>
      </c>
      <c r="H110" s="29">
        <f t="shared" si="37"/>
        <v>79</v>
      </c>
      <c r="I110" s="30">
        <f t="shared" si="39"/>
        <v>9.8149951314506845E-7</v>
      </c>
      <c r="J110" s="37">
        <f>J109+I110</f>
        <v>2.2821173588396011E-4</v>
      </c>
      <c r="K110" s="71">
        <f>H110/G110</f>
        <v>0.98750000000000004</v>
      </c>
      <c r="L110" s="28">
        <f t="shared" si="38"/>
        <v>81.25</v>
      </c>
      <c r="M110" s="28">
        <f>I110*G110*(A110-B110)</f>
        <v>2.5367987416672725E-5</v>
      </c>
      <c r="N110" s="28">
        <f t="shared" si="31"/>
        <v>25.846153846154039</v>
      </c>
    </row>
    <row r="111" spans="1:14">
      <c r="A111" s="28">
        <f t="shared" si="33"/>
        <v>16.8</v>
      </c>
      <c r="B111" s="31">
        <f t="shared" si="34"/>
        <v>16.638461538461538</v>
      </c>
      <c r="C111" s="29">
        <f t="shared" si="35"/>
        <v>1</v>
      </c>
      <c r="D111" s="27">
        <f t="shared" si="36"/>
        <v>308.64197530864197</v>
      </c>
      <c r="E111" s="27">
        <f>$C$2</f>
        <v>80</v>
      </c>
      <c r="F111" s="29"/>
      <c r="G111" s="27">
        <f t="shared" si="27"/>
        <v>80</v>
      </c>
      <c r="H111" s="29">
        <f t="shared" si="37"/>
        <v>79</v>
      </c>
      <c r="I111" s="30">
        <f t="shared" si="39"/>
        <v>9.8149951314509005E-7</v>
      </c>
      <c r="J111" s="37">
        <f>J110+I111</f>
        <v>2.291932353971052E-4</v>
      </c>
      <c r="K111" s="71">
        <f>H111/G111</f>
        <v>0.98750000000000004</v>
      </c>
      <c r="L111" s="28">
        <f t="shared" si="38"/>
        <v>81.25</v>
      </c>
      <c r="M111" s="28">
        <f>I111*G111*(A111-B111)</f>
        <v>1.2683993708336644E-5</v>
      </c>
      <c r="N111" s="28">
        <f t="shared" si="31"/>
        <v>12.923076923077019</v>
      </c>
    </row>
    <row r="112" spans="1:14">
      <c r="A112" s="28">
        <f t="shared" si="33"/>
        <v>16.8</v>
      </c>
      <c r="B112" s="31">
        <f t="shared" si="34"/>
        <v>16.8</v>
      </c>
      <c r="C112" s="29">
        <f t="shared" si="35"/>
        <v>1</v>
      </c>
      <c r="D112" s="27">
        <f t="shared" si="36"/>
        <v>308.64197530864197</v>
      </c>
      <c r="E112" s="27">
        <f>$C$2</f>
        <v>80</v>
      </c>
      <c r="F112" s="29"/>
      <c r="G112" s="27">
        <f t="shared" si="27"/>
        <v>80</v>
      </c>
      <c r="H112" s="29">
        <f t="shared" si="37"/>
        <v>79</v>
      </c>
      <c r="I112" s="30">
        <f t="shared" si="39"/>
        <v>9.8149951314509005E-7</v>
      </c>
      <c r="J112" s="37">
        <f>J111+I112</f>
        <v>2.3017473491025029E-4</v>
      </c>
      <c r="K112" s="71">
        <f>H112/G112</f>
        <v>0.98750000000000004</v>
      </c>
      <c r="L112" s="28">
        <f t="shared" si="38"/>
        <v>81.25</v>
      </c>
      <c r="M112" s="28">
        <f>I112*G112*(A112-B112)</f>
        <v>0</v>
      </c>
      <c r="N112" s="28">
        <f t="shared" si="31"/>
        <v>0</v>
      </c>
    </row>
  </sheetData>
  <mergeCells count="1">
    <mergeCell ref="W10:X10"/>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sheetPr codeName="Sheet8"/>
  <dimension ref="A1:AB69"/>
  <sheetViews>
    <sheetView zoomScale="85" zoomScaleNormal="85" workbookViewId="0">
      <selection activeCell="D27" sqref="D27"/>
    </sheetView>
  </sheetViews>
  <sheetFormatPr defaultRowHeight="13.2"/>
  <cols>
    <col min="1" max="1" width="19.6640625" customWidth="1"/>
    <col min="2" max="2" width="17.33203125" customWidth="1"/>
    <col min="3" max="3" width="10.44140625" customWidth="1"/>
    <col min="4" max="4" width="16" customWidth="1"/>
    <col min="5" max="7" width="17.6640625" customWidth="1"/>
    <col min="8" max="8" width="17.88671875" customWidth="1"/>
    <col min="9" max="9" width="12.88671875" customWidth="1"/>
    <col min="10" max="10" width="12.33203125" customWidth="1"/>
    <col min="11" max="11" width="17.44140625" customWidth="1"/>
    <col min="12" max="12" width="15.44140625" customWidth="1"/>
    <col min="13" max="13" width="10.33203125" customWidth="1"/>
    <col min="14" max="14" width="20" customWidth="1"/>
    <col min="19" max="19" width="12.88671875" customWidth="1"/>
    <col min="21" max="21" width="17.33203125" customWidth="1"/>
    <col min="23" max="23" width="13.33203125" customWidth="1"/>
    <col min="24" max="24" width="16.88671875" customWidth="1"/>
    <col min="26" max="26" width="13" customWidth="1"/>
    <col min="27" max="27" width="10.109375" customWidth="1"/>
  </cols>
  <sheetData>
    <row r="1" spans="1:28">
      <c r="C1" s="7"/>
      <c r="D1" s="7"/>
      <c r="E1" s="7"/>
      <c r="F1" s="7"/>
      <c r="G1" s="7"/>
      <c r="H1" s="7"/>
      <c r="I1" s="7"/>
      <c r="J1" s="7"/>
      <c r="K1" s="7"/>
      <c r="L1" s="7"/>
    </row>
    <row r="2" spans="1:28">
      <c r="A2" s="39"/>
      <c r="B2" s="91"/>
      <c r="C2" s="378" t="s">
        <v>108</v>
      </c>
      <c r="D2" s="379"/>
      <c r="E2" s="379"/>
      <c r="F2" s="51"/>
      <c r="G2" s="51"/>
      <c r="H2" s="7"/>
      <c r="I2" s="39"/>
      <c r="J2" s="376" t="s">
        <v>108</v>
      </c>
      <c r="K2" s="377"/>
      <c r="L2" s="377"/>
      <c r="M2" s="7"/>
      <c r="N2" s="7"/>
      <c r="O2" s="7"/>
      <c r="P2" s="7"/>
      <c r="Q2" s="7"/>
      <c r="R2" s="7"/>
      <c r="S2" s="7"/>
      <c r="T2" s="7"/>
      <c r="U2" s="40"/>
      <c r="V2" s="40"/>
      <c r="W2" s="40"/>
      <c r="X2" s="40"/>
      <c r="Y2" s="40"/>
      <c r="Z2" s="40"/>
      <c r="AA2" s="7"/>
      <c r="AB2" s="7"/>
    </row>
    <row r="3" spans="1:28">
      <c r="A3" s="39"/>
      <c r="B3" s="41" t="s">
        <v>145</v>
      </c>
      <c r="C3" s="41" t="s">
        <v>109</v>
      </c>
      <c r="D3" s="41" t="s">
        <v>110</v>
      </c>
      <c r="E3" s="41" t="s">
        <v>111</v>
      </c>
      <c r="F3" s="92" t="s">
        <v>194</v>
      </c>
      <c r="G3" s="47"/>
      <c r="H3" s="7"/>
      <c r="I3" s="39"/>
      <c r="J3" s="41" t="s">
        <v>109</v>
      </c>
      <c r="K3" s="41" t="s">
        <v>110</v>
      </c>
      <c r="L3" s="41" t="s">
        <v>111</v>
      </c>
      <c r="M3" s="7"/>
      <c r="N3" s="7"/>
      <c r="O3" s="42"/>
      <c r="P3" s="42"/>
      <c r="Q3" s="42"/>
      <c r="R3" s="42"/>
      <c r="S3" s="42"/>
      <c r="T3" s="7"/>
      <c r="U3" s="42"/>
      <c r="V3" s="42"/>
      <c r="W3" s="43"/>
      <c r="X3" s="43"/>
      <c r="Y3" s="43"/>
      <c r="Z3" s="43"/>
      <c r="AA3" s="7"/>
      <c r="AB3" s="7"/>
    </row>
    <row r="4" spans="1:28" ht="21.6" customHeight="1">
      <c r="A4" s="41" t="s">
        <v>112</v>
      </c>
      <c r="B4" s="39">
        <f>'Design Calculator'!$AN$63</f>
        <v>150</v>
      </c>
      <c r="C4" s="44">
        <f>'Design Calculator'!$AN$64</f>
        <v>12</v>
      </c>
      <c r="D4" s="44">
        <f>'Design Calculator'!$AN$65</f>
        <v>3</v>
      </c>
      <c r="E4" s="44">
        <f>'Design Calculator'!$AN$66</f>
        <v>0.8</v>
      </c>
      <c r="F4" s="44">
        <f>'Design Calculator'!F67</f>
        <v>0.2</v>
      </c>
      <c r="G4" s="53"/>
      <c r="H4" s="45"/>
      <c r="I4" s="41" t="s">
        <v>112</v>
      </c>
      <c r="J4" s="44">
        <f>'Design Calculator'!$AN$63</f>
        <v>150</v>
      </c>
      <c r="K4" s="44">
        <f>'Design Calculator'!$AN$65</f>
        <v>3</v>
      </c>
      <c r="L4" s="44">
        <f>'Design Calculator'!$AN$66</f>
        <v>0.8</v>
      </c>
      <c r="M4" s="40"/>
      <c r="N4" s="7"/>
      <c r="O4" s="42"/>
      <c r="P4" s="42"/>
      <c r="Q4" s="42"/>
      <c r="R4" s="43"/>
      <c r="S4" s="43"/>
      <c r="T4" s="7"/>
      <c r="U4" s="42"/>
      <c r="V4" s="42"/>
      <c r="W4" s="43"/>
      <c r="X4" s="43"/>
      <c r="Y4" s="43"/>
      <c r="Z4" s="43"/>
      <c r="AA4" s="7"/>
      <c r="AB4" s="7"/>
    </row>
    <row r="5" spans="1:28">
      <c r="A5" s="7"/>
      <c r="C5" s="42"/>
      <c r="D5" s="43"/>
      <c r="E5" s="43"/>
      <c r="F5" s="46"/>
      <c r="G5" s="46"/>
      <c r="H5" s="43"/>
      <c r="J5" s="42"/>
      <c r="K5" s="43"/>
      <c r="L5" s="43"/>
      <c r="M5" s="7"/>
      <c r="N5" s="7"/>
      <c r="O5" s="42"/>
      <c r="P5" s="42"/>
      <c r="Q5" s="42"/>
      <c r="R5" s="43"/>
      <c r="S5" s="43"/>
      <c r="T5" s="380"/>
      <c r="U5" s="380"/>
      <c r="V5" s="380"/>
      <c r="W5" s="43"/>
      <c r="X5" s="381"/>
      <c r="Y5" s="375"/>
      <c r="Z5" s="375"/>
      <c r="AA5" s="7"/>
      <c r="AB5" s="7"/>
    </row>
    <row r="6" spans="1:28">
      <c r="A6" s="7"/>
      <c r="C6" s="42"/>
      <c r="D6" s="43"/>
      <c r="E6" s="43"/>
      <c r="F6" s="46"/>
      <c r="G6" s="46"/>
      <c r="H6" s="43"/>
      <c r="J6" s="42"/>
      <c r="K6" s="43"/>
      <c r="L6" s="43"/>
      <c r="M6" s="7"/>
      <c r="N6" s="7"/>
      <c r="O6" s="42"/>
      <c r="P6" s="42"/>
      <c r="Q6" s="42"/>
      <c r="R6" s="43"/>
      <c r="S6" s="43"/>
      <c r="T6" s="7"/>
      <c r="U6" s="47"/>
      <c r="V6" s="7"/>
      <c r="W6" s="7"/>
      <c r="X6" s="7"/>
      <c r="Y6" s="7"/>
      <c r="Z6" s="7"/>
      <c r="AA6" s="7"/>
      <c r="AB6" s="7"/>
    </row>
    <row r="7" spans="1:28" ht="14.4">
      <c r="A7" s="7"/>
      <c r="B7" s="48" t="s">
        <v>192</v>
      </c>
      <c r="H7" s="43"/>
      <c r="I7" s="48" t="s">
        <v>113</v>
      </c>
      <c r="M7" s="7"/>
      <c r="N7" s="7"/>
      <c r="O7" s="7"/>
      <c r="P7" s="7"/>
      <c r="Q7" s="7"/>
      <c r="R7" s="7"/>
      <c r="S7" s="7"/>
      <c r="T7" s="47"/>
      <c r="U7" s="47"/>
      <c r="V7" s="47"/>
      <c r="W7" s="7"/>
      <c r="X7" s="7"/>
      <c r="Y7" s="7"/>
      <c r="Z7" s="49"/>
      <c r="AA7" s="42"/>
      <c r="AB7" s="7"/>
    </row>
    <row r="8" spans="1:28" ht="14.4">
      <c r="A8" s="7"/>
      <c r="B8" s="18" t="s">
        <v>114</v>
      </c>
      <c r="C8" s="3">
        <f>'Design Calculator'!$F$85</f>
        <v>0.35560975609756101</v>
      </c>
      <c r="D8" s="18" t="s">
        <v>8</v>
      </c>
      <c r="H8" s="43"/>
      <c r="I8" s="18" t="s">
        <v>114</v>
      </c>
      <c r="J8" s="3">
        <f>C8</f>
        <v>0.35560975609756101</v>
      </c>
      <c r="K8" s="18" t="s">
        <v>8</v>
      </c>
      <c r="M8" s="7"/>
      <c r="N8" s="7"/>
      <c r="O8" s="7"/>
      <c r="P8" s="7"/>
      <c r="Q8" s="7"/>
      <c r="R8" s="7"/>
      <c r="S8" s="7"/>
      <c r="T8" s="47"/>
      <c r="U8" s="7"/>
      <c r="V8" s="49"/>
      <c r="W8" s="7"/>
      <c r="X8" s="7"/>
      <c r="Y8" s="7"/>
      <c r="Z8" s="49"/>
      <c r="AA8" s="42"/>
      <c r="AB8" s="7"/>
    </row>
    <row r="9" spans="1:28" ht="14.4">
      <c r="A9" s="7"/>
      <c r="B9" s="18" t="s">
        <v>115</v>
      </c>
      <c r="C9">
        <f>VINMAX</f>
        <v>16.8</v>
      </c>
      <c r="D9" t="s">
        <v>49</v>
      </c>
      <c r="H9" s="43"/>
      <c r="I9" s="18" t="s">
        <v>115</v>
      </c>
      <c r="J9">
        <f>VINMAX</f>
        <v>16.8</v>
      </c>
      <c r="K9" t="s">
        <v>49</v>
      </c>
      <c r="M9" s="7"/>
      <c r="N9" s="7"/>
      <c r="O9" s="7"/>
      <c r="P9" s="7"/>
      <c r="Q9" s="7"/>
      <c r="R9" s="7"/>
      <c r="S9" s="7"/>
      <c r="T9" s="47"/>
      <c r="U9" s="7"/>
      <c r="V9" s="49"/>
      <c r="W9" s="7"/>
      <c r="X9" s="7"/>
      <c r="Y9" s="7"/>
      <c r="Z9" s="49"/>
      <c r="AA9" s="7"/>
      <c r="AB9" s="7"/>
    </row>
    <row r="10" spans="1:28" ht="14.4">
      <c r="A10" s="7"/>
      <c r="B10" s="18" t="s">
        <v>116</v>
      </c>
      <c r="C10">
        <f>IF(C8&lt;10, IF(C8&lt;1, 0.1, 1), IF(C8&lt;100, 10, 100))</f>
        <v>0.1</v>
      </c>
      <c r="D10" s="18" t="s">
        <v>8</v>
      </c>
      <c r="G10">
        <v>1</v>
      </c>
      <c r="H10" s="43">
        <v>10</v>
      </c>
      <c r="I10" s="18" t="s">
        <v>116</v>
      </c>
      <c r="J10">
        <f>IF(J8&lt;10, 1, 10)</f>
        <v>1</v>
      </c>
      <c r="K10" s="18" t="s">
        <v>8</v>
      </c>
      <c r="M10" s="7"/>
      <c r="N10" s="42"/>
      <c r="O10" s="7"/>
      <c r="P10" s="7"/>
      <c r="Q10" s="47"/>
      <c r="R10" s="7"/>
      <c r="S10" s="7"/>
      <c r="T10" s="47"/>
      <c r="U10" s="7"/>
      <c r="V10" s="49"/>
      <c r="W10" s="7"/>
      <c r="X10" s="7"/>
      <c r="Y10" s="7"/>
      <c r="Z10" s="49"/>
      <c r="AA10" s="7"/>
      <c r="AB10" s="7"/>
    </row>
    <row r="11" spans="1:28" ht="14.4">
      <c r="A11" s="7"/>
      <c r="B11" s="18" t="s">
        <v>117</v>
      </c>
      <c r="C11">
        <f>C10*10</f>
        <v>1</v>
      </c>
      <c r="D11" s="18" t="s">
        <v>8</v>
      </c>
      <c r="G11">
        <v>10</v>
      </c>
      <c r="H11" s="43">
        <v>100</v>
      </c>
      <c r="I11" s="18" t="s">
        <v>117</v>
      </c>
      <c r="J11">
        <f>IF(J8&lt; 10, 10, 100)</f>
        <v>10</v>
      </c>
      <c r="K11" s="18" t="s">
        <v>8</v>
      </c>
      <c r="M11" s="7"/>
      <c r="N11" s="7"/>
      <c r="O11" s="42"/>
      <c r="P11" s="7"/>
      <c r="Q11" s="7"/>
      <c r="R11" s="7"/>
      <c r="S11" s="7"/>
      <c r="T11" s="7"/>
      <c r="U11" s="7"/>
      <c r="V11" s="49"/>
      <c r="W11" s="7"/>
      <c r="X11" s="7"/>
      <c r="Y11" s="7"/>
      <c r="Z11" s="7"/>
      <c r="AA11" s="7"/>
      <c r="AB11" s="7"/>
    </row>
    <row r="12" spans="1:28">
      <c r="A12" s="7"/>
      <c r="B12" s="18" t="s">
        <v>118</v>
      </c>
      <c r="C12">
        <f>IF(C10=0.1, B4, IF(C10=1, C4, IF(C10=10, D4, E4)))</f>
        <v>150</v>
      </c>
      <c r="D12" s="18" t="s">
        <v>9</v>
      </c>
      <c r="G12" s="3">
        <f>C4</f>
        <v>12</v>
      </c>
      <c r="H12" s="43">
        <f>D4</f>
        <v>3</v>
      </c>
      <c r="I12" s="18" t="s">
        <v>118</v>
      </c>
      <c r="J12">
        <f>IF(J10=1, J4, K4)</f>
        <v>150</v>
      </c>
      <c r="K12" s="18" t="s">
        <v>9</v>
      </c>
      <c r="M12" s="7"/>
      <c r="N12" s="42"/>
      <c r="O12" s="7"/>
      <c r="P12" s="7"/>
      <c r="Q12" s="7"/>
      <c r="R12" s="7"/>
      <c r="S12" s="7"/>
      <c r="T12" s="7"/>
      <c r="U12" s="7"/>
      <c r="V12" s="7"/>
      <c r="W12" s="7"/>
      <c r="X12" s="7"/>
      <c r="Y12" s="7"/>
      <c r="Z12" s="7"/>
      <c r="AA12" s="7"/>
      <c r="AB12" s="7"/>
    </row>
    <row r="13" spans="1:28">
      <c r="A13" s="7"/>
      <c r="B13" s="18" t="s">
        <v>119</v>
      </c>
      <c r="C13">
        <f>IF(C11=1000, F4, IF(C11=1, C4, IF(C11=10, D4, E4)))</f>
        <v>12</v>
      </c>
      <c r="D13" s="18" t="s">
        <v>9</v>
      </c>
      <c r="G13" s="3">
        <f>D4</f>
        <v>3</v>
      </c>
      <c r="H13" s="43">
        <f>E4</f>
        <v>0.8</v>
      </c>
      <c r="I13" s="18" t="s">
        <v>119</v>
      </c>
      <c r="J13">
        <f>IF(J11=10, K4, L4)</f>
        <v>3</v>
      </c>
      <c r="K13" s="18" t="s">
        <v>9</v>
      </c>
      <c r="M13" s="7"/>
      <c r="N13" s="42"/>
      <c r="O13" s="7"/>
      <c r="P13" s="7"/>
      <c r="Q13" s="7"/>
      <c r="R13" s="7"/>
      <c r="S13" s="7"/>
      <c r="T13" s="7"/>
      <c r="U13" s="7"/>
      <c r="V13" s="7"/>
      <c r="W13" s="7"/>
      <c r="X13" s="7"/>
      <c r="Y13" s="7"/>
      <c r="Z13" s="7"/>
      <c r="AA13" s="7"/>
      <c r="AB13" s="7"/>
    </row>
    <row r="14" spans="1:28">
      <c r="A14" s="7"/>
      <c r="H14" s="43"/>
      <c r="M14" s="7"/>
      <c r="N14" s="7"/>
      <c r="O14" s="7"/>
      <c r="P14" s="7"/>
      <c r="Q14" s="7"/>
      <c r="R14" s="7"/>
      <c r="S14" s="7"/>
      <c r="T14" s="7"/>
      <c r="U14" s="7"/>
      <c r="V14" s="7"/>
      <c r="W14" s="7"/>
      <c r="X14" s="7"/>
      <c r="Y14" s="7"/>
      <c r="Z14" s="7"/>
      <c r="AA14" s="7"/>
      <c r="AB14" s="7"/>
    </row>
    <row r="15" spans="1:28">
      <c r="A15" s="7"/>
      <c r="B15" s="18" t="s">
        <v>128</v>
      </c>
      <c r="H15" s="43"/>
      <c r="M15" s="7"/>
      <c r="N15" s="7"/>
      <c r="O15" s="7"/>
      <c r="P15" s="7"/>
      <c r="Q15" s="7"/>
      <c r="R15" s="7"/>
      <c r="S15" s="7"/>
      <c r="T15" s="7"/>
      <c r="U15" s="7"/>
      <c r="V15" s="7"/>
      <c r="W15" s="7"/>
      <c r="X15" s="7"/>
      <c r="Y15" s="7"/>
      <c r="Z15" s="7"/>
      <c r="AA15" s="7"/>
      <c r="AB15" s="7"/>
    </row>
    <row r="16" spans="1:28" ht="14.4">
      <c r="A16" s="7"/>
      <c r="E16" s="18" t="s">
        <v>135</v>
      </c>
      <c r="F16" s="18"/>
      <c r="H16" s="43"/>
      <c r="L16" s="18" t="s">
        <v>120</v>
      </c>
      <c r="M16" s="7"/>
      <c r="N16" s="42"/>
      <c r="O16" s="7"/>
      <c r="P16" s="7"/>
      <c r="Q16" s="50"/>
      <c r="R16" s="7"/>
      <c r="S16" s="7"/>
      <c r="T16" s="7"/>
      <c r="U16" s="7"/>
      <c r="V16" s="7"/>
      <c r="W16" s="7"/>
      <c r="X16" s="7"/>
      <c r="Y16" s="7"/>
      <c r="Z16" s="7"/>
      <c r="AA16" s="7"/>
      <c r="AB16" s="7"/>
    </row>
    <row r="17" spans="1:28">
      <c r="A17" s="7"/>
      <c r="B17" s="18" t="s">
        <v>121</v>
      </c>
      <c r="C17">
        <f>C12/C10^C18</f>
        <v>12.000000000000002</v>
      </c>
      <c r="E17" s="18" t="s">
        <v>133</v>
      </c>
      <c r="F17" s="18"/>
      <c r="G17">
        <f>G12/G10^G18</f>
        <v>12</v>
      </c>
      <c r="H17">
        <f>H12/H10^H18</f>
        <v>11.25</v>
      </c>
      <c r="I17" s="18" t="s">
        <v>121</v>
      </c>
      <c r="J17">
        <f>J12/J10^J18</f>
        <v>150</v>
      </c>
      <c r="L17" s="18" t="s">
        <v>122</v>
      </c>
      <c r="M17" s="7"/>
      <c r="N17" s="7"/>
      <c r="O17" s="382"/>
      <c r="P17" s="382"/>
      <c r="Q17" s="382"/>
      <c r="R17" s="7"/>
      <c r="S17" s="7"/>
      <c r="T17" s="7"/>
      <c r="U17" s="7"/>
      <c r="V17" s="7"/>
      <c r="W17" s="7"/>
      <c r="X17" s="7"/>
      <c r="Y17" s="7"/>
      <c r="Z17" s="7"/>
      <c r="AA17" s="7"/>
      <c r="AB17" s="7"/>
    </row>
    <row r="18" spans="1:28">
      <c r="A18" s="7"/>
      <c r="B18" s="18" t="s">
        <v>123</v>
      </c>
      <c r="C18">
        <f>LOG(C12/C13)/LOG(C10/C11)</f>
        <v>-1.0969100130080565</v>
      </c>
      <c r="E18" s="18" t="s">
        <v>134</v>
      </c>
      <c r="F18" s="18"/>
      <c r="G18">
        <f>LOG(G12/G13)/LOG(G10/G11)</f>
        <v>-0.6020599913279624</v>
      </c>
      <c r="H18">
        <f>LOG(H12/H13)/LOG(H10/H11)</f>
        <v>-0.57403126772771884</v>
      </c>
      <c r="I18" s="18" t="s">
        <v>123</v>
      </c>
      <c r="J18">
        <f>LOG(J12/J13)/LOG(J10/J11)</f>
        <v>-1.6989700043360187</v>
      </c>
      <c r="L18" s="18" t="s">
        <v>124</v>
      </c>
      <c r="M18" s="7"/>
      <c r="N18" s="7"/>
      <c r="O18" s="7"/>
      <c r="P18" s="7"/>
      <c r="Q18" s="7"/>
      <c r="R18" s="7"/>
      <c r="S18" s="382"/>
      <c r="T18" s="382"/>
      <c r="U18" s="382"/>
      <c r="V18" s="382"/>
      <c r="W18" s="7"/>
      <c r="X18" s="7"/>
      <c r="Y18" s="7"/>
      <c r="Z18" s="7"/>
      <c r="AA18" s="7"/>
      <c r="AB18" s="7"/>
    </row>
    <row r="19" spans="1:28">
      <c r="A19" s="7"/>
      <c r="B19" s="18" t="s">
        <v>125</v>
      </c>
      <c r="C19">
        <f>C17*C8^C18</f>
        <v>37.301193387186231</v>
      </c>
      <c r="D19" s="18" t="s">
        <v>9</v>
      </c>
      <c r="I19" s="18" t="s">
        <v>125</v>
      </c>
      <c r="J19">
        <f>J17*J8^J18</f>
        <v>868.90746732768719</v>
      </c>
      <c r="K19" s="18" t="s">
        <v>9</v>
      </c>
      <c r="M19" s="7"/>
      <c r="N19" s="7"/>
      <c r="O19" s="7"/>
      <c r="P19" s="43"/>
      <c r="Q19" s="43"/>
      <c r="R19" s="7"/>
      <c r="S19" s="7"/>
      <c r="T19" s="7"/>
      <c r="U19" s="7"/>
      <c r="V19" s="7"/>
      <c r="W19" s="7"/>
      <c r="X19" s="7"/>
      <c r="Y19" s="7"/>
      <c r="Z19" s="7"/>
      <c r="AA19" s="7"/>
      <c r="AB19" s="7"/>
    </row>
    <row r="20" spans="1:28">
      <c r="A20" s="7"/>
      <c r="H20" s="43"/>
      <c r="M20" s="7"/>
      <c r="N20" s="47"/>
      <c r="O20" s="42"/>
      <c r="P20" s="7"/>
      <c r="Q20" s="7"/>
      <c r="R20" s="7"/>
      <c r="S20" s="47"/>
      <c r="T20" s="7"/>
      <c r="U20" s="7"/>
      <c r="V20" s="7"/>
      <c r="W20" s="7"/>
      <c r="X20" s="7"/>
      <c r="Y20" s="7"/>
      <c r="Z20" s="7"/>
      <c r="AA20" s="7"/>
      <c r="AB20" s="7"/>
    </row>
    <row r="21" spans="1:28">
      <c r="A21" s="7"/>
      <c r="B21" s="19" t="s">
        <v>130</v>
      </c>
      <c r="C21">
        <f xml:space="preserve"> C19*C9</f>
        <v>626.66004890472868</v>
      </c>
      <c r="D21" s="18"/>
      <c r="H21" s="43"/>
      <c r="I21" s="18" t="s">
        <v>126</v>
      </c>
      <c r="J21">
        <f>IF(J8&lt;1, J12, J19)*J9</f>
        <v>2520</v>
      </c>
      <c r="K21" s="18" t="s">
        <v>127</v>
      </c>
      <c r="M21" s="7"/>
      <c r="N21" s="7"/>
      <c r="O21" s="7"/>
      <c r="P21" s="7"/>
      <c r="Q21" s="7"/>
      <c r="R21" s="7"/>
      <c r="S21" s="7"/>
      <c r="T21" s="42"/>
      <c r="U21" s="7"/>
      <c r="V21" s="7"/>
      <c r="W21" s="7"/>
      <c r="X21" s="7"/>
      <c r="Y21" s="7"/>
      <c r="Z21" s="7"/>
      <c r="AA21" s="7"/>
      <c r="AB21" s="7"/>
    </row>
    <row r="22" spans="1:28">
      <c r="A22" s="7"/>
      <c r="H22" s="43"/>
      <c r="M22" s="7"/>
      <c r="N22" s="7"/>
      <c r="O22" s="7"/>
      <c r="P22" s="7"/>
      <c r="Q22" s="7"/>
      <c r="R22" s="7"/>
      <c r="S22" s="7"/>
      <c r="T22" s="7"/>
      <c r="U22" s="7"/>
      <c r="V22" s="7"/>
      <c r="W22" s="7"/>
      <c r="X22" s="7"/>
      <c r="Y22" s="7"/>
      <c r="Z22" s="7"/>
      <c r="AA22" s="7"/>
      <c r="AB22" s="7"/>
    </row>
    <row r="23" spans="1:28">
      <c r="A23" s="7"/>
      <c r="B23" s="18" t="s">
        <v>381</v>
      </c>
      <c r="C23">
        <f>IF('Design Calculator'!F34="'42 - ILO", TAMB,TJ)</f>
        <v>50</v>
      </c>
      <c r="H23" s="43"/>
      <c r="I23" s="18" t="s">
        <v>128</v>
      </c>
      <c r="M23" s="7"/>
      <c r="N23" s="7"/>
      <c r="O23" s="7"/>
      <c r="P23" s="7"/>
      <c r="Q23" s="7"/>
      <c r="R23" s="7"/>
      <c r="S23" s="7"/>
      <c r="T23" s="7"/>
      <c r="U23" s="7"/>
      <c r="V23" s="7"/>
      <c r="W23" s="7"/>
      <c r="X23" s="7"/>
      <c r="Y23" s="7"/>
      <c r="Z23" s="7"/>
      <c r="AA23" s="7"/>
      <c r="AB23" s="7"/>
    </row>
    <row r="24" spans="1:28">
      <c r="A24" s="7"/>
      <c r="B24" s="56" t="s">
        <v>136</v>
      </c>
      <c r="C24">
        <f>(TJMAX-C23)/(TJMAX-25)</f>
        <v>0.8</v>
      </c>
      <c r="D24" s="43"/>
      <c r="E24" s="43"/>
      <c r="F24" s="46"/>
      <c r="G24" s="46"/>
      <c r="H24" s="43"/>
      <c r="I24" s="42"/>
      <c r="J24" s="42"/>
      <c r="K24" s="43"/>
      <c r="L24" s="43"/>
      <c r="M24" s="7"/>
      <c r="N24" s="7"/>
      <c r="O24" s="7"/>
      <c r="P24" s="7"/>
      <c r="Q24" s="7"/>
      <c r="R24" s="7"/>
      <c r="S24" s="7"/>
      <c r="T24" s="7"/>
      <c r="U24" s="42"/>
      <c r="V24" s="7"/>
      <c r="W24" s="7"/>
      <c r="X24" s="7"/>
      <c r="Y24" s="7"/>
      <c r="Z24" s="7"/>
      <c r="AA24" s="7"/>
      <c r="AB24" s="7"/>
    </row>
    <row r="25" spans="1:28" ht="14.4">
      <c r="A25" s="7"/>
      <c r="B25" s="54" t="s">
        <v>131</v>
      </c>
      <c r="C25">
        <f>IF((C21*C24)&lt;0,0.000000001,C21*C24)</f>
        <v>501.32803912378296</v>
      </c>
      <c r="D25" s="55" t="s">
        <v>50</v>
      </c>
      <c r="E25" s="43"/>
      <c r="F25" s="46"/>
      <c r="G25" s="46"/>
      <c r="H25" s="43"/>
      <c r="I25" s="42"/>
      <c r="J25">
        <f>J21*(TJMAX-TJ)/(TJMAX-25)</f>
        <v>274.17600000000044</v>
      </c>
      <c r="K25" s="43"/>
      <c r="L25" s="43"/>
      <c r="M25" s="7"/>
      <c r="N25" s="7"/>
      <c r="O25" s="374"/>
      <c r="P25" s="375"/>
      <c r="Q25" s="375"/>
      <c r="R25" s="7"/>
      <c r="S25" s="7"/>
      <c r="T25" s="7"/>
      <c r="U25" s="42"/>
      <c r="V25" s="7"/>
      <c r="W25" s="7"/>
      <c r="X25" s="7"/>
      <c r="Y25" s="7"/>
      <c r="Z25" s="7"/>
      <c r="AA25" s="7"/>
      <c r="AB25" s="7"/>
    </row>
    <row r="26" spans="1:28">
      <c r="A26" s="7"/>
      <c r="B26" s="42"/>
      <c r="C26" s="42"/>
      <c r="D26" s="43"/>
      <c r="E26" s="43"/>
      <c r="F26" s="46"/>
      <c r="G26" s="46"/>
      <c r="H26" s="43"/>
      <c r="I26" s="43"/>
      <c r="J26" s="43"/>
      <c r="K26" s="43"/>
      <c r="L26" s="43"/>
      <c r="M26" s="7"/>
      <c r="N26" s="52"/>
      <c r="O26" s="7"/>
      <c r="P26" s="7"/>
      <c r="Q26" s="7"/>
      <c r="R26" s="7"/>
      <c r="S26" s="7"/>
      <c r="T26" s="7"/>
      <c r="U26" s="7"/>
      <c r="V26" s="7"/>
      <c r="W26" s="7"/>
      <c r="X26" s="7"/>
      <c r="Y26" s="7"/>
      <c r="Z26" s="7"/>
      <c r="AA26" s="7"/>
      <c r="AB26" s="7"/>
    </row>
    <row r="27" spans="1:28">
      <c r="A27" s="7"/>
      <c r="B27" s="42"/>
      <c r="D27" s="43"/>
      <c r="E27" s="43"/>
      <c r="F27" s="46"/>
      <c r="G27" s="46"/>
      <c r="H27" s="43"/>
      <c r="I27" s="43"/>
      <c r="J27" s="43" t="e">
        <f>'Design Calculator'!#REF!-SOA!J25</f>
        <v>#REF!</v>
      </c>
      <c r="K27" s="43"/>
      <c r="L27" s="43"/>
      <c r="M27" s="7"/>
      <c r="N27" s="7"/>
      <c r="O27" s="53"/>
      <c r="P27" s="53"/>
      <c r="Q27" s="53"/>
      <c r="R27" s="7"/>
      <c r="S27" s="7"/>
      <c r="T27" s="7"/>
      <c r="U27" s="7"/>
      <c r="V27" s="7"/>
      <c r="W27" s="7"/>
      <c r="X27" s="7"/>
      <c r="Y27" s="7"/>
      <c r="Z27" s="7"/>
      <c r="AA27" s="7"/>
      <c r="AB27" s="7"/>
    </row>
    <row r="28" spans="1:28">
      <c r="A28" s="7"/>
      <c r="B28" s="42"/>
      <c r="D28" s="43"/>
      <c r="E28" s="43"/>
      <c r="F28" s="46"/>
      <c r="G28" s="46"/>
      <c r="H28" s="43"/>
      <c r="I28" s="43"/>
      <c r="J28" s="43"/>
      <c r="K28" s="43"/>
      <c r="L28" s="43"/>
      <c r="M28" s="7"/>
      <c r="N28" s="7"/>
      <c r="O28" s="53"/>
      <c r="P28" s="53"/>
      <c r="Q28" s="53"/>
      <c r="R28" s="7"/>
      <c r="S28" s="7"/>
      <c r="T28" s="7"/>
      <c r="U28" s="7"/>
      <c r="V28" s="7"/>
      <c r="W28" s="7"/>
      <c r="X28" s="7"/>
      <c r="Y28" s="7"/>
      <c r="Z28" s="7"/>
      <c r="AA28" s="7"/>
      <c r="AB28" s="7"/>
    </row>
    <row r="29" spans="1:28">
      <c r="A29" s="7"/>
      <c r="B29" s="42"/>
      <c r="D29" s="43">
        <f>100*5.4^-0.82</f>
        <v>25.086329192141811</v>
      </c>
      <c r="E29" s="43"/>
      <c r="F29" s="46"/>
      <c r="G29" s="46"/>
      <c r="H29" s="43"/>
      <c r="I29" s="43"/>
      <c r="J29" s="43"/>
      <c r="K29" s="43"/>
      <c r="L29" s="43"/>
      <c r="M29" s="7"/>
      <c r="N29" s="7"/>
      <c r="O29" s="53"/>
      <c r="P29" s="53"/>
      <c r="Q29" s="53"/>
      <c r="R29" s="7"/>
      <c r="S29" s="7"/>
      <c r="T29" s="7"/>
      <c r="U29" s="7"/>
      <c r="V29" s="7"/>
      <c r="W29" s="7"/>
      <c r="X29" s="7"/>
      <c r="Y29" s="7"/>
      <c r="Z29" s="7"/>
      <c r="AA29" s="7"/>
      <c r="AB29" s="7"/>
    </row>
    <row r="30" spans="1:28">
      <c r="A30" s="7"/>
      <c r="B30" s="81"/>
      <c r="C30" s="79"/>
      <c r="D30" s="43"/>
      <c r="E30" s="43"/>
      <c r="F30" s="7"/>
      <c r="G30" s="81"/>
      <c r="H30" s="79"/>
      <c r="I30" s="78"/>
      <c r="J30" s="43"/>
      <c r="K30" s="43"/>
      <c r="L30" s="43"/>
      <c r="M30" s="7"/>
      <c r="N30" s="7"/>
      <c r="O30" s="53"/>
      <c r="P30" s="53"/>
      <c r="Q30" s="53"/>
      <c r="R30" s="7"/>
      <c r="S30" s="7"/>
      <c r="T30" s="7"/>
      <c r="U30" s="7"/>
      <c r="V30" s="7"/>
      <c r="W30" s="7"/>
      <c r="X30" s="7"/>
      <c r="Y30" s="7"/>
      <c r="Z30" s="7"/>
      <c r="AA30" s="7"/>
      <c r="AB30" s="7"/>
    </row>
    <row r="31" spans="1:28">
      <c r="A31" s="7"/>
      <c r="B31" s="54"/>
      <c r="C31" s="56"/>
      <c r="D31" s="43">
        <f>25.1*(150-90.1)/(150-25)</f>
        <v>12.027920000000002</v>
      </c>
      <c r="E31" s="43"/>
      <c r="F31" s="7"/>
      <c r="G31" s="54"/>
      <c r="H31" s="56"/>
      <c r="I31" s="78"/>
      <c r="J31" s="43"/>
      <c r="K31" s="43"/>
      <c r="L31" s="43"/>
      <c r="M31" s="7"/>
      <c r="N31" s="7"/>
      <c r="O31" s="7"/>
      <c r="P31" s="7"/>
      <c r="Q31" s="7"/>
      <c r="R31" s="7"/>
      <c r="S31" s="7"/>
      <c r="T31" s="7"/>
      <c r="U31" s="7"/>
      <c r="V31" s="7"/>
      <c r="W31" s="7"/>
      <c r="X31" s="7"/>
      <c r="Y31" s="7"/>
      <c r="Z31" s="7"/>
      <c r="AA31" s="7"/>
      <c r="AB31" s="7"/>
    </row>
    <row r="32" spans="1:28">
      <c r="A32" s="7"/>
      <c r="B32" s="18"/>
      <c r="D32" s="43"/>
      <c r="E32" s="43"/>
      <c r="F32" s="7"/>
      <c r="G32" s="18"/>
      <c r="I32" s="78"/>
      <c r="J32" s="43"/>
      <c r="K32" s="43"/>
      <c r="L32" s="43"/>
      <c r="M32" s="7"/>
      <c r="N32" s="7"/>
      <c r="O32" s="7"/>
      <c r="P32" s="7"/>
      <c r="Q32" s="7"/>
      <c r="R32" s="7"/>
      <c r="S32" s="7"/>
      <c r="T32" s="7"/>
      <c r="U32" s="7"/>
      <c r="V32" s="7"/>
      <c r="W32" s="7"/>
      <c r="X32" s="7"/>
      <c r="Y32" s="7"/>
      <c r="Z32" s="7"/>
      <c r="AA32" s="7"/>
      <c r="AB32" s="7"/>
    </row>
    <row r="33" spans="1:28">
      <c r="A33" s="7"/>
      <c r="B33" s="18"/>
      <c r="D33" s="43"/>
      <c r="E33" s="43"/>
      <c r="F33" s="7"/>
      <c r="G33" s="18"/>
      <c r="I33" s="78"/>
      <c r="J33" s="43"/>
      <c r="K33" s="43"/>
      <c r="L33" s="43"/>
      <c r="M33" s="7"/>
      <c r="N33" s="7"/>
      <c r="O33" s="7"/>
      <c r="P33" s="7"/>
      <c r="Q33" s="7"/>
      <c r="R33" s="7"/>
      <c r="S33" s="7"/>
      <c r="T33" s="7"/>
      <c r="U33" s="7"/>
      <c r="V33" s="7"/>
      <c r="W33" s="7"/>
      <c r="X33" s="7"/>
      <c r="Y33" s="7"/>
      <c r="Z33" s="7"/>
      <c r="AA33" s="7"/>
      <c r="AB33" s="7"/>
    </row>
    <row r="34" spans="1:28">
      <c r="A34" s="7"/>
      <c r="B34" s="18"/>
      <c r="D34" s="43"/>
      <c r="E34" s="43"/>
      <c r="F34" s="100"/>
      <c r="H34" s="99"/>
      <c r="I34" s="99"/>
      <c r="J34" s="99"/>
      <c r="K34" s="43"/>
      <c r="L34" s="43"/>
      <c r="M34" s="7"/>
      <c r="N34" s="7"/>
      <c r="O34" s="7"/>
      <c r="P34" s="7"/>
      <c r="Q34" s="7"/>
      <c r="R34" s="7"/>
      <c r="S34" s="7"/>
      <c r="T34" s="7"/>
      <c r="U34" s="7"/>
      <c r="V34" s="7"/>
      <c r="W34" s="7"/>
      <c r="X34" s="7"/>
      <c r="Y34" s="7"/>
      <c r="Z34" s="7"/>
      <c r="AA34" s="7"/>
      <c r="AB34" s="7"/>
    </row>
    <row r="35" spans="1:28">
      <c r="A35" s="7"/>
      <c r="B35" s="18"/>
      <c r="D35" s="43"/>
      <c r="E35" s="43"/>
      <c r="F35" s="56" t="s">
        <v>233</v>
      </c>
      <c r="H35" s="99"/>
      <c r="I35" s="99"/>
      <c r="J35" s="99"/>
      <c r="K35" s="43"/>
      <c r="L35" s="43"/>
      <c r="M35" s="7"/>
      <c r="N35" s="7"/>
      <c r="O35" s="7"/>
      <c r="P35" s="7"/>
      <c r="Q35" s="7"/>
      <c r="R35" s="7"/>
      <c r="S35" s="7"/>
      <c r="T35" s="7"/>
      <c r="U35" s="7"/>
      <c r="V35" s="7"/>
      <c r="W35" s="7"/>
      <c r="X35" s="7"/>
      <c r="Y35" s="7"/>
      <c r="Z35" s="7"/>
      <c r="AA35" s="7"/>
      <c r="AB35" s="7"/>
    </row>
    <row r="36" spans="1:28">
      <c r="A36" s="7"/>
      <c r="B36" s="18"/>
      <c r="D36" s="43"/>
      <c r="E36" s="43"/>
      <c r="G36" s="48" t="s">
        <v>234</v>
      </c>
      <c r="H36" s="101" t="s">
        <v>235</v>
      </c>
      <c r="I36" s="101" t="s">
        <v>236</v>
      </c>
      <c r="J36" s="101" t="s">
        <v>237</v>
      </c>
      <c r="K36" s="43"/>
      <c r="L36" s="43"/>
      <c r="M36" s="7"/>
      <c r="N36" s="7"/>
      <c r="O36" s="7"/>
      <c r="P36" s="7"/>
      <c r="Q36" s="7"/>
      <c r="R36" s="7"/>
      <c r="S36" s="7"/>
      <c r="T36" s="7"/>
      <c r="U36" s="7"/>
      <c r="V36" s="7"/>
      <c r="W36" s="7"/>
      <c r="X36" s="7"/>
      <c r="Y36" s="7"/>
      <c r="Z36" s="7"/>
      <c r="AA36" s="7"/>
      <c r="AB36" s="7"/>
    </row>
    <row r="37" spans="1:28">
      <c r="A37" s="7"/>
      <c r="B37" s="18"/>
      <c r="D37" s="43"/>
      <c r="E37" s="43"/>
      <c r="F37" s="56" t="s">
        <v>238</v>
      </c>
      <c r="G37" s="97">
        <v>0.1</v>
      </c>
      <c r="H37" s="98">
        <v>1</v>
      </c>
      <c r="I37" s="99">
        <v>10</v>
      </c>
      <c r="J37" s="100">
        <v>100</v>
      </c>
      <c r="K37" s="43"/>
      <c r="L37" s="43"/>
      <c r="M37" s="7"/>
      <c r="N37" s="7"/>
      <c r="O37" s="7"/>
      <c r="P37" s="7"/>
      <c r="Q37" s="7"/>
      <c r="R37" s="7"/>
      <c r="S37" s="7"/>
      <c r="T37" s="7"/>
      <c r="U37" s="7"/>
      <c r="V37" s="7"/>
      <c r="W37" s="7"/>
      <c r="X37" s="7"/>
      <c r="Y37" s="7"/>
      <c r="Z37" s="7"/>
      <c r="AA37" s="7"/>
      <c r="AB37" s="7"/>
    </row>
    <row r="38" spans="1:28">
      <c r="A38" s="7"/>
      <c r="D38" s="43"/>
      <c r="E38" s="43"/>
      <c r="F38" s="97" t="s">
        <v>239</v>
      </c>
      <c r="G38" s="98">
        <v>1</v>
      </c>
      <c r="H38" s="98">
        <v>10</v>
      </c>
      <c r="I38" s="99">
        <v>100</v>
      </c>
      <c r="J38" s="100">
        <v>1000</v>
      </c>
      <c r="K38" s="43"/>
      <c r="L38" s="43"/>
      <c r="M38" s="7"/>
      <c r="N38" s="7"/>
      <c r="O38" s="7"/>
      <c r="P38" s="7"/>
      <c r="Q38" s="7"/>
      <c r="R38" s="7"/>
      <c r="S38" s="7"/>
      <c r="T38" s="7"/>
      <c r="U38" s="7"/>
      <c r="V38" s="7"/>
      <c r="W38" s="7"/>
      <c r="X38" s="7"/>
      <c r="Y38" s="7"/>
      <c r="Z38" s="7"/>
      <c r="AA38" s="7"/>
      <c r="AB38" s="7"/>
    </row>
    <row r="39" spans="1:28">
      <c r="A39" s="7"/>
      <c r="B39" s="18"/>
      <c r="D39" s="43"/>
      <c r="E39" s="43"/>
      <c r="F39" s="97" t="s">
        <v>121</v>
      </c>
      <c r="G39" s="98">
        <f>B4/(G37^G40)</f>
        <v>12.000000000000002</v>
      </c>
      <c r="H39" s="98">
        <f>C4/(H37^H40)</f>
        <v>12</v>
      </c>
      <c r="I39" s="98">
        <f>E4/(I37^I40)</f>
        <v>3</v>
      </c>
      <c r="J39" s="98">
        <f>E4/(J37^J40)</f>
        <v>12.800000000000006</v>
      </c>
      <c r="K39" s="43"/>
      <c r="L39" s="43"/>
      <c r="M39" s="7"/>
      <c r="N39" s="7"/>
      <c r="O39" s="7"/>
      <c r="P39" s="7"/>
      <c r="Q39" s="7"/>
      <c r="R39" s="7"/>
      <c r="S39" s="7"/>
      <c r="T39" s="7"/>
      <c r="U39" s="7"/>
      <c r="V39" s="7"/>
      <c r="W39" s="7"/>
      <c r="X39" s="7"/>
      <c r="Y39" s="7"/>
      <c r="Z39" s="7"/>
      <c r="AA39" s="7"/>
      <c r="AB39" s="7"/>
    </row>
    <row r="40" spans="1:28">
      <c r="A40" s="7"/>
      <c r="D40" s="43"/>
      <c r="E40" s="43"/>
      <c r="F40" s="97" t="s">
        <v>123</v>
      </c>
      <c r="G40" s="13">
        <f>LOG(B4/C4)/LOG(G37/G38)</f>
        <v>-1.0969100130080565</v>
      </c>
      <c r="H40" s="13">
        <f>LOG(C4/D4)/LOG(H37/H38)</f>
        <v>-0.6020599913279624</v>
      </c>
      <c r="I40" s="13">
        <f>LOG(D4/E4)/LOG(I37/I38)</f>
        <v>-0.57403126772771884</v>
      </c>
      <c r="J40" s="13">
        <f>LOG(E4/F4)/LOG(J37/J38)</f>
        <v>-0.6020599913279624</v>
      </c>
      <c r="K40" s="43"/>
      <c r="L40" s="43"/>
      <c r="M40" s="7"/>
      <c r="N40" s="7"/>
      <c r="O40" s="7"/>
      <c r="P40" s="7"/>
      <c r="Q40" s="7"/>
      <c r="R40" s="7"/>
      <c r="S40" s="7"/>
      <c r="T40" s="7"/>
      <c r="U40" s="7"/>
      <c r="V40" s="7"/>
      <c r="W40" s="7"/>
      <c r="X40" s="7"/>
      <c r="Y40" s="7"/>
      <c r="Z40" s="7"/>
      <c r="AA40" s="7"/>
      <c r="AB40" s="7"/>
    </row>
    <row r="41" spans="1:28">
      <c r="A41" s="7"/>
      <c r="B41" s="18"/>
      <c r="D41" s="43"/>
      <c r="E41" s="43"/>
      <c r="F41" s="7"/>
      <c r="G41" s="18"/>
      <c r="I41" s="78"/>
      <c r="J41" s="43"/>
      <c r="K41" s="43"/>
      <c r="L41" s="43"/>
      <c r="M41" s="7"/>
      <c r="N41" s="7"/>
      <c r="O41" s="7"/>
      <c r="P41" s="7"/>
      <c r="Q41" s="7"/>
      <c r="R41" s="7"/>
      <c r="S41" s="7"/>
      <c r="T41" s="7"/>
      <c r="U41" s="7"/>
      <c r="V41" s="7"/>
      <c r="W41" s="7"/>
      <c r="X41" s="7"/>
      <c r="Y41" s="7"/>
      <c r="Z41" s="7"/>
      <c r="AA41" s="7"/>
      <c r="AB41" s="7"/>
    </row>
    <row r="42" spans="1:28">
      <c r="A42" s="7"/>
      <c r="B42" s="18"/>
      <c r="D42" s="43"/>
      <c r="E42" s="43"/>
      <c r="F42" s="7"/>
      <c r="G42" s="18"/>
      <c r="I42" s="78"/>
      <c r="J42" s="43"/>
      <c r="K42" s="43"/>
      <c r="L42" s="43"/>
      <c r="M42" s="7"/>
      <c r="N42" s="7"/>
      <c r="O42" s="7"/>
      <c r="P42" s="7"/>
      <c r="Q42" s="7"/>
      <c r="R42" s="7"/>
      <c r="S42" s="7"/>
      <c r="T42" s="7"/>
      <c r="U42" s="7"/>
      <c r="V42" s="7"/>
      <c r="W42" s="7"/>
      <c r="X42" s="7"/>
      <c r="Y42" s="7"/>
      <c r="Z42" s="7"/>
      <c r="AA42" s="7"/>
      <c r="AB42" s="7"/>
    </row>
    <row r="43" spans="1:28">
      <c r="A43" s="7"/>
      <c r="B43" s="18"/>
      <c r="D43" s="43"/>
      <c r="E43" s="43"/>
      <c r="F43" s="7"/>
      <c r="G43" s="18"/>
      <c r="I43" s="78"/>
      <c r="J43" s="43"/>
      <c r="K43" s="43"/>
      <c r="L43" s="43"/>
      <c r="M43" s="7"/>
      <c r="N43" s="7"/>
      <c r="O43" s="7"/>
      <c r="P43" s="7"/>
      <c r="Q43" s="7"/>
      <c r="R43" s="7"/>
      <c r="S43" s="7"/>
      <c r="T43" s="7"/>
      <c r="U43" s="7"/>
      <c r="V43" s="7"/>
      <c r="W43" s="7"/>
      <c r="X43" s="7"/>
      <c r="Y43" s="7"/>
      <c r="Z43" s="7"/>
      <c r="AA43" s="7"/>
      <c r="AB43" s="7"/>
    </row>
    <row r="44" spans="1:28">
      <c r="A44" s="7"/>
      <c r="D44" s="43"/>
      <c r="E44" s="43"/>
      <c r="F44" s="7"/>
      <c r="I44" s="78"/>
      <c r="J44" s="43"/>
      <c r="K44" s="43"/>
      <c r="L44" s="43"/>
      <c r="M44" s="7"/>
      <c r="N44" s="7"/>
      <c r="O44" s="7"/>
      <c r="P44" s="7"/>
      <c r="Q44" s="7"/>
      <c r="R44" s="7"/>
      <c r="S44" s="7"/>
      <c r="T44" s="7"/>
      <c r="U44" s="7"/>
      <c r="V44" s="7"/>
      <c r="W44" s="7"/>
      <c r="X44" s="7"/>
      <c r="Y44" s="7"/>
      <c r="Z44" s="7"/>
      <c r="AA44" s="7"/>
      <c r="AB44" s="7"/>
    </row>
    <row r="45" spans="1:28">
      <c r="A45" s="7"/>
      <c r="B45" s="19"/>
      <c r="D45" s="43"/>
      <c r="E45" s="43"/>
      <c r="F45" s="7"/>
      <c r="G45" s="19"/>
      <c r="I45" s="78"/>
      <c r="J45" s="43"/>
      <c r="K45" s="43"/>
      <c r="L45" s="43"/>
      <c r="M45" s="7"/>
      <c r="N45" s="7"/>
      <c r="O45" s="7"/>
      <c r="P45" s="7"/>
      <c r="Q45" s="7"/>
      <c r="R45" s="7"/>
      <c r="S45" s="7"/>
      <c r="T45" s="7"/>
      <c r="U45" s="7"/>
      <c r="V45" s="7"/>
      <c r="W45" s="7"/>
      <c r="X45" s="7"/>
      <c r="Y45" s="7"/>
      <c r="Z45" s="7"/>
      <c r="AA45" s="7"/>
      <c r="AB45" s="7"/>
    </row>
    <row r="46" spans="1:28">
      <c r="A46" s="7"/>
      <c r="D46" s="43"/>
      <c r="E46" s="43"/>
      <c r="F46" s="7"/>
      <c r="I46" s="78"/>
      <c r="J46" s="43"/>
      <c r="K46" s="43"/>
      <c r="L46" s="43"/>
      <c r="M46" s="7"/>
      <c r="N46" s="7"/>
      <c r="O46" s="7"/>
      <c r="P46" s="7"/>
      <c r="Q46" s="7"/>
      <c r="R46" s="7"/>
      <c r="S46" s="7"/>
      <c r="T46" s="7"/>
      <c r="U46" s="7"/>
      <c r="V46" s="7"/>
      <c r="W46" s="7"/>
      <c r="X46" s="7"/>
      <c r="Y46" s="7"/>
      <c r="Z46" s="7"/>
      <c r="AA46" s="7"/>
      <c r="AB46" s="7"/>
    </row>
    <row r="47" spans="1:28">
      <c r="A47" s="7"/>
      <c r="B47" s="18"/>
      <c r="D47" s="43"/>
      <c r="E47" s="43"/>
      <c r="F47" s="7"/>
      <c r="I47" s="78"/>
      <c r="J47" s="43"/>
      <c r="K47" s="43"/>
      <c r="L47" s="43"/>
      <c r="M47" s="7"/>
      <c r="N47" s="7"/>
      <c r="O47" s="7"/>
      <c r="P47" s="7"/>
      <c r="Q47" s="7"/>
      <c r="R47" s="7"/>
      <c r="S47" s="7"/>
      <c r="T47" s="7"/>
      <c r="U47" s="7"/>
      <c r="V47" s="7"/>
      <c r="W47" s="7"/>
      <c r="X47" s="7"/>
      <c r="Y47" s="7"/>
      <c r="Z47" s="7"/>
      <c r="AA47" s="7"/>
      <c r="AB47" s="7"/>
    </row>
    <row r="48" spans="1:28">
      <c r="A48" s="7"/>
      <c r="B48" s="18"/>
      <c r="D48" s="43"/>
      <c r="E48" s="43"/>
      <c r="F48" s="7"/>
      <c r="G48" s="56"/>
      <c r="I48" s="78"/>
      <c r="J48" s="43"/>
      <c r="K48" s="43"/>
      <c r="L48" s="43"/>
      <c r="M48" s="7"/>
      <c r="N48" s="7"/>
      <c r="O48" s="7"/>
      <c r="P48" s="7"/>
      <c r="Q48" s="7"/>
      <c r="R48" s="7"/>
      <c r="S48" s="7"/>
      <c r="T48" s="7"/>
      <c r="U48" s="7"/>
      <c r="V48" s="7"/>
      <c r="W48" s="7"/>
      <c r="X48" s="7"/>
      <c r="Y48" s="7"/>
      <c r="Z48" s="7"/>
      <c r="AA48" s="7"/>
      <c r="AB48" s="7"/>
    </row>
    <row r="49" spans="1:28">
      <c r="A49" s="7"/>
      <c r="D49" s="43"/>
      <c r="E49" s="43"/>
      <c r="F49" s="7"/>
      <c r="G49" s="54"/>
      <c r="I49" s="78"/>
      <c r="J49" s="43"/>
      <c r="K49" s="43"/>
      <c r="L49" s="43"/>
      <c r="M49" s="7"/>
      <c r="N49" s="7"/>
      <c r="O49" s="7"/>
      <c r="P49" s="7"/>
      <c r="Q49" s="7"/>
      <c r="R49" s="7"/>
      <c r="S49" s="7"/>
      <c r="T49" s="7"/>
      <c r="U49" s="7"/>
      <c r="V49" s="7"/>
      <c r="W49" s="7"/>
      <c r="X49" s="7"/>
      <c r="Y49" s="7"/>
      <c r="Z49" s="7"/>
      <c r="AA49" s="7"/>
      <c r="AB49" s="7"/>
    </row>
    <row r="50" spans="1:28">
      <c r="A50" s="7"/>
      <c r="B50" s="56"/>
      <c r="D50" s="43"/>
      <c r="E50" s="43"/>
      <c r="F50" s="46"/>
      <c r="G50" s="46"/>
      <c r="H50" s="43"/>
      <c r="I50" s="43"/>
      <c r="J50" s="43"/>
      <c r="K50" s="43"/>
      <c r="L50" s="43"/>
      <c r="M50" s="7"/>
      <c r="N50" s="7"/>
      <c r="O50" s="7"/>
      <c r="P50" s="7"/>
      <c r="Q50" s="7"/>
      <c r="R50" s="7"/>
      <c r="S50" s="7"/>
      <c r="T50" s="7"/>
      <c r="U50" s="7"/>
      <c r="V50" s="7"/>
      <c r="W50" s="7"/>
      <c r="X50" s="7"/>
      <c r="Y50" s="7"/>
      <c r="Z50" s="7"/>
      <c r="AA50" s="7"/>
      <c r="AB50" s="7"/>
    </row>
    <row r="51" spans="1:28">
      <c r="A51" s="7"/>
      <c r="B51" s="54"/>
      <c r="D51" s="43"/>
      <c r="E51" s="43"/>
      <c r="F51" s="46"/>
      <c r="G51" s="46"/>
      <c r="H51" s="43"/>
      <c r="I51" s="43"/>
      <c r="J51" s="43"/>
      <c r="K51" s="43"/>
      <c r="L51" s="43"/>
      <c r="M51" s="7"/>
      <c r="N51" s="7"/>
      <c r="O51" s="7"/>
      <c r="P51" s="7"/>
      <c r="Q51" s="7"/>
      <c r="R51" s="7"/>
      <c r="S51" s="7"/>
      <c r="T51" s="7"/>
      <c r="U51" s="7"/>
      <c r="V51" s="7"/>
      <c r="W51" s="7"/>
      <c r="X51" s="7"/>
      <c r="Y51" s="7"/>
      <c r="Z51" s="7"/>
      <c r="AA51" s="7"/>
      <c r="AB51" s="7"/>
    </row>
    <row r="52" spans="1:28">
      <c r="A52" s="7"/>
      <c r="B52" s="7"/>
      <c r="C52" s="42"/>
      <c r="D52" s="43"/>
      <c r="E52" s="43"/>
      <c r="F52" s="46"/>
      <c r="G52" s="46"/>
      <c r="H52" s="43"/>
      <c r="I52" s="43"/>
      <c r="J52" s="43"/>
      <c r="K52" s="43"/>
      <c r="L52" s="43"/>
      <c r="M52" s="7"/>
      <c r="N52" s="7"/>
      <c r="O52" s="7"/>
      <c r="P52" s="7"/>
      <c r="Q52" s="7"/>
      <c r="R52" s="7"/>
      <c r="S52" s="7"/>
      <c r="T52" s="7"/>
      <c r="U52" s="7"/>
      <c r="V52" s="7"/>
      <c r="W52" s="7"/>
      <c r="X52" s="7"/>
      <c r="Y52" s="7"/>
      <c r="Z52" s="7"/>
      <c r="AA52" s="7"/>
      <c r="AB52" s="7"/>
    </row>
    <row r="53" spans="1:28">
      <c r="A53" s="7"/>
      <c r="B53" s="7"/>
      <c r="C53" s="42"/>
      <c r="D53" s="43"/>
      <c r="E53" s="43"/>
      <c r="F53" s="46"/>
      <c r="G53" s="46"/>
      <c r="H53" s="43"/>
      <c r="I53" s="43"/>
      <c r="J53" s="43"/>
      <c r="K53" s="43"/>
      <c r="L53" s="43"/>
      <c r="M53" s="7"/>
      <c r="N53" s="7"/>
      <c r="O53" s="7"/>
      <c r="P53" s="7"/>
      <c r="Q53" s="7"/>
      <c r="R53" s="7"/>
      <c r="S53" s="7"/>
      <c r="T53" s="7"/>
      <c r="U53" s="7"/>
      <c r="V53" s="7"/>
      <c r="W53" s="7"/>
      <c r="X53" s="7"/>
      <c r="Y53" s="7"/>
      <c r="Z53" s="7"/>
      <c r="AA53" s="7"/>
      <c r="AB53" s="7"/>
    </row>
    <row r="54" spans="1:28">
      <c r="A54" s="7"/>
      <c r="B54" s="7"/>
      <c r="C54" s="42"/>
      <c r="D54" s="43"/>
      <c r="E54" s="43"/>
      <c r="F54" s="46"/>
      <c r="G54" s="46"/>
      <c r="H54" s="43"/>
      <c r="I54" s="43"/>
      <c r="J54" s="43"/>
      <c r="K54" s="43"/>
      <c r="L54" s="43"/>
      <c r="M54" s="7"/>
      <c r="N54" s="7"/>
      <c r="O54" s="7"/>
      <c r="P54" s="7"/>
      <c r="Q54" s="7"/>
      <c r="R54" s="7"/>
      <c r="S54" s="7"/>
      <c r="T54" s="7"/>
      <c r="U54" s="7"/>
      <c r="V54" s="7"/>
      <c r="W54" s="7"/>
      <c r="X54" s="7"/>
      <c r="Y54" s="7"/>
      <c r="Z54" s="7"/>
      <c r="AA54" s="7"/>
      <c r="AB54" s="7"/>
    </row>
    <row r="55" spans="1:28">
      <c r="A55" s="7"/>
      <c r="B55" s="7"/>
      <c r="C55" s="42"/>
      <c r="D55" s="43"/>
      <c r="E55" s="43"/>
      <c r="F55" s="46"/>
      <c r="G55" s="46"/>
      <c r="H55" s="43"/>
      <c r="I55" s="43"/>
      <c r="J55" s="43"/>
      <c r="K55" s="43"/>
      <c r="L55" s="43"/>
      <c r="M55" s="7"/>
      <c r="N55" s="7"/>
      <c r="O55" s="7"/>
      <c r="P55" s="7"/>
      <c r="Q55" s="7"/>
      <c r="R55" s="7"/>
      <c r="S55" s="7"/>
      <c r="T55" s="7"/>
      <c r="U55" s="7"/>
      <c r="V55" s="7"/>
      <c r="W55" s="7"/>
      <c r="X55" s="7"/>
      <c r="Y55" s="7"/>
      <c r="Z55" s="7"/>
      <c r="AA55" s="7"/>
      <c r="AB55" s="7"/>
    </row>
    <row r="56" spans="1:28">
      <c r="A56" s="7"/>
      <c r="B56" s="7"/>
      <c r="C56" s="42"/>
      <c r="D56" s="43"/>
      <c r="E56" s="43"/>
      <c r="F56" s="46"/>
      <c r="G56" s="46"/>
      <c r="H56" s="43"/>
      <c r="I56" s="43"/>
      <c r="J56" s="43"/>
      <c r="K56" s="43"/>
      <c r="L56" s="43"/>
    </row>
    <row r="57" spans="1:28">
      <c r="A57" s="7"/>
      <c r="B57" s="7"/>
      <c r="C57" s="42"/>
      <c r="D57" s="43"/>
      <c r="E57" s="43"/>
      <c r="F57" s="46"/>
      <c r="G57" s="46"/>
      <c r="H57" s="43"/>
      <c r="I57" s="43"/>
      <c r="J57" s="43"/>
      <c r="K57" s="43"/>
      <c r="L57" s="43"/>
    </row>
    <row r="58" spans="1:28">
      <c r="A58" s="7"/>
      <c r="B58" s="7"/>
      <c r="C58" s="42"/>
      <c r="D58" s="43"/>
      <c r="E58" s="43"/>
      <c r="F58" s="46"/>
      <c r="G58" s="46"/>
      <c r="H58" s="43"/>
      <c r="I58" s="43"/>
      <c r="J58" s="43"/>
      <c r="K58" s="43"/>
      <c r="L58" s="43"/>
    </row>
    <row r="59" spans="1:28">
      <c r="A59" s="7"/>
      <c r="B59" s="7"/>
      <c r="C59" s="42"/>
      <c r="D59" s="43"/>
      <c r="E59" s="43"/>
      <c r="F59" s="46"/>
      <c r="G59" s="46"/>
      <c r="H59" s="43"/>
      <c r="I59" s="43"/>
      <c r="J59" s="43"/>
      <c r="K59" s="43"/>
      <c r="L59" s="43"/>
    </row>
    <row r="60" spans="1:28">
      <c r="A60" s="7"/>
      <c r="B60" s="7"/>
      <c r="C60" s="42"/>
      <c r="D60" s="43"/>
      <c r="E60" s="43"/>
      <c r="F60" s="46"/>
      <c r="G60" s="46"/>
      <c r="H60" s="43"/>
      <c r="I60" s="43"/>
      <c r="J60" s="43"/>
      <c r="K60" s="43"/>
      <c r="L60" s="43"/>
    </row>
    <row r="61" spans="1:28">
      <c r="A61" s="7"/>
      <c r="B61" s="7"/>
      <c r="C61" s="42"/>
      <c r="D61" s="43"/>
      <c r="E61" s="43"/>
      <c r="F61" s="46"/>
      <c r="G61" s="46"/>
      <c r="H61" s="43"/>
      <c r="I61" s="43"/>
      <c r="J61" s="43"/>
      <c r="K61" s="43"/>
      <c r="L61" s="43"/>
    </row>
    <row r="62" spans="1:28">
      <c r="A62" s="7"/>
      <c r="B62" s="7"/>
      <c r="C62" s="42"/>
      <c r="D62" s="43"/>
      <c r="E62" s="43"/>
      <c r="F62" s="46"/>
      <c r="G62" s="46"/>
      <c r="H62" s="43"/>
      <c r="I62" s="43"/>
      <c r="J62" s="43"/>
      <c r="K62" s="43"/>
      <c r="L62" s="43"/>
    </row>
    <row r="63" spans="1:28">
      <c r="A63" s="7"/>
      <c r="B63" s="7"/>
      <c r="C63" s="42"/>
      <c r="D63" s="43"/>
      <c r="E63" s="43"/>
      <c r="F63" s="46"/>
      <c r="G63" s="46"/>
      <c r="H63" s="43"/>
      <c r="I63" s="43"/>
      <c r="J63" s="43"/>
      <c r="K63" s="43"/>
      <c r="L63" s="43"/>
    </row>
    <row r="64" spans="1:28">
      <c r="A64" s="7"/>
      <c r="B64" s="7"/>
      <c r="C64" s="42"/>
      <c r="D64" s="43"/>
      <c r="E64" s="43"/>
      <c r="F64" s="46"/>
      <c r="G64" s="46"/>
      <c r="H64" s="43"/>
      <c r="I64" s="43"/>
      <c r="J64" s="43"/>
      <c r="K64" s="43"/>
      <c r="L64" s="43"/>
    </row>
    <row r="65" spans="1:12">
      <c r="A65" s="7"/>
      <c r="B65" s="7"/>
      <c r="C65" s="42"/>
      <c r="D65" s="43"/>
      <c r="E65" s="43"/>
      <c r="F65" s="46"/>
      <c r="G65" s="46"/>
      <c r="H65" s="43"/>
      <c r="I65" s="43"/>
      <c r="J65" s="43"/>
      <c r="K65" s="43"/>
      <c r="L65" s="43"/>
    </row>
    <row r="66" spans="1:12">
      <c r="A66" s="7"/>
      <c r="B66" s="7"/>
      <c r="C66" s="42"/>
      <c r="D66" s="43"/>
      <c r="E66" s="43"/>
      <c r="F66" s="46"/>
      <c r="G66" s="46"/>
      <c r="H66" s="43"/>
      <c r="I66" s="43"/>
      <c r="J66" s="43"/>
      <c r="K66" s="43"/>
      <c r="L66" s="43"/>
    </row>
    <row r="67" spans="1:12">
      <c r="A67" s="7"/>
      <c r="B67" s="7"/>
      <c r="C67" s="42"/>
      <c r="D67" s="43"/>
      <c r="E67" s="43"/>
      <c r="F67" s="46"/>
      <c r="G67" s="46"/>
      <c r="H67" s="43"/>
      <c r="I67" s="43"/>
      <c r="J67" s="43"/>
      <c r="K67" s="43"/>
      <c r="L67" s="43"/>
    </row>
    <row r="68" spans="1:12">
      <c r="A68" s="7"/>
      <c r="B68" s="7"/>
      <c r="C68" s="42"/>
      <c r="D68" s="43"/>
      <c r="E68" s="43"/>
      <c r="F68" s="46"/>
      <c r="G68" s="46"/>
      <c r="H68" s="43"/>
      <c r="I68" s="43"/>
      <c r="J68" s="43"/>
      <c r="K68" s="43"/>
      <c r="L68" s="43"/>
    </row>
    <row r="69" spans="1:12">
      <c r="A69" s="7"/>
      <c r="B69" s="7"/>
    </row>
  </sheetData>
  <scenarios current="0">
    <scenario name="MaxFaultTime" count="1" user="Dennis Hudgins" comment="Created by Dennis Hudgins on 2/27/2014">
      <inputCells r="J8" val="24.2278058218803"/>
    </scenario>
  </scenarios>
  <mergeCells count="7">
    <mergeCell ref="O25:Q25"/>
    <mergeCell ref="J2:L2"/>
    <mergeCell ref="C2:E2"/>
    <mergeCell ref="T5:V5"/>
    <mergeCell ref="X5:Z5"/>
    <mergeCell ref="O17:Q17"/>
    <mergeCell ref="S18:V18"/>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dimension ref="D4:S104"/>
  <sheetViews>
    <sheetView topLeftCell="A43" zoomScale="70" zoomScaleNormal="70" workbookViewId="0">
      <selection activeCell="O32" sqref="O32"/>
    </sheetView>
  </sheetViews>
  <sheetFormatPr defaultRowHeight="13.2"/>
  <cols>
    <col min="1" max="1" width="22.109375" customWidth="1"/>
    <col min="4" max="4" width="19.109375" customWidth="1"/>
    <col min="5" max="5" width="13.88671875" customWidth="1"/>
    <col min="6" max="6" width="13.33203125" customWidth="1"/>
    <col min="9" max="9" width="11.88671875" customWidth="1"/>
    <col min="11" max="11" width="11.6640625" customWidth="1"/>
    <col min="12" max="12" width="11.33203125" customWidth="1"/>
    <col min="13" max="13" width="10" customWidth="1"/>
  </cols>
  <sheetData>
    <row r="4" spans="4:19">
      <c r="D4" s="385" t="s">
        <v>389</v>
      </c>
      <c r="E4" s="385"/>
      <c r="F4" s="385"/>
      <c r="G4" s="385"/>
      <c r="H4" s="385"/>
    </row>
    <row r="5" spans="4:19">
      <c r="D5" s="271"/>
      <c r="E5" s="272" t="s">
        <v>384</v>
      </c>
      <c r="F5" s="272" t="s">
        <v>337</v>
      </c>
      <c r="G5" s="272" t="s">
        <v>385</v>
      </c>
      <c r="H5" s="272" t="s">
        <v>337</v>
      </c>
      <c r="O5" s="383" t="s">
        <v>394</v>
      </c>
      <c r="P5" s="384"/>
      <c r="Q5" s="384"/>
      <c r="R5" s="384"/>
      <c r="S5" s="384"/>
    </row>
    <row r="6" spans="4:19">
      <c r="D6" s="92" t="s">
        <v>349</v>
      </c>
      <c r="E6" s="44">
        <f>'Design Calculator'!F48</f>
        <v>499</v>
      </c>
      <c r="F6" s="92" t="s">
        <v>386</v>
      </c>
      <c r="G6" s="39">
        <f>'Design Calculator'!H143</f>
        <v>1</v>
      </c>
      <c r="H6" s="92" t="s">
        <v>388</v>
      </c>
      <c r="O6" s="41" t="s">
        <v>391</v>
      </c>
      <c r="P6" s="39"/>
      <c r="Q6" s="41" t="s">
        <v>390</v>
      </c>
      <c r="R6" s="39"/>
      <c r="S6" s="39"/>
    </row>
    <row r="7" spans="4:19">
      <c r="D7" s="41" t="s">
        <v>348</v>
      </c>
      <c r="E7" s="39">
        <f>'Design Calculator'!F144</f>
        <v>160</v>
      </c>
      <c r="F7" s="41" t="s">
        <v>386</v>
      </c>
      <c r="G7" s="39">
        <f>'Design Calculator'!H144</f>
        <v>0.1</v>
      </c>
      <c r="H7" s="41" t="s">
        <v>388</v>
      </c>
      <c r="O7" s="41" t="s">
        <v>320</v>
      </c>
      <c r="P7" s="41" t="s">
        <v>301</v>
      </c>
      <c r="Q7" s="41" t="s">
        <v>300</v>
      </c>
      <c r="R7" s="41" t="s">
        <v>302</v>
      </c>
      <c r="S7" s="41" t="s">
        <v>392</v>
      </c>
    </row>
    <row r="8" spans="4:19">
      <c r="D8" s="41" t="s">
        <v>350</v>
      </c>
      <c r="E8" s="39">
        <f>'Design Calculator'!F145</f>
        <v>2700</v>
      </c>
      <c r="F8" s="41" t="s">
        <v>386</v>
      </c>
      <c r="G8" s="39">
        <f>'Design Calculator'!H145</f>
        <v>0.1</v>
      </c>
      <c r="H8" s="41" t="s">
        <v>388</v>
      </c>
      <c r="O8" s="39">
        <v>52</v>
      </c>
      <c r="P8" s="39">
        <v>114.75</v>
      </c>
      <c r="Q8" s="39">
        <v>135</v>
      </c>
      <c r="R8" s="39">
        <v>155.25</v>
      </c>
      <c r="S8" s="274">
        <f>MAX(R8-Q8,Q8-P8)/Q8</f>
        <v>0.15</v>
      </c>
    </row>
    <row r="9" spans="4:19">
      <c r="D9" s="41" t="s">
        <v>151</v>
      </c>
      <c r="E9" s="44">
        <f>'Design Calculator'!F146</f>
        <v>32.4</v>
      </c>
      <c r="F9" s="41" t="s">
        <v>155</v>
      </c>
      <c r="G9" s="39">
        <f>'Design Calculator'!H146</f>
        <v>1</v>
      </c>
      <c r="H9" s="41" t="s">
        <v>388</v>
      </c>
      <c r="O9" s="39">
        <v>105</v>
      </c>
      <c r="P9" s="39">
        <v>56.95</v>
      </c>
      <c r="Q9" s="39">
        <v>67</v>
      </c>
      <c r="R9" s="39">
        <v>77.05</v>
      </c>
      <c r="S9" s="274">
        <f t="shared" ref="S9:S10" si="0">MAX(R9-Q9,Q9-P9)/Q9</f>
        <v>0.14999999999999997</v>
      </c>
    </row>
    <row r="10" spans="4:19">
      <c r="D10" s="41" t="s">
        <v>383</v>
      </c>
      <c r="E10" s="44">
        <f>'Design Calculator'!F141</f>
        <v>0.5</v>
      </c>
      <c r="F10" s="41" t="s">
        <v>387</v>
      </c>
      <c r="G10" s="39">
        <f>'Design Calculator'!H141</f>
        <v>1</v>
      </c>
      <c r="H10" s="41" t="s">
        <v>388</v>
      </c>
      <c r="O10" s="39">
        <v>261</v>
      </c>
      <c r="P10" s="39">
        <v>18.899999999999999</v>
      </c>
      <c r="Q10" s="39">
        <v>27</v>
      </c>
      <c r="R10" s="39">
        <v>35.1</v>
      </c>
      <c r="S10" s="274">
        <f t="shared" si="0"/>
        <v>0.30000000000000004</v>
      </c>
    </row>
    <row r="11" spans="4:19">
      <c r="D11" s="92" t="s">
        <v>420</v>
      </c>
      <c r="E11" s="39">
        <f>VINMAX</f>
        <v>16.8</v>
      </c>
      <c r="F11" s="92" t="s">
        <v>49</v>
      </c>
      <c r="G11" s="39"/>
      <c r="H11" s="39"/>
      <c r="O11" s="39"/>
      <c r="P11" s="39"/>
      <c r="Q11" s="39"/>
      <c r="R11" s="39"/>
      <c r="S11" s="39"/>
    </row>
    <row r="12" spans="4:19">
      <c r="D12" s="92" t="s">
        <v>454</v>
      </c>
      <c r="E12" s="39"/>
      <c r="F12" s="39"/>
      <c r="G12" s="275">
        <f>'Design Calculator'!H150</f>
        <v>10</v>
      </c>
      <c r="H12" s="285" t="s">
        <v>388</v>
      </c>
      <c r="O12" s="41" t="s">
        <v>395</v>
      </c>
      <c r="P12" s="39"/>
      <c r="Q12" s="39"/>
      <c r="R12" s="39"/>
      <c r="S12" s="39"/>
    </row>
    <row r="13" spans="4:19">
      <c r="D13" s="92" t="s">
        <v>351</v>
      </c>
      <c r="E13" s="39"/>
      <c r="F13" s="39"/>
      <c r="G13" s="275">
        <f>'Design Calculator'!H151</f>
        <v>10</v>
      </c>
      <c r="H13" s="285" t="s">
        <v>388</v>
      </c>
      <c r="O13" s="41" t="s">
        <v>299</v>
      </c>
      <c r="P13" s="39">
        <v>150</v>
      </c>
      <c r="Q13" s="41" t="s">
        <v>393</v>
      </c>
      <c r="R13" s="39"/>
      <c r="S13" s="39"/>
    </row>
    <row r="14" spans="4:19">
      <c r="D14" s="92" t="s">
        <v>447</v>
      </c>
      <c r="E14" s="39"/>
      <c r="F14" s="39"/>
      <c r="G14" s="275">
        <f>AVERAGE('Design Calculator'!H147, 'Design Calculator'!H148, 'Design Calculator'!H149)</f>
        <v>1</v>
      </c>
      <c r="H14" s="285" t="s">
        <v>388</v>
      </c>
      <c r="O14" s="41" t="s">
        <v>263</v>
      </c>
      <c r="P14" s="274">
        <v>4.0000000000000001E-3</v>
      </c>
      <c r="Q14" s="41"/>
      <c r="R14" s="39"/>
      <c r="S14" s="39"/>
    </row>
    <row r="15" spans="4:19">
      <c r="D15" s="34"/>
      <c r="E15" s="7"/>
      <c r="F15" s="7"/>
      <c r="G15" s="288"/>
      <c r="H15" s="289"/>
      <c r="O15" s="39"/>
      <c r="P15" s="39"/>
      <c r="Q15" s="39"/>
      <c r="R15" s="39"/>
      <c r="S15" s="39"/>
    </row>
    <row r="16" spans="4:19">
      <c r="O16" s="41" t="s">
        <v>396</v>
      </c>
      <c r="P16" s="41" t="s">
        <v>301</v>
      </c>
      <c r="Q16" s="41" t="s">
        <v>300</v>
      </c>
      <c r="R16" s="41" t="s">
        <v>302</v>
      </c>
      <c r="S16" s="41" t="s">
        <v>392</v>
      </c>
    </row>
    <row r="17" spans="4:19">
      <c r="D17" s="18" t="s">
        <v>401</v>
      </c>
      <c r="O17" s="41" t="s">
        <v>397</v>
      </c>
      <c r="P17" s="39">
        <v>665</v>
      </c>
      <c r="Q17" s="39">
        <v>675</v>
      </c>
      <c r="R17" s="39">
        <v>686</v>
      </c>
      <c r="S17" s="274">
        <f>MAX(R17-Q17,Q17-P17)/Q17</f>
        <v>1.6296296296296295E-2</v>
      </c>
    </row>
    <row r="18" spans="4:19">
      <c r="O18" s="39"/>
      <c r="P18" s="39"/>
      <c r="Q18" s="39"/>
      <c r="R18" s="39"/>
      <c r="S18" s="39"/>
    </row>
    <row r="19" spans="4:19">
      <c r="D19" s="18" t="s">
        <v>402</v>
      </c>
      <c r="O19" s="41" t="s">
        <v>398</v>
      </c>
      <c r="P19" s="39"/>
      <c r="Q19" s="39"/>
      <c r="R19" s="39"/>
      <c r="S19" s="39"/>
    </row>
    <row r="20" spans="4:19">
      <c r="D20" s="18" t="s">
        <v>403</v>
      </c>
      <c r="E20">
        <f>0.1*E6</f>
        <v>49.900000000000006</v>
      </c>
      <c r="F20" s="18" t="s">
        <v>106</v>
      </c>
      <c r="O20" s="41" t="s">
        <v>349</v>
      </c>
      <c r="P20" s="41" t="s">
        <v>399</v>
      </c>
      <c r="Q20" s="41" t="s">
        <v>400</v>
      </c>
      <c r="R20" s="41" t="s">
        <v>302</v>
      </c>
      <c r="S20" s="41" t="s">
        <v>392</v>
      </c>
    </row>
    <row r="21" spans="4:19">
      <c r="O21" s="39">
        <v>200</v>
      </c>
      <c r="P21" s="39">
        <v>18</v>
      </c>
      <c r="Q21" s="39">
        <v>20</v>
      </c>
      <c r="R21" s="39">
        <v>22</v>
      </c>
      <c r="S21" s="274">
        <f>MAX(R21-Q21,Q21-P21)/Q21</f>
        <v>0.1</v>
      </c>
    </row>
    <row r="22" spans="4:19">
      <c r="E22" s="18" t="s">
        <v>404</v>
      </c>
      <c r="F22" s="18" t="s">
        <v>405</v>
      </c>
      <c r="O22" s="39">
        <v>1</v>
      </c>
      <c r="P22" s="39">
        <v>95</v>
      </c>
      <c r="Q22" s="39">
        <v>100</v>
      </c>
      <c r="R22" s="39">
        <v>105</v>
      </c>
      <c r="S22" s="274">
        <f t="shared" ref="S22:S23" si="1">MAX(R22-Q22,Q22-P22)/Q22</f>
        <v>0.05</v>
      </c>
    </row>
    <row r="23" spans="4:19">
      <c r="D23" s="18" t="s">
        <v>406</v>
      </c>
      <c r="E23">
        <f>IF(E20&lt;Q22, Q21, Q22)</f>
        <v>20</v>
      </c>
      <c r="F23">
        <f>IF(E20&lt;Q22, R21-Q21, R22-Q22)</f>
        <v>2</v>
      </c>
      <c r="O23" s="39">
        <v>4</v>
      </c>
      <c r="P23" s="39">
        <v>380</v>
      </c>
      <c r="Q23" s="39">
        <v>400</v>
      </c>
      <c r="R23" s="39">
        <v>420</v>
      </c>
      <c r="S23" s="274">
        <f t="shared" si="1"/>
        <v>0.05</v>
      </c>
    </row>
    <row r="24" spans="4:19">
      <c r="D24" s="18" t="s">
        <v>407</v>
      </c>
      <c r="E24">
        <f>IF(E20&gt;Q22, Q23, Q22)</f>
        <v>100</v>
      </c>
      <c r="F24">
        <f>IF(E20&gt;Q22, R23 - Q23, R22 - Q22)</f>
        <v>5</v>
      </c>
      <c r="O24" s="39"/>
      <c r="P24" s="39"/>
      <c r="Q24" s="39"/>
      <c r="R24" s="39"/>
      <c r="S24" s="39"/>
    </row>
    <row r="25" spans="4:19">
      <c r="O25" s="41" t="s">
        <v>429</v>
      </c>
      <c r="P25" s="39"/>
      <c r="Q25" s="39"/>
      <c r="R25" s="39"/>
      <c r="S25" s="39"/>
    </row>
    <row r="26" spans="4:19">
      <c r="D26" s="18" t="s">
        <v>408</v>
      </c>
      <c r="E26">
        <f xml:space="preserve"> (E20-E23)/(E24-E23)</f>
        <v>0.37375000000000008</v>
      </c>
      <c r="O26" s="41" t="s">
        <v>299</v>
      </c>
      <c r="P26" s="39">
        <v>3</v>
      </c>
      <c r="Q26" s="41" t="s">
        <v>106</v>
      </c>
      <c r="R26" s="39"/>
      <c r="S26" s="39"/>
    </row>
    <row r="27" spans="4:19">
      <c r="D27" s="18" t="s">
        <v>409</v>
      </c>
      <c r="E27">
        <f>(E24-E20)/(E24-E23)</f>
        <v>0.62624999999999997</v>
      </c>
      <c r="O27" s="41" t="s">
        <v>430</v>
      </c>
      <c r="P27" s="274">
        <f>2/300</f>
        <v>6.6666666666666671E-3</v>
      </c>
      <c r="Q27" s="39"/>
      <c r="R27" s="39"/>
      <c r="S27" s="39"/>
    </row>
    <row r="29" spans="4:19">
      <c r="D29" s="18" t="s">
        <v>410</v>
      </c>
      <c r="E29">
        <f>E26*F24+E27*F23</f>
        <v>3.1212500000000003</v>
      </c>
    </row>
    <row r="30" spans="4:19">
      <c r="E30" s="18" t="s">
        <v>301</v>
      </c>
      <c r="F30" s="18" t="s">
        <v>300</v>
      </c>
      <c r="G30" s="18" t="s">
        <v>302</v>
      </c>
      <c r="O30" s="18" t="s">
        <v>440</v>
      </c>
      <c r="P30">
        <v>1.3</v>
      </c>
      <c r="Q30">
        <v>1.35</v>
      </c>
      <c r="R30">
        <v>1.4</v>
      </c>
    </row>
    <row r="31" spans="4:19">
      <c r="D31" s="18" t="s">
        <v>403</v>
      </c>
      <c r="E31">
        <f>(F31-E29)*(1-G6/100)</f>
        <v>46.310962500000002</v>
      </c>
      <c r="F31">
        <f>E20</f>
        <v>49.900000000000006</v>
      </c>
      <c r="G31">
        <f>(F31+E29)*(1+G6/100)</f>
        <v>53.551462500000007</v>
      </c>
      <c r="O31" s="34" t="s">
        <v>441</v>
      </c>
      <c r="P31" s="278">
        <f>(12.5-10.25)/10.25</f>
        <v>0.21951219512195122</v>
      </c>
    </row>
    <row r="32" spans="4:19">
      <c r="D32" s="18" t="s">
        <v>411</v>
      </c>
      <c r="E32">
        <f>E31/$E$10</f>
        <v>92.621925000000005</v>
      </c>
      <c r="F32">
        <f>F31/$E$10</f>
        <v>99.800000000000011</v>
      </c>
      <c r="G32">
        <f>G31/$E$10</f>
        <v>107.10292500000001</v>
      </c>
    </row>
    <row r="35" spans="4:11">
      <c r="D35" s="18" t="s">
        <v>412</v>
      </c>
      <c r="H35" s="18" t="s">
        <v>423</v>
      </c>
      <c r="I35" s="18" t="s">
        <v>75</v>
      </c>
    </row>
    <row r="37" spans="4:11">
      <c r="D37" s="18" t="s">
        <v>413</v>
      </c>
      <c r="E37" s="276">
        <f>E7/E8*675</f>
        <v>40</v>
      </c>
      <c r="F37" s="18" t="s">
        <v>106</v>
      </c>
      <c r="H37" s="18" t="s">
        <v>421</v>
      </c>
      <c r="I37" s="273">
        <f>E47+S17</f>
        <v>3.6046296296296299E-2</v>
      </c>
      <c r="J37" s="18"/>
    </row>
    <row r="38" spans="4:11">
      <c r="D38" s="18" t="s">
        <v>414</v>
      </c>
      <c r="E38" s="276">
        <f>E37*0.2</f>
        <v>8</v>
      </c>
      <c r="F38" s="18" t="s">
        <v>106</v>
      </c>
    </row>
    <row r="39" spans="4:11">
      <c r="I39" s="18" t="s">
        <v>301</v>
      </c>
      <c r="J39" s="18" t="s">
        <v>300</v>
      </c>
      <c r="K39" s="18" t="s">
        <v>302</v>
      </c>
    </row>
    <row r="40" spans="4:11">
      <c r="D40" s="18" t="s">
        <v>417</v>
      </c>
      <c r="H40" s="18" t="s">
        <v>422</v>
      </c>
      <c r="I40">
        <f>J40*(1-I37)</f>
        <v>77.116296296296298</v>
      </c>
      <c r="J40">
        <f>E37/E10</f>
        <v>80</v>
      </c>
      <c r="K40">
        <f>J40*(1+I37)</f>
        <v>82.883703703703702</v>
      </c>
    </row>
    <row r="41" spans="4:11">
      <c r="D41" s="18" t="s">
        <v>415</v>
      </c>
      <c r="E41" s="274">
        <f>$P$14+$P$13*0.001/E37</f>
        <v>7.7499999999999999E-3</v>
      </c>
      <c r="F41" s="18"/>
    </row>
    <row r="42" spans="4:11">
      <c r="D42" s="18" t="s">
        <v>416</v>
      </c>
      <c r="E42" s="274">
        <f>$P$14+$P$13*0.001/E38</f>
        <v>2.2749999999999999E-2</v>
      </c>
      <c r="F42" s="18" t="s">
        <v>388</v>
      </c>
    </row>
    <row r="43" spans="4:11">
      <c r="H43" s="18" t="s">
        <v>424</v>
      </c>
    </row>
    <row r="44" spans="4:11">
      <c r="D44" s="18" t="s">
        <v>418</v>
      </c>
      <c r="E44" s="274">
        <f>(G7+G8+G10)/100</f>
        <v>1.2E-2</v>
      </c>
      <c r="F44" s="18" t="s">
        <v>388</v>
      </c>
    </row>
    <row r="45" spans="4:11">
      <c r="H45" s="18" t="s">
        <v>426</v>
      </c>
    </row>
    <row r="46" spans="4:11">
      <c r="D46" s="18" t="s">
        <v>419</v>
      </c>
      <c r="H46" s="18" t="s">
        <v>425</v>
      </c>
      <c r="I46" s="274">
        <f>P26/675+P27</f>
        <v>1.1111111111111112E-2</v>
      </c>
    </row>
    <row r="47" spans="4:11">
      <c r="D47" s="18" t="s">
        <v>415</v>
      </c>
      <c r="E47" s="274">
        <f>$E$44+E41</f>
        <v>1.975E-2</v>
      </c>
      <c r="F47" s="18"/>
      <c r="H47" s="278">
        <v>0.2</v>
      </c>
      <c r="I47" s="274">
        <f>P26/0.2/675+P27</f>
        <v>2.8888888888888891E-2</v>
      </c>
    </row>
    <row r="48" spans="4:11">
      <c r="D48" s="18" t="s">
        <v>416</v>
      </c>
      <c r="E48" s="274">
        <f>$E$44+E42</f>
        <v>3.4750000000000003E-2</v>
      </c>
      <c r="F48" s="18"/>
    </row>
    <row r="49" spans="4:9">
      <c r="H49" s="18" t="s">
        <v>427</v>
      </c>
    </row>
    <row r="50" spans="4:9">
      <c r="H50" s="18" t="s">
        <v>428</v>
      </c>
      <c r="I50" s="274">
        <f>I46+E47</f>
        <v>3.086111111111111E-2</v>
      </c>
    </row>
    <row r="51" spans="4:9">
      <c r="D51" s="18" t="s">
        <v>439</v>
      </c>
      <c r="H51" s="278">
        <v>0.2</v>
      </c>
      <c r="I51" s="274">
        <f>I47+E48</f>
        <v>6.3638888888888898E-2</v>
      </c>
    </row>
    <row r="53" spans="4:9">
      <c r="D53" s="18" t="s">
        <v>432</v>
      </c>
    </row>
    <row r="54" spans="4:9">
      <c r="D54" s="18" t="s">
        <v>431</v>
      </c>
      <c r="E54">
        <f>84375/E9/E11</f>
        <v>155.00992063492063</v>
      </c>
      <c r="F54" s="18" t="s">
        <v>106</v>
      </c>
    </row>
    <row r="56" spans="4:9">
      <c r="E56" s="18" t="s">
        <v>404</v>
      </c>
      <c r="F56" s="18" t="s">
        <v>405</v>
      </c>
    </row>
    <row r="57" spans="4:9">
      <c r="D57" s="18" t="s">
        <v>406</v>
      </c>
      <c r="E57">
        <f>IF(E54&lt;Q9, Q10, Q9)</f>
        <v>67</v>
      </c>
      <c r="F57">
        <f>IF(E54&lt;Q9, Q10-P10, Q9-P9)</f>
        <v>10.049999999999997</v>
      </c>
    </row>
    <row r="58" spans="4:9">
      <c r="D58" s="18" t="s">
        <v>407</v>
      </c>
      <c r="E58">
        <f>IF(E54&gt;Q9, Q8, Q9)</f>
        <v>135</v>
      </c>
      <c r="F58">
        <f>IF(E54&gt;Q9, Q8-P8, Q9-P9)</f>
        <v>20.25</v>
      </c>
    </row>
    <row r="60" spans="4:9">
      <c r="D60" s="18" t="s">
        <v>408</v>
      </c>
      <c r="E60">
        <f xml:space="preserve"> (E54-E57)/(E58-E57)</f>
        <v>1.2942635387488328</v>
      </c>
    </row>
    <row r="61" spans="4:9">
      <c r="D61" s="18" t="s">
        <v>409</v>
      </c>
      <c r="E61">
        <f>(E58-E54)/(E58-E57)</f>
        <v>-0.29426353874883282</v>
      </c>
    </row>
    <row r="63" spans="4:9">
      <c r="D63" s="18" t="s">
        <v>410</v>
      </c>
      <c r="E63">
        <f>E60*F58+E61*F57</f>
        <v>23.251488095238095</v>
      </c>
      <c r="F63" s="18" t="s">
        <v>106</v>
      </c>
      <c r="G63" s="18"/>
    </row>
    <row r="64" spans="4:9">
      <c r="D64" s="18" t="s">
        <v>264</v>
      </c>
      <c r="E64" s="274">
        <f>E63/E54</f>
        <v>0.15</v>
      </c>
      <c r="F64" s="18"/>
    </row>
    <row r="65" spans="4:8">
      <c r="D65" s="18"/>
    </row>
    <row r="66" spans="4:8">
      <c r="D66" s="18" t="s">
        <v>433</v>
      </c>
    </row>
    <row r="67" spans="4:8">
      <c r="D67" s="34" t="s">
        <v>434</v>
      </c>
      <c r="E67">
        <f>E54/675*E37</f>
        <v>9.185773074661963</v>
      </c>
      <c r="F67" s="18" t="s">
        <v>106</v>
      </c>
    </row>
    <row r="68" spans="4:8">
      <c r="D68" s="34" t="s">
        <v>435</v>
      </c>
      <c r="E68" s="274">
        <f>$P$14+$P$13*0.001/E67</f>
        <v>2.03296E-2</v>
      </c>
    </row>
    <row r="69" spans="4:8">
      <c r="D69" s="34"/>
    </row>
    <row r="70" spans="4:8">
      <c r="D70" s="34" t="s">
        <v>436</v>
      </c>
      <c r="E70" s="277">
        <f>E44+G9/100</f>
        <v>2.1999999999999999E-2</v>
      </c>
    </row>
    <row r="72" spans="4:8">
      <c r="D72" s="18" t="s">
        <v>437</v>
      </c>
      <c r="E72" s="277">
        <f>E70+E68+E64</f>
        <v>0.19232959999999999</v>
      </c>
    </row>
    <row r="74" spans="4:8">
      <c r="D74" s="18" t="s">
        <v>438</v>
      </c>
      <c r="E74" s="18" t="s">
        <v>301</v>
      </c>
      <c r="F74" s="18" t="s">
        <v>300</v>
      </c>
      <c r="G74" s="18" t="s">
        <v>302</v>
      </c>
    </row>
    <row r="75" spans="4:8">
      <c r="E75">
        <f>F75*(1-E72)</f>
        <v>249.280987654321</v>
      </c>
      <c r="F75">
        <f>E67/E10*E11</f>
        <v>308.64197530864197</v>
      </c>
      <c r="G75">
        <f>F75*(1+E72)</f>
        <v>368.0029629629629</v>
      </c>
      <c r="H75" s="18" t="s">
        <v>50</v>
      </c>
    </row>
    <row r="78" spans="4:8">
      <c r="D78" s="18" t="s">
        <v>442</v>
      </c>
    </row>
    <row r="79" spans="4:8">
      <c r="D79" s="18" t="s">
        <v>452</v>
      </c>
      <c r="E79" s="279">
        <f>$P$31+G12/100</f>
        <v>0.31951219512195123</v>
      </c>
    </row>
    <row r="80" spans="4:8">
      <c r="D80" s="18" t="s">
        <v>453</v>
      </c>
      <c r="E80" s="279">
        <f>$P$31+G13/100</f>
        <v>0.31951219512195123</v>
      </c>
    </row>
    <row r="82" spans="4:8">
      <c r="D82" s="18" t="s">
        <v>443</v>
      </c>
    </row>
    <row r="83" spans="4:8">
      <c r="D83" s="18"/>
      <c r="E83" s="277">
        <f>(R30-Q30)/Q30+G14*2/100</f>
        <v>5.70370370370369E-2</v>
      </c>
      <c r="F83" s="18"/>
      <c r="G83" s="18"/>
    </row>
    <row r="84" spans="4:8">
      <c r="D84" s="18"/>
    </row>
    <row r="85" spans="4:8">
      <c r="D85" s="18"/>
    </row>
    <row r="86" spans="4:8">
      <c r="D86" s="18" t="s">
        <v>448</v>
      </c>
    </row>
    <row r="88" spans="4:8">
      <c r="D88" s="255" t="s">
        <v>339</v>
      </c>
      <c r="E88" s="282" t="s">
        <v>34</v>
      </c>
      <c r="F88" s="256" t="s">
        <v>35</v>
      </c>
      <c r="G88" s="282" t="s">
        <v>36</v>
      </c>
      <c r="H88" s="257" t="s">
        <v>98</v>
      </c>
    </row>
    <row r="89" spans="4:8">
      <c r="D89" s="258" t="s">
        <v>144</v>
      </c>
      <c r="E89" s="283">
        <f>I40</f>
        <v>77.116296296296298</v>
      </c>
      <c r="F89" s="283">
        <f t="shared" ref="F89:G89" si="2">J40</f>
        <v>80</v>
      </c>
      <c r="G89" s="283">
        <f t="shared" si="2"/>
        <v>82.883703703703702</v>
      </c>
      <c r="H89" s="259" t="s">
        <v>9</v>
      </c>
    </row>
    <row r="90" spans="4:8">
      <c r="D90" s="258" t="s">
        <v>272</v>
      </c>
      <c r="E90" s="283">
        <f>E32</f>
        <v>92.621925000000005</v>
      </c>
      <c r="F90" s="283">
        <f t="shared" ref="F90:G90" si="3">F32</f>
        <v>99.800000000000011</v>
      </c>
      <c r="G90" s="283">
        <f t="shared" si="3"/>
        <v>107.10292500000001</v>
      </c>
      <c r="H90" s="259" t="s">
        <v>9</v>
      </c>
    </row>
    <row r="91" spans="4:8">
      <c r="D91" s="262" t="s">
        <v>357</v>
      </c>
      <c r="E91" s="287" t="s">
        <v>444</v>
      </c>
      <c r="F91" s="180">
        <f>'Design Calculator'!E161</f>
        <v>0.499</v>
      </c>
      <c r="G91" s="287" t="s">
        <v>444</v>
      </c>
      <c r="H91" s="248" t="s">
        <v>318</v>
      </c>
    </row>
    <row r="92" spans="4:8">
      <c r="D92" s="258" t="s">
        <v>105</v>
      </c>
      <c r="E92" s="283">
        <f>E75</f>
        <v>249.280987654321</v>
      </c>
      <c r="F92" s="283">
        <f t="shared" ref="F92:G92" si="4">F75</f>
        <v>308.64197530864197</v>
      </c>
      <c r="G92" s="283">
        <f t="shared" si="4"/>
        <v>368.0029629629629</v>
      </c>
      <c r="H92" s="259" t="s">
        <v>50</v>
      </c>
    </row>
    <row r="93" spans="4:8">
      <c r="D93" s="264" t="s">
        <v>355</v>
      </c>
      <c r="E93" s="283">
        <f>F93*(1-$E$83)</f>
        <v>9.4483796653796688</v>
      </c>
      <c r="F93" s="180">
        <f>'Design Calculator'!E163</f>
        <v>10.019884169884172</v>
      </c>
      <c r="G93" s="283">
        <f>F93*(1+$E$83)</f>
        <v>10.591388674388677</v>
      </c>
      <c r="H93" s="259" t="s">
        <v>49</v>
      </c>
    </row>
    <row r="94" spans="4:8">
      <c r="D94" s="264" t="s">
        <v>356</v>
      </c>
      <c r="E94" s="283">
        <f>F94*(1-$E$83)</f>
        <v>13.203940647482019</v>
      </c>
      <c r="F94" s="180">
        <f>'Design Calculator'!E164</f>
        <v>14.002607913669069</v>
      </c>
      <c r="G94" s="283">
        <f>F94*(1+$E$83)</f>
        <v>14.801275179856118</v>
      </c>
      <c r="H94" s="259" t="s">
        <v>49</v>
      </c>
    </row>
    <row r="95" spans="4:8">
      <c r="D95" s="262" t="s">
        <v>362</v>
      </c>
      <c r="E95" s="283"/>
      <c r="F95" s="180">
        <f>'Design Calculator'!E165</f>
        <v>1.4943396226415093</v>
      </c>
      <c r="G95" s="283"/>
      <c r="H95" s="253" t="s">
        <v>9</v>
      </c>
    </row>
    <row r="96" spans="4:8">
      <c r="D96" s="262" t="s">
        <v>363</v>
      </c>
      <c r="E96" s="287" t="s">
        <v>444</v>
      </c>
      <c r="F96" s="180">
        <f>'Design Calculator'!E166</f>
        <v>0.504</v>
      </c>
      <c r="G96" s="287" t="s">
        <v>444</v>
      </c>
      <c r="H96" s="248" t="s">
        <v>318</v>
      </c>
    </row>
    <row r="97" spans="4:8">
      <c r="D97" s="245" t="str">
        <f>IF(G20="single", "timer", "inrush timer")</f>
        <v>inrush timer</v>
      </c>
      <c r="E97" s="283">
        <f>F97*(1-$E$79)</f>
        <v>0.24198810232004758</v>
      </c>
      <c r="F97" s="180">
        <f>'Design Calculator'!E167</f>
        <v>0.35560975609756101</v>
      </c>
      <c r="G97" s="283">
        <f>F97*(1+$E$79)</f>
        <v>0.46923140987507445</v>
      </c>
      <c r="H97" s="253" t="s">
        <v>8</v>
      </c>
    </row>
    <row r="98" spans="4:8">
      <c r="D98" s="245" t="s">
        <v>361</v>
      </c>
      <c r="E98" s="283">
        <f>F98*(1-$E$79)</f>
        <v>197.175490779298</v>
      </c>
      <c r="F98" s="180">
        <f>'Design Calculator'!E168</f>
        <v>289.7560975609756</v>
      </c>
      <c r="G98" s="283">
        <f>F98*(1+$E$79)</f>
        <v>382.33670434265321</v>
      </c>
      <c r="H98" s="253" t="s">
        <v>8</v>
      </c>
    </row>
    <row r="99" spans="4:8">
      <c r="D99" s="264" t="s">
        <v>358</v>
      </c>
      <c r="E99" s="287" t="s">
        <v>444</v>
      </c>
      <c r="F99" s="180">
        <f>'Design Calculator'!E169</f>
        <v>8.4375</v>
      </c>
      <c r="G99" s="287" t="s">
        <v>444</v>
      </c>
      <c r="H99" s="259" t="s">
        <v>360</v>
      </c>
    </row>
    <row r="100" spans="4:8">
      <c r="D100" s="264" t="s">
        <v>359</v>
      </c>
      <c r="E100" s="287" t="s">
        <v>444</v>
      </c>
      <c r="F100" s="180">
        <f>'Design Calculator'!E170</f>
        <v>25.3125</v>
      </c>
      <c r="G100" s="287" t="s">
        <v>444</v>
      </c>
      <c r="H100" s="259" t="s">
        <v>360</v>
      </c>
    </row>
    <row r="101" spans="4:8">
      <c r="D101" s="39"/>
      <c r="E101" s="39"/>
      <c r="F101" s="39"/>
      <c r="G101" s="39"/>
      <c r="H101" s="39"/>
    </row>
    <row r="102" spans="4:8">
      <c r="D102" s="39"/>
      <c r="E102" s="41" t="s">
        <v>413</v>
      </c>
      <c r="F102" s="41" t="s">
        <v>449</v>
      </c>
      <c r="G102" s="39"/>
      <c r="H102" s="39"/>
    </row>
    <row r="103" spans="4:8">
      <c r="D103" s="41" t="s">
        <v>450</v>
      </c>
      <c r="E103" s="274">
        <f>E47</f>
        <v>1.975E-2</v>
      </c>
      <c r="F103" s="274">
        <f>E48</f>
        <v>3.4750000000000003E-2</v>
      </c>
      <c r="G103" s="39"/>
      <c r="H103" s="39"/>
    </row>
    <row r="104" spans="4:8">
      <c r="D104" s="92" t="s">
        <v>451</v>
      </c>
      <c r="E104" s="274">
        <f>I50</f>
        <v>3.086111111111111E-2</v>
      </c>
      <c r="F104" s="274">
        <f>I51</f>
        <v>6.3638888888888898E-2</v>
      </c>
      <c r="G104" s="39"/>
      <c r="H104" s="39"/>
    </row>
  </sheetData>
  <mergeCells count="2">
    <mergeCell ref="O5:S5"/>
    <mergeCell ref="D4:H4"/>
  </mergeCells>
  <conditionalFormatting sqref="H98 D98">
    <cfRule type="expression" dxfId="11" priority="2">
      <formula>$F$65="single"</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dimension ref="D4:S105"/>
  <sheetViews>
    <sheetView topLeftCell="A21" zoomScale="85" zoomScaleNormal="85" workbookViewId="0">
      <selection activeCell="K53" sqref="K53"/>
    </sheetView>
  </sheetViews>
  <sheetFormatPr defaultRowHeight="13.2"/>
  <cols>
    <col min="1" max="1" width="22.109375" customWidth="1"/>
    <col min="4" max="4" width="19.109375" customWidth="1"/>
    <col min="5" max="5" width="13.88671875" customWidth="1"/>
    <col min="6" max="6" width="13.33203125" customWidth="1"/>
    <col min="9" max="9" width="11.88671875" customWidth="1"/>
    <col min="11" max="11" width="11.6640625" customWidth="1"/>
    <col min="12" max="12" width="11.33203125" customWidth="1"/>
    <col min="13" max="13" width="10" customWidth="1"/>
  </cols>
  <sheetData>
    <row r="4" spans="4:19">
      <c r="D4" s="385" t="s">
        <v>389</v>
      </c>
      <c r="E4" s="385"/>
      <c r="F4" s="385"/>
      <c r="G4" s="385"/>
      <c r="H4" s="385"/>
    </row>
    <row r="5" spans="4:19">
      <c r="D5" s="271"/>
      <c r="E5" s="272" t="s">
        <v>384</v>
      </c>
      <c r="F5" s="272" t="s">
        <v>337</v>
      </c>
      <c r="G5" s="272" t="s">
        <v>385</v>
      </c>
      <c r="H5" s="272" t="s">
        <v>337</v>
      </c>
      <c r="O5" s="383" t="s">
        <v>394</v>
      </c>
      <c r="P5" s="384"/>
      <c r="Q5" s="384"/>
      <c r="R5" s="384"/>
      <c r="S5" s="384"/>
    </row>
    <row r="6" spans="4:19">
      <c r="D6" s="92" t="s">
        <v>349</v>
      </c>
      <c r="E6" s="44">
        <f>'Design Calculator'!F48</f>
        <v>499</v>
      </c>
      <c r="F6" s="92" t="s">
        <v>386</v>
      </c>
      <c r="G6" s="39">
        <f>'Design Calculator'!H143</f>
        <v>1</v>
      </c>
      <c r="H6" s="92" t="s">
        <v>388</v>
      </c>
      <c r="O6" s="41" t="s">
        <v>391</v>
      </c>
      <c r="P6" s="39"/>
      <c r="Q6" s="41" t="s">
        <v>390</v>
      </c>
      <c r="R6" s="39"/>
      <c r="S6" s="39"/>
    </row>
    <row r="7" spans="4:19">
      <c r="D7" s="41" t="s">
        <v>348</v>
      </c>
      <c r="E7" s="39">
        <f>'Design Calculator'!F144</f>
        <v>160</v>
      </c>
      <c r="F7" s="41" t="s">
        <v>386</v>
      </c>
      <c r="G7" s="39">
        <f>'Design Calculator'!H144</f>
        <v>0.1</v>
      </c>
      <c r="H7" s="41" t="s">
        <v>388</v>
      </c>
      <c r="O7" s="41" t="s">
        <v>320</v>
      </c>
      <c r="P7" s="41" t="s">
        <v>301</v>
      </c>
      <c r="Q7" s="41" t="s">
        <v>300</v>
      </c>
      <c r="R7" s="41" t="s">
        <v>302</v>
      </c>
      <c r="S7" s="41" t="s">
        <v>392</v>
      </c>
    </row>
    <row r="8" spans="4:19">
      <c r="D8" s="41" t="s">
        <v>350</v>
      </c>
      <c r="E8" s="296">
        <f>'Design Calculator'!F145</f>
        <v>2700</v>
      </c>
      <c r="F8" s="41" t="s">
        <v>386</v>
      </c>
      <c r="G8" s="39">
        <f>'Design Calculator'!H145</f>
        <v>0.1</v>
      </c>
      <c r="H8" s="41" t="s">
        <v>388</v>
      </c>
      <c r="O8" s="39">
        <v>52</v>
      </c>
      <c r="P8" s="39">
        <v>114.75</v>
      </c>
      <c r="Q8" s="39">
        <v>135</v>
      </c>
      <c r="R8" s="39">
        <v>155.25</v>
      </c>
      <c r="S8" s="274">
        <f>MAX(R8-Q8,Q8-P8)/Q8</f>
        <v>0.15</v>
      </c>
    </row>
    <row r="9" spans="4:19">
      <c r="D9" s="41" t="s">
        <v>151</v>
      </c>
      <c r="E9" s="44">
        <f>'Design Calculator'!F146</f>
        <v>32.4</v>
      </c>
      <c r="F9" s="41" t="s">
        <v>155</v>
      </c>
      <c r="G9" s="39">
        <f>'Design Calculator'!H146</f>
        <v>1</v>
      </c>
      <c r="H9" s="41" t="s">
        <v>388</v>
      </c>
      <c r="O9" s="39">
        <v>105</v>
      </c>
      <c r="P9" s="39">
        <v>56.95</v>
      </c>
      <c r="Q9" s="39">
        <v>67</v>
      </c>
      <c r="R9" s="39">
        <v>77.05</v>
      </c>
      <c r="S9" s="274">
        <f t="shared" ref="S9:S10" si="0">MAX(R9-Q9,Q9-P9)/Q9</f>
        <v>0.14999999999999997</v>
      </c>
    </row>
    <row r="10" spans="4:19">
      <c r="D10" s="41" t="s">
        <v>383</v>
      </c>
      <c r="E10" s="44">
        <f>'Design Calculator'!F141</f>
        <v>0.5</v>
      </c>
      <c r="F10" s="41" t="s">
        <v>387</v>
      </c>
      <c r="G10" s="39">
        <f>'Design Calculator'!H141</f>
        <v>1</v>
      </c>
      <c r="H10" s="41" t="s">
        <v>388</v>
      </c>
      <c r="O10" s="39">
        <v>261</v>
      </c>
      <c r="P10" s="39">
        <v>18.899999999999999</v>
      </c>
      <c r="Q10" s="39">
        <v>27</v>
      </c>
      <c r="R10" s="39">
        <v>35.1</v>
      </c>
      <c r="S10" s="274">
        <f t="shared" si="0"/>
        <v>0.30000000000000004</v>
      </c>
    </row>
    <row r="11" spans="4:19">
      <c r="D11" s="92" t="s">
        <v>420</v>
      </c>
      <c r="E11" s="39">
        <f>VINMAX</f>
        <v>16.8</v>
      </c>
      <c r="F11" s="92" t="s">
        <v>49</v>
      </c>
      <c r="G11" s="39"/>
      <c r="H11" s="39"/>
      <c r="O11" s="39"/>
      <c r="P11" s="39"/>
      <c r="Q11" s="39"/>
      <c r="R11" s="39"/>
      <c r="S11" s="39"/>
    </row>
    <row r="12" spans="4:19">
      <c r="D12" s="92" t="s">
        <v>454</v>
      </c>
      <c r="E12" s="39"/>
      <c r="F12" s="39"/>
      <c r="G12" s="275">
        <f>'Design Calculator'!H150</f>
        <v>10</v>
      </c>
      <c r="H12" s="285" t="s">
        <v>388</v>
      </c>
      <c r="O12" s="41" t="s">
        <v>395</v>
      </c>
      <c r="P12" s="39"/>
      <c r="Q12" s="39"/>
      <c r="R12" s="39"/>
      <c r="S12" s="39"/>
    </row>
    <row r="13" spans="4:19">
      <c r="D13" s="92" t="s">
        <v>351</v>
      </c>
      <c r="E13" s="39"/>
      <c r="F13" s="39"/>
      <c r="G13" s="275">
        <f>'Design Calculator'!H151</f>
        <v>10</v>
      </c>
      <c r="H13" s="285" t="s">
        <v>388</v>
      </c>
      <c r="O13" s="41" t="s">
        <v>299</v>
      </c>
      <c r="P13" s="39">
        <v>150</v>
      </c>
      <c r="Q13" s="41" t="s">
        <v>393</v>
      </c>
      <c r="R13" s="39"/>
      <c r="S13" s="39"/>
    </row>
    <row r="14" spans="4:19">
      <c r="D14" s="92" t="s">
        <v>447</v>
      </c>
      <c r="E14" s="39"/>
      <c r="F14" s="39"/>
      <c r="G14" s="275">
        <f>AVERAGE('Design Calculator'!H147, 'Design Calculator'!H148, 'Design Calculator'!H149)</f>
        <v>1</v>
      </c>
      <c r="H14" s="285" t="s">
        <v>388</v>
      </c>
      <c r="O14" s="41" t="s">
        <v>263</v>
      </c>
      <c r="P14" s="274">
        <v>4.0000000000000001E-3</v>
      </c>
      <c r="Q14" s="41"/>
      <c r="R14" s="39"/>
      <c r="S14" s="39"/>
    </row>
    <row r="15" spans="4:19">
      <c r="D15" s="34"/>
      <c r="E15" s="7"/>
      <c r="F15" s="7"/>
      <c r="G15" s="288"/>
      <c r="H15" s="289"/>
      <c r="O15" s="39"/>
      <c r="P15" s="39"/>
      <c r="Q15" s="39"/>
      <c r="R15" s="39"/>
      <c r="S15" s="39"/>
    </row>
    <row r="16" spans="4:19">
      <c r="O16" s="41" t="s">
        <v>396</v>
      </c>
      <c r="P16" s="41" t="s">
        <v>301</v>
      </c>
      <c r="Q16" s="41" t="s">
        <v>300</v>
      </c>
      <c r="R16" s="41" t="s">
        <v>302</v>
      </c>
      <c r="S16" s="41" t="s">
        <v>392</v>
      </c>
    </row>
    <row r="17" spans="4:19">
      <c r="D17" s="18" t="s">
        <v>401</v>
      </c>
      <c r="O17" s="41" t="s">
        <v>397</v>
      </c>
      <c r="P17" s="39">
        <v>665</v>
      </c>
      <c r="Q17" s="39">
        <v>675</v>
      </c>
      <c r="R17" s="39">
        <v>686</v>
      </c>
      <c r="S17" s="274">
        <f>MAX(R17-Q17,Q17-P17)/Q17</f>
        <v>1.6296296296296295E-2</v>
      </c>
    </row>
    <row r="18" spans="4:19">
      <c r="O18" s="39"/>
      <c r="P18" s="39"/>
      <c r="Q18" s="39"/>
      <c r="R18" s="39"/>
      <c r="S18" s="39"/>
    </row>
    <row r="19" spans="4:19">
      <c r="D19" s="18" t="s">
        <v>402</v>
      </c>
      <c r="O19" s="41" t="s">
        <v>398</v>
      </c>
      <c r="P19" s="39"/>
      <c r="Q19" s="39"/>
      <c r="R19" s="39"/>
      <c r="S19" s="39"/>
    </row>
    <row r="20" spans="4:19">
      <c r="D20" s="18" t="s">
        <v>403</v>
      </c>
      <c r="E20">
        <f>0.1*E6</f>
        <v>49.900000000000006</v>
      </c>
      <c r="F20" s="18" t="s">
        <v>106</v>
      </c>
      <c r="O20" s="41" t="s">
        <v>349</v>
      </c>
      <c r="P20" s="41" t="s">
        <v>399</v>
      </c>
      <c r="Q20" s="41" t="s">
        <v>400</v>
      </c>
      <c r="R20" s="41" t="s">
        <v>302</v>
      </c>
      <c r="S20" s="41" t="s">
        <v>392</v>
      </c>
    </row>
    <row r="21" spans="4:19">
      <c r="O21" s="39">
        <v>200</v>
      </c>
      <c r="P21" s="39">
        <v>18</v>
      </c>
      <c r="Q21" s="39">
        <v>20</v>
      </c>
      <c r="R21" s="39">
        <v>22</v>
      </c>
      <c r="S21" s="274">
        <f>MAX(R21-Q21,Q21-P21)/Q21</f>
        <v>0.1</v>
      </c>
    </row>
    <row r="22" spans="4:19">
      <c r="E22" s="18" t="s">
        <v>404</v>
      </c>
      <c r="F22" s="18" t="s">
        <v>405</v>
      </c>
      <c r="O22" s="39">
        <v>1</v>
      </c>
      <c r="P22" s="39">
        <v>95</v>
      </c>
      <c r="Q22" s="39">
        <v>100</v>
      </c>
      <c r="R22" s="39">
        <v>105</v>
      </c>
      <c r="S22" s="274">
        <f t="shared" ref="S22:S23" si="1">MAX(R22-Q22,Q22-P22)/Q22</f>
        <v>0.05</v>
      </c>
    </row>
    <row r="23" spans="4:19">
      <c r="D23" s="18" t="s">
        <v>406</v>
      </c>
      <c r="E23">
        <f>IF(E20&lt;Q22, Q21, Q22)</f>
        <v>20</v>
      </c>
      <c r="F23">
        <f>IF(E20&lt;Q22, R21-Q21, R22-Q22)</f>
        <v>2</v>
      </c>
      <c r="O23" s="39">
        <v>4</v>
      </c>
      <c r="P23" s="39">
        <v>380</v>
      </c>
      <c r="Q23" s="39">
        <v>400</v>
      </c>
      <c r="R23" s="39">
        <v>420</v>
      </c>
      <c r="S23" s="274">
        <f t="shared" si="1"/>
        <v>0.05</v>
      </c>
    </row>
    <row r="24" spans="4:19">
      <c r="D24" s="18" t="s">
        <v>407</v>
      </c>
      <c r="E24">
        <f>IF(E20&gt;Q22, Q23, Q22)</f>
        <v>100</v>
      </c>
      <c r="F24">
        <f>IF(E20&gt;Q22, R23 - Q23, R22 - Q22)</f>
        <v>5</v>
      </c>
      <c r="O24" s="39"/>
      <c r="P24" s="39"/>
      <c r="Q24" s="39"/>
      <c r="R24" s="39"/>
      <c r="S24" s="39"/>
    </row>
    <row r="25" spans="4:19">
      <c r="O25" s="41" t="s">
        <v>429</v>
      </c>
      <c r="P25" s="39"/>
      <c r="Q25" s="39"/>
      <c r="R25" s="39"/>
      <c r="S25" s="39"/>
    </row>
    <row r="26" spans="4:19">
      <c r="D26" s="18" t="s">
        <v>408</v>
      </c>
      <c r="E26">
        <f xml:space="preserve"> (E20-E23)/(E24-E23)</f>
        <v>0.37375000000000008</v>
      </c>
      <c r="O26" s="41" t="s">
        <v>299</v>
      </c>
      <c r="P26" s="39">
        <v>3</v>
      </c>
      <c r="Q26" s="41" t="s">
        <v>106</v>
      </c>
      <c r="R26" s="39"/>
      <c r="S26" s="39"/>
    </row>
    <row r="27" spans="4:19">
      <c r="D27" s="18" t="s">
        <v>409</v>
      </c>
      <c r="E27">
        <f>(E24-E20)/(E24-E23)</f>
        <v>0.62624999999999997</v>
      </c>
      <c r="O27" s="41" t="s">
        <v>430</v>
      </c>
      <c r="P27" s="274">
        <f>2/300</f>
        <v>6.6666666666666671E-3</v>
      </c>
      <c r="Q27" s="39"/>
      <c r="R27" s="39"/>
      <c r="S27" s="39"/>
    </row>
    <row r="29" spans="4:19">
      <c r="D29" s="18" t="s">
        <v>410</v>
      </c>
      <c r="E29">
        <f>E26*F24+E27*F23</f>
        <v>3.1212500000000003</v>
      </c>
    </row>
    <row r="30" spans="4:19">
      <c r="D30" s="18" t="s">
        <v>455</v>
      </c>
      <c r="E30">
        <f>SQRT(E29^2+(E20*G6/100)^2)</f>
        <v>3.1608863570998564</v>
      </c>
    </row>
    <row r="31" spans="4:19">
      <c r="E31" s="18" t="s">
        <v>301</v>
      </c>
      <c r="F31" s="18" t="s">
        <v>300</v>
      </c>
      <c r="G31" s="18" t="s">
        <v>302</v>
      </c>
      <c r="O31" s="18" t="s">
        <v>440</v>
      </c>
      <c r="P31">
        <v>1.3</v>
      </c>
      <c r="Q31">
        <v>1.35</v>
      </c>
      <c r="R31">
        <v>1.4</v>
      </c>
    </row>
    <row r="32" spans="4:19">
      <c r="D32" s="18" t="s">
        <v>403</v>
      </c>
      <c r="E32">
        <f>(F32-E29)</f>
        <v>46.778750000000002</v>
      </c>
      <c r="F32">
        <f>E20</f>
        <v>49.900000000000006</v>
      </c>
      <c r="G32">
        <f>(F32+E29)</f>
        <v>53.021250000000009</v>
      </c>
      <c r="O32" s="34" t="s">
        <v>441</v>
      </c>
      <c r="P32" s="278">
        <f>(12.5-10.25)/10.25</f>
        <v>0.21951219512195122</v>
      </c>
    </row>
    <row r="33" spans="4:11">
      <c r="D33" s="18" t="s">
        <v>411</v>
      </c>
      <c r="E33">
        <f>E32/$E$10</f>
        <v>93.557500000000005</v>
      </c>
      <c r="F33">
        <f>F32/$E$10</f>
        <v>99.800000000000011</v>
      </c>
      <c r="G33">
        <f>G32/$E$10</f>
        <v>106.04250000000002</v>
      </c>
    </row>
    <row r="36" spans="4:11">
      <c r="D36" s="18" t="s">
        <v>412</v>
      </c>
      <c r="H36" s="18" t="s">
        <v>423</v>
      </c>
      <c r="I36" s="18" t="s">
        <v>75</v>
      </c>
    </row>
    <row r="38" spans="4:11">
      <c r="D38" s="18" t="s">
        <v>413</v>
      </c>
      <c r="E38" s="276">
        <f>E7/E8*675</f>
        <v>40</v>
      </c>
      <c r="F38" s="18" t="s">
        <v>106</v>
      </c>
      <c r="H38" s="18" t="s">
        <v>421</v>
      </c>
      <c r="I38" s="273">
        <f>E48+S17</f>
        <v>2.7788141230857499E-2</v>
      </c>
      <c r="J38" s="18"/>
    </row>
    <row r="39" spans="4:11">
      <c r="D39" s="18" t="s">
        <v>414</v>
      </c>
      <c r="E39" s="276">
        <f>E38*0.2</f>
        <v>8</v>
      </c>
      <c r="F39" s="18" t="s">
        <v>106</v>
      </c>
    </row>
    <row r="40" spans="4:11">
      <c r="I40" s="18" t="s">
        <v>301</v>
      </c>
      <c r="J40" s="18" t="s">
        <v>300</v>
      </c>
      <c r="K40" s="18" t="s">
        <v>302</v>
      </c>
    </row>
    <row r="41" spans="4:11">
      <c r="D41" s="18" t="s">
        <v>417</v>
      </c>
      <c r="H41" s="18" t="s">
        <v>422</v>
      </c>
      <c r="I41">
        <f>J41*(1-I38)</f>
        <v>77.776948701531396</v>
      </c>
      <c r="J41">
        <f>E38/E10</f>
        <v>80</v>
      </c>
      <c r="K41">
        <f>J41*(1+I38)</f>
        <v>82.223051298468604</v>
      </c>
    </row>
    <row r="42" spans="4:11">
      <c r="D42" s="18" t="s">
        <v>415</v>
      </c>
      <c r="E42" s="274">
        <f>SQRT($P$14^2+($P$13*0.001/E38)^2)</f>
        <v>5.4829280498653269E-3</v>
      </c>
      <c r="F42" s="18"/>
    </row>
    <row r="43" spans="4:11">
      <c r="D43" s="18" t="s">
        <v>416</v>
      </c>
      <c r="E43" s="274">
        <f>SQRT($P$14^2+($P$13*0.001/E39)^2)</f>
        <v>1.9171919570037842E-2</v>
      </c>
      <c r="F43" s="18" t="s">
        <v>388</v>
      </c>
    </row>
    <row r="44" spans="4:11">
      <c r="H44" s="18" t="s">
        <v>424</v>
      </c>
    </row>
    <row r="45" spans="4:11">
      <c r="D45" s="18" t="s">
        <v>418</v>
      </c>
      <c r="E45" s="274">
        <f>SQRT(G7^2+G8^2+G10^2)/100</f>
        <v>1.0099504938362078E-2</v>
      </c>
      <c r="F45" s="18" t="s">
        <v>388</v>
      </c>
    </row>
    <row r="46" spans="4:11">
      <c r="H46" s="18" t="s">
        <v>426</v>
      </c>
    </row>
    <row r="47" spans="4:11">
      <c r="D47" s="18" t="s">
        <v>419</v>
      </c>
      <c r="H47" s="18" t="s">
        <v>425</v>
      </c>
      <c r="I47" s="274">
        <f>SQRT((P26/675)^2+P27^2)</f>
        <v>8.0123361676977551E-3</v>
      </c>
    </row>
    <row r="48" spans="4:11">
      <c r="D48" s="18" t="s">
        <v>415</v>
      </c>
      <c r="E48" s="274">
        <f>SQRT($E$45^2+E42^2)</f>
        <v>1.1491844934561204E-2</v>
      </c>
      <c r="F48" s="18"/>
      <c r="H48" s="278">
        <v>0.2</v>
      </c>
      <c r="I48" s="274">
        <f>SQRT((P26/0.2/675)^2+P27^2)</f>
        <v>2.3200681130912334E-2</v>
      </c>
    </row>
    <row r="49" spans="4:9">
      <c r="D49" s="18" t="s">
        <v>416</v>
      </c>
      <c r="E49" s="274">
        <f>SQRT($E$45^2+E43^2)</f>
        <v>2.1669390854382593E-2</v>
      </c>
      <c r="F49" s="18"/>
    </row>
    <row r="50" spans="4:9">
      <c r="H50" s="18" t="s">
        <v>427</v>
      </c>
    </row>
    <row r="51" spans="4:9">
      <c r="H51" s="18" t="s">
        <v>428</v>
      </c>
      <c r="I51" s="274">
        <f>SQRT(I47^2+E48^2)</f>
        <v>1.4009283738442789E-2</v>
      </c>
    </row>
    <row r="52" spans="4:9">
      <c r="D52" s="18" t="s">
        <v>439</v>
      </c>
      <c r="H52" s="278">
        <v>0.2</v>
      </c>
      <c r="I52" s="274">
        <f t="shared" ref="I52" si="2">SQRT(I48^2+E49^2)</f>
        <v>3.1746403023622562E-2</v>
      </c>
    </row>
    <row r="54" spans="4:9">
      <c r="D54" s="18" t="s">
        <v>432</v>
      </c>
    </row>
    <row r="55" spans="4:9">
      <c r="D55" s="18" t="s">
        <v>431</v>
      </c>
      <c r="E55">
        <f>84375/E9/E11</f>
        <v>155.00992063492063</v>
      </c>
      <c r="F55" s="18" t="s">
        <v>106</v>
      </c>
    </row>
    <row r="57" spans="4:9">
      <c r="E57" s="18" t="s">
        <v>404</v>
      </c>
      <c r="F57" s="18" t="s">
        <v>405</v>
      </c>
    </row>
    <row r="58" spans="4:9">
      <c r="D58" s="18" t="s">
        <v>406</v>
      </c>
      <c r="E58">
        <f>IF(E55&lt;Q9, Q10, Q9)</f>
        <v>67</v>
      </c>
      <c r="F58">
        <f>IF(E55&lt;Q9, Q10-P10, Q9-P9)</f>
        <v>10.049999999999997</v>
      </c>
    </row>
    <row r="59" spans="4:9">
      <c r="D59" s="18" t="s">
        <v>407</v>
      </c>
      <c r="E59">
        <f>IF(E55&gt;Q9, Q8, Q9)</f>
        <v>135</v>
      </c>
      <c r="F59">
        <f>IF(E55&gt;Q9, Q8-P8, Q9-P9)</f>
        <v>20.25</v>
      </c>
    </row>
    <row r="61" spans="4:9">
      <c r="D61" s="18" t="s">
        <v>408</v>
      </c>
      <c r="E61">
        <f xml:space="preserve"> (E55-E58)/(E59-E58)</f>
        <v>1.2942635387488328</v>
      </c>
    </row>
    <row r="62" spans="4:9">
      <c r="D62" s="18" t="s">
        <v>409</v>
      </c>
      <c r="E62">
        <f>(E59-E55)/(E59-E58)</f>
        <v>-0.29426353874883282</v>
      </c>
    </row>
    <row r="64" spans="4:9">
      <c r="D64" s="18" t="s">
        <v>410</v>
      </c>
      <c r="E64">
        <f>E61*F59+E62*F58</f>
        <v>23.251488095238095</v>
      </c>
      <c r="F64" s="18" t="s">
        <v>106</v>
      </c>
      <c r="G64" s="18"/>
    </row>
    <row r="65" spans="4:8">
      <c r="D65" s="18" t="s">
        <v>264</v>
      </c>
      <c r="E65" s="274">
        <f>E64/E55</f>
        <v>0.15</v>
      </c>
      <c r="F65" s="18"/>
    </row>
    <row r="66" spans="4:8">
      <c r="D66" s="18"/>
    </row>
    <row r="67" spans="4:8">
      <c r="D67" s="18" t="s">
        <v>433</v>
      </c>
    </row>
    <row r="68" spans="4:8">
      <c r="D68" s="34" t="s">
        <v>434</v>
      </c>
      <c r="E68">
        <f>E55/675*E38</f>
        <v>9.185773074661963</v>
      </c>
      <c r="F68" s="18" t="s">
        <v>106</v>
      </c>
    </row>
    <row r="69" spans="4:8">
      <c r="D69" s="34" t="s">
        <v>435</v>
      </c>
      <c r="E69" s="274">
        <f>$P$14+$P$13*0.001/E68</f>
        <v>2.03296E-2</v>
      </c>
    </row>
    <row r="70" spans="4:8">
      <c r="D70" s="34"/>
    </row>
    <row r="71" spans="4:8">
      <c r="D71" s="34" t="s">
        <v>436</v>
      </c>
      <c r="E71" s="277">
        <f>SQRT(E45^2+(G9/100)^2)</f>
        <v>1.4212670403551895E-2</v>
      </c>
    </row>
    <row r="73" spans="4:8">
      <c r="D73" s="18" t="s">
        <v>437</v>
      </c>
      <c r="E73" s="277">
        <f>SQRT(E71^2+E69^2+E65^2)</f>
        <v>0.15203714229148085</v>
      </c>
    </row>
    <row r="75" spans="4:8">
      <c r="D75" s="18" t="s">
        <v>438</v>
      </c>
      <c r="E75" s="18" t="s">
        <v>301</v>
      </c>
      <c r="F75" s="18" t="s">
        <v>300</v>
      </c>
      <c r="G75" s="18" t="s">
        <v>302</v>
      </c>
    </row>
    <row r="76" spans="4:8">
      <c r="E76">
        <f>F76*(1-E73)</f>
        <v>261.71693139151824</v>
      </c>
      <c r="F76">
        <f>E68/E10*E11</f>
        <v>308.64197530864197</v>
      </c>
      <c r="G76">
        <f>F76*(1+E73)</f>
        <v>355.5670192257657</v>
      </c>
      <c r="H76" s="18" t="s">
        <v>50</v>
      </c>
    </row>
    <row r="79" spans="4:8">
      <c r="D79" s="18" t="s">
        <v>442</v>
      </c>
    </row>
    <row r="80" spans="4:8">
      <c r="D80" s="18" t="s">
        <v>452</v>
      </c>
      <c r="E80" s="279">
        <f>SQRT($P$32^2+(G12/100)^2)</f>
        <v>0.24121692272155698</v>
      </c>
    </row>
    <row r="81" spans="4:8">
      <c r="D81" s="18" t="s">
        <v>453</v>
      </c>
      <c r="E81" s="279">
        <f>SQRT($P$32^2+(G13/100)^2)</f>
        <v>0.24121692272155698</v>
      </c>
    </row>
    <row r="83" spans="4:8">
      <c r="D83" s="18" t="s">
        <v>443</v>
      </c>
    </row>
    <row r="84" spans="4:8">
      <c r="D84" s="18"/>
      <c r="E84" s="277">
        <f>SQRT(((R31-Q31)/Q31)^2+2*(G14/100)^2)</f>
        <v>3.9645202893702582E-2</v>
      </c>
      <c r="F84" s="18"/>
      <c r="G84" s="18"/>
    </row>
    <row r="85" spans="4:8">
      <c r="D85" s="18"/>
    </row>
    <row r="86" spans="4:8">
      <c r="D86" s="18"/>
    </row>
    <row r="87" spans="4:8">
      <c r="D87" s="18" t="s">
        <v>448</v>
      </c>
    </row>
    <row r="89" spans="4:8">
      <c r="D89" s="255" t="s">
        <v>339</v>
      </c>
      <c r="E89" s="282" t="s">
        <v>34</v>
      </c>
      <c r="F89" s="256" t="s">
        <v>35</v>
      </c>
      <c r="G89" s="282" t="s">
        <v>36</v>
      </c>
      <c r="H89" s="257" t="s">
        <v>98</v>
      </c>
    </row>
    <row r="90" spans="4:8">
      <c r="D90" s="258" t="s">
        <v>144</v>
      </c>
      <c r="E90" s="283">
        <f>I41</f>
        <v>77.776948701531396</v>
      </c>
      <c r="F90" s="283">
        <f t="shared" ref="F90:G90" si="3">J41</f>
        <v>80</v>
      </c>
      <c r="G90" s="283">
        <f t="shared" si="3"/>
        <v>82.223051298468604</v>
      </c>
      <c r="H90" s="259" t="s">
        <v>9</v>
      </c>
    </row>
    <row r="91" spans="4:8">
      <c r="D91" s="258" t="s">
        <v>272</v>
      </c>
      <c r="E91" s="283">
        <f>E33</f>
        <v>93.557500000000005</v>
      </c>
      <c r="F91" s="283">
        <f t="shared" ref="F91:G91" si="4">F33</f>
        <v>99.800000000000011</v>
      </c>
      <c r="G91" s="283">
        <f t="shared" si="4"/>
        <v>106.04250000000002</v>
      </c>
      <c r="H91" s="259" t="s">
        <v>9</v>
      </c>
    </row>
    <row r="92" spans="4:8">
      <c r="D92" s="262" t="s">
        <v>357</v>
      </c>
      <c r="E92" s="287" t="s">
        <v>444</v>
      </c>
      <c r="F92" s="180">
        <f>'Design Calculator'!E161</f>
        <v>0.499</v>
      </c>
      <c r="G92" s="287" t="s">
        <v>444</v>
      </c>
      <c r="H92" s="248" t="s">
        <v>318</v>
      </c>
    </row>
    <row r="93" spans="4:8">
      <c r="D93" s="258" t="s">
        <v>105</v>
      </c>
      <c r="E93" s="283">
        <f>E76</f>
        <v>261.71693139151824</v>
      </c>
      <c r="F93" s="283">
        <f t="shared" ref="F93:G93" si="5">F76</f>
        <v>308.64197530864197</v>
      </c>
      <c r="G93" s="283">
        <f t="shared" si="5"/>
        <v>355.5670192257657</v>
      </c>
      <c r="H93" s="259" t="s">
        <v>50</v>
      </c>
    </row>
    <row r="94" spans="4:8">
      <c r="D94" s="264" t="s">
        <v>355</v>
      </c>
      <c r="E94" s="283">
        <f>F94*(1-$E$84)</f>
        <v>9.622643828997715</v>
      </c>
      <c r="F94" s="180">
        <f>'Design Calculator'!E163</f>
        <v>10.019884169884172</v>
      </c>
      <c r="G94" s="283">
        <f>F94*(1+$E$84)</f>
        <v>10.417124510770629</v>
      </c>
      <c r="H94" s="259" t="s">
        <v>49</v>
      </c>
    </row>
    <row r="95" spans="4:8">
      <c r="D95" s="264" t="s">
        <v>356</v>
      </c>
      <c r="E95" s="283">
        <f>F95*(1-$E$84)</f>
        <v>13.447471681890693</v>
      </c>
      <c r="F95" s="180">
        <f>'Design Calculator'!E164</f>
        <v>14.002607913669069</v>
      </c>
      <c r="G95" s="283">
        <f>F95*(1+$E$84)</f>
        <v>14.557744145447446</v>
      </c>
      <c r="H95" s="259" t="s">
        <v>49</v>
      </c>
    </row>
    <row r="96" spans="4:8">
      <c r="D96" s="262" t="s">
        <v>362</v>
      </c>
      <c r="E96" s="283"/>
      <c r="F96" s="180">
        <f>'Design Calculator'!E165</f>
        <v>1.4943396226415093</v>
      </c>
      <c r="G96" s="283"/>
      <c r="H96" s="253" t="s">
        <v>9</v>
      </c>
    </row>
    <row r="97" spans="4:8">
      <c r="D97" s="262" t="s">
        <v>363</v>
      </c>
      <c r="E97" s="287" t="s">
        <v>444</v>
      </c>
      <c r="F97" s="180">
        <f>'Design Calculator'!E166</f>
        <v>0.504</v>
      </c>
      <c r="G97" s="287" t="s">
        <v>444</v>
      </c>
      <c r="H97" s="248" t="s">
        <v>318</v>
      </c>
    </row>
    <row r="98" spans="4:8">
      <c r="D98" s="245" t="str">
        <f>IF(G20="single", "timer", "inrush timer")</f>
        <v>inrush timer</v>
      </c>
      <c r="E98" s="283">
        <f>F98*(1-$E$80)</f>
        <v>0.26983066504194392</v>
      </c>
      <c r="F98" s="180">
        <f>'Design Calculator'!E167</f>
        <v>0.35560975609756101</v>
      </c>
      <c r="G98" s="283">
        <f>F98*(1+$E$80)</f>
        <v>0.44138884715317811</v>
      </c>
      <c r="H98" s="253" t="s">
        <v>8</v>
      </c>
    </row>
    <row r="99" spans="4:8">
      <c r="D99" s="245" t="s">
        <v>361</v>
      </c>
      <c r="E99" s="283">
        <f>F99*(1-$E$80)</f>
        <v>219.86202336750981</v>
      </c>
      <c r="F99" s="180">
        <f>'Design Calculator'!E168</f>
        <v>289.7560975609756</v>
      </c>
      <c r="G99" s="283">
        <f>F99*(1+$E$80)</f>
        <v>359.65017175444137</v>
      </c>
      <c r="H99" s="253" t="s">
        <v>8</v>
      </c>
    </row>
    <row r="100" spans="4:8">
      <c r="D100" s="264" t="s">
        <v>358</v>
      </c>
      <c r="E100" s="287" t="s">
        <v>444</v>
      </c>
      <c r="F100" s="180">
        <f>'Design Calculator'!E169</f>
        <v>8.4375</v>
      </c>
      <c r="G100" s="287" t="s">
        <v>444</v>
      </c>
      <c r="H100" s="259" t="s">
        <v>360</v>
      </c>
    </row>
    <row r="101" spans="4:8">
      <c r="D101" s="264" t="s">
        <v>359</v>
      </c>
      <c r="E101" s="287" t="s">
        <v>444</v>
      </c>
      <c r="F101" s="180">
        <f>'Design Calculator'!E170</f>
        <v>25.3125</v>
      </c>
      <c r="G101" s="287" t="s">
        <v>444</v>
      </c>
      <c r="H101" s="259" t="s">
        <v>360</v>
      </c>
    </row>
    <row r="102" spans="4:8">
      <c r="D102" s="39"/>
      <c r="E102" s="39"/>
      <c r="F102" s="39"/>
      <c r="G102" s="39"/>
      <c r="H102" s="39"/>
    </row>
    <row r="103" spans="4:8">
      <c r="D103" s="39"/>
      <c r="E103" s="41" t="s">
        <v>413</v>
      </c>
      <c r="F103" s="41" t="s">
        <v>449</v>
      </c>
      <c r="G103" s="39"/>
      <c r="H103" s="39"/>
    </row>
    <row r="104" spans="4:8">
      <c r="D104" s="41" t="s">
        <v>450</v>
      </c>
      <c r="E104" s="274">
        <f>E48</f>
        <v>1.1491844934561204E-2</v>
      </c>
      <c r="F104" s="274">
        <f>E49</f>
        <v>2.1669390854382593E-2</v>
      </c>
      <c r="G104" s="39"/>
      <c r="H104" s="39"/>
    </row>
    <row r="105" spans="4:8">
      <c r="D105" s="92" t="s">
        <v>451</v>
      </c>
      <c r="E105" s="274">
        <f>I51</f>
        <v>1.4009283738442789E-2</v>
      </c>
      <c r="F105" s="274">
        <f>I52</f>
        <v>3.1746403023622562E-2</v>
      </c>
      <c r="G105" s="39"/>
      <c r="H105" s="39"/>
    </row>
  </sheetData>
  <mergeCells count="2">
    <mergeCell ref="D4:H4"/>
    <mergeCell ref="O5:S5"/>
  </mergeCells>
  <conditionalFormatting sqref="H99 D99">
    <cfRule type="expression" dxfId="10" priority="1">
      <formula>$F$66="single"</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E5:N21"/>
  <sheetViews>
    <sheetView workbookViewId="0">
      <selection activeCell="E5" sqref="E5:N21"/>
    </sheetView>
  </sheetViews>
  <sheetFormatPr defaultRowHeight="13.2"/>
  <cols>
    <col min="5" max="5" width="23" bestFit="1" customWidth="1"/>
    <col min="6" max="6" width="12" bestFit="1" customWidth="1"/>
    <col min="7" max="7" width="12.33203125" bestFit="1" customWidth="1"/>
    <col min="8" max="8" width="12" bestFit="1" customWidth="1"/>
    <col min="11" max="11" width="12.88671875" customWidth="1"/>
    <col min="12" max="12" width="11.6640625" customWidth="1"/>
    <col min="13" max="13" width="12.109375" customWidth="1"/>
  </cols>
  <sheetData>
    <row r="5" spans="5:14">
      <c r="E5" t="s">
        <v>339</v>
      </c>
      <c r="F5" t="s">
        <v>34</v>
      </c>
      <c r="G5" t="s">
        <v>35</v>
      </c>
      <c r="H5" t="s">
        <v>36</v>
      </c>
      <c r="I5" t="s">
        <v>98</v>
      </c>
      <c r="K5" t="s">
        <v>34</v>
      </c>
      <c r="L5" t="s">
        <v>35</v>
      </c>
      <c r="M5" t="s">
        <v>36</v>
      </c>
      <c r="N5" t="s">
        <v>98</v>
      </c>
    </row>
    <row r="6" spans="5:14">
      <c r="E6" t="s">
        <v>144</v>
      </c>
      <c r="F6">
        <v>33.313108614232206</v>
      </c>
      <c r="G6">
        <v>35.393258426966291</v>
      </c>
      <c r="H6">
        <v>37.473408239700376</v>
      </c>
      <c r="I6" t="s">
        <v>9</v>
      </c>
      <c r="K6">
        <v>34.119451606111966</v>
      </c>
      <c r="L6">
        <v>35.393258426966291</v>
      </c>
      <c r="M6">
        <v>36.667065247820609</v>
      </c>
      <c r="N6" t="s">
        <v>9</v>
      </c>
    </row>
    <row r="7" spans="5:14">
      <c r="E7" t="s">
        <v>272</v>
      </c>
      <c r="F7">
        <v>44.978175000000007</v>
      </c>
      <c r="G7">
        <v>49.800000000000004</v>
      </c>
      <c r="H7">
        <v>54.709175000000002</v>
      </c>
      <c r="I7" t="s">
        <v>9</v>
      </c>
      <c r="K7">
        <v>45.432500000000005</v>
      </c>
      <c r="L7">
        <v>49.800000000000004</v>
      </c>
      <c r="M7">
        <v>54.167500000000004</v>
      </c>
      <c r="N7" t="s">
        <v>9</v>
      </c>
    </row>
    <row r="8" spans="5:14">
      <c r="E8" t="s">
        <v>357</v>
      </c>
      <c r="F8" t="s">
        <v>444</v>
      </c>
      <c r="G8">
        <v>0.249</v>
      </c>
      <c r="H8" t="s">
        <v>444</v>
      </c>
      <c r="I8" t="s">
        <v>318</v>
      </c>
      <c r="K8" t="s">
        <v>444</v>
      </c>
      <c r="L8">
        <v>0.249</v>
      </c>
      <c r="M8" t="s">
        <v>444</v>
      </c>
      <c r="N8" t="s">
        <v>318</v>
      </c>
    </row>
    <row r="9" spans="5:14">
      <c r="E9" t="s">
        <v>105</v>
      </c>
      <c r="F9">
        <v>26.996372675748233</v>
      </c>
      <c r="G9">
        <v>39.1518345431043</v>
      </c>
      <c r="H9">
        <v>51.307296410460367</v>
      </c>
      <c r="I9" t="s">
        <v>50</v>
      </c>
      <c r="K9">
        <v>31.422252466694697</v>
      </c>
      <c r="L9">
        <v>39.1518345431043</v>
      </c>
      <c r="M9">
        <v>46.881416619513899</v>
      </c>
      <c r="N9" t="s">
        <v>50</v>
      </c>
    </row>
    <row r="10" spans="5:14">
      <c r="E10" t="s">
        <v>355</v>
      </c>
      <c r="F10">
        <v>9.4332564102564103</v>
      </c>
      <c r="G10">
        <v>10.003846153846153</v>
      </c>
      <c r="H10">
        <v>10.574435897435896</v>
      </c>
      <c r="I10" t="s">
        <v>49</v>
      </c>
      <c r="K10">
        <v>9.6072416433595365</v>
      </c>
      <c r="L10">
        <v>10.003846153846153</v>
      </c>
      <c r="M10">
        <v>10.400450664332771</v>
      </c>
      <c r="N10" t="s">
        <v>49</v>
      </c>
    </row>
    <row r="11" spans="5:14">
      <c r="E11" t="s">
        <v>356</v>
      </c>
      <c r="F11">
        <v>13.20994614003591</v>
      </c>
      <c r="G11">
        <v>14.008976660682228</v>
      </c>
      <c r="H11">
        <v>14.808007181328547</v>
      </c>
      <c r="I11" t="s">
        <v>49</v>
      </c>
      <c r="K11">
        <v>13.453587938636337</v>
      </c>
      <c r="L11">
        <v>14.008976660682228</v>
      </c>
      <c r="M11">
        <v>14.56436538272812</v>
      </c>
      <c r="N11" t="s">
        <v>49</v>
      </c>
    </row>
    <row r="12" spans="5:14">
      <c r="E12" t="s">
        <v>362</v>
      </c>
      <c r="G12">
        <v>4</v>
      </c>
      <c r="I12" t="s">
        <v>9</v>
      </c>
      <c r="L12">
        <v>4</v>
      </c>
      <c r="N12" t="s">
        <v>9</v>
      </c>
    </row>
    <row r="13" spans="5:14">
      <c r="E13" t="s">
        <v>363</v>
      </c>
      <c r="F13" t="s">
        <v>444</v>
      </c>
      <c r="G13">
        <v>0.2</v>
      </c>
      <c r="H13" t="s">
        <v>444</v>
      </c>
      <c r="I13" t="s">
        <v>318</v>
      </c>
      <c r="K13" t="s">
        <v>444</v>
      </c>
      <c r="L13">
        <v>0.2</v>
      </c>
      <c r="M13" t="s">
        <v>444</v>
      </c>
      <c r="N13" t="s">
        <v>318</v>
      </c>
    </row>
    <row r="14" spans="5:14">
      <c r="E14" t="s">
        <v>456</v>
      </c>
      <c r="F14">
        <v>14.174999999999999</v>
      </c>
      <c r="G14">
        <v>20.25</v>
      </c>
      <c r="H14">
        <v>26.324999999999999</v>
      </c>
      <c r="I14" t="s">
        <v>8</v>
      </c>
      <c r="K14">
        <v>15.721962345562927</v>
      </c>
      <c r="L14">
        <v>20.25</v>
      </c>
      <c r="M14">
        <v>24.778037654437075</v>
      </c>
      <c r="N14" t="s">
        <v>8</v>
      </c>
    </row>
    <row r="15" spans="5:14">
      <c r="E15" t="s">
        <v>361</v>
      </c>
      <c r="F15">
        <v>207.89999999999998</v>
      </c>
      <c r="G15">
        <v>297</v>
      </c>
      <c r="H15">
        <v>386.1</v>
      </c>
      <c r="I15" t="s">
        <v>8</v>
      </c>
      <c r="K15">
        <v>230.58878106825625</v>
      </c>
      <c r="L15">
        <v>297</v>
      </c>
      <c r="M15">
        <v>363.41121893174375</v>
      </c>
      <c r="N15" t="s">
        <v>8</v>
      </c>
    </row>
    <row r="16" spans="5:14">
      <c r="E16" t="s">
        <v>358</v>
      </c>
      <c r="F16" t="s">
        <v>444</v>
      </c>
      <c r="G16">
        <v>19.071428571428573</v>
      </c>
      <c r="H16" t="s">
        <v>444</v>
      </c>
      <c r="I16" t="s">
        <v>360</v>
      </c>
      <c r="K16" t="s">
        <v>444</v>
      </c>
      <c r="L16">
        <v>19.071428571428573</v>
      </c>
      <c r="M16" t="s">
        <v>444</v>
      </c>
      <c r="N16" t="s">
        <v>360</v>
      </c>
    </row>
    <row r="17" spans="5:14">
      <c r="E17" t="s">
        <v>359</v>
      </c>
      <c r="F17" t="s">
        <v>444</v>
      </c>
      <c r="G17">
        <v>57.214285714285722</v>
      </c>
      <c r="H17" t="s">
        <v>444</v>
      </c>
      <c r="I17" t="s">
        <v>360</v>
      </c>
      <c r="K17" t="s">
        <v>444</v>
      </c>
      <c r="L17">
        <v>57.214285714285722</v>
      </c>
      <c r="M17" t="s">
        <v>444</v>
      </c>
      <c r="N17" t="s">
        <v>360</v>
      </c>
    </row>
    <row r="19" spans="5:14">
      <c r="F19" t="s">
        <v>413</v>
      </c>
      <c r="G19" t="s">
        <v>449</v>
      </c>
      <c r="K19" t="s">
        <v>413</v>
      </c>
      <c r="L19" t="s">
        <v>449</v>
      </c>
    </row>
    <row r="20" spans="5:14">
      <c r="E20" t="s">
        <v>450</v>
      </c>
      <c r="F20">
        <v>4.2476190476190473E-2</v>
      </c>
      <c r="G20">
        <v>7.6380952380952383E-2</v>
      </c>
      <c r="K20">
        <v>1.9693801181810029E-2</v>
      </c>
      <c r="L20">
        <v>4.5958080080836204E-2</v>
      </c>
    </row>
    <row r="21" spans="5:14">
      <c r="E21" t="s">
        <v>451</v>
      </c>
      <c r="F21">
        <v>5.3587301587301586E-2</v>
      </c>
      <c r="G21">
        <v>0.10526984126984128</v>
      </c>
      <c r="K21">
        <v>3.0804912292921142E-2</v>
      </c>
      <c r="L21">
        <v>7.4846968969725092E-2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CA8A64-6EE4-4C5D-819A-1C5D439393C7}">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22221501-B3A5-4699-A2D4-F7FCA1169E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3F55C4D-C0F9-4416-A42D-819B8DC0FE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38</vt:i4>
      </vt:variant>
    </vt:vector>
  </HeadingPairs>
  <TitlesOfParts>
    <vt:vector size="47" baseType="lpstr">
      <vt:lpstr>Instructions</vt:lpstr>
      <vt:lpstr>Design Calculator</vt:lpstr>
      <vt:lpstr>Device Parmaters</vt:lpstr>
      <vt:lpstr>Equations</vt:lpstr>
      <vt:lpstr>Start_up</vt:lpstr>
      <vt:lpstr>SOA</vt:lpstr>
      <vt:lpstr>WorstCaseAnalysis</vt:lpstr>
      <vt:lpstr>RMS_Analysis</vt:lpstr>
      <vt:lpstr>comparison</vt:lpstr>
      <vt:lpstr>CLMAX</vt:lpstr>
      <vt:lpstr>CLMAX_Threshold</vt:lpstr>
      <vt:lpstr>CLMIN</vt:lpstr>
      <vt:lpstr>CLMIN_Threshold</vt:lpstr>
      <vt:lpstr>CLNOM</vt:lpstr>
      <vt:lpstr>CLNOM_Threshold</vt:lpstr>
      <vt:lpstr>COUTMAX</vt:lpstr>
      <vt:lpstr>FETPDISS</vt:lpstr>
      <vt:lpstr>FoldBack_max</vt:lpstr>
      <vt:lpstr>ILIM_tgt</vt:lpstr>
      <vt:lpstr>IOUTMAX</vt:lpstr>
      <vt:lpstr>NUMFETS</vt:lpstr>
      <vt:lpstr>RDIV1</vt:lpstr>
      <vt:lpstr>RDSON</vt:lpstr>
      <vt:lpstr>RIMON</vt:lpstr>
      <vt:lpstr>Rimon_recom</vt:lpstr>
      <vt:lpstr>RPROG</vt:lpstr>
      <vt:lpstr>RPWR</vt:lpstr>
      <vt:lpstr>Rs</vt:lpstr>
      <vt:lpstr>RsEFF</vt:lpstr>
      <vt:lpstr>Rset_recom</vt:lpstr>
      <vt:lpstr>RsMAX</vt:lpstr>
      <vt:lpstr>Sourcing_Current</vt:lpstr>
      <vt:lpstr>ss_rate</vt:lpstr>
      <vt:lpstr>TAMB</vt:lpstr>
      <vt:lpstr>Tfault</vt:lpstr>
      <vt:lpstr>ThetaJA</vt:lpstr>
      <vt:lpstr>Timer_Sourcing_Current</vt:lpstr>
      <vt:lpstr>TJ</vt:lpstr>
      <vt:lpstr>TJMAX</vt:lpstr>
      <vt:lpstr>trial</vt:lpstr>
      <vt:lpstr>Upper_Threshold</vt:lpstr>
      <vt:lpstr>VINMAX</vt:lpstr>
      <vt:lpstr>VINMIN</vt:lpstr>
      <vt:lpstr>VINNOM</vt:lpstr>
      <vt:lpstr>Vsns_min</vt:lpstr>
      <vt:lpstr>yesno</vt:lpstr>
      <vt:lpstr>'Design Calculator'!Область_печати</vt:lpstr>
    </vt:vector>
  </TitlesOfParts>
  <Company>NSC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LM25066/I Design Tool</dc:title>
  <dc:creator>Timothy Hegarty</dc:creator>
  <cp:lastModifiedBy>Your_Name</cp:lastModifiedBy>
  <cp:lastPrinted>2013-08-26T22:42:43Z</cp:lastPrinted>
  <dcterms:created xsi:type="dcterms:W3CDTF">2009-04-21T16:00:33Z</dcterms:created>
  <dcterms:modified xsi:type="dcterms:W3CDTF">2018-06-04T11:12:18Z</dcterms:modified>
</cp:coreProperties>
</file>