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T:\A\Air Jordan\Engineering\Hardware\Power\Design Calculations\"/>
    </mc:Choice>
  </mc:AlternateContent>
  <xr:revisionPtr revIDLastSave="0" documentId="13_ncr:1_{CA4A66EA-DB1F-4652-A22E-F7F46F90BA8C}" xr6:coauthVersionLast="47" xr6:coauthVersionMax="47" xr10:uidLastSave="{00000000-0000-0000-0000-000000000000}"/>
  <workbookProtection workbookPassword="FADC" lockStructure="1"/>
  <bookViews>
    <workbookView xWindow="-120" yWindow="-120" windowWidth="51840" windowHeight="21240" tabRatio="773" activeTab="1" xr2:uid="{00000000-000D-0000-FFFF-FFFF00000000}"/>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Calculator'!$F$60</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Calculator'!$F$52</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Calculator'!$A$1:$M$177</definedName>
    <definedName name="RDIV1">'Design Calculator'!$F$43</definedName>
    <definedName name="RDIV2">'Design Calculator'!$F$44</definedName>
    <definedName name="RDSON">'Design Calculator'!$AN$53</definedName>
    <definedName name="RPWR">'Design Calculator'!$F$66</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Calculator'!$F$51</definedName>
    <definedName name="TINSERT">'Design Calculator'!#REF!</definedName>
    <definedName name="TINSERTMAX">Equations!#REF!</definedName>
    <definedName name="TINSERTMIN">Equations!#REF!</definedName>
    <definedName name="TJ">'Design Calculator'!$F$61</definedName>
    <definedName name="TJMAX">'Design Calculator'!$AN$54</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Calculator'!$AS$8:$AS$9</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 i="13" l="1"/>
  <c r="F115" i="1" l="1"/>
  <c r="F105" i="1"/>
  <c r="F114" i="1"/>
  <c r="F113" i="1"/>
  <c r="F111" i="1"/>
  <c r="F110" i="1"/>
  <c r="F109" i="1"/>
  <c r="F108" i="1"/>
  <c r="F107" i="1"/>
  <c r="F106" i="1"/>
  <c r="F90" i="3"/>
  <c r="F87" i="3"/>
  <c r="F88" i="3"/>
  <c r="F86" i="3"/>
  <c r="F89" i="3" l="1"/>
  <c r="F95" i="1" s="1"/>
  <c r="E94" i="3"/>
  <c r="D99" i="1" s="1"/>
  <c r="G95" i="3"/>
  <c r="F100" i="1" s="1"/>
  <c r="F95" i="3"/>
  <c r="E100" i="1" s="1"/>
  <c r="F94" i="3"/>
  <c r="E99" i="1" s="1"/>
  <c r="E95" i="3"/>
  <c r="D100" i="1" s="1"/>
  <c r="G94" i="3"/>
  <c r="F99" i="1" s="1"/>
  <c r="F57" i="3"/>
  <c r="D16" i="6"/>
  <c r="F44" i="3" l="1"/>
  <c r="F41" i="3"/>
  <c r="F20" i="3"/>
  <c r="F38" i="1" s="1"/>
  <c r="F46" i="3" l="1"/>
  <c r="AN54" i="1" l="1"/>
  <c r="AN55" i="1"/>
  <c r="AN56" i="1"/>
  <c r="AN57" i="1"/>
  <c r="AN58" i="1"/>
  <c r="AN59" i="1"/>
  <c r="AN53" i="1"/>
  <c r="F60" i="1" s="1"/>
  <c r="F61"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F83" i="1" s="1"/>
  <c r="J25" i="14"/>
  <c r="E33" i="7"/>
  <c r="L24" i="14" s="1"/>
  <c r="D33" i="7"/>
  <c r="K24" i="14" s="1"/>
  <c r="K25" i="14"/>
  <c r="F33" i="7"/>
  <c r="M24" i="14" s="1"/>
  <c r="F43" i="14"/>
  <c r="F44" i="14" s="1"/>
  <c r="F78" i="3"/>
  <c r="F79" i="3" s="1"/>
  <c r="F90" i="1" s="1"/>
  <c r="F76" i="3"/>
  <c r="F2" i="13"/>
  <c r="G43" i="14" l="1"/>
  <c r="G44" i="14" s="1"/>
  <c r="H43" i="14" l="1"/>
  <c r="H44" i="14" s="1"/>
  <c r="I43" i="14" l="1"/>
  <c r="I44" i="14" s="1"/>
  <c r="F77" i="3"/>
  <c r="F88" i="1" s="1"/>
  <c r="J43" i="14" l="1"/>
  <c r="J44" i="14" s="1"/>
  <c r="F64" i="3"/>
  <c r="F65" i="3" s="1"/>
  <c r="F85" i="1" s="1"/>
  <c r="R2" i="13"/>
  <c r="Q2" i="13"/>
  <c r="A114" i="13"/>
  <c r="A113" i="13"/>
  <c r="A112" i="13"/>
  <c r="H2" i="13"/>
  <c r="F67" i="3" l="1"/>
  <c r="F66" i="3"/>
  <c r="K43" i="14"/>
  <c r="K44" i="14" s="1"/>
  <c r="F54" i="3"/>
  <c r="O164" i="3"/>
  <c r="E168" i="3"/>
  <c r="E166" i="3"/>
  <c r="L43" i="14" l="1"/>
  <c r="L44" i="14" s="1"/>
  <c r="F58" i="3"/>
  <c r="F77" i="1" s="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110" i="1"/>
  <c r="M43" i="14"/>
  <c r="M44" i="14" s="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N43" i="14"/>
  <c r="N44" i="14" s="1"/>
  <c r="E23" i="14"/>
  <c r="F104" i="1"/>
  <c r="O43" i="14" l="1"/>
  <c r="O44" i="14" s="1"/>
  <c r="P43" i="14" l="1"/>
  <c r="P44" i="14" s="1"/>
  <c r="Q43" i="14" l="1"/>
  <c r="Q44" i="14" s="1"/>
  <c r="R43" i="14" l="1"/>
  <c r="R44" i="14" s="1"/>
  <c r="AO51" i="1"/>
  <c r="S43" i="14" l="1"/>
  <c r="S44" i="14" s="1"/>
  <c r="T43" i="14" l="1"/>
  <c r="T44" i="14" s="1"/>
  <c r="U43" i="14" l="1"/>
  <c r="U44" i="14" s="1"/>
  <c r="F21" i="3" l="1"/>
  <c r="F41" i="1" s="1"/>
  <c r="V43" i="14"/>
  <c r="V44" i="14" s="1"/>
  <c r="F22" i="3" l="1"/>
  <c r="W43" i="14"/>
  <c r="W44" i="14" s="1"/>
  <c r="F23" i="3"/>
  <c r="E167" i="3" l="1"/>
  <c r="X43" i="14"/>
  <c r="X44" i="14" s="1"/>
  <c r="I2" i="13"/>
  <c r="F25" i="3"/>
  <c r="F38" i="3" s="1"/>
  <c r="F62" i="1" s="1"/>
  <c r="F45" i="1"/>
  <c r="F26" i="3"/>
  <c r="F24" i="3"/>
  <c r="F42" i="1"/>
  <c r="F47" i="3" l="1"/>
  <c r="F67" i="1" s="1"/>
  <c r="F135" i="3" s="1"/>
  <c r="F40" i="3"/>
  <c r="F42" i="3" s="1"/>
  <c r="F43" i="3" s="1"/>
  <c r="F65" i="1" s="1"/>
  <c r="F47" i="1"/>
  <c r="K108" i="1" s="1"/>
  <c r="F131" i="3"/>
  <c r="F46" i="1"/>
  <c r="F48" i="1"/>
  <c r="F27" i="3"/>
  <c r="F49" i="1" s="1"/>
  <c r="AN51" i="1"/>
  <c r="B2" i="13" l="1"/>
  <c r="D114" i="13" s="1"/>
  <c r="E29" i="14"/>
  <c r="E30" i="14" s="1"/>
  <c r="C2" i="13"/>
  <c r="E114" i="13" s="1"/>
  <c r="M114" i="13" s="1"/>
  <c r="K109" i="1"/>
  <c r="C26" i="7"/>
  <c r="F59" i="3" s="1"/>
  <c r="F78"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C40" i="7"/>
  <c r="C39" i="7"/>
  <c r="C41" i="7"/>
  <c r="X146" i="3"/>
  <c r="F80" i="3"/>
  <c r="F81" i="3" l="1"/>
  <c r="F91"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70"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111" i="1"/>
  <c r="K11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R151" i="3"/>
  <c r="N155" i="3"/>
  <c r="E148" i="3"/>
  <c r="J148" i="3" s="1"/>
  <c r="G148" i="3"/>
  <c r="L148" i="3" s="1"/>
  <c r="B158" i="3"/>
  <c r="E155" i="3"/>
  <c r="J155" i="3" s="1"/>
  <c r="G155" i="3"/>
  <c r="E152" i="3"/>
  <c r="J152" i="3" s="1"/>
  <c r="G152" i="3"/>
  <c r="L152" i="3" s="1"/>
  <c r="K161" i="3"/>
  <c r="K162" i="3"/>
  <c r="K154" i="3"/>
  <c r="K146" i="3"/>
  <c r="R159" i="3"/>
  <c r="T159" i="3" s="1"/>
  <c r="N163" i="3"/>
  <c r="R156" i="3"/>
  <c r="T156" i="3" s="1"/>
  <c r="N160" i="3"/>
  <c r="G150" i="3"/>
  <c r="L150" i="3" s="1"/>
  <c r="E150" i="3"/>
  <c r="J150" i="3" s="1"/>
  <c r="G147" i="3"/>
  <c r="L147" i="3" s="1"/>
  <c r="E147" i="3"/>
  <c r="J147" i="3" s="1"/>
  <c r="R146" i="3"/>
  <c r="V146" i="3" s="1"/>
  <c r="N150" i="3"/>
  <c r="B154" i="3"/>
  <c r="E151" i="3"/>
  <c r="J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U154" i="3" l="1"/>
  <c r="T154" i="3"/>
  <c r="S151" i="3"/>
  <c r="T148" i="3"/>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73"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F86" i="1"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80" i="1" s="1"/>
  <c r="W58" i="14"/>
  <c r="W61" i="14" s="1"/>
  <c r="J21" i="13"/>
  <c r="K20" i="13"/>
  <c r="K30" i="14" l="1"/>
  <c r="L30" i="14" s="1"/>
  <c r="F81"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72" i="1" l="1"/>
  <c r="F53" i="3"/>
  <c r="F55" i="3" s="1"/>
  <c r="F56" i="3" s="1"/>
  <c r="F74" i="1" l="1"/>
  <c r="F7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dmorgan</author>
    <author>a0272042</author>
    <author>Alex Triano</author>
    <author>TI User</author>
    <author>bdemsc</author>
  </authors>
  <commentList>
    <comment ref="F27" authorId="0" shapeId="0" xr:uid="{00000000-0006-0000-0100-000001000000}">
      <text>
        <r>
          <rPr>
            <b/>
            <sz val="8"/>
            <color indexed="81"/>
            <rFont val="Tahoma"/>
            <family val="2"/>
          </rPr>
          <t>The minimum system voltage must be no less than 10V</t>
        </r>
      </text>
    </comment>
    <comment ref="F29" authorId="0" shapeId="0" xr:uid="{00000000-0006-0000-0100-000002000000}">
      <text>
        <r>
          <rPr>
            <b/>
            <sz val="8"/>
            <color indexed="81"/>
            <rFont val="Tahoma"/>
            <family val="2"/>
          </rPr>
          <t>The maximum system voltage must be no greater than 80V.</t>
        </r>
      </text>
    </comment>
    <comment ref="F31" authorId="0" shapeId="0" xr:uid="{00000000-0006-0000-0100-00000300000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9" authorId="1" shapeId="0" xr:uid="{00000000-0006-0000-0100-00000400000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xr:uid="{00000000-0006-0000-0100-00000500000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1" shapeId="0" xr:uid="{00000000-0006-0000-0100-00000600000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1" shapeId="0" xr:uid="{00000000-0006-0000-0100-000007000000}">
      <text>
        <r>
          <rPr>
            <b/>
            <sz val="9"/>
            <color indexed="81"/>
            <rFont val="Tahoma"/>
            <family val="2"/>
          </rPr>
          <t xml:space="preserve">Ensure that the minimum current limit is above maximum load. </t>
        </r>
      </text>
    </comment>
    <comment ref="F47" authorId="1" shapeId="0" xr:uid="{00000000-0006-0000-0100-000008000000}">
      <text>
        <r>
          <rPr>
            <b/>
            <sz val="9"/>
            <color indexed="81"/>
            <rFont val="Tahoma"/>
            <family val="2"/>
          </rPr>
          <t xml:space="preserve">Ensure that the minimum current limit is above maximum load. </t>
        </r>
        <r>
          <rPr>
            <sz val="9"/>
            <color indexed="81"/>
            <rFont val="Tahoma"/>
            <family val="2"/>
          </rPr>
          <t xml:space="preserve">
</t>
        </r>
      </text>
    </comment>
    <comment ref="F48" authorId="1" shapeId="0" xr:uid="{00000000-0006-0000-0100-00000900000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xr:uid="{00000000-0006-0000-0100-00000A000000}">
      <text>
        <r>
          <rPr>
            <b/>
            <sz val="8"/>
            <color indexed="81"/>
            <rFont val="Tahoma"/>
            <family val="2"/>
          </rPr>
          <t>The power dissipation is calculated using the maximum normal load current.
Ensure the selected resistor is rated for this power dissipation.</t>
        </r>
      </text>
    </comment>
    <comment ref="F51" authorId="2" shapeId="0" xr:uid="{00000000-0006-0000-0100-00000B00000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53" authorId="1" shapeId="0" xr:uid="{00000000-0006-0000-0100-00000C000000}">
      <text>
        <r>
          <rPr>
            <b/>
            <sz val="9"/>
            <color indexed="81"/>
            <rFont val="Tahoma"/>
            <family val="2"/>
          </rPr>
          <t>This number may need to be adjusted iteratively based on the result of cell C44.</t>
        </r>
        <r>
          <rPr>
            <sz val="9"/>
            <color indexed="81"/>
            <rFont val="Tahoma"/>
            <family val="2"/>
          </rPr>
          <t xml:space="preserve">
</t>
        </r>
      </text>
    </comment>
    <comment ref="F61" authorId="1" shapeId="0" xr:uid="{00000000-0006-0000-0100-00000D000000}">
      <text>
        <r>
          <rPr>
            <sz val="9"/>
            <color indexed="81"/>
            <rFont val="Tahoma"/>
            <family val="2"/>
          </rPr>
          <t xml:space="preserve">If FET temperature is too high, increase the # of FETs, reduce the load, or reduce the RθJA by adding more heat sinking to MOSFETs. 
</t>
        </r>
      </text>
    </comment>
    <comment ref="F63" authorId="1" shapeId="0" xr:uid="{00000000-0006-0000-0100-00000E00000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3" shapeId="0" xr:uid="{00000000-0006-0000-0100-00000F000000}">
      <text>
        <r>
          <rPr>
            <sz val="9"/>
            <color indexed="81"/>
            <rFont val="Tahoma"/>
            <family val="2"/>
          </rPr>
          <t>3 Parameters:
Step 1: Max Ambient Operating Temperature 
Step 3: Estimated MOSFET RQJA
Step 3: FET Power Dissipation at full load 
**This includes air flow</t>
        </r>
      </text>
    </comment>
    <comment ref="F67" authorId="1" shapeId="0" xr:uid="{00000000-0006-0000-0100-000010000000}">
      <text>
        <r>
          <rPr>
            <sz val="9"/>
            <color indexed="81"/>
            <rFont val="Tahoma"/>
            <family val="2"/>
          </rPr>
          <t xml:space="preserve">Cell turns Red if the actual power limit is below Minimum Power Limit (cell F46)
</t>
        </r>
      </text>
    </comment>
    <comment ref="F69" authorId="4" shapeId="0" xr:uid="{00000000-0006-0000-0100-000011000000}">
      <text>
        <r>
          <rPr>
            <b/>
            <sz val="8"/>
            <color indexed="81"/>
            <rFont val="Tahoma"/>
            <family val="2"/>
          </rPr>
          <t>Select if the load will draw current during start-up. 
For no Load, choose constant current and set to zero</t>
        </r>
      </text>
    </comment>
    <comment ref="F71" authorId="4" shapeId="0" xr:uid="{00000000-0006-0000-0100-00001200000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xr:uid="{00000000-0006-0000-0100-00001300000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xr:uid="{00000000-0006-0000-0100-00001400000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6" authorId="1" shapeId="0" xr:uid="{00000000-0006-0000-0100-000015000000}">
      <text>
        <r>
          <rPr>
            <b/>
            <sz val="9"/>
            <color indexed="81"/>
            <rFont val="Tahoma"/>
            <family val="2"/>
          </rPr>
          <t>Pick closest capacitor that is larger than the Target capacitance</t>
        </r>
        <r>
          <rPr>
            <sz val="9"/>
            <color indexed="81"/>
            <rFont val="Tahoma"/>
            <family val="2"/>
          </rPr>
          <t xml:space="preserve">
</t>
        </r>
      </text>
    </comment>
    <comment ref="F78" authorId="1" shapeId="0" xr:uid="{00000000-0006-0000-0100-00001600000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79" authorId="4" shapeId="0" xr:uid="{00000000-0006-0000-0100-00001700000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xr:uid="{00000000-0006-0000-0100-000018000000}">
      <text>
        <r>
          <rPr>
            <b/>
            <sz val="9"/>
            <color indexed="81"/>
            <rFont val="Tahoma"/>
            <family val="2"/>
          </rPr>
          <t xml:space="preserve">If these cells are red, there is no suitable slew rate for keeping FET whithin SOA. 
Reduce load at start-up or pick FET with better SOA. </t>
        </r>
      </text>
    </comment>
    <comment ref="F81" authorId="1" shapeId="0" xr:uid="{00000000-0006-0000-0100-00001900000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xr:uid="{00000000-0006-0000-0100-00001A000000}">
      <text>
        <r>
          <rPr>
            <b/>
            <sz val="9"/>
            <color indexed="81"/>
            <rFont val="Tahoma"/>
            <family val="2"/>
          </rPr>
          <t>Ensure that this is lower than max ss slew rate in the cell above</t>
        </r>
        <r>
          <rPr>
            <sz val="9"/>
            <color indexed="81"/>
            <rFont val="Tahoma"/>
            <family val="2"/>
          </rPr>
          <t xml:space="preserve">
</t>
        </r>
      </text>
    </comment>
    <comment ref="F85" authorId="1" shapeId="0" xr:uid="{00000000-0006-0000-0100-00001B000000}">
      <text>
        <r>
          <rPr>
            <b/>
            <sz val="9"/>
            <color indexed="81"/>
            <rFont val="Tahoma"/>
            <family val="2"/>
          </rPr>
          <t>Ensure that this is lower than max ss slew rate.</t>
        </r>
      </text>
    </comment>
    <comment ref="F86" authorId="1" shapeId="0" xr:uid="{00000000-0006-0000-0100-00001C000000}">
      <text>
        <r>
          <rPr>
            <sz val="9"/>
            <color indexed="81"/>
            <rFont val="Tahoma"/>
            <family val="2"/>
          </rPr>
          <t>A margin of &gt;1.1 is required and a margin of &gt;1.3 is recommended to accout for the variation in the gate current. 
Reduce dv/dt rate to reduce inrush current and increase SOA margin</t>
        </r>
      </text>
    </comment>
    <comment ref="F91" authorId="1" shapeId="0" xr:uid="{00000000-0006-0000-0100-00001D00000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2" authorId="0" shapeId="0" xr:uid="{00000000-0006-0000-0100-00001E000000}">
      <text>
        <r>
          <rPr>
            <b/>
            <sz val="8"/>
            <color indexed="81"/>
            <rFont val="Tahoma"/>
            <family val="2"/>
          </rPr>
          <t>This threshold must be between 2.9V and 17V.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bdemsc</author>
  </authors>
  <commentList>
    <comment ref="C39" authorId="0" shapeId="0" xr:uid="{00000000-0006-0000-0500-000001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xr:uid="{00000000-0006-0000-0500-000002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xr:uid="{00000000-0006-0000-0500-00000300000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<sst xmlns="http://schemas.openxmlformats.org/spreadsheetml/2006/main" count="600" uniqueCount="403">
  <si>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</si>
  <si>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</si>
  <si>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</si>
  <si>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</si>
  <si>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</si>
  <si>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</si>
  <si>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</si>
  <si>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</si>
  <si>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</si>
  <si>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</si>
  <si>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</si>
  <si>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</si>
  <si>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</si>
  <si>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</si>
  <si>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</si>
  <si>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</si>
  <si>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</si>
  <si>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</si>
  <si>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</si>
  <si>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</si>
  <si>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</si>
  <si>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</si>
  <si>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</si>
  <si>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</si>
  <si>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</si>
  <si>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</si>
  <si>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</si>
  <si>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</si>
  <si>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</si>
  <si>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</si>
  <si>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</si>
  <si>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</si>
  <si>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</si>
  <si>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</si>
  <si>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</si>
  <si>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</si>
  <si>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</si>
  <si>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</si>
  <si>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</si>
  <si>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</si>
  <si>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</si>
  <si>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</si>
  <si>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</si>
  <si>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</si>
  <si>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</si>
  <si>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</si>
  <si>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</si>
  <si>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</si>
  <si>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</si>
  <si>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</si>
  <si>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</si>
  <si>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</si>
  <si>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</si>
  <si>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</si>
  <si>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</si>
  <si>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</si>
  <si>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</si>
  <si>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</si>
  <si>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</si>
  <si>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</si>
  <si>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</si>
  <si>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</si>
  <si>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</si>
  <si>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</si>
  <si>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</si>
  <si>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</si>
  <si>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</si>
  <si>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</si>
  <si>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</si>
  <si>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</si>
  <si>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</si>
  <si>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</si>
  <si>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</si>
  <si>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</si>
  <si>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</si>
  <si>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</si>
  <si>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</si>
  <si>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</si>
  <si>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</si>
  <si>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</si>
  <si>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</si>
  <si>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</si>
  <si>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</si>
  <si>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</si>
  <si>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</si>
  <si>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</si>
  <si>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</si>
  <si>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</si>
  <si>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</si>
  <si>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</si>
  <si>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</si>
  <si>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</si>
  <si>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</si>
  <si>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</si>
  <si>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</si>
  <si>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</si>
  <si>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</si>
  <si>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</si>
  <si>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</si>
  <si>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</si>
  <si>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</si>
  <si>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</si>
  <si>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</si>
  <si>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</si>
  <si>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</si>
  <si>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</si>
  <si>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</si>
  <si>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</si>
  <si>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</si>
  <si>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</si>
  <si>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</si>
  <si>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</si>
  <si>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</si>
  <si>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</si>
  <si>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</si>
  <si>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</si>
  <si>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</si>
  <si>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</si>
  <si>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</si>
  <si>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</si>
  <si>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</si>
  <si>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</si>
  <si>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</si>
  <si>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</si>
  <si>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</si>
  <si>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</si>
  <si>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</si>
  <si>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</si>
  <si>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</si>
  <si>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</si>
  <si>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</si>
  <si>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</si>
  <si>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</si>
  <si>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</si>
  <si>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</si>
  <si>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</si>
  <si>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</si>
  <si>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</si>
  <si>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</si>
  <si>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</si>
  <si>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</si>
  <si>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</si>
  <si>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</si>
  <si>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</si>
  <si>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</si>
  <si>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</si>
  <si>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</si>
  <si>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</si>
  <si>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</si>
  <si>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</si>
  <si>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</si>
  <si>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</si>
  <si>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</si>
  <si>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</si>
  <si>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</si>
  <si>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</si>
  <si>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</si>
  <si>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</si>
  <si>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</si>
  <si>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</si>
  <si>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</si>
  <si>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</si>
  <si>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</si>
  <si>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</si>
  <si>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</si>
  <si>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</si>
  <si>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</si>
  <si>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</si>
  <si>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</si>
  <si>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</si>
  <si>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</si>
  <si>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</si>
  <si>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</si>
  <si>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</si>
  <si>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</si>
  <si>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</si>
  <si>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</si>
  <si>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</si>
  <si>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</si>
  <si>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</si>
  <si>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</si>
  <si>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</si>
  <si>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</si>
  <si>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</si>
  <si>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</si>
  <si>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</si>
  <si>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</si>
  <si>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</si>
  <si>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</si>
  <si>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</si>
  <si>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</si>
  <si>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</si>
  <si>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</si>
  <si>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</si>
  <si>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</si>
  <si>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</si>
  <si>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</si>
  <si>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</si>
  <si>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</si>
  <si>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</si>
  <si>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</si>
  <si>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</si>
  <si>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</si>
  <si>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</si>
  <si>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</si>
  <si>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</si>
  <si>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</si>
  <si>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</si>
  <si>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</si>
  <si>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</si>
  <si>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</si>
  <si>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</si>
  <si>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</si>
  <si>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</si>
  <si>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</si>
  <si>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</si>
  <si>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</si>
  <si>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</si>
  <si>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</si>
  <si>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</si>
  <si>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</si>
  <si>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</si>
  <si>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</si>
  <si>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</si>
  <si>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</si>
  <si>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</si>
  <si>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</si>
  <si>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</si>
  <si>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</si>
  <si>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</si>
  <si>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</si>
  <si>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</si>
  <si>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</si>
  <si>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</si>
  <si>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</si>
  <si>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</si>
  <si>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</si>
  <si>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</si>
  <si>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</si>
  <si>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</si>
  <si>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</si>
  <si>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</si>
  <si>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</si>
  <si>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</si>
  <si>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</si>
  <si>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</si>
  <si>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</si>
  <si>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</si>
  <si>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</si>
  <si>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</si>
  <si>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</si>
  <si>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</si>
  <si>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</si>
  <si>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</si>
  <si>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</si>
  <si>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</si>
  <si>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</si>
  <si>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</si>
  <si>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</si>
  <si>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</si>
  <si>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</si>
  <si>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</si>
  <si>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</si>
  <si>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</si>
  <si>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</si>
  <si>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</si>
  <si>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</si>
  <si>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</si>
  <si>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</si>
  <si>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</si>
  <si>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</si>
  <si>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</si>
  <si>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</si>
  <si>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</si>
  <si>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</si>
  <si>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</si>
  <si>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</si>
  <si>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</si>
  <si>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</si>
  <si>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</si>
  <si>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</si>
  <si>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</si>
  <si>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</si>
  <si>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</si>
  <si>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</si>
  <si>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</si>
  <si>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</si>
  <si>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</si>
  <si>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</si>
  <si>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</si>
  <si>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</si>
  <si>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</si>
  <si>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</si>
  <si>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</si>
  <si>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</si>
  <si>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</si>
  <si>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</si>
  <si>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</si>
  <si>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</si>
  <si>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</si>
  <si>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</si>
  <si>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</si>
  <si>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</si>
  <si>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</si>
  <si>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</si>
  <si>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</si>
  <si>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</si>
  <si>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</si>
  <si>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</si>
  <si>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</si>
  <si>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</si>
  <si>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</si>
  <si>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</si>
  <si>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</si>
  <si>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</si>
  <si>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</si>
  <si>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</si>
  <si>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</si>
  <si>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</si>
  <si>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</si>
  <si>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</si>
  <si>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</si>
  <si>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</si>
  <si>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</si>
  <si>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</si>
  <si>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</si>
  <si>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</si>
  <si>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</si>
  <si>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</si>
  <si>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</si>
  <si>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</si>
  <si>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</si>
  <si>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</si>
  <si>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</si>
  <si>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</si>
  <si>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</si>
  <si>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</si>
  <si>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</si>
  <si>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</si>
  <si>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</si>
  <si>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</si>
  <si>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</si>
  <si>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</si>
  <si>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</si>
  <si>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</si>
  <si>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</si>
  <si>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</si>
  <si>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</si>
  <si>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</si>
  <si>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</si>
  <si>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</si>
  <si>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</si>
  <si>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</si>
  <si>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</si>
  <si>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</si>
  <si>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</si>
  <si>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</si>
  <si>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</si>
  <si>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</si>
  <si>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</si>
  <si>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</si>
  <si>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</si>
  <si>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</si>
  <si>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</si>
  <si>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</si>
  <si>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</si>
  <si>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</si>
  <si>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</si>
  <si>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</si>
  <si>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</si>
  <si>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</si>
  <si>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</si>
  <si>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</si>
  <si>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</si>
  <si>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</si>
  <si>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</si>
  <si>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</si>
  <si>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</si>
  <si>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</si>
  <si>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</si>
  <si>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</si>
  <si>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</si>
  <si>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</si>
  <si>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</si>
  <si>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</si>
  <si>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</si>
  <si>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</si>
  <si>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</si>
  <si>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</si>
  <si>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</si>
  <si>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</si>
  <si>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</si>
  <si>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</si>
  <si>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</si>
  <si>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</si>
  <si>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</si>
  <si>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</si>
  <si>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</si>
  <si>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TPS2490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</si>
  <si>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</si>
  <si>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</si>
  <si>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TPS249x/8x Design Tool- Rev. B</t>
  </si>
  <si>
    <t>IPB020N08N5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</si>
</sst>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0E+0"/>
  </numFmts>
  <fonts count="51"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5"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7"/>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19"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Fill="1" applyBorder="1" applyAlignment="1" applyProtection="1">
      <alignment horizontal="center"/>
    </xf>
    <xf numFmtId="0" fontId="17" fillId="0" borderId="0" xfId="0" applyFont="1" applyFill="1" applyBorder="1" applyProtection="1"/>
    <xf numFmtId="0" fontId="31" fillId="0" borderId="0" xfId="0" applyFont="1"/>
    <xf numFmtId="0" fontId="3" fillId="0" borderId="0" xfId="0" applyFont="1" applyFill="1" applyAlignment="1" applyProtection="1">
      <alignment horizontal="left"/>
      <protection locked="0"/>
    </xf>
    <xf numFmtId="0" fontId="0" fillId="0" borderId="0" xfId="0" applyFill="1"/>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2" fontId="2" fillId="0" borderId="0" xfId="2" applyNumberFormat="1"/>
    <xf numFmtId="0" fontId="28" fillId="0" borderId="0" xfId="2" applyFont="1"/>
    <xf numFmtId="0" fontId="28" fillId="0" borderId="0" xfId="2" applyFont="1" applyAlignment="1" applyProtection="1">
      <alignment horizontal="center"/>
    </xf>
    <xf numFmtId="0" fontId="28" fillId="0" borderId="0" xfId="2" applyFont="1" applyAlignment="1">
      <alignment horizontal="center"/>
    </xf>
    <xf numFmtId="10" fontId="2" fillId="0" borderId="0" xfId="2" applyNumberFormat="1"/>
    <xf numFmtId="0" fontId="2"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9" fillId="0" borderId="0" xfId="2" applyFont="1"/>
    <xf numFmtId="165" fontId="0" fillId="0" borderId="1" xfId="0" applyNumberFormat="1" applyFill="1" applyBorder="1" applyAlignment="1" applyProtection="1">
      <alignment horizontal="center" vertical="center"/>
    </xf>
    <xf numFmtId="0" fontId="28" fillId="0" borderId="0" xfId="0" applyFont="1" applyAlignment="1">
      <alignment horizontal="center"/>
    </xf>
    <xf numFmtId="0" fontId="3" fillId="0" borderId="0" xfId="0" applyFont="1" applyAlignment="1">
      <alignment horizontal="center"/>
    </xf>
    <xf numFmtId="0" fontId="2" fillId="3" borderId="0" xfId="0" applyFont="1" applyFill="1" applyAlignment="1">
      <alignment horizontal="right"/>
    </xf>
    <xf numFmtId="0" fontId="2" fillId="0" borderId="0" xfId="0" applyFont="1" applyFill="1" applyBorder="1" applyAlignment="1">
      <alignment horizontal="right"/>
    </xf>
    <xf numFmtId="2" fontId="2"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2" fillId="0" borderId="0" xfId="2" applyNumberFormat="1" applyAlignment="1">
      <alignment horizontal="center"/>
    </xf>
    <xf numFmtId="165" fontId="2" fillId="0" borderId="0" xfId="2" applyNumberFormat="1"/>
    <xf numFmtId="0" fontId="2" fillId="0" borderId="0" xfId="2"/>
    <xf numFmtId="0" fontId="2" fillId="11" borderId="27" xfId="2" applyFill="1" applyBorder="1" applyProtection="1"/>
    <xf numFmtId="0" fontId="2" fillId="11" borderId="28" xfId="2" applyFill="1" applyBorder="1" applyProtection="1"/>
    <xf numFmtId="0" fontId="2" fillId="11" borderId="29" xfId="2" applyFill="1" applyBorder="1" applyProtection="1"/>
    <xf numFmtId="0" fontId="2" fillId="11" borderId="30" xfId="2" applyFill="1" applyBorder="1" applyProtection="1"/>
    <xf numFmtId="0" fontId="2" fillId="11" borderId="0" xfId="2" applyFill="1" applyBorder="1" applyProtection="1"/>
    <xf numFmtId="0" fontId="2" fillId="11" borderId="31" xfId="2"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Border="1" applyProtection="1"/>
    <xf numFmtId="0" fontId="37" fillId="11" borderId="0" xfId="2" applyFont="1" applyFill="1" applyProtection="1"/>
    <xf numFmtId="0" fontId="2" fillId="11" borderId="0" xfId="2" applyFill="1" applyProtection="1"/>
    <xf numFmtId="0" fontId="38" fillId="11" borderId="0" xfId="2" applyFont="1" applyFill="1" applyAlignment="1" applyProtection="1"/>
    <xf numFmtId="0" fontId="38" fillId="11" borderId="0" xfId="2" applyFont="1" applyFill="1" applyAlignment="1" applyProtection="1">
      <alignment wrapText="1"/>
    </xf>
    <xf numFmtId="0" fontId="39" fillId="11" borderId="0" xfId="2" applyFont="1" applyFill="1" applyAlignment="1" applyProtection="1">
      <alignment vertical="center"/>
    </xf>
    <xf numFmtId="0" fontId="39" fillId="11" borderId="0" xfId="2" applyFont="1" applyFill="1" applyProtection="1"/>
    <xf numFmtId="0" fontId="2" fillId="11" borderId="32" xfId="2" applyFill="1" applyBorder="1" applyProtection="1"/>
    <xf numFmtId="0" fontId="2" fillId="11" borderId="33" xfId="2" applyFill="1" applyBorder="1" applyProtection="1"/>
    <xf numFmtId="0" fontId="2" fillId="11" borderId="34" xfId="2" applyFill="1" applyBorder="1" applyProtection="1"/>
    <xf numFmtId="0" fontId="2" fillId="11" borderId="0" xfId="2" applyFont="1" applyFill="1" applyBorder="1" applyProtection="1"/>
    <xf numFmtId="0" fontId="2" fillId="5" borderId="1" xfId="2" applyFill="1" applyBorder="1" applyAlignment="1" applyProtection="1">
      <alignment horizontal="center" vertical="center"/>
      <protection locked="0"/>
    </xf>
    <xf numFmtId="2" fontId="2" fillId="0" borderId="0" xfId="2" applyNumberFormat="1" applyAlignment="1">
      <alignment horizontal="center"/>
    </xf>
    <xf numFmtId="0" fontId="2" fillId="0" borderId="0" xfId="2"/>
    <xf numFmtId="0" fontId="2" fillId="0" borderId="0" xfId="2" applyAlignment="1">
      <alignment horizontal="center"/>
    </xf>
    <xf numFmtId="2" fontId="2" fillId="0" borderId="0" xfId="2" applyNumberFormat="1"/>
    <xf numFmtId="0" fontId="2" fillId="0" borderId="0" xfId="2" applyFont="1"/>
    <xf numFmtId="0" fontId="2" fillId="0" borderId="0" xfId="2" applyFont="1" applyAlignment="1">
      <alignment horizontal="center"/>
    </xf>
    <xf numFmtId="0" fontId="2" fillId="0" borderId="0" xfId="2" applyBorder="1" applyAlignment="1">
      <alignment horizontal="center"/>
    </xf>
    <xf numFmtId="2" fontId="2" fillId="0" borderId="0" xfId="2" applyNumberFormat="1" applyBorder="1" applyAlignment="1">
      <alignment horizontal="center"/>
    </xf>
    <xf numFmtId="0" fontId="29" fillId="0" borderId="0" xfId="2" applyFont="1"/>
    <xf numFmtId="0" fontId="2" fillId="0" borderId="0" xfId="2" applyFont="1" applyBorder="1" applyAlignment="1">
      <alignment horizontal="center"/>
    </xf>
    <xf numFmtId="0" fontId="29" fillId="0" borderId="0" xfId="2" applyFont="1" applyAlignment="1">
      <alignment horizontal="center"/>
    </xf>
    <xf numFmtId="0" fontId="29" fillId="10" borderId="0" xfId="2" applyFont="1" applyFill="1"/>
    <xf numFmtId="2" fontId="29" fillId="0" borderId="0" xfId="2" applyNumberFormat="1" applyFont="1" applyBorder="1" applyAlignment="1">
      <alignment horizontal="center"/>
    </xf>
    <xf numFmtId="0" fontId="2" fillId="0" borderId="0" xfId="2"/>
    <xf numFmtId="0" fontId="2" fillId="0" borderId="0" xfId="2" applyAlignment="1">
      <alignment horizontal="center"/>
    </xf>
    <xf numFmtId="0" fontId="2" fillId="0" borderId="0" xfId="2" applyBorder="1"/>
    <xf numFmtId="2" fontId="2" fillId="0" borderId="0" xfId="2" applyNumberFormat="1" applyAlignment="1">
      <alignment horizontal="center"/>
    </xf>
    <xf numFmtId="0" fontId="2" fillId="0" borderId="0" xfId="2" applyFont="1"/>
    <xf numFmtId="0" fontId="2" fillId="0" borderId="0" xfId="2" applyFont="1" applyAlignment="1">
      <alignment horizontal="right"/>
    </xf>
    <xf numFmtId="0" fontId="2" fillId="0" borderId="0" xfId="2" applyFont="1" applyAlignment="1">
      <alignment horizontal="center"/>
    </xf>
    <xf numFmtId="0" fontId="2" fillId="0" borderId="1" xfId="2" applyBorder="1"/>
    <xf numFmtId="0" fontId="2" fillId="0" borderId="0" xfId="2" applyFill="1" applyBorder="1" applyAlignment="1">
      <alignment horizontal="center"/>
    </xf>
    <xf numFmtId="0" fontId="2" fillId="0" borderId="1" xfId="2" applyFont="1" applyBorder="1"/>
    <xf numFmtId="0" fontId="2" fillId="0" borderId="0" xfId="2" applyBorder="1" applyAlignment="1">
      <alignment horizontal="center"/>
    </xf>
    <xf numFmtId="2" fontId="2" fillId="0" borderId="0" xfId="2" applyNumberFormat="1" applyBorder="1" applyAlignment="1">
      <alignment horizontal="center"/>
    </xf>
    <xf numFmtId="2" fontId="2" fillId="0" borderId="1" xfId="2" applyNumberFormat="1" applyBorder="1"/>
    <xf numFmtId="0" fontId="2" fillId="0" borderId="0" xfId="2" applyFont="1" applyBorder="1"/>
    <xf numFmtId="0" fontId="29" fillId="0" borderId="0" xfId="2" applyFont="1"/>
    <xf numFmtId="0" fontId="30" fillId="0" borderId="0" xfId="2" applyFont="1" applyBorder="1" applyAlignment="1">
      <alignment horizontal="center"/>
    </xf>
    <xf numFmtId="2" fontId="2" fillId="0" borderId="0" xfId="2" applyNumberFormat="1" applyBorder="1"/>
    <xf numFmtId="0" fontId="2" fillId="0" borderId="0" xfId="2" applyFont="1" applyBorder="1" applyAlignment="1">
      <alignment horizontal="right"/>
    </xf>
    <xf numFmtId="2" fontId="2" fillId="0" borderId="0" xfId="2" applyNumberFormat="1" applyFont="1" applyBorder="1" applyAlignment="1">
      <alignment horizontal="left"/>
    </xf>
    <xf numFmtId="0" fontId="2" fillId="0" borderId="0" xfId="2" applyFont="1" applyBorder="1" applyAlignment="1">
      <alignment horizontal="center"/>
    </xf>
    <xf numFmtId="0" fontId="29" fillId="0" borderId="0" xfId="2" applyFont="1" applyBorder="1" applyAlignment="1">
      <alignment horizontal="center"/>
    </xf>
    <xf numFmtId="0" fontId="29" fillId="0" borderId="0" xfId="2" applyFont="1" applyBorder="1" applyAlignment="1">
      <alignment horizontal="left"/>
    </xf>
    <xf numFmtId="0" fontId="2" fillId="0" borderId="5" xfId="2" applyBorder="1"/>
    <xf numFmtId="0" fontId="2" fillId="0" borderId="1" xfId="2" applyFont="1" applyFill="1" applyBorder="1"/>
    <xf numFmtId="2" fontId="29" fillId="0" borderId="0" xfId="2" applyNumberFormat="1" applyFont="1" applyBorder="1" applyAlignment="1">
      <alignment horizontal="center"/>
    </xf>
    <xf numFmtId="0" fontId="2"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2"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2" fillId="2" borderId="18" xfId="0" applyFont="1" applyFill="1" applyBorder="1" applyAlignment="1" applyProtection="1">
      <alignment horizontal="right" vertical="center"/>
    </xf>
    <xf numFmtId="0" fontId="2" fillId="2" borderId="26" xfId="0" applyFont="1" applyFill="1" applyBorder="1" applyAlignment="1" applyProtection="1">
      <alignment horizontal="center" vertical="center"/>
    </xf>
    <xf numFmtId="0" fontId="0" fillId="2" borderId="22" xfId="0" applyFill="1" applyBorder="1" applyProtection="1"/>
    <xf numFmtId="0" fontId="21" fillId="2" borderId="19" xfId="0" applyFont="1" applyFill="1" applyBorder="1" applyProtection="1"/>
    <xf numFmtId="0" fontId="2" fillId="2" borderId="0"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2" fillId="2" borderId="20" xfId="0" applyFont="1" applyFill="1" applyBorder="1" applyAlignment="1" applyProtection="1">
      <alignment horizontal="right" vertical="center"/>
    </xf>
    <xf numFmtId="0" fontId="2"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0" fontId="2" fillId="0" borderId="0" xfId="0" applyFont="1" applyProtection="1"/>
    <xf numFmtId="0" fontId="2" fillId="2" borderId="0" xfId="0" applyFont="1" applyFill="1" applyBorder="1" applyProtection="1"/>
    <xf numFmtId="0" fontId="11"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2"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2" fillId="6" borderId="0" xfId="0" applyFont="1" applyFill="1" applyBorder="1" applyAlignment="1" applyProtection="1">
      <alignment horizontal="right" vertical="center"/>
    </xf>
    <xf numFmtId="0" fontId="0" fillId="8" borderId="0" xfId="0" applyFill="1" applyBorder="1" applyProtection="1"/>
    <xf numFmtId="0" fontId="2"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2"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2" fillId="2" borderId="0" xfId="0" applyFont="1" applyFill="1" applyBorder="1" applyAlignment="1" applyProtection="1">
      <alignment horizontal="right"/>
    </xf>
    <xf numFmtId="0" fontId="3" fillId="0" borderId="0" xfId="0" applyFont="1" applyProtection="1"/>
    <xf numFmtId="0" fontId="7"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7" xfId="0" applyFont="1" applyBorder="1" applyAlignment="1" applyProtection="1">
      <alignment horizontal="center"/>
    </xf>
    <xf numFmtId="0" fontId="2" fillId="0" borderId="0" xfId="0" applyFont="1" applyFill="1" applyBorder="1" applyAlignment="1" applyProtection="1">
      <alignment horizontal="right"/>
    </xf>
    <xf numFmtId="0" fontId="2" fillId="2" borderId="23" xfId="0" applyFont="1" applyFill="1" applyBorder="1" applyProtection="1"/>
    <xf numFmtId="0" fontId="0" fillId="3" borderId="20" xfId="0" applyFill="1" applyBorder="1" applyProtection="1"/>
    <xf numFmtId="0" fontId="2"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2" fillId="2" borderId="24" xfId="0" applyFont="1" applyFill="1" applyBorder="1" applyProtection="1"/>
    <xf numFmtId="0" fontId="24" fillId="7" borderId="19" xfId="0" applyFont="1" applyFill="1" applyBorder="1" applyProtection="1"/>
    <xf numFmtId="0" fontId="0" fillId="7" borderId="0" xfId="0" applyFill="1" applyBorder="1" applyProtection="1"/>
    <xf numFmtId="0" fontId="2" fillId="0" borderId="0" xfId="0" applyFont="1" applyAlignment="1" applyProtection="1">
      <alignment horizontal="right"/>
    </xf>
    <xf numFmtId="0" fontId="2"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8" fillId="2" borderId="0" xfId="0" applyFont="1" applyFill="1" applyBorder="1" applyProtection="1"/>
    <xf numFmtId="0" fontId="0" fillId="2" borderId="4" xfId="0" applyFill="1" applyBorder="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2"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22"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0" fillId="12" borderId="17" xfId="0" applyFill="1" applyBorder="1" applyProtection="1"/>
    <xf numFmtId="0" fontId="2" fillId="12" borderId="18" xfId="0" applyFont="1" applyFill="1" applyBorder="1" applyAlignment="1" applyProtection="1">
      <alignment horizontal="center"/>
    </xf>
    <xf numFmtId="0" fontId="3" fillId="12" borderId="18" xfId="0" applyFont="1" applyFill="1" applyBorder="1" applyAlignment="1" applyProtection="1">
      <alignment horizontal="center"/>
    </xf>
    <xf numFmtId="0" fontId="3" fillId="12" borderId="22" xfId="0" applyFont="1" applyFill="1" applyBorder="1" applyAlignment="1" applyProtection="1">
      <alignment horizontal="left"/>
    </xf>
    <xf numFmtId="0" fontId="3" fillId="2" borderId="0" xfId="0" applyFont="1" applyFill="1" applyBorder="1" applyProtection="1"/>
    <xf numFmtId="0" fontId="0" fillId="2" borderId="12" xfId="0" applyFill="1" applyBorder="1" applyProtection="1"/>
    <xf numFmtId="0" fontId="2"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2"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164" fontId="2"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2" fillId="2" borderId="0" xfId="2" applyFont="1" applyFill="1" applyBorder="1" applyAlignment="1" applyProtection="1">
      <alignment horizontal="right" vertical="center"/>
    </xf>
    <xf numFmtId="1" fontId="2"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2"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2" fillId="2" borderId="19" xfId="0" applyFont="1" applyFill="1" applyBorder="1" applyAlignment="1" applyProtection="1">
      <alignment horizontal="right"/>
    </xf>
    <xf numFmtId="0" fontId="2" fillId="2" borderId="0" xfId="0" applyFont="1" applyFill="1" applyBorder="1" applyAlignment="1" applyProtection="1">
      <alignment horizontal="left"/>
    </xf>
    <xf numFmtId="0" fontId="0" fillId="2" borderId="0" xfId="0" applyFill="1" applyBorder="1" applyAlignment="1" applyProtection="1">
      <alignment horizontal="right"/>
    </xf>
    <xf numFmtId="14" fontId="2" fillId="2" borderId="0" xfId="0" applyNumberFormat="1" applyFont="1" applyFill="1" applyBorder="1" applyAlignment="1" applyProtection="1">
      <alignment horizontal="center"/>
    </xf>
    <xf numFmtId="0" fontId="2" fillId="2" borderId="20" xfId="0" applyFont="1" applyFill="1" applyBorder="1" applyAlignment="1" applyProtection="1">
      <alignment horizontal="left"/>
    </xf>
    <xf numFmtId="0" fontId="0" fillId="2" borderId="20" xfId="0" applyFill="1" applyBorder="1" applyAlignment="1" applyProtection="1">
      <alignment horizontal="center"/>
    </xf>
    <xf numFmtId="0" fontId="21" fillId="2" borderId="0" xfId="0" applyFont="1" applyFill="1" applyProtection="1"/>
    <xf numFmtId="0" fontId="0" fillId="3" borderId="0" xfId="0" applyFill="1" applyProtection="1"/>
    <xf numFmtId="0" fontId="0" fillId="3" borderId="0" xfId="0" applyFill="1" applyAlignment="1" applyProtection="1">
      <alignment horizontal="center"/>
    </xf>
    <xf numFmtId="0" fontId="24" fillId="2" borderId="0" xfId="0" applyFont="1" applyFill="1" applyProtection="1"/>
    <xf numFmtId="0" fontId="2" fillId="2" borderId="0" xfId="0" applyFont="1" applyFill="1" applyAlignment="1" applyProtection="1">
      <alignment horizontal="left" vertical="center" wrapText="1"/>
    </xf>
    <xf numFmtId="0" fontId="40" fillId="2" borderId="19" xfId="2" applyFont="1" applyFill="1" applyBorder="1" applyAlignment="1" applyProtection="1">
      <alignment horizontal="left" vertical="top" wrapText="1"/>
    </xf>
    <xf numFmtId="0" fontId="2" fillId="2" borderId="0" xfId="0" applyFont="1" applyFill="1" applyBorder="1" applyAlignment="1" applyProtection="1">
      <alignment horizontal="left" vertical="center" wrapText="1"/>
    </xf>
    <xf numFmtId="0" fontId="31" fillId="3" borderId="0" xfId="0" applyFont="1" applyFill="1" applyBorder="1" applyAlignment="1" applyProtection="1">
      <alignment horizontal="center"/>
    </xf>
    <xf numFmtId="0" fontId="2" fillId="2" borderId="0" xfId="2" applyFill="1" applyBorder="1"/>
    <xf numFmtId="0" fontId="2" fillId="2" borderId="0" xfId="2" applyFont="1" applyFill="1" applyBorder="1" applyAlignment="1">
      <alignment horizontal="right" vertical="center"/>
    </xf>
    <xf numFmtId="0" fontId="2" fillId="2" borderId="18" xfId="2" applyFill="1" applyBorder="1"/>
    <xf numFmtId="0" fontId="2" fillId="2" borderId="19" xfId="2" applyFill="1" applyBorder="1"/>
    <xf numFmtId="0" fontId="2" fillId="2" borderId="21" xfId="2" applyFill="1" applyBorder="1"/>
    <xf numFmtId="0" fontId="2" fillId="2" borderId="20" xfId="2" applyFill="1" applyBorder="1"/>
    <xf numFmtId="0" fontId="2" fillId="2" borderId="23" xfId="2" applyFill="1" applyBorder="1"/>
    <xf numFmtId="0" fontId="2" fillId="2" borderId="24" xfId="2" applyFill="1" applyBorder="1"/>
    <xf numFmtId="0" fontId="2" fillId="2" borderId="22" xfId="2" applyFill="1" applyBorder="1"/>
    <xf numFmtId="0" fontId="2" fillId="2" borderId="0" xfId="2" applyFont="1" applyFill="1" applyBorder="1"/>
    <xf numFmtId="0" fontId="24" fillId="7" borderId="17" xfId="2" applyFont="1" applyFill="1" applyBorder="1"/>
    <xf numFmtId="0" fontId="24" fillId="3" borderId="19" xfId="2" applyFont="1" applyFill="1" applyBorder="1"/>
    <xf numFmtId="0" fontId="46" fillId="2" borderId="0" xfId="2" applyFont="1" applyFill="1" applyBorder="1"/>
    <xf numFmtId="0" fontId="46" fillId="2" borderId="0" xfId="2" applyFont="1" applyFill="1" applyBorder="1" applyAlignment="1">
      <alignment horizontal="right" vertical="center"/>
    </xf>
    <xf numFmtId="0" fontId="2" fillId="2" borderId="20" xfId="2" applyFont="1" applyFill="1" applyBorder="1" applyAlignment="1">
      <alignment horizontal="center" vertical="center"/>
    </xf>
    <xf numFmtId="0" fontId="2" fillId="2" borderId="20" xfId="2" applyFont="1" applyFill="1" applyBorder="1"/>
    <xf numFmtId="0" fontId="47" fillId="2" borderId="0" xfId="1" applyFont="1" applyFill="1" applyBorder="1" applyAlignment="1" applyProtection="1">
      <alignment horizontal="left"/>
    </xf>
    <xf numFmtId="0" fontId="43" fillId="2" borderId="19" xfId="2" applyFont="1" applyFill="1" applyBorder="1" applyAlignment="1">
      <alignment vertical="top" wrapText="1"/>
    </xf>
    <xf numFmtId="0" fontId="2" fillId="2" borderId="0" xfId="2" applyFont="1" applyFill="1" applyBorder="1" applyAlignment="1">
      <alignment horizontal="center" vertical="center"/>
    </xf>
    <xf numFmtId="0" fontId="47" fillId="2" borderId="18" xfId="1" applyFont="1" applyFill="1" applyBorder="1" applyAlignment="1" applyProtection="1">
      <alignment wrapText="1"/>
    </xf>
    <xf numFmtId="0" fontId="47" fillId="2" borderId="0" xfId="1" applyFont="1" applyFill="1" applyBorder="1" applyAlignment="1" applyProtection="1">
      <alignment horizontal="left" wrapText="1"/>
    </xf>
    <xf numFmtId="0" fontId="46" fillId="3" borderId="0" xfId="2" applyFont="1" applyFill="1" applyBorder="1"/>
    <xf numFmtId="0" fontId="46" fillId="3" borderId="18" xfId="2" applyFont="1" applyFill="1" applyBorder="1"/>
    <xf numFmtId="0" fontId="2" fillId="2" borderId="20" xfId="2" applyFont="1" applyFill="1" applyBorder="1" applyAlignment="1">
      <alignment vertical="top" wrapText="1"/>
    </xf>
    <xf numFmtId="0" fontId="38" fillId="6" borderId="38" xfId="2" applyFont="1" applyFill="1" applyBorder="1" applyAlignment="1" applyProtection="1">
      <alignment horizontal="center" vertical="top"/>
      <protection locked="0"/>
    </xf>
    <xf numFmtId="0" fontId="38" fillId="6" borderId="40" xfId="2" applyFont="1" applyFill="1" applyBorder="1" applyAlignment="1" applyProtection="1">
      <alignment horizontal="center" vertical="top"/>
      <protection locked="0"/>
    </xf>
    <xf numFmtId="0" fontId="49" fillId="2" borderId="0" xfId="1" applyFont="1" applyFill="1" applyBorder="1" applyAlignment="1" applyProtection="1"/>
    <xf numFmtId="0" fontId="0" fillId="9" borderId="5"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0" fontId="0" fillId="2" borderId="0" xfId="0" applyFill="1" applyProtection="1"/>
    <xf numFmtId="0" fontId="15" fillId="3" borderId="19" xfId="1" applyFill="1" applyBorder="1" applyAlignment="1" applyProtection="1">
      <alignment horizontal="left"/>
    </xf>
    <xf numFmtId="0" fontId="15" fillId="3" borderId="19" xfId="1" applyFill="1" applyBorder="1" applyAlignment="1" applyProtection="1"/>
    <xf numFmtId="0" fontId="15" fillId="5" borderId="0" xfId="1" applyFill="1" applyAlignment="1" applyProtection="1"/>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24" xfId="0" applyFont="1" applyBorder="1" applyAlignment="1">
      <alignment horizontal="center" vertical="center" wrapText="1"/>
    </xf>
    <xf numFmtId="0" fontId="15" fillId="11" borderId="0" xfId="1" applyFill="1" applyAlignment="1" applyProtection="1">
      <alignment horizontal="left"/>
    </xf>
    <xf numFmtId="0" fontId="15" fillId="2" borderId="19" xfId="1" applyFill="1" applyBorder="1" applyAlignment="1" applyProtection="1">
      <alignment horizontal="left" wrapText="1"/>
    </xf>
    <xf numFmtId="0" fontId="14" fillId="3" borderId="0" xfId="0" applyFont="1" applyFill="1" applyBorder="1" applyAlignment="1" applyProtection="1">
      <alignment horizontal="center" vertical="center"/>
    </xf>
    <xf numFmtId="0" fontId="18" fillId="4" borderId="17" xfId="0" applyFont="1" applyFill="1" applyBorder="1" applyAlignment="1" applyProtection="1">
      <alignment horizontal="left" vertical="center"/>
    </xf>
    <xf numFmtId="0" fontId="18" fillId="4" borderId="18"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41" fillId="2" borderId="19" xfId="0" applyFont="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45" fillId="2" borderId="19" xfId="2" applyFont="1" applyFill="1" applyBorder="1" applyAlignment="1">
      <alignment horizontal="left" vertical="top" wrapText="1"/>
    </xf>
    <xf numFmtId="0" fontId="45" fillId="2" borderId="18" xfId="1" applyFont="1" applyFill="1" applyBorder="1" applyAlignment="1" applyProtection="1">
      <alignment horizontal="left" wrapText="1"/>
    </xf>
    <xf numFmtId="0" fontId="45" fillId="2" borderId="0" xfId="1" applyFont="1" applyFill="1" applyBorder="1" applyAlignment="1" applyProtection="1">
      <alignment horizontal="left" wrapText="1"/>
    </xf>
    <xf numFmtId="0" fontId="48" fillId="5" borderId="36" xfId="2" applyFont="1" applyFill="1" applyBorder="1" applyAlignment="1">
      <alignment horizontal="left" vertical="top" wrapText="1"/>
    </xf>
    <xf numFmtId="0" fontId="48" fillId="5" borderId="37" xfId="2" applyFont="1" applyFill="1" applyBorder="1" applyAlignment="1">
      <alignment horizontal="left" vertical="top" wrapText="1"/>
    </xf>
    <xf numFmtId="0" fontId="48" fillId="5" borderId="39" xfId="2" applyFont="1" applyFill="1" applyBorder="1" applyAlignment="1">
      <alignment horizontal="left" vertical="top" wrapText="1"/>
    </xf>
    <xf numFmtId="0" fontId="15"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24" fillId="5" borderId="41" xfId="2" applyFont="1" applyFill="1" applyBorder="1" applyAlignment="1">
      <alignment horizontal="left" wrapText="1"/>
    </xf>
    <xf numFmtId="0" fontId="2" fillId="5" borderId="42" xfId="2" applyFill="1" applyBorder="1" applyAlignment="1">
      <alignment horizontal="left" wrapText="1"/>
    </xf>
    <xf numFmtId="0" fontId="2" fillId="5" borderId="38" xfId="2" applyFill="1" applyBorder="1" applyAlignment="1">
      <alignment horizontal="left" wrapText="1"/>
    </xf>
    <xf numFmtId="0" fontId="15" fillId="3" borderId="19" xfId="1" applyFill="1" applyBorder="1" applyAlignment="1" applyProtection="1">
      <alignment horizontal="left" wrapText="1"/>
    </xf>
    <xf numFmtId="0" fontId="15" fillId="3" borderId="19" xfId="1" applyFill="1" applyBorder="1" applyAlignment="1" applyProtection="1">
      <alignment horizontal="left" vertical="top" wrapText="1"/>
    </xf>
    <xf numFmtId="0" fontId="41" fillId="2" borderId="20" xfId="0" applyFont="1" applyFill="1" applyBorder="1" applyAlignment="1" applyProtection="1">
      <alignment horizontal="left" vertical="top" wrapText="1"/>
    </xf>
    <xf numFmtId="0" fontId="40" fillId="2" borderId="19" xfId="2" applyFont="1" applyFill="1" applyBorder="1" applyAlignment="1" applyProtection="1">
      <alignment horizontal="left" vertical="top" wrapText="1"/>
    </xf>
    <xf numFmtId="0" fontId="28"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8" fillId="0" borderId="1" xfId="2" applyFont="1" applyBorder="1" applyAlignment="1">
      <alignment horizontal="center"/>
    </xf>
    <xf numFmtId="0" fontId="2" fillId="0" borderId="5" xfId="2" applyFont="1" applyBorder="1" applyAlignment="1">
      <alignment horizontal="center"/>
    </xf>
    <xf numFmtId="0" fontId="2" fillId="0" borderId="5" xfId="2" applyBorder="1" applyAlignment="1">
      <alignment horizontal="center"/>
    </xf>
    <xf numFmtId="0" fontId="29" fillId="0" borderId="0" xfId="2" applyFont="1" applyBorder="1" applyAlignment="1">
      <alignment horizontal="center"/>
    </xf>
    <xf numFmtId="2" fontId="2" fillId="0" borderId="0" xfId="2" applyNumberFormat="1" applyFont="1" applyBorder="1" applyAlignment="1">
      <alignment horizontal="center"/>
    </xf>
    <xf numFmtId="2" fontId="2" fillId="0" borderId="0" xfId="2" applyNumberFormat="1" applyBorder="1" applyAlignment="1">
      <alignment horizontal="center"/>
    </xf>
  </cellXfs>
  <cellStyles count="11">
    <cellStyle name="ENTER VALUE" xfId="5" xr:uid="{00000000-0005-0000-0000-000000000000}"/>
    <cellStyle name="ENTER VALUE 2" xfId="9" xr:uid="{00000000-0005-0000-0000-000001000000}"/>
    <cellStyle name="ENTER VALUE 3" xfId="8" xr:uid="{00000000-0005-0000-0000-000002000000}"/>
    <cellStyle name="ENTER VALUE 4" xfId="7" xr:uid="{00000000-0005-0000-0000-000003000000}"/>
    <cellStyle name="Hyperlink" xfId="1" builtinId="8"/>
    <cellStyle name="Normal" xfId="0" builtinId="0"/>
    <cellStyle name="Normal 2" xfId="2" xr:uid="{00000000-0005-0000-0000-000006000000}"/>
    <cellStyle name="Normal 3" xfId="10" xr:uid="{00000000-0005-0000-0000-000007000000}"/>
    <cellStyle name="Style 1" xfId="3" xr:uid="{00000000-0005-0000-0000-000008000000}"/>
    <cellStyle name="Style 2" xfId="4" xr:uid="{00000000-0005-0000-0000-000009000000}"/>
    <cellStyle name="UNIT" xfId="6" xr:uid="{00000000-0005-0000-0000-00000A000000}"/>
  </cellStyles>
  <dxfs count="27">
    <dxf>
      <fill>
        <patternFill>
          <bgColor rgb="FFFF000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ont>
        <color theme="0"/>
      </font>
      <fill>
        <patternFill>
          <bgColor theme="0"/>
        </patternFill>
      </fill>
    </dxf>
    <dxf>
      <font>
        <color theme="0"/>
      </font>
      <fill>
        <patternFill>
          <bgColor theme="0"/>
        </patternFill>
      </fill>
    </dxf>
    <dxf>
      <font>
        <color theme="0"/>
      </font>
    </dxf>
    <dxf>
      <font>
        <strike/>
        <color theme="0" tint="-0.24994659260841701"/>
      </font>
      <fill>
        <patternFill patternType="none">
          <bgColor auto="1"/>
        </patternFill>
      </fill>
    </dxf>
    <dxf>
      <fill>
        <patternFill>
          <bgColor rgb="FFFF0000"/>
        </patternFill>
      </fill>
    </dxf>
    <dxf>
      <fill>
        <patternFill>
          <bgColor rgb="FFFFFF00"/>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ill>
        <patternFill>
          <bgColor indexed="10"/>
        </patternFill>
      </fill>
    </dxf>
    <dxf>
      <font>
        <strike val="0"/>
        <color theme="0"/>
      </font>
      <fill>
        <patternFill patternType="none">
          <bgColor auto="1"/>
        </patternFill>
      </fill>
    </dxf>
    <dxf>
      <font>
        <color theme="0"/>
      </font>
      <fill>
        <patternFill>
          <bgColor theme="0"/>
        </patternFill>
      </fill>
    </dxf>
    <dxf>
      <font>
        <color theme="0"/>
      </font>
      <fill>
        <patternFill patternType="solid">
          <bgColor theme="0"/>
        </patternFill>
      </fill>
      <border>
        <left/>
        <right/>
      </border>
    </dxf>
    <dxf>
      <font>
        <condense val="0"/>
        <extend val="0"/>
        <color indexed="9"/>
      </font>
      <fill>
        <patternFill>
          <bgColor indexed="9"/>
        </patternFill>
      </fill>
      <border>
        <left/>
        <right/>
        <top style="thin">
          <color indexed="64"/>
        </top>
        <bottom/>
      </border>
    </dxf>
    <dxf>
      <font>
        <color theme="0"/>
      </font>
      <fill>
        <patternFill>
          <fgColor theme="0"/>
          <bgColor theme="0"/>
        </patternFill>
      </fill>
    </dxf>
    <dxf>
      <font>
        <color theme="0"/>
      </font>
      <fill>
        <patternFill>
          <bgColor theme="0"/>
        </patternFill>
      </fill>
    </dxf>
    <dxf>
      <font>
        <color theme="0"/>
      </font>
      <fill>
        <patternFill>
          <bgColor theme="0"/>
        </patternFill>
      </fill>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0.25</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numCache>
            </c:numRef>
          </c:xVal>
          <c:yVal>
            <c:numRef>
              <c:f>Equations!$V$146:$V$162</c:f>
              <c:numCache>
                <c:formatCode>0.00</c:formatCode>
                <c:ptCount val="17"/>
                <c:pt idx="0">
                  <c:v>464.46191152976257</c:v>
                </c:pt>
                <c:pt idx="1">
                  <c:v>46.446191152976255</c:v>
                </c:pt>
                <c:pt idx="2">
                  <c:v>23.223095576488127</c:v>
                </c:pt>
                <c:pt idx="3">
                  <c:v>15.482063717658752</c:v>
                </c:pt>
                <c:pt idx="4">
                  <c:v>11.611547788244064</c:v>
                </c:pt>
                <c:pt idx="5">
                  <c:v>9.2892382305952523</c:v>
                </c:pt>
                <c:pt idx="6">
                  <c:v>7.7410318588293761</c:v>
                </c:pt>
                <c:pt idx="7">
                  <c:v>6.6351701647108943</c:v>
                </c:pt>
                <c:pt idx="8">
                  <c:v>5.8057738941220318</c:v>
                </c:pt>
                <c:pt idx="9">
                  <c:v>5.1606879058862507</c:v>
                </c:pt>
                <c:pt idx="10">
                  <c:v>4.6446191152976262</c:v>
                </c:pt>
                <c:pt idx="11">
                  <c:v>4.2223810139069329</c:v>
                </c:pt>
                <c:pt idx="12">
                  <c:v>3.870515929414688</c:v>
                </c:pt>
                <c:pt idx="13">
                  <c:v>3.5727839348443275</c:v>
                </c:pt>
                <c:pt idx="14">
                  <c:v>3.3175850823554471</c:v>
                </c:pt>
                <c:pt idx="15">
                  <c:v>3.0964127435317503</c:v>
                </c:pt>
                <c:pt idx="16">
                  <c:v>2.9028869470610159</c:v>
                </c:pt>
              </c:numCache>
            </c:numRef>
          </c:yVal>
          <c:smooth val="0"/>
          <c:extLst>
            <c:ext xmlns:c16="http://schemas.microsoft.com/office/drawing/2014/chart" uri="{C3380CC4-5D6E-409C-BE32-E72D297353CC}">
              <c16:uniqueId val="{00000000-ADD8-4F9D-8451-04F78E2C9C60}"/>
            </c:ext>
          </c:extLst>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0.25</c:v>
                </c:pt>
                <c:pt idx="1">
                  <c:v>2.5</c:v>
                </c:pt>
                <c:pt idx="2">
                  <c:v>5</c:v>
                </c:pt>
                <c:pt idx="3">
                  <c:v>7.5</c:v>
                </c:pt>
                <c:pt idx="4">
                  <c:v>10</c:v>
                </c:pt>
                <c:pt idx="5">
                  <c:v>12.5</c:v>
                </c:pt>
                <c:pt idx="6">
                  <c:v>15</c:v>
                </c:pt>
                <c:pt idx="7">
                  <c:v>17.5</c:v>
                </c:pt>
                <c:pt idx="8">
                  <c:v>20</c:v>
                </c:pt>
                <c:pt idx="9">
                  <c:v>22.5</c:v>
                </c:pt>
                <c:pt idx="10">
                  <c:v>25</c:v>
                </c:pt>
                <c:pt idx="11">
                  <c:v>27.5</c:v>
                </c:pt>
                <c:pt idx="12">
                  <c:v>30</c:v>
                </c:pt>
                <c:pt idx="13">
                  <c:v>32.5</c:v>
                </c:pt>
                <c:pt idx="14">
                  <c:v>35</c:v>
                </c:pt>
                <c:pt idx="15">
                  <c:v>37.5</c:v>
                </c:pt>
                <c:pt idx="16">
                  <c:v>40</c:v>
                </c:pt>
              </c:numCache>
            </c:numRef>
          </c:xVal>
          <c:yVal>
            <c:numRef>
              <c:f>Equations!$T$146:$T$165</c:f>
              <c:numCache>
                <c:formatCode>0.00</c:formatCode>
                <c:ptCount val="20"/>
                <c:pt idx="0">
                  <c:v>6.25</c:v>
                </c:pt>
                <c:pt idx="1">
                  <c:v>6.25</c:v>
                </c:pt>
                <c:pt idx="2">
                  <c:v>6.25</c:v>
                </c:pt>
                <c:pt idx="3">
                  <c:v>6.25</c:v>
                </c:pt>
                <c:pt idx="4">
                  <c:v>6.25</c:v>
                </c:pt>
                <c:pt idx="5">
                  <c:v>6.25</c:v>
                </c:pt>
                <c:pt idx="6">
                  <c:v>5.3728070175438605</c:v>
                </c:pt>
                <c:pt idx="7">
                  <c:v>4.6052631578947372</c:v>
                </c:pt>
                <c:pt idx="8">
                  <c:v>4.0296052631578956</c:v>
                </c:pt>
                <c:pt idx="9">
                  <c:v>3.5818713450292403</c:v>
                </c:pt>
                <c:pt idx="10">
                  <c:v>3.2236842105263164</c:v>
                </c:pt>
                <c:pt idx="11">
                  <c:v>2.9306220095693782</c:v>
                </c:pt>
                <c:pt idx="12">
                  <c:v>2.6864035087719302</c:v>
                </c:pt>
                <c:pt idx="13">
                  <c:v>5.0000000000000003E-10</c:v>
                </c:pt>
                <c:pt idx="14">
                  <c:v>5.0000000000000003E-10</c:v>
                </c:pt>
                <c:pt idx="15">
                  <c:v>5.0000000000000003E-10</c:v>
                </c:pt>
                <c:pt idx="16">
                  <c:v>5.0000000000000003E-10</c:v>
                </c:pt>
                <c:pt idx="17">
                  <c:v>0</c:v>
                </c:pt>
                <c:pt idx="18">
                  <c:v>0</c:v>
                </c:pt>
                <c:pt idx="19">
                  <c:v>0</c:v>
                </c:pt>
              </c:numCache>
            </c:numRef>
          </c:yVal>
          <c:smooth val="0"/>
          <c:extLst>
            <c:ext xmlns:c16="http://schemas.microsoft.com/office/drawing/2014/chart" uri="{C3380CC4-5D6E-409C-BE32-E72D297353CC}">
              <c16:uniqueId val="{00000001-ADD8-4F9D-8451-04F78E2C9C60}"/>
            </c:ext>
          </c:extLst>
        </c:ser>
        <c:dLbls>
          <c:showLegendKey val="0"/>
          <c:showVal val="0"/>
          <c:showCatName val="0"/>
          <c:showSerName val="0"/>
          <c:showPercent val="0"/>
          <c:showBubbleSize val="0"/>
        </c:dLbls>
        <c:axId val="214223104"/>
        <c:axId val="362365312"/>
      </c:scatterChart>
      <c:valAx>
        <c:axId val="214223104"/>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62365312"/>
        <c:crossesAt val="0.1"/>
        <c:crossBetween val="midCat"/>
      </c:valAx>
      <c:valAx>
        <c:axId val="362365312"/>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214223104"/>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FCF4-445B-BC5D-963F64024997}"/>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Start_up!$G$10:$G$112</c:f>
              <c:numCache>
                <c:formatCode>General</c:formatCode>
                <c:ptCount val="103"/>
                <c:pt idx="0">
                  <c:v>2.6864035087719302</c:v>
                </c:pt>
                <c:pt idx="1">
                  <c:v>2.7124850962357354</c:v>
                </c:pt>
                <c:pt idx="2">
                  <c:v>2.7390780873753013</c:v>
                </c:pt>
                <c:pt idx="3">
                  <c:v>2.7661976723988193</c:v>
                </c:pt>
                <c:pt idx="4">
                  <c:v>2.7938596491228074</c:v>
                </c:pt>
                <c:pt idx="5">
                  <c:v>2.8220804536594013</c:v>
                </c:pt>
                <c:pt idx="6">
                  <c:v>2.8508771929824563</c:v>
                </c:pt>
                <c:pt idx="7">
                  <c:v>2.8802676795080489</c:v>
                </c:pt>
                <c:pt idx="8">
                  <c:v>2.9102704678362574</c:v>
                </c:pt>
                <c:pt idx="9">
                  <c:v>2.9409048938134816</c:v>
                </c:pt>
                <c:pt idx="10">
                  <c:v>2.9721911160880929</c:v>
                </c:pt>
                <c:pt idx="11">
                  <c:v>3.0041501603471046</c:v>
                </c:pt>
                <c:pt idx="12">
                  <c:v>3.0368039664378337</c:v>
                </c:pt>
                <c:pt idx="13">
                  <c:v>3.0701754385964914</c:v>
                </c:pt>
                <c:pt idx="14">
                  <c:v>3.1042884990253419</c:v>
                </c:pt>
                <c:pt idx="15">
                  <c:v>3.1391681450818059</c:v>
                </c:pt>
                <c:pt idx="16">
                  <c:v>3.1748405103668267</c:v>
                </c:pt>
                <c:pt idx="17">
                  <c:v>3.2113329300262152</c:v>
                </c:pt>
                <c:pt idx="18">
                  <c:v>3.2486740106079157</c:v>
                </c:pt>
                <c:pt idx="19">
                  <c:v>3.2868937048503617</c:v>
                </c:pt>
                <c:pt idx="20">
                  <c:v>3.3260233918128659</c:v>
                </c:pt>
                <c:pt idx="21">
                  <c:v>3.3660959627985627</c:v>
                </c:pt>
                <c:pt idx="22">
                  <c:v>3.4071459135643991</c:v>
                </c:pt>
                <c:pt idx="23">
                  <c:v>3.4492094433614904</c:v>
                </c:pt>
                <c:pt idx="24">
                  <c:v>3.4923245614035094</c:v>
                </c:pt>
                <c:pt idx="25">
                  <c:v>3.5365312014212749</c:v>
                </c:pt>
                <c:pt idx="26">
                  <c:v>3.5818713450292403</c:v>
                </c:pt>
                <c:pt idx="27">
                  <c:v>3.6283891547049447</c:v>
                </c:pt>
                <c:pt idx="28">
                  <c:v>3.6761311172668516</c:v>
                </c:pt>
                <c:pt idx="29">
                  <c:v>3.7251461988304095</c:v>
                </c:pt>
                <c:pt idx="30">
                  <c:v>3.775486012328118</c:v>
                </c:pt>
                <c:pt idx="31">
                  <c:v>3.8272049987983663</c:v>
                </c:pt>
                <c:pt idx="32">
                  <c:v>3.8803606237816775</c:v>
                </c:pt>
                <c:pt idx="33">
                  <c:v>3.9350135903138126</c:v>
                </c:pt>
                <c:pt idx="34">
                  <c:v>3.9912280701754388</c:v>
                </c:pt>
                <c:pt idx="35">
                  <c:v>4.0490719552504455</c:v>
                </c:pt>
                <c:pt idx="36">
                  <c:v>4.1086171310629522</c:v>
                </c:pt>
                <c:pt idx="37">
                  <c:v>4.1699397748101603</c:v>
                </c:pt>
                <c:pt idx="38">
                  <c:v>4.233120680489102</c:v>
                </c:pt>
                <c:pt idx="39">
                  <c:v>4.2982456140350882</c:v>
                </c:pt>
                <c:pt idx="40">
                  <c:v>4.365405701754387</c:v>
                </c:pt>
                <c:pt idx="41">
                  <c:v>4.4346978557504881</c:v>
                </c:pt>
                <c:pt idx="42">
                  <c:v>4.5062252405206564</c:v>
                </c:pt>
                <c:pt idx="43">
                  <c:v>4.5800977854472249</c:v>
                </c:pt>
                <c:pt idx="44">
                  <c:v>4.6564327485380126</c:v>
                </c:pt>
                <c:pt idx="45">
                  <c:v>4.7353553374962845</c:v>
                </c:pt>
                <c:pt idx="46">
                  <c:v>4.8169993950393222</c:v>
                </c:pt>
                <c:pt idx="47">
                  <c:v>4.9015081563558018</c:v>
                </c:pt>
                <c:pt idx="48">
                  <c:v>4.9890350877192988</c:v>
                </c:pt>
                <c:pt idx="49">
                  <c:v>5.0797448165869223</c:v>
                </c:pt>
                <c:pt idx="50">
                  <c:v>5.173814165042236</c:v>
                </c:pt>
                <c:pt idx="51">
                  <c:v>5.2714333002317124</c:v>
                </c:pt>
                <c:pt idx="52">
                  <c:v>5.3728070175438605</c:v>
                </c:pt>
                <c:pt idx="53">
                  <c:v>5.4781561747506018</c:v>
                </c:pt>
                <c:pt idx="54">
                  <c:v>5.5877192982456156</c:v>
                </c:pt>
                <c:pt idx="55">
                  <c:v>5.7017543859649127</c:v>
                </c:pt>
                <c:pt idx="56">
                  <c:v>5.8205409356725148</c:v>
                </c:pt>
                <c:pt idx="57">
                  <c:v>5.9443822321761868</c:v>
                </c:pt>
                <c:pt idx="58">
                  <c:v>6.0736079328756674</c:v>
                </c:pt>
                <c:pt idx="59">
                  <c:v>6.2085769980506837</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numCache>
            </c:numRef>
          </c:yVal>
          <c:smooth val="1"/>
          <c:extLst>
            <c:ext xmlns:c16="http://schemas.microsoft.com/office/drawing/2014/chart" uri="{C3380CC4-5D6E-409C-BE32-E72D297353CC}">
              <c16:uniqueId val="{00000001-FCF4-445B-BC5D-963F64024997}"/>
            </c:ext>
          </c:extLst>
        </c:ser>
        <c:dLbls>
          <c:showLegendKey val="0"/>
          <c:showVal val="0"/>
          <c:showCatName val="0"/>
          <c:showSerName val="0"/>
          <c:showPercent val="0"/>
          <c:showBubbleSize val="0"/>
        </c:dLbls>
        <c:axId val="203982336"/>
        <c:axId val="203984256"/>
      </c:scatterChart>
      <c:valAx>
        <c:axId val="20398233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en-US"/>
          </a:p>
        </c:txPr>
        <c:crossAx val="203984256"/>
        <c:crosses val="autoZero"/>
        <c:crossBetween val="midCat"/>
      </c:valAx>
      <c:valAx>
        <c:axId val="203984256"/>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en-US"/>
          </a:p>
        </c:txPr>
        <c:crossAx val="203982336"/>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6.8061345248158447E-2</c:v>
                </c:pt>
                <c:pt idx="4" formatCode="0.0">
                  <c:v>0.13546190073662603</c:v>
                </c:pt>
                <c:pt idx="5" formatCode="0.0">
                  <c:v>0.20220166646540275</c:v>
                </c:pt>
                <c:pt idx="6" formatCode="0.0">
                  <c:v>0.26828064243448863</c:v>
                </c:pt>
                <c:pt idx="7" formatCode="0.0">
                  <c:v>0.33369882864388356</c:v>
                </c:pt>
                <c:pt idx="8" formatCode="0.0">
                  <c:v>0.39845622509358769</c:v>
                </c:pt>
                <c:pt idx="9" formatCode="0.0">
                  <c:v>0.46255283178360096</c:v>
                </c:pt>
                <c:pt idx="10" formatCode="0.0">
                  <c:v>0.52598864871392337</c:v>
                </c:pt>
                <c:pt idx="11" formatCode="0.0">
                  <c:v>0.58876367588455503</c:v>
                </c:pt>
                <c:pt idx="12" formatCode="0.0">
                  <c:v>0.65087791329549571</c:v>
                </c:pt>
                <c:pt idx="13" formatCode="0.0">
                  <c:v>0.71233136094674543</c:v>
                </c:pt>
                <c:pt idx="14" formatCode="0.0">
                  <c:v>0.77312401883830451</c:v>
                </c:pt>
                <c:pt idx="15" formatCode="0.0">
                  <c:v>0.83325588697017261</c:v>
                </c:pt>
                <c:pt idx="16" formatCode="0.0">
                  <c:v>0.89272696534234985</c:v>
                </c:pt>
                <c:pt idx="17" formatCode="0.0">
                  <c:v>0.95153725395483624</c:v>
                </c:pt>
                <c:pt idx="18" formatCode="0.0">
                  <c:v>1.0096867528076319</c:v>
                </c:pt>
                <c:pt idx="19" formatCode="0.0">
                  <c:v>1.0671754619007365</c:v>
                </c:pt>
                <c:pt idx="20" formatCode="0.0">
                  <c:v>1.1240033812341503</c:v>
                </c:pt>
                <c:pt idx="21" formatCode="0.0">
                  <c:v>1.1801705108078733</c:v>
                </c:pt>
                <c:pt idx="22" formatCode="0.0">
                  <c:v>1.2356768506219054</c:v>
                </c:pt>
                <c:pt idx="23" formatCode="0.0">
                  <c:v>1.2905224006762466</c:v>
                </c:pt>
                <c:pt idx="24" formatCode="0.0">
                  <c:v>1.3447071609708972</c:v>
                </c:pt>
                <c:pt idx="25" formatCode="0.0">
                  <c:v>1.3982311315058567</c:v>
                </c:pt>
                <c:pt idx="26" formatCode="0.0">
                  <c:v>1.4510943122811255</c:v>
                </c:pt>
                <c:pt idx="27" formatCode="0.0">
                  <c:v>1.5032967032967033</c:v>
                </c:pt>
                <c:pt idx="28" formatCode="0.0">
                  <c:v>1.5548383045525902</c:v>
                </c:pt>
                <c:pt idx="29" formatCode="0.0">
                  <c:v>1.6057191160487865</c:v>
                </c:pt>
                <c:pt idx="30" formatCode="0.0">
                  <c:v>1.6559391377852917</c:v>
                </c:pt>
                <c:pt idx="31" formatCode="0.0">
                  <c:v>1.7054983697621058</c:v>
                </c:pt>
                <c:pt idx="32" formatCode="0.0">
                  <c:v>1.7543968119792295</c:v>
                </c:pt>
                <c:pt idx="33" formatCode="0.0">
                  <c:v>1.8026344644366621</c:v>
                </c:pt>
                <c:pt idx="34" formatCode="0.0">
                  <c:v>1.8502113271344043</c:v>
                </c:pt>
                <c:pt idx="35" formatCode="0.0">
                  <c:v>1.897127400072455</c:v>
                </c:pt>
                <c:pt idx="36" formatCode="0.0">
                  <c:v>1.9433826832508152</c:v>
                </c:pt>
                <c:pt idx="37" formatCode="0.0">
                  <c:v>1.9889771766694844</c:v>
                </c:pt>
                <c:pt idx="38" formatCode="0.0">
                  <c:v>2.0339108803284627</c:v>
                </c:pt>
                <c:pt idx="39" formatCode="0.0">
                  <c:v>2.0781837942277503</c:v>
                </c:pt>
                <c:pt idx="40" formatCode="0.0">
                  <c:v>2.1217959183673472</c:v>
                </c:pt>
                <c:pt idx="41" formatCode="0.0">
                  <c:v>2.1647472527472531</c:v>
                </c:pt>
                <c:pt idx="42" formatCode="0.0">
                  <c:v>2.2070377973674677</c:v>
                </c:pt>
                <c:pt idx="43" formatCode="0.0">
                  <c:v>2.248667552227992</c:v>
                </c:pt>
                <c:pt idx="44" formatCode="0.0">
                  <c:v>2.2896365173288249</c:v>
                </c:pt>
                <c:pt idx="45" formatCode="0.0">
                  <c:v>2.3299446926699674</c:v>
                </c:pt>
                <c:pt idx="46" formatCode="0.0">
                  <c:v>2.369592078251419</c:v>
                </c:pt>
                <c:pt idx="47" formatCode="0.0">
                  <c:v>2.4085786740731798</c:v>
                </c:pt>
                <c:pt idx="48" formatCode="0.0">
                  <c:v>2.4469044801352493</c:v>
                </c:pt>
                <c:pt idx="49" formatCode="0.0">
                  <c:v>2.4845694964376288</c:v>
                </c:pt>
                <c:pt idx="50" formatCode="0.0">
                  <c:v>2.5215737229803166</c:v>
                </c:pt>
                <c:pt idx="51" formatCode="0.0">
                  <c:v>2.5579171597633139</c:v>
                </c:pt>
                <c:pt idx="52" formatCode="0.0">
                  <c:v>2.5935998067866204</c:v>
                </c:pt>
                <c:pt idx="53" formatCode="0.0">
                  <c:v>2.628621664050236</c:v>
                </c:pt>
                <c:pt idx="54" formatCode="0.0">
                  <c:v>2.6629827315541603</c:v>
                </c:pt>
                <c:pt idx="55" formatCode="0.0">
                  <c:v>2.6966830092983942</c:v>
                </c:pt>
                <c:pt idx="56" formatCode="0.0">
                  <c:v>2.7297224972829373</c:v>
                </c:pt>
                <c:pt idx="57" formatCode="0.0">
                  <c:v>2.762101195507789</c:v>
                </c:pt>
                <c:pt idx="58" formatCode="0.0">
                  <c:v>2.7938191039729503</c:v>
                </c:pt>
                <c:pt idx="59" formatCode="0.0">
                  <c:v>2.8248762226784208</c:v>
                </c:pt>
                <c:pt idx="60" formatCode="0.0">
                  <c:v>2.8552725516242004</c:v>
                </c:pt>
                <c:pt idx="61" formatCode="0.0">
                  <c:v>2.8850080908102891</c:v>
                </c:pt>
                <c:pt idx="62" formatCode="0.0">
                  <c:v>2.9145465523487504</c:v>
                </c:pt>
                <c:pt idx="63" formatCode="0.0">
                  <c:v>2.9440850138872126</c:v>
                </c:pt>
                <c:pt idx="64" formatCode="0.0">
                  <c:v>2.9736234754256738</c:v>
                </c:pt>
                <c:pt idx="65" formatCode="0.0">
                  <c:v>3.003161936964136</c:v>
                </c:pt>
                <c:pt idx="66" formatCode="0.0">
                  <c:v>3.0327003985025978</c:v>
                </c:pt>
                <c:pt idx="67" formatCode="0.0">
                  <c:v>3.0622388600410595</c:v>
                </c:pt>
                <c:pt idx="68" formatCode="0.0">
                  <c:v>3.0917773215795208</c:v>
                </c:pt>
                <c:pt idx="69" formatCode="0.0">
                  <c:v>3.1213157831179825</c:v>
                </c:pt>
                <c:pt idx="70" formatCode="0.0">
                  <c:v>3.1508542446564447</c:v>
                </c:pt>
                <c:pt idx="71" formatCode="0.0">
                  <c:v>3.180392706194906</c:v>
                </c:pt>
                <c:pt idx="72" formatCode="0.0">
                  <c:v>3.2099311677333682</c:v>
                </c:pt>
                <c:pt idx="73" formatCode="0.0">
                  <c:v>3.2394696292718295</c:v>
                </c:pt>
                <c:pt idx="74" formatCode="0.0">
                  <c:v>3.2690080908102916</c:v>
                </c:pt>
                <c:pt idx="75" formatCode="0.0">
                  <c:v>3.2985465523487529</c:v>
                </c:pt>
                <c:pt idx="76" formatCode="0.0">
                  <c:v>3.3280850138872147</c:v>
                </c:pt>
                <c:pt idx="77" formatCode="0.0">
                  <c:v>3.3576234754256764</c:v>
                </c:pt>
                <c:pt idx="78" formatCode="0.0">
                  <c:v>3.3871619369641381</c:v>
                </c:pt>
                <c:pt idx="79" formatCode="0.0">
                  <c:v>3.4167003985026003</c:v>
                </c:pt>
                <c:pt idx="80" formatCode="0.0">
                  <c:v>3.4462388600410616</c:v>
                </c:pt>
                <c:pt idx="81" formatCode="0.0">
                  <c:v>3.4757773215795233</c:v>
                </c:pt>
                <c:pt idx="82" formatCode="0.0">
                  <c:v>3.5053157831179851</c:v>
                </c:pt>
                <c:pt idx="83" formatCode="0.0">
                  <c:v>3.5348542446564473</c:v>
                </c:pt>
                <c:pt idx="84" formatCode="0.0">
                  <c:v>3.5643927061949086</c:v>
                </c:pt>
                <c:pt idx="85" formatCode="0.0">
                  <c:v>3.5939311677333703</c:v>
                </c:pt>
                <c:pt idx="86" formatCode="0.0">
                  <c:v>3.623469629271832</c:v>
                </c:pt>
                <c:pt idx="87" formatCode="0.0">
                  <c:v>3.6530080908102938</c:v>
                </c:pt>
                <c:pt idx="88" formatCode="0.0">
                  <c:v>3.6825465523487555</c:v>
                </c:pt>
                <c:pt idx="89" formatCode="0.0">
                  <c:v>3.7120850138872172</c:v>
                </c:pt>
                <c:pt idx="90" formatCode="0.0">
                  <c:v>3.741623475425679</c:v>
                </c:pt>
                <c:pt idx="91" formatCode="0.0">
                  <c:v>3.7711619369641407</c:v>
                </c:pt>
                <c:pt idx="92" formatCode="0.0">
                  <c:v>3.8007003985026024</c:v>
                </c:pt>
                <c:pt idx="93" formatCode="0.0">
                  <c:v>3.8302388600410642</c:v>
                </c:pt>
                <c:pt idx="94" formatCode="0.0">
                  <c:v>3.8597773215795255</c:v>
                </c:pt>
                <c:pt idx="95" formatCode="0.0">
                  <c:v>3.8893157831179876</c:v>
                </c:pt>
                <c:pt idx="96" formatCode="0.0">
                  <c:v>3.9188542446564489</c:v>
                </c:pt>
                <c:pt idx="97" formatCode="0.0">
                  <c:v>3.9483927061949102</c:v>
                </c:pt>
                <c:pt idx="98" formatCode="0.0">
                  <c:v>3.977931167733372</c:v>
                </c:pt>
                <c:pt idx="99" formatCode="0.0">
                  <c:v>4.0074696292718333</c:v>
                </c:pt>
                <c:pt idx="100" formatCode="0.0">
                  <c:v>4.0370080908102945</c:v>
                </c:pt>
                <c:pt idx="101" formatCode="0.0">
                  <c:v>4.0665465523487558</c:v>
                </c:pt>
                <c:pt idx="102" formatCode="0.0">
                  <c:v>4.096085013887218</c:v>
                </c:pt>
                <c:pt idx="103" formatCode="0.0">
                  <c:v>4.1256234754256793</c:v>
                </c:pt>
                <c:pt idx="104" formatCode="0.0">
                  <c:v>4.1551619369641406</c:v>
                </c:pt>
                <c:pt idx="105" formatCode="0.0">
                  <c:v>4.1847003985026028</c:v>
                </c:pt>
                <c:pt idx="106" formatCode="0.0">
                  <c:v>4.2142388600410641</c:v>
                </c:pt>
                <c:pt idx="107" formatCode="0.0">
                  <c:v>4.7142388600410641</c:v>
                </c:pt>
              </c:numCache>
            </c:numRef>
          </c:xVal>
          <c:yVal>
            <c:numRef>
              <c:f>Start_up!$O$8:$O$115</c:f>
              <c:numCache>
                <c:formatCode>General</c:formatCode>
                <c:ptCount val="108"/>
                <c:pt idx="0">
                  <c:v>0</c:v>
                </c:pt>
                <c:pt idx="1">
                  <c:v>0</c:v>
                </c:pt>
                <c:pt idx="2">
                  <c:v>80.592105263157904</c:v>
                </c:pt>
                <c:pt idx="3">
                  <c:v>80.592105263157904</c:v>
                </c:pt>
                <c:pt idx="4">
                  <c:v>80.592105263157904</c:v>
                </c:pt>
                <c:pt idx="5">
                  <c:v>80.592105263157904</c:v>
                </c:pt>
                <c:pt idx="6">
                  <c:v>80.592105263157904</c:v>
                </c:pt>
                <c:pt idx="7">
                  <c:v>80.592105263157904</c:v>
                </c:pt>
                <c:pt idx="8">
                  <c:v>80.592105263157904</c:v>
                </c:pt>
                <c:pt idx="9">
                  <c:v>80.592105263157904</c:v>
                </c:pt>
                <c:pt idx="10">
                  <c:v>80.592105263157904</c:v>
                </c:pt>
                <c:pt idx="11">
                  <c:v>80.592105263157904</c:v>
                </c:pt>
                <c:pt idx="12">
                  <c:v>80.592105263157904</c:v>
                </c:pt>
                <c:pt idx="13">
                  <c:v>80.592105263157904</c:v>
                </c:pt>
                <c:pt idx="14">
                  <c:v>80.592105263157904</c:v>
                </c:pt>
                <c:pt idx="15">
                  <c:v>80.592105263157904</c:v>
                </c:pt>
                <c:pt idx="16">
                  <c:v>80.592105263157904</c:v>
                </c:pt>
                <c:pt idx="17">
                  <c:v>80.592105263157904</c:v>
                </c:pt>
                <c:pt idx="18">
                  <c:v>80.592105263157904</c:v>
                </c:pt>
                <c:pt idx="19">
                  <c:v>80.592105263157904</c:v>
                </c:pt>
                <c:pt idx="20">
                  <c:v>80.592105263157904</c:v>
                </c:pt>
                <c:pt idx="21">
                  <c:v>80.592105263157904</c:v>
                </c:pt>
                <c:pt idx="22">
                  <c:v>80.592105263157904</c:v>
                </c:pt>
                <c:pt idx="23">
                  <c:v>80.592105263157904</c:v>
                </c:pt>
                <c:pt idx="24">
                  <c:v>80.592105263157904</c:v>
                </c:pt>
                <c:pt idx="25">
                  <c:v>80.592105263157904</c:v>
                </c:pt>
                <c:pt idx="26">
                  <c:v>80.592105263157904</c:v>
                </c:pt>
                <c:pt idx="27">
                  <c:v>80.592105263157904</c:v>
                </c:pt>
                <c:pt idx="28">
                  <c:v>80.592105263157904</c:v>
                </c:pt>
                <c:pt idx="29">
                  <c:v>80.592105263157904</c:v>
                </c:pt>
                <c:pt idx="30">
                  <c:v>80.592105263157904</c:v>
                </c:pt>
                <c:pt idx="31">
                  <c:v>80.592105263157904</c:v>
                </c:pt>
                <c:pt idx="32">
                  <c:v>80.592105263157904</c:v>
                </c:pt>
                <c:pt idx="33">
                  <c:v>80.592105263157904</c:v>
                </c:pt>
                <c:pt idx="34">
                  <c:v>80.592105263157904</c:v>
                </c:pt>
                <c:pt idx="35">
                  <c:v>80.592105263157904</c:v>
                </c:pt>
                <c:pt idx="36">
                  <c:v>80.592105263157904</c:v>
                </c:pt>
                <c:pt idx="37">
                  <c:v>80.592105263157904</c:v>
                </c:pt>
                <c:pt idx="38">
                  <c:v>80.592105263157904</c:v>
                </c:pt>
                <c:pt idx="39">
                  <c:v>80.592105263157904</c:v>
                </c:pt>
                <c:pt idx="40">
                  <c:v>80.592105263157904</c:v>
                </c:pt>
                <c:pt idx="41">
                  <c:v>80.592105263157904</c:v>
                </c:pt>
                <c:pt idx="42">
                  <c:v>80.592105263157904</c:v>
                </c:pt>
                <c:pt idx="43">
                  <c:v>80.592105263157904</c:v>
                </c:pt>
                <c:pt idx="44">
                  <c:v>80.592105263157904</c:v>
                </c:pt>
                <c:pt idx="45">
                  <c:v>80.592105263157904</c:v>
                </c:pt>
                <c:pt idx="46">
                  <c:v>80.592105263157904</c:v>
                </c:pt>
                <c:pt idx="47">
                  <c:v>80.592105263157904</c:v>
                </c:pt>
                <c:pt idx="48">
                  <c:v>80.592105263157904</c:v>
                </c:pt>
                <c:pt idx="49">
                  <c:v>80.592105263157904</c:v>
                </c:pt>
                <c:pt idx="50">
                  <c:v>80.592105263157904</c:v>
                </c:pt>
                <c:pt idx="51">
                  <c:v>80.592105263157904</c:v>
                </c:pt>
                <c:pt idx="52">
                  <c:v>80.592105263157904</c:v>
                </c:pt>
                <c:pt idx="53">
                  <c:v>80.592105263157904</c:v>
                </c:pt>
                <c:pt idx="54">
                  <c:v>80.592105263157904</c:v>
                </c:pt>
                <c:pt idx="55">
                  <c:v>80.592105263157904</c:v>
                </c:pt>
                <c:pt idx="56">
                  <c:v>80.592105263157904</c:v>
                </c:pt>
                <c:pt idx="57">
                  <c:v>80.592105263157904</c:v>
                </c:pt>
                <c:pt idx="58">
                  <c:v>80.592105263157904</c:v>
                </c:pt>
                <c:pt idx="59">
                  <c:v>80.592105263157904</c:v>
                </c:pt>
                <c:pt idx="60">
                  <c:v>80.592105263157904</c:v>
                </c:pt>
                <c:pt idx="61">
                  <c:v>80.592105263157904</c:v>
                </c:pt>
                <c:pt idx="62">
                  <c:v>79.32692307692308</c:v>
                </c:pt>
                <c:pt idx="63">
                  <c:v>77.524038461538453</c:v>
                </c:pt>
                <c:pt idx="64">
                  <c:v>75.721153846153854</c:v>
                </c:pt>
                <c:pt idx="65">
                  <c:v>73.918269230769226</c:v>
                </c:pt>
                <c:pt idx="66">
                  <c:v>72.115384615384599</c:v>
                </c:pt>
                <c:pt idx="67">
                  <c:v>70.3125</c:v>
                </c:pt>
                <c:pt idx="68">
                  <c:v>68.509615384615401</c:v>
                </c:pt>
                <c:pt idx="69">
                  <c:v>66.706730769230774</c:v>
                </c:pt>
                <c:pt idx="70">
                  <c:v>64.903846153846146</c:v>
                </c:pt>
                <c:pt idx="71">
                  <c:v>63.10096153846154</c:v>
                </c:pt>
                <c:pt idx="72">
                  <c:v>61.29807692307692</c:v>
                </c:pt>
                <c:pt idx="73">
                  <c:v>59.495192307692314</c:v>
                </c:pt>
                <c:pt idx="74">
                  <c:v>57.692307692307686</c:v>
                </c:pt>
                <c:pt idx="75">
                  <c:v>55.88942307692308</c:v>
                </c:pt>
                <c:pt idx="76">
                  <c:v>54.08653846153846</c:v>
                </c:pt>
                <c:pt idx="77">
                  <c:v>52.283653846153854</c:v>
                </c:pt>
                <c:pt idx="78">
                  <c:v>50.480769230769226</c:v>
                </c:pt>
                <c:pt idx="79">
                  <c:v>48.677884615384606</c:v>
                </c:pt>
                <c:pt idx="80">
                  <c:v>46.875</c:v>
                </c:pt>
                <c:pt idx="81">
                  <c:v>45.072115384615394</c:v>
                </c:pt>
                <c:pt idx="82">
                  <c:v>43.269230769230774</c:v>
                </c:pt>
                <c:pt idx="83">
                  <c:v>41.466346153846146</c:v>
                </c:pt>
                <c:pt idx="84">
                  <c:v>39.66346153846154</c:v>
                </c:pt>
                <c:pt idx="85">
                  <c:v>37.86057692307692</c:v>
                </c:pt>
                <c:pt idx="86">
                  <c:v>36.057692307692314</c:v>
                </c:pt>
                <c:pt idx="87">
                  <c:v>34.254807692307686</c:v>
                </c:pt>
                <c:pt idx="88">
                  <c:v>32.45192307692308</c:v>
                </c:pt>
                <c:pt idx="89">
                  <c:v>30.64903846153846</c:v>
                </c:pt>
                <c:pt idx="90">
                  <c:v>28.846153846153854</c:v>
                </c:pt>
                <c:pt idx="91">
                  <c:v>27.04326923076923</c:v>
                </c:pt>
                <c:pt idx="92">
                  <c:v>25.240384615384603</c:v>
                </c:pt>
                <c:pt idx="93">
                  <c:v>23.4375</c:v>
                </c:pt>
                <c:pt idx="94">
                  <c:v>21.634615384615397</c:v>
                </c:pt>
                <c:pt idx="95">
                  <c:v>19.83173076923077</c:v>
                </c:pt>
                <c:pt idx="96">
                  <c:v>18.028846153846146</c:v>
                </c:pt>
                <c:pt idx="97">
                  <c:v>16.22596153846154</c:v>
                </c:pt>
                <c:pt idx="98">
                  <c:v>14.423076923076916</c:v>
                </c:pt>
                <c:pt idx="99">
                  <c:v>12.620192307692314</c:v>
                </c:pt>
                <c:pt idx="100">
                  <c:v>10.817307692307686</c:v>
                </c:pt>
                <c:pt idx="101">
                  <c:v>9.0144230769230838</c:v>
                </c:pt>
                <c:pt idx="102">
                  <c:v>7.2115384615384581</c:v>
                </c:pt>
                <c:pt idx="103">
                  <c:v>5.4086538461538547</c:v>
                </c:pt>
                <c:pt idx="104">
                  <c:v>3.6057692307692291</c:v>
                </c:pt>
                <c:pt idx="105">
                  <c:v>1.8028846153846034</c:v>
                </c:pt>
                <c:pt idx="106">
                  <c:v>0</c:v>
                </c:pt>
                <c:pt idx="107">
                  <c:v>0</c:v>
                </c:pt>
              </c:numCache>
            </c:numRef>
          </c:yVal>
          <c:smooth val="0"/>
          <c:extLst>
            <c:ext xmlns:c16="http://schemas.microsoft.com/office/drawing/2014/chart" uri="{C3380CC4-5D6E-409C-BE32-E72D297353CC}">
              <c16:uniqueId val="{00000000-F916-4510-AA38-46759E6590EC}"/>
            </c:ext>
          </c:extLst>
        </c:ser>
        <c:dLbls>
          <c:showLegendKey val="0"/>
          <c:showVal val="0"/>
          <c:showCatName val="0"/>
          <c:showSerName val="0"/>
          <c:showPercent val="0"/>
          <c:showBubbleSize val="0"/>
        </c:dLbls>
        <c:axId val="204009472"/>
        <c:axId val="204011392"/>
      </c:scatterChart>
      <c:valAx>
        <c:axId val="204009472"/>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204011392"/>
        <c:crosses val="autoZero"/>
        <c:crossBetween val="midCat"/>
      </c:valAx>
      <c:valAx>
        <c:axId val="204011392"/>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204009472"/>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c:ext xmlns:c16="http://schemas.microsoft.com/office/drawing/2014/chart" uri="{C3380CC4-5D6E-409C-BE32-E72D297353CC}">
              <c16:uniqueId val="{00000000-77BB-4532-B16B-D2641AD4C0CA}"/>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0.28846153846153849</c:v>
                </c:pt>
                <c:pt idx="2">
                  <c:v>0.57692307692307698</c:v>
                </c:pt>
                <c:pt idx="3">
                  <c:v>0.86538461538461542</c:v>
                </c:pt>
                <c:pt idx="4">
                  <c:v>1.153846153846154</c:v>
                </c:pt>
                <c:pt idx="5">
                  <c:v>1.4423076923076923</c:v>
                </c:pt>
                <c:pt idx="6">
                  <c:v>1.7307692307692308</c:v>
                </c:pt>
                <c:pt idx="7">
                  <c:v>2.0192307692307692</c:v>
                </c:pt>
                <c:pt idx="8">
                  <c:v>2.3076923076923079</c:v>
                </c:pt>
                <c:pt idx="9">
                  <c:v>2.5961538461538463</c:v>
                </c:pt>
                <c:pt idx="10">
                  <c:v>2.8846153846153846</c:v>
                </c:pt>
                <c:pt idx="11">
                  <c:v>3.1730769230769229</c:v>
                </c:pt>
                <c:pt idx="12">
                  <c:v>3.4615384615384617</c:v>
                </c:pt>
                <c:pt idx="13">
                  <c:v>3.75</c:v>
                </c:pt>
                <c:pt idx="14">
                  <c:v>4.0384615384615383</c:v>
                </c:pt>
                <c:pt idx="15">
                  <c:v>4.3269230769230766</c:v>
                </c:pt>
                <c:pt idx="16">
                  <c:v>4.6153846153846159</c:v>
                </c:pt>
                <c:pt idx="17">
                  <c:v>4.9038461538461542</c:v>
                </c:pt>
                <c:pt idx="18">
                  <c:v>5.1923076923076925</c:v>
                </c:pt>
                <c:pt idx="19">
                  <c:v>5.4807692307692308</c:v>
                </c:pt>
                <c:pt idx="20">
                  <c:v>5.7692307692307692</c:v>
                </c:pt>
                <c:pt idx="21">
                  <c:v>6.0576923076923075</c:v>
                </c:pt>
                <c:pt idx="22">
                  <c:v>6.3461538461538458</c:v>
                </c:pt>
                <c:pt idx="23">
                  <c:v>6.6346153846153841</c:v>
                </c:pt>
                <c:pt idx="24">
                  <c:v>6.9230769230769234</c:v>
                </c:pt>
                <c:pt idx="25">
                  <c:v>7.2115384615384617</c:v>
                </c:pt>
                <c:pt idx="26">
                  <c:v>7.5</c:v>
                </c:pt>
                <c:pt idx="27">
                  <c:v>7.7884615384615392</c:v>
                </c:pt>
                <c:pt idx="28">
                  <c:v>8.0769230769230766</c:v>
                </c:pt>
                <c:pt idx="29">
                  <c:v>8.365384615384615</c:v>
                </c:pt>
                <c:pt idx="30">
                  <c:v>8.6538461538461533</c:v>
                </c:pt>
                <c:pt idx="31">
                  <c:v>8.9423076923076916</c:v>
                </c:pt>
                <c:pt idx="32">
                  <c:v>9.2307692307692317</c:v>
                </c:pt>
                <c:pt idx="33">
                  <c:v>9.5192307692307683</c:v>
                </c:pt>
                <c:pt idx="34">
                  <c:v>9.8076923076923084</c:v>
                </c:pt>
                <c:pt idx="35">
                  <c:v>10.096153846153847</c:v>
                </c:pt>
                <c:pt idx="36">
                  <c:v>10.384615384615385</c:v>
                </c:pt>
                <c:pt idx="37">
                  <c:v>10.673076923076923</c:v>
                </c:pt>
                <c:pt idx="38">
                  <c:v>10.961538461538462</c:v>
                </c:pt>
                <c:pt idx="39">
                  <c:v>11.25</c:v>
                </c:pt>
                <c:pt idx="40">
                  <c:v>11.538461538461538</c:v>
                </c:pt>
                <c:pt idx="41">
                  <c:v>11.826923076923077</c:v>
                </c:pt>
                <c:pt idx="42">
                  <c:v>12.115384615384615</c:v>
                </c:pt>
                <c:pt idx="43">
                  <c:v>12.403846153846153</c:v>
                </c:pt>
                <c:pt idx="44">
                  <c:v>12.692307692307692</c:v>
                </c:pt>
                <c:pt idx="45">
                  <c:v>12.980769230769232</c:v>
                </c:pt>
                <c:pt idx="46">
                  <c:v>13.269230769230768</c:v>
                </c:pt>
                <c:pt idx="47">
                  <c:v>13.557692307692308</c:v>
                </c:pt>
                <c:pt idx="48">
                  <c:v>13.846153846153847</c:v>
                </c:pt>
                <c:pt idx="49">
                  <c:v>14.134615384615385</c:v>
                </c:pt>
                <c:pt idx="50">
                  <c:v>14.423076923076923</c:v>
                </c:pt>
                <c:pt idx="51">
                  <c:v>14.711538461538462</c:v>
                </c:pt>
                <c:pt idx="52">
                  <c:v>15</c:v>
                </c:pt>
                <c:pt idx="53">
                  <c:v>15.288461538461537</c:v>
                </c:pt>
                <c:pt idx="54">
                  <c:v>15.576923076923078</c:v>
                </c:pt>
                <c:pt idx="55">
                  <c:v>15.865384615384615</c:v>
                </c:pt>
                <c:pt idx="56">
                  <c:v>16.153846153846153</c:v>
                </c:pt>
                <c:pt idx="57">
                  <c:v>16.442307692307693</c:v>
                </c:pt>
                <c:pt idx="58">
                  <c:v>16.73076923076923</c:v>
                </c:pt>
                <c:pt idx="59">
                  <c:v>17.01923076923077</c:v>
                </c:pt>
                <c:pt idx="60">
                  <c:v>17.307692307692307</c:v>
                </c:pt>
                <c:pt idx="61">
                  <c:v>17.596153846153847</c:v>
                </c:pt>
                <c:pt idx="62">
                  <c:v>17.884615384615383</c:v>
                </c:pt>
                <c:pt idx="63">
                  <c:v>18.173076923076923</c:v>
                </c:pt>
                <c:pt idx="64">
                  <c:v>18.461538461538463</c:v>
                </c:pt>
                <c:pt idx="65">
                  <c:v>18.75</c:v>
                </c:pt>
                <c:pt idx="66">
                  <c:v>19.038461538461537</c:v>
                </c:pt>
                <c:pt idx="67">
                  <c:v>19.326923076923077</c:v>
                </c:pt>
                <c:pt idx="68">
                  <c:v>19.615384615384617</c:v>
                </c:pt>
                <c:pt idx="69">
                  <c:v>19.903846153846153</c:v>
                </c:pt>
                <c:pt idx="70">
                  <c:v>20.192307692307693</c:v>
                </c:pt>
                <c:pt idx="71">
                  <c:v>20.48076923076923</c:v>
                </c:pt>
                <c:pt idx="72">
                  <c:v>20.76923076923077</c:v>
                </c:pt>
                <c:pt idx="73">
                  <c:v>21.057692307692307</c:v>
                </c:pt>
                <c:pt idx="74">
                  <c:v>21.346153846153847</c:v>
                </c:pt>
                <c:pt idx="75">
                  <c:v>21.634615384615383</c:v>
                </c:pt>
                <c:pt idx="76">
                  <c:v>21.923076923076923</c:v>
                </c:pt>
                <c:pt idx="77">
                  <c:v>22.211538461538463</c:v>
                </c:pt>
                <c:pt idx="78">
                  <c:v>22.5</c:v>
                </c:pt>
                <c:pt idx="79">
                  <c:v>22.788461538461537</c:v>
                </c:pt>
                <c:pt idx="80">
                  <c:v>23.076923076923077</c:v>
                </c:pt>
                <c:pt idx="81">
                  <c:v>23.365384615384617</c:v>
                </c:pt>
                <c:pt idx="82">
                  <c:v>23.653846153846153</c:v>
                </c:pt>
                <c:pt idx="83">
                  <c:v>23.942307692307693</c:v>
                </c:pt>
                <c:pt idx="84">
                  <c:v>24.23076923076923</c:v>
                </c:pt>
                <c:pt idx="85">
                  <c:v>24.51923076923077</c:v>
                </c:pt>
                <c:pt idx="86">
                  <c:v>24.807692307692307</c:v>
                </c:pt>
                <c:pt idx="87">
                  <c:v>25.096153846153847</c:v>
                </c:pt>
                <c:pt idx="88">
                  <c:v>25.384615384615383</c:v>
                </c:pt>
                <c:pt idx="89">
                  <c:v>25.673076923076923</c:v>
                </c:pt>
                <c:pt idx="90">
                  <c:v>25.961538461538463</c:v>
                </c:pt>
                <c:pt idx="91">
                  <c:v>26.25</c:v>
                </c:pt>
                <c:pt idx="92">
                  <c:v>26.538461538461537</c:v>
                </c:pt>
                <c:pt idx="93">
                  <c:v>26.826923076923077</c:v>
                </c:pt>
                <c:pt idx="94">
                  <c:v>27.115384615384617</c:v>
                </c:pt>
                <c:pt idx="95">
                  <c:v>27.403846153846153</c:v>
                </c:pt>
                <c:pt idx="96">
                  <c:v>27.692307692307693</c:v>
                </c:pt>
                <c:pt idx="97">
                  <c:v>27.98076923076923</c:v>
                </c:pt>
                <c:pt idx="98">
                  <c:v>28.26923076923077</c:v>
                </c:pt>
                <c:pt idx="99">
                  <c:v>28.557692307692307</c:v>
                </c:pt>
                <c:pt idx="100">
                  <c:v>28.846153846153847</c:v>
                </c:pt>
                <c:pt idx="101">
                  <c:v>29.134615384615383</c:v>
                </c:pt>
              </c:numCache>
            </c:numRef>
          </c:xVal>
          <c:yVal>
            <c:numRef>
              <c:f>Start_up!$G$10:$G$112</c:f>
              <c:numCache>
                <c:formatCode>General</c:formatCode>
                <c:ptCount val="103"/>
                <c:pt idx="0">
                  <c:v>2.6864035087719302</c:v>
                </c:pt>
                <c:pt idx="1">
                  <c:v>2.7124850962357354</c:v>
                </c:pt>
                <c:pt idx="2">
                  <c:v>2.7390780873753013</c:v>
                </c:pt>
                <c:pt idx="3">
                  <c:v>2.7661976723988193</c:v>
                </c:pt>
                <c:pt idx="4">
                  <c:v>2.7938596491228074</c:v>
                </c:pt>
                <c:pt idx="5">
                  <c:v>2.8220804536594013</c:v>
                </c:pt>
                <c:pt idx="6">
                  <c:v>2.8508771929824563</c:v>
                </c:pt>
                <c:pt idx="7">
                  <c:v>2.8802676795080489</c:v>
                </c:pt>
                <c:pt idx="8">
                  <c:v>2.9102704678362574</c:v>
                </c:pt>
                <c:pt idx="9">
                  <c:v>2.9409048938134816</c:v>
                </c:pt>
                <c:pt idx="10">
                  <c:v>2.9721911160880929</c:v>
                </c:pt>
                <c:pt idx="11">
                  <c:v>3.0041501603471046</c:v>
                </c:pt>
                <c:pt idx="12">
                  <c:v>3.0368039664378337</c:v>
                </c:pt>
                <c:pt idx="13">
                  <c:v>3.0701754385964914</c:v>
                </c:pt>
                <c:pt idx="14">
                  <c:v>3.1042884990253419</c:v>
                </c:pt>
                <c:pt idx="15">
                  <c:v>3.1391681450818059</c:v>
                </c:pt>
                <c:pt idx="16">
                  <c:v>3.1748405103668267</c:v>
                </c:pt>
                <c:pt idx="17">
                  <c:v>3.2113329300262152</c:v>
                </c:pt>
                <c:pt idx="18">
                  <c:v>3.2486740106079157</c:v>
                </c:pt>
                <c:pt idx="19">
                  <c:v>3.2868937048503617</c:v>
                </c:pt>
                <c:pt idx="20">
                  <c:v>3.3260233918128659</c:v>
                </c:pt>
                <c:pt idx="21">
                  <c:v>3.3660959627985627</c:v>
                </c:pt>
                <c:pt idx="22">
                  <c:v>3.4071459135643991</c:v>
                </c:pt>
                <c:pt idx="23">
                  <c:v>3.4492094433614904</c:v>
                </c:pt>
                <c:pt idx="24">
                  <c:v>3.4923245614035094</c:v>
                </c:pt>
                <c:pt idx="25">
                  <c:v>3.5365312014212749</c:v>
                </c:pt>
                <c:pt idx="26">
                  <c:v>3.5818713450292403</c:v>
                </c:pt>
                <c:pt idx="27">
                  <c:v>3.6283891547049447</c:v>
                </c:pt>
                <c:pt idx="28">
                  <c:v>3.6761311172668516</c:v>
                </c:pt>
                <c:pt idx="29">
                  <c:v>3.7251461988304095</c:v>
                </c:pt>
                <c:pt idx="30">
                  <c:v>3.775486012328118</c:v>
                </c:pt>
                <c:pt idx="31">
                  <c:v>3.8272049987983663</c:v>
                </c:pt>
                <c:pt idx="32">
                  <c:v>3.8803606237816775</c:v>
                </c:pt>
                <c:pt idx="33">
                  <c:v>3.9350135903138126</c:v>
                </c:pt>
                <c:pt idx="34">
                  <c:v>3.9912280701754388</c:v>
                </c:pt>
                <c:pt idx="35">
                  <c:v>4.0490719552504455</c:v>
                </c:pt>
                <c:pt idx="36">
                  <c:v>4.1086171310629522</c:v>
                </c:pt>
                <c:pt idx="37">
                  <c:v>4.1699397748101603</c:v>
                </c:pt>
                <c:pt idx="38">
                  <c:v>4.233120680489102</c:v>
                </c:pt>
                <c:pt idx="39">
                  <c:v>4.2982456140350882</c:v>
                </c:pt>
                <c:pt idx="40">
                  <c:v>4.365405701754387</c:v>
                </c:pt>
                <c:pt idx="41">
                  <c:v>4.4346978557504881</c:v>
                </c:pt>
                <c:pt idx="42">
                  <c:v>4.5062252405206564</c:v>
                </c:pt>
                <c:pt idx="43">
                  <c:v>4.5800977854472249</c:v>
                </c:pt>
                <c:pt idx="44">
                  <c:v>4.6564327485380126</c:v>
                </c:pt>
                <c:pt idx="45">
                  <c:v>4.7353553374962845</c:v>
                </c:pt>
                <c:pt idx="46">
                  <c:v>4.8169993950393222</c:v>
                </c:pt>
                <c:pt idx="47">
                  <c:v>4.9015081563558018</c:v>
                </c:pt>
                <c:pt idx="48">
                  <c:v>4.9890350877192988</c:v>
                </c:pt>
                <c:pt idx="49">
                  <c:v>5.0797448165869223</c:v>
                </c:pt>
                <c:pt idx="50">
                  <c:v>5.173814165042236</c:v>
                </c:pt>
                <c:pt idx="51">
                  <c:v>5.2714333002317124</c:v>
                </c:pt>
                <c:pt idx="52">
                  <c:v>5.3728070175438605</c:v>
                </c:pt>
                <c:pt idx="53">
                  <c:v>5.4781561747506018</c:v>
                </c:pt>
                <c:pt idx="54">
                  <c:v>5.5877192982456156</c:v>
                </c:pt>
                <c:pt idx="55">
                  <c:v>5.7017543859649127</c:v>
                </c:pt>
                <c:pt idx="56">
                  <c:v>5.8205409356725148</c:v>
                </c:pt>
                <c:pt idx="57">
                  <c:v>5.9443822321761868</c:v>
                </c:pt>
                <c:pt idx="58">
                  <c:v>6.0736079328756674</c:v>
                </c:pt>
                <c:pt idx="59">
                  <c:v>6.2085769980506837</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numCache>
            </c:numRef>
          </c:yVal>
          <c:smooth val="1"/>
          <c:extLst>
            <c:ext xmlns:c16="http://schemas.microsoft.com/office/drawing/2014/chart" uri="{C3380CC4-5D6E-409C-BE32-E72D297353CC}">
              <c16:uniqueId val="{00000001-77BB-4532-B16B-D2641AD4C0CA}"/>
            </c:ext>
          </c:extLst>
        </c:ser>
        <c:dLbls>
          <c:showLegendKey val="0"/>
          <c:showVal val="0"/>
          <c:showCatName val="0"/>
          <c:showSerName val="0"/>
          <c:showPercent val="0"/>
          <c:showBubbleSize val="0"/>
        </c:dLbls>
        <c:axId val="206551296"/>
        <c:axId val="206557568"/>
      </c:scatterChart>
      <c:valAx>
        <c:axId val="20655129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206557568"/>
        <c:crosses val="autoZero"/>
        <c:crossBetween val="midCat"/>
      </c:valAx>
      <c:valAx>
        <c:axId val="206557568"/>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20655129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training.ti.com/node/1133681" TargetMode="External"/><Relationship Id="rId3" Type="http://schemas.openxmlformats.org/officeDocument/2006/relationships/image" Target="../media/image3.emf"/><Relationship Id="rId7" Type="http://schemas.openxmlformats.org/officeDocument/2006/relationships/chart" Target="../charts/chart3.xml"/><Relationship Id="rId12" Type="http://schemas.openxmlformats.org/officeDocument/2006/relationships/hyperlink" Target="https://training.ti.com/node/1133677" TargetMode="External"/><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training.ti.com/node/1133664" TargetMode="External"/><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chart" Target="../charts/chart1.xml"/><Relationship Id="rId15" Type="http://schemas.openxmlformats.org/officeDocument/2006/relationships/image" Target="../media/image9.png"/><Relationship Id="rId10" Type="http://schemas.openxmlformats.org/officeDocument/2006/relationships/hyperlink" Target="http://www.ti.com/power-management/protection-monitoring-hot-swap/controllers/support-training.html#videos" TargetMode="External"/><Relationship Id="rId19"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6.png"/><Relationship Id="rId14" Type="http://schemas.openxmlformats.org/officeDocument/2006/relationships/hyperlink" Target="https://training.ti.com/node/113367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extLst>
            <a:ext uri="{FF2B5EF4-FFF2-40B4-BE49-F238E27FC236}">
              <a16:creationId xmlns:a16="http://schemas.microsoft.com/office/drawing/2014/main"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59</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133</xdr:row>
      <xdr:rowOff>95251</xdr:rowOff>
    </xdr:from>
    <xdr:to>
      <xdr:col>10</xdr:col>
      <xdr:colOff>632842</xdr:colOff>
      <xdr:row>133</xdr:row>
      <xdr:rowOff>97409</xdr:rowOff>
    </xdr:to>
    <xdr:pic>
      <xdr:nvPicPr>
        <xdr:cNvPr id="3" name="Picture 21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49</xdr:row>
      <xdr:rowOff>76201</xdr:rowOff>
    </xdr:from>
    <xdr:to>
      <xdr:col>38</xdr:col>
      <xdr:colOff>310443</xdr:colOff>
      <xdr:row>64</xdr:row>
      <xdr:rowOff>98778</xdr:rowOff>
    </xdr:to>
    <xdr:graphicFrame macro="">
      <xdr:nvGraphicFramePr>
        <xdr:cNvPr id="19" name="Chart 100">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0</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55</xdr:row>
      <xdr:rowOff>91440</xdr:rowOff>
    </xdr:from>
    <xdr:ext cx="184731" cy="26456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81</xdr:row>
      <xdr:rowOff>57275</xdr:rowOff>
    </xdr:from>
    <xdr:to>
      <xdr:col>38</xdr:col>
      <xdr:colOff>326519</xdr:colOff>
      <xdr:row>90</xdr:row>
      <xdr:rowOff>347133</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37</xdr:row>
      <xdr:rowOff>152400</xdr:rowOff>
    </xdr:from>
    <xdr:to>
      <xdr:col>11</xdr:col>
      <xdr:colOff>499533</xdr:colOff>
      <xdr:row>48</xdr:row>
      <xdr:rowOff>35437</xdr:rowOff>
    </xdr:to>
    <xdr:grpSp>
      <xdr:nvGrpSpPr>
        <xdr:cNvPr id="20" name="Group 19">
          <a:extLst>
            <a:ext uri="{FF2B5EF4-FFF2-40B4-BE49-F238E27FC236}">
              <a16:creationId xmlns:a16="http://schemas.microsoft.com/office/drawing/2014/main" id="{00000000-0008-0000-0100-000014000000}"/>
            </a:ext>
          </a:extLst>
        </xdr:cNvPr>
        <xdr:cNvGrpSpPr/>
      </xdr:nvGrpSpPr>
      <xdr:grpSpPr>
        <a:xfrm>
          <a:off x="8477561" y="8385717"/>
          <a:ext cx="2569167" cy="1978537"/>
          <a:chOff x="8025536" y="4434091"/>
          <a:chExt cx="2861885" cy="2548942"/>
        </a:xfrm>
      </xdr:grpSpPr>
      <xdr:grpSp>
        <xdr:nvGrpSpPr>
          <xdr:cNvPr id="21" name="Group 20">
            <a:extLst>
              <a:ext uri="{FF2B5EF4-FFF2-40B4-BE49-F238E27FC236}">
                <a16:creationId xmlns:a16="http://schemas.microsoft.com/office/drawing/2014/main" id="{00000000-0008-0000-0100-000015000000}"/>
              </a:ext>
            </a:extLst>
          </xdr:cNvPr>
          <xdr:cNvGrpSpPr/>
        </xdr:nvGrpSpPr>
        <xdr:grpSpPr>
          <a:xfrm>
            <a:off x="8025536" y="4434091"/>
            <a:ext cx="2861885" cy="2548942"/>
            <a:chOff x="7532443" y="4392378"/>
            <a:chExt cx="2857500" cy="2548942"/>
          </a:xfrm>
        </xdr:grpSpPr>
        <xdr:pic>
          <xdr:nvPicPr>
            <xdr:cNvPr id="23" name="Pictur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a:extLst>
                <a:ext uri="{FF2B5EF4-FFF2-40B4-BE49-F238E27FC236}">
                  <a16:creationId xmlns:a16="http://schemas.microsoft.com/office/drawing/2014/main" id="{00000000-0008-0000-0100-000018000000}"/>
                </a:ext>
              </a:extLst>
            </xdr:cNvPr>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a:extLst>
              <a:ext uri="{FF2B5EF4-FFF2-40B4-BE49-F238E27FC236}">
                <a16:creationId xmlns:a16="http://schemas.microsoft.com/office/drawing/2014/main" id="{00000000-0008-0000-0100-000016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45</xdr:row>
      <xdr:rowOff>93973</xdr:rowOff>
    </xdr:from>
    <xdr:ext cx="1303020" cy="405432"/>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43</xdr:row>
      <xdr:rowOff>144355</xdr:rowOff>
    </xdr:from>
    <xdr:ext cx="533400" cy="236221"/>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43</xdr:row>
      <xdr:rowOff>145202</xdr:rowOff>
    </xdr:from>
    <xdr:ext cx="640080" cy="236221"/>
    <xdr:sp macro="" textlink="">
      <xdr:nvSpPr>
        <xdr:cNvPr id="27" name="TextBox 26">
          <a:extLst>
            <a:ext uri="{FF2B5EF4-FFF2-40B4-BE49-F238E27FC236}">
              <a16:creationId xmlns:a16="http://schemas.microsoft.com/office/drawing/2014/main" id="{00000000-0008-0000-0100-00001B000000}"/>
            </a:ext>
          </a:extLst>
        </xdr:cNvPr>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104</xdr:row>
      <xdr:rowOff>122184</xdr:rowOff>
    </xdr:from>
    <xdr:to>
      <xdr:col>3</xdr:col>
      <xdr:colOff>913696</xdr:colOff>
      <xdr:row>119</xdr:row>
      <xdr:rowOff>7895</xdr:rowOff>
    </xdr:to>
    <xdr:pic>
      <xdr:nvPicPr>
        <xdr:cNvPr id="15" name="Pictur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104</xdr:row>
      <xdr:rowOff>60960</xdr:rowOff>
    </xdr:from>
    <xdr:ext cx="480060" cy="280205"/>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twoCellAnchor editAs="oneCell">
    <xdr:from>
      <xdr:col>1</xdr:col>
      <xdr:colOff>84666</xdr:colOff>
      <xdr:row>14</xdr:row>
      <xdr:rowOff>35279</xdr:rowOff>
    </xdr:from>
    <xdr:to>
      <xdr:col>2</xdr:col>
      <xdr:colOff>3880</xdr:colOff>
      <xdr:row>21</xdr:row>
      <xdr:rowOff>220524</xdr:rowOff>
    </xdr:to>
    <xdr:pic>
      <xdr:nvPicPr>
        <xdr:cNvPr id="28" name="Picture 27">
          <a:hlinkClick xmlns:r="http://schemas.openxmlformats.org/officeDocument/2006/relationships" r:id="rId10"/>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1"/>
        <a:stretch>
          <a:fillRect/>
        </a:stretch>
      </xdr:blipFill>
      <xdr:spPr>
        <a:xfrm>
          <a:off x="119944" y="3471335"/>
          <a:ext cx="1700389" cy="1723356"/>
        </a:xfrm>
        <a:prstGeom prst="rect">
          <a:avLst/>
        </a:prstGeom>
      </xdr:spPr>
    </xdr:pic>
    <xdr:clientData/>
  </xdr:twoCellAnchor>
  <xdr:twoCellAnchor editAs="oneCell">
    <xdr:from>
      <xdr:col>1</xdr:col>
      <xdr:colOff>42333</xdr:colOff>
      <xdr:row>27</xdr:row>
      <xdr:rowOff>14111</xdr:rowOff>
    </xdr:from>
    <xdr:to>
      <xdr:col>1</xdr:col>
      <xdr:colOff>1760243</xdr:colOff>
      <xdr:row>32</xdr:row>
      <xdr:rowOff>4166</xdr:rowOff>
    </xdr:to>
    <xdr:pic>
      <xdr:nvPicPr>
        <xdr:cNvPr id="29" name="Picture 28">
          <a:hlinkClick xmlns:r="http://schemas.openxmlformats.org/officeDocument/2006/relationships" r:id="rId12"/>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3"/>
        <a:stretch>
          <a:fillRect/>
        </a:stretch>
      </xdr:blipFill>
      <xdr:spPr>
        <a:xfrm>
          <a:off x="77611" y="6455833"/>
          <a:ext cx="1746485" cy="942555"/>
        </a:xfrm>
        <a:prstGeom prst="rect">
          <a:avLst/>
        </a:prstGeom>
      </xdr:spPr>
    </xdr:pic>
    <xdr:clientData/>
  </xdr:twoCellAnchor>
  <xdr:twoCellAnchor editAs="oneCell">
    <xdr:from>
      <xdr:col>1</xdr:col>
      <xdr:colOff>49388</xdr:colOff>
      <xdr:row>38</xdr:row>
      <xdr:rowOff>21166</xdr:rowOff>
    </xdr:from>
    <xdr:to>
      <xdr:col>2</xdr:col>
      <xdr:colOff>13165</xdr:colOff>
      <xdr:row>44</xdr:row>
      <xdr:rowOff>21166</xdr:rowOff>
    </xdr:to>
    <xdr:pic>
      <xdr:nvPicPr>
        <xdr:cNvPr id="30" name="Picture 29">
          <a:hlinkClick xmlns:r="http://schemas.openxmlformats.org/officeDocument/2006/relationships" r:id="rId12"/>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3"/>
        <a:stretch>
          <a:fillRect/>
        </a:stretch>
      </xdr:blipFill>
      <xdr:spPr>
        <a:xfrm>
          <a:off x="77963" y="8493654"/>
          <a:ext cx="1849727" cy="1143000"/>
        </a:xfrm>
        <a:prstGeom prst="rect">
          <a:avLst/>
        </a:prstGeom>
      </xdr:spPr>
    </xdr:pic>
    <xdr:clientData/>
  </xdr:twoCellAnchor>
  <xdr:twoCellAnchor editAs="oneCell">
    <xdr:from>
      <xdr:col>1</xdr:col>
      <xdr:colOff>63500</xdr:colOff>
      <xdr:row>50</xdr:row>
      <xdr:rowOff>14111</xdr:rowOff>
    </xdr:from>
    <xdr:to>
      <xdr:col>2</xdr:col>
      <xdr:colOff>79088</xdr:colOff>
      <xdr:row>55</xdr:row>
      <xdr:rowOff>107062</xdr:rowOff>
    </xdr:to>
    <xdr:pic>
      <xdr:nvPicPr>
        <xdr:cNvPr id="31" name="Picture 30">
          <a:hlinkClick xmlns:r="http://schemas.openxmlformats.org/officeDocument/2006/relationships" r:id="rId14"/>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5"/>
        <a:stretch>
          <a:fillRect/>
        </a:stretch>
      </xdr:blipFill>
      <xdr:spPr>
        <a:xfrm>
          <a:off x="98778" y="10823222"/>
          <a:ext cx="1857088" cy="1031340"/>
        </a:xfrm>
        <a:prstGeom prst="rect">
          <a:avLst/>
        </a:prstGeom>
      </xdr:spPr>
    </xdr:pic>
    <xdr:clientData/>
  </xdr:twoCellAnchor>
  <xdr:twoCellAnchor editAs="oneCell">
    <xdr:from>
      <xdr:col>1</xdr:col>
      <xdr:colOff>63500</xdr:colOff>
      <xdr:row>68</xdr:row>
      <xdr:rowOff>21167</xdr:rowOff>
    </xdr:from>
    <xdr:to>
      <xdr:col>2</xdr:col>
      <xdr:colOff>181580</xdr:colOff>
      <xdr:row>75</xdr:row>
      <xdr:rowOff>101269</xdr:rowOff>
    </xdr:to>
    <xdr:pic>
      <xdr:nvPicPr>
        <xdr:cNvPr id="32" name="Picture 31">
          <a:hlinkClick xmlns:r="http://schemas.openxmlformats.org/officeDocument/2006/relationships" r:id="rId16"/>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7"/>
        <a:stretch>
          <a:fillRect/>
        </a:stretch>
      </xdr:blipFill>
      <xdr:spPr>
        <a:xfrm>
          <a:off x="98778" y="14259278"/>
          <a:ext cx="1959580" cy="1216047"/>
        </a:xfrm>
        <a:prstGeom prst="rect">
          <a:avLst/>
        </a:prstGeom>
      </xdr:spPr>
    </xdr:pic>
    <xdr:clientData/>
  </xdr:twoCellAnchor>
  <xdr:twoCellAnchor editAs="oneCell">
    <xdr:from>
      <xdr:col>1</xdr:col>
      <xdr:colOff>0</xdr:colOff>
      <xdr:row>92</xdr:row>
      <xdr:rowOff>0</xdr:rowOff>
    </xdr:from>
    <xdr:to>
      <xdr:col>2</xdr:col>
      <xdr:colOff>167286</xdr:colOff>
      <xdr:row>97</xdr:row>
      <xdr:rowOff>126999</xdr:rowOff>
    </xdr:to>
    <xdr:pic>
      <xdr:nvPicPr>
        <xdr:cNvPr id="33" name="Picture 32">
          <a:hlinkClick xmlns:r="http://schemas.openxmlformats.org/officeDocument/2006/relationships" r:id="rId18"/>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9"/>
        <a:stretch>
          <a:fillRect/>
        </a:stretch>
      </xdr:blipFill>
      <xdr:spPr>
        <a:xfrm>
          <a:off x="35278" y="18908889"/>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printerSettings" Target="../printerSettings/printerSettings1.bin"/><Relationship Id="rId3" Type="http://schemas.openxmlformats.org/officeDocument/2006/relationships/hyperlink" Target="http://www.ti.com/product/TPS2490" TargetMode="External"/><Relationship Id="rId21" Type="http://schemas.openxmlformats.org/officeDocument/2006/relationships/comments" Target="../comments1.xm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7"/>
  <sheetViews>
    <sheetView workbookViewId="0">
      <selection activeCell="B9" sqref="B9"/>
    </sheetView>
  </sheetViews>
  <sheetFormatPr defaultRowHeight="12.75" x14ac:dyDescent="0.2"/>
  <sheetData>
    <row r="1" spans="1:16" ht="13.5" thickTop="1" x14ac:dyDescent="0.2">
      <c r="A1" s="93"/>
      <c r="B1" s="94"/>
      <c r="C1" s="94"/>
      <c r="D1" s="94"/>
      <c r="E1" s="94"/>
      <c r="F1" s="94"/>
      <c r="G1" s="94"/>
      <c r="H1" s="94"/>
      <c r="I1" s="94"/>
      <c r="J1" s="94"/>
      <c r="K1" s="94"/>
      <c r="L1" s="94"/>
      <c r="M1" s="94"/>
      <c r="N1" s="94"/>
      <c r="O1" s="94"/>
      <c r="P1" s="95"/>
    </row>
    <row r="2" spans="1:16" x14ac:dyDescent="0.2">
      <c r="A2" s="96"/>
      <c r="B2" s="97"/>
      <c r="C2" s="97"/>
      <c r="D2" s="97"/>
      <c r="E2" s="97"/>
      <c r="F2" s="97"/>
      <c r="G2" s="97"/>
      <c r="H2" s="97"/>
      <c r="I2" s="97"/>
      <c r="J2" s="97"/>
      <c r="K2" s="97"/>
      <c r="L2" s="97"/>
      <c r="M2" s="97"/>
      <c r="N2" s="97"/>
      <c r="O2" s="97"/>
      <c r="P2" s="98"/>
    </row>
    <row r="3" spans="1:16" ht="30" x14ac:dyDescent="0.4">
      <c r="A3" s="96"/>
      <c r="B3" s="97"/>
      <c r="C3" s="97"/>
      <c r="D3" s="99"/>
      <c r="E3" s="97"/>
      <c r="F3" s="97"/>
      <c r="G3" s="97"/>
      <c r="H3" s="97"/>
      <c r="I3" s="97"/>
      <c r="J3" s="97"/>
      <c r="K3" s="97"/>
      <c r="L3" s="100"/>
      <c r="M3" s="97"/>
      <c r="N3" s="97"/>
      <c r="O3" s="97"/>
      <c r="P3" s="98"/>
    </row>
    <row r="4" spans="1:16" ht="23.25" x14ac:dyDescent="0.35">
      <c r="A4" s="96"/>
      <c r="B4" s="97"/>
      <c r="C4" s="97"/>
      <c r="D4" s="101"/>
      <c r="E4" s="97"/>
      <c r="F4" s="97"/>
      <c r="G4" s="97"/>
      <c r="H4" s="97"/>
      <c r="I4" s="97"/>
      <c r="J4" s="97"/>
      <c r="K4" s="97"/>
      <c r="L4" s="97"/>
      <c r="M4" s="97"/>
      <c r="N4" s="97"/>
      <c r="O4" s="97"/>
      <c r="P4" s="98"/>
    </row>
    <row r="5" spans="1:16" x14ac:dyDescent="0.2">
      <c r="A5" s="96"/>
      <c r="B5" s="97"/>
      <c r="C5" s="97"/>
      <c r="D5" s="97"/>
      <c r="E5" s="97"/>
      <c r="F5" s="97"/>
      <c r="G5" s="97"/>
      <c r="H5" s="97"/>
      <c r="I5" s="97"/>
      <c r="J5" s="97"/>
      <c r="K5" s="97"/>
      <c r="L5" s="97"/>
      <c r="M5" s="97"/>
      <c r="N5" s="97"/>
      <c r="O5" s="97"/>
      <c r="P5" s="98"/>
    </row>
    <row r="6" spans="1:16" x14ac:dyDescent="0.2">
      <c r="A6" s="96"/>
      <c r="B6" s="97"/>
      <c r="C6" s="97"/>
      <c r="D6" s="97"/>
      <c r="E6" s="97"/>
      <c r="F6" s="97"/>
      <c r="G6" s="97"/>
      <c r="H6" s="97"/>
      <c r="I6" s="97"/>
      <c r="J6" s="97"/>
      <c r="K6" s="97"/>
      <c r="L6" s="97"/>
      <c r="M6" s="97"/>
      <c r="N6" s="97"/>
      <c r="O6" s="97"/>
      <c r="P6" s="98"/>
    </row>
    <row r="7" spans="1:16" ht="15.75" x14ac:dyDescent="0.25">
      <c r="A7" s="96"/>
      <c r="B7" s="97"/>
      <c r="C7" s="97"/>
      <c r="D7" s="97"/>
      <c r="E7" s="97"/>
      <c r="F7" s="97"/>
      <c r="G7" s="97"/>
      <c r="H7" s="97"/>
      <c r="I7" s="97"/>
      <c r="J7" s="97"/>
      <c r="K7" s="97"/>
      <c r="L7" s="97"/>
      <c r="M7" s="100" t="s">
        <v>387</v>
      </c>
      <c r="N7" s="97"/>
      <c r="O7" s="97"/>
      <c r="P7" s="98"/>
    </row>
    <row r="8" spans="1:16" ht="30" x14ac:dyDescent="0.4">
      <c r="A8" s="96"/>
      <c r="B8" s="99" t="s">
        <v>401</v>
      </c>
      <c r="C8" s="97"/>
      <c r="D8" s="97"/>
      <c r="E8" s="97"/>
      <c r="F8" s="97"/>
      <c r="G8" s="97"/>
      <c r="H8" s="97"/>
      <c r="I8" s="97"/>
      <c r="J8" s="97"/>
      <c r="K8" s="97"/>
      <c r="L8" s="97"/>
      <c r="M8" s="97"/>
      <c r="N8" s="97"/>
      <c r="O8" s="97"/>
      <c r="P8" s="98"/>
    </row>
    <row r="9" spans="1:16" x14ac:dyDescent="0.2">
      <c r="A9" s="96"/>
      <c r="B9" s="97"/>
      <c r="C9" s="97"/>
      <c r="D9" s="97"/>
      <c r="E9" s="97"/>
      <c r="F9" s="97"/>
      <c r="G9" s="97"/>
      <c r="H9" s="97"/>
      <c r="I9" s="97"/>
      <c r="J9" s="97"/>
      <c r="K9" s="97"/>
      <c r="L9" s="97"/>
      <c r="M9" s="97"/>
      <c r="N9" s="97"/>
      <c r="O9" s="97"/>
      <c r="P9" s="98"/>
    </row>
    <row r="10" spans="1:16" ht="20.25" x14ac:dyDescent="0.3">
      <c r="A10" s="96"/>
      <c r="B10" s="102" t="s">
        <v>325</v>
      </c>
      <c r="C10" s="103"/>
      <c r="D10" s="103"/>
      <c r="E10" s="103"/>
      <c r="F10" s="97"/>
      <c r="G10" s="97"/>
      <c r="H10" s="97"/>
      <c r="I10" s="97"/>
      <c r="J10" s="97"/>
      <c r="K10" s="97"/>
      <c r="L10" s="97"/>
      <c r="M10" s="97"/>
      <c r="N10" s="97"/>
      <c r="O10" s="97"/>
      <c r="P10" s="98"/>
    </row>
    <row r="11" spans="1:16" ht="14.25" x14ac:dyDescent="0.2">
      <c r="A11" s="96"/>
      <c r="B11" s="104" t="s">
        <v>326</v>
      </c>
      <c r="C11" s="105"/>
      <c r="D11" s="105"/>
      <c r="E11" s="105"/>
      <c r="F11" s="97"/>
      <c r="G11" s="97"/>
      <c r="H11" s="97"/>
      <c r="I11" s="97"/>
      <c r="J11" s="97"/>
      <c r="K11" s="97"/>
      <c r="L11" s="97"/>
      <c r="M11" s="97"/>
      <c r="N11" s="97"/>
      <c r="O11" s="97"/>
      <c r="P11" s="98"/>
    </row>
    <row r="12" spans="1:16" ht="14.25" x14ac:dyDescent="0.2">
      <c r="A12" s="96"/>
      <c r="B12" s="104" t="s">
        <v>327</v>
      </c>
      <c r="C12" s="105"/>
      <c r="D12" s="105"/>
      <c r="E12" s="105"/>
      <c r="F12" s="97"/>
      <c r="G12" s="97"/>
      <c r="H12" s="97"/>
      <c r="I12" s="97"/>
      <c r="J12" s="97"/>
      <c r="K12" s="97"/>
      <c r="L12" s="97"/>
      <c r="M12" s="97"/>
      <c r="N12" s="97"/>
      <c r="O12" s="97"/>
      <c r="P12" s="98"/>
    </row>
    <row r="13" spans="1:16" ht="14.25" x14ac:dyDescent="0.2">
      <c r="A13" s="96"/>
      <c r="B13" s="104"/>
      <c r="C13" s="105"/>
      <c r="D13" s="105"/>
      <c r="E13" s="105"/>
      <c r="F13" s="97"/>
      <c r="G13" s="97"/>
      <c r="H13" s="97"/>
      <c r="I13" s="97"/>
      <c r="J13" s="97"/>
      <c r="K13" s="97"/>
      <c r="L13" s="97"/>
      <c r="M13" s="97"/>
      <c r="N13" s="97"/>
      <c r="O13" s="97"/>
      <c r="P13" s="98"/>
    </row>
    <row r="14" spans="1:16" x14ac:dyDescent="0.2">
      <c r="A14" s="96"/>
      <c r="B14" s="323" t="s">
        <v>355</v>
      </c>
      <c r="C14" s="323"/>
      <c r="D14" s="323"/>
      <c r="E14" s="103"/>
      <c r="F14" s="97"/>
      <c r="G14" s="97"/>
      <c r="H14" s="97"/>
      <c r="I14" s="97"/>
      <c r="J14" s="97"/>
      <c r="K14" s="97"/>
      <c r="L14" s="97"/>
      <c r="M14" s="97"/>
      <c r="N14" s="97"/>
      <c r="O14" s="97"/>
      <c r="P14" s="98"/>
    </row>
    <row r="15" spans="1:16" x14ac:dyDescent="0.2">
      <c r="A15" s="96"/>
      <c r="B15" s="313"/>
      <c r="C15" s="313"/>
      <c r="D15" s="313"/>
      <c r="E15" s="313"/>
      <c r="F15" s="313"/>
      <c r="G15" s="313"/>
      <c r="H15" s="313"/>
      <c r="I15" s="313"/>
      <c r="J15" s="97"/>
      <c r="K15" s="97"/>
      <c r="L15" s="97"/>
      <c r="M15" s="97"/>
      <c r="N15" s="97"/>
      <c r="O15" s="97"/>
      <c r="P15" s="98"/>
    </row>
    <row r="16" spans="1:16" x14ac:dyDescent="0.2">
      <c r="A16" s="96"/>
      <c r="B16" s="103"/>
      <c r="C16" s="103"/>
      <c r="D16" s="103"/>
      <c r="E16" s="103"/>
      <c r="F16" s="97"/>
      <c r="G16" s="97"/>
      <c r="H16" s="97"/>
      <c r="I16" s="97"/>
      <c r="J16" s="97"/>
      <c r="K16" s="97"/>
      <c r="L16" s="97"/>
      <c r="M16" s="97"/>
      <c r="N16" s="97"/>
      <c r="O16" s="97"/>
      <c r="P16" s="98"/>
    </row>
    <row r="17" spans="1:16" x14ac:dyDescent="0.2">
      <c r="A17" s="96"/>
      <c r="B17" s="106" t="s">
        <v>328</v>
      </c>
      <c r="C17" s="103"/>
      <c r="D17" s="103"/>
      <c r="E17" s="103"/>
      <c r="F17" s="97"/>
      <c r="G17" s="97"/>
      <c r="H17" s="97"/>
      <c r="I17" s="97"/>
      <c r="J17" s="97"/>
      <c r="K17" s="97"/>
      <c r="L17" s="97"/>
      <c r="M17" s="97"/>
      <c r="N17" s="97"/>
      <c r="O17" s="97"/>
      <c r="P17" s="98"/>
    </row>
    <row r="18" spans="1:16" x14ac:dyDescent="0.2">
      <c r="A18" s="96"/>
      <c r="B18" s="107" t="s">
        <v>329</v>
      </c>
      <c r="C18" s="103"/>
      <c r="D18" s="103"/>
      <c r="E18" s="103"/>
      <c r="F18" s="97"/>
      <c r="G18" s="97"/>
      <c r="H18" s="97"/>
      <c r="I18" s="97"/>
      <c r="J18" s="97"/>
      <c r="K18" s="97"/>
      <c r="L18" s="97"/>
      <c r="M18" s="97"/>
      <c r="N18" s="97"/>
      <c r="O18" s="97"/>
      <c r="P18" s="98"/>
    </row>
    <row r="19" spans="1:16" x14ac:dyDescent="0.2">
      <c r="A19" s="96"/>
      <c r="B19" s="107" t="s">
        <v>330</v>
      </c>
      <c r="C19" s="103"/>
      <c r="D19" s="103"/>
      <c r="E19" s="103"/>
      <c r="F19" s="97"/>
      <c r="G19" s="97"/>
      <c r="H19" s="97"/>
      <c r="I19" s="97"/>
      <c r="J19" s="97"/>
      <c r="K19" s="97"/>
      <c r="L19" s="97"/>
      <c r="M19" s="97"/>
      <c r="N19" s="97"/>
      <c r="O19" s="97"/>
      <c r="P19" s="98"/>
    </row>
    <row r="20" spans="1:16" x14ac:dyDescent="0.2">
      <c r="A20" s="96"/>
      <c r="B20" s="107" t="s">
        <v>331</v>
      </c>
      <c r="C20" s="103"/>
      <c r="D20" s="103"/>
      <c r="E20" s="103"/>
      <c r="F20" s="97"/>
      <c r="G20" s="97"/>
      <c r="H20" s="97"/>
      <c r="I20" s="97"/>
      <c r="J20" s="97"/>
      <c r="K20" s="97"/>
      <c r="L20" s="97"/>
      <c r="M20" s="97"/>
      <c r="N20" s="97"/>
      <c r="O20" s="97"/>
      <c r="P20" s="98"/>
    </row>
    <row r="21" spans="1:16" x14ac:dyDescent="0.2">
      <c r="A21" s="96"/>
      <c r="B21" s="107" t="s">
        <v>332</v>
      </c>
      <c r="C21" s="103"/>
      <c r="D21" s="103"/>
      <c r="E21" s="103"/>
      <c r="F21" s="97"/>
      <c r="G21" s="97"/>
      <c r="H21" s="97"/>
      <c r="I21" s="97"/>
      <c r="J21" s="97"/>
      <c r="K21" s="97"/>
      <c r="L21" s="97"/>
      <c r="M21" s="97"/>
      <c r="N21" s="97"/>
      <c r="O21" s="97"/>
      <c r="P21" s="98"/>
    </row>
    <row r="22" spans="1:16" x14ac:dyDescent="0.2">
      <c r="A22" s="96"/>
      <c r="B22" s="107" t="s">
        <v>333</v>
      </c>
      <c r="C22" s="103"/>
      <c r="D22" s="103"/>
      <c r="E22" s="103"/>
      <c r="F22" s="97"/>
      <c r="G22" s="97"/>
      <c r="H22" s="97"/>
      <c r="I22" s="97"/>
      <c r="J22" s="97"/>
      <c r="K22" s="97"/>
      <c r="L22" s="97"/>
      <c r="M22" s="97"/>
      <c r="N22" s="97"/>
      <c r="O22" s="97"/>
      <c r="P22" s="98"/>
    </row>
    <row r="23" spans="1:16" x14ac:dyDescent="0.2">
      <c r="A23" s="96"/>
      <c r="B23" s="107" t="s">
        <v>334</v>
      </c>
      <c r="C23" s="103"/>
      <c r="D23" s="103"/>
      <c r="E23" s="103"/>
      <c r="F23" s="97"/>
      <c r="G23" s="97"/>
      <c r="H23" s="97"/>
      <c r="I23" s="97"/>
      <c r="J23" s="97"/>
      <c r="K23" s="97"/>
      <c r="L23" s="97"/>
      <c r="M23" s="97"/>
      <c r="N23" s="97"/>
      <c r="O23" s="97"/>
      <c r="P23" s="98"/>
    </row>
    <row r="24" spans="1:16" x14ac:dyDescent="0.2">
      <c r="A24" s="96"/>
      <c r="B24" s="107" t="s">
        <v>335</v>
      </c>
      <c r="C24" s="103"/>
      <c r="D24" s="103"/>
      <c r="E24" s="103"/>
      <c r="F24" s="97"/>
      <c r="G24" s="97"/>
      <c r="H24" s="97"/>
      <c r="I24" s="97"/>
      <c r="J24" s="97"/>
      <c r="K24" s="97"/>
      <c r="L24" s="97"/>
      <c r="M24" s="97"/>
      <c r="N24" s="97"/>
      <c r="O24" s="97"/>
      <c r="P24" s="98"/>
    </row>
    <row r="25" spans="1:16" x14ac:dyDescent="0.2">
      <c r="A25" s="96"/>
      <c r="B25" s="107"/>
      <c r="C25" s="103"/>
      <c r="D25" s="103"/>
      <c r="E25" s="103"/>
      <c r="F25" s="97"/>
      <c r="G25" s="97"/>
      <c r="H25" s="97"/>
      <c r="I25" s="97"/>
      <c r="J25" s="97"/>
      <c r="K25" s="97"/>
      <c r="L25" s="97"/>
      <c r="M25" s="97"/>
      <c r="N25" s="97"/>
      <c r="O25" s="97"/>
      <c r="P25" s="98"/>
    </row>
    <row r="26" spans="1:16" ht="20.25" x14ac:dyDescent="0.3">
      <c r="A26" s="96"/>
      <c r="B26" s="102" t="s">
        <v>336</v>
      </c>
      <c r="C26" s="97"/>
      <c r="D26" s="97"/>
      <c r="E26" s="97"/>
      <c r="F26" s="97"/>
      <c r="G26" s="97"/>
      <c r="H26" s="97"/>
      <c r="I26" s="97"/>
      <c r="J26" s="97"/>
      <c r="K26" s="97"/>
      <c r="L26" s="97"/>
      <c r="M26" s="97"/>
      <c r="N26" s="97"/>
      <c r="O26" s="97"/>
      <c r="P26" s="98"/>
    </row>
    <row r="27" spans="1:16" x14ac:dyDescent="0.2">
      <c r="A27" s="96"/>
      <c r="B27" s="111" t="s">
        <v>337</v>
      </c>
      <c r="C27" s="97"/>
      <c r="D27" s="97"/>
      <c r="E27" s="97"/>
      <c r="F27" s="97"/>
      <c r="G27" s="97"/>
      <c r="H27" s="97"/>
      <c r="I27" s="97"/>
      <c r="J27" s="97"/>
      <c r="K27" s="97"/>
      <c r="L27" s="97"/>
      <c r="M27" s="97"/>
      <c r="N27" s="97"/>
      <c r="O27" s="97"/>
      <c r="P27" s="98"/>
    </row>
    <row r="28" spans="1:16" x14ac:dyDescent="0.2">
      <c r="A28" s="96"/>
      <c r="B28" s="97" t="s">
        <v>338</v>
      </c>
      <c r="C28" s="97"/>
      <c r="D28" s="97"/>
      <c r="E28" s="97"/>
      <c r="F28" s="97"/>
      <c r="G28" s="97"/>
      <c r="H28" s="97"/>
      <c r="I28" s="97"/>
      <c r="J28" s="97"/>
      <c r="K28" s="97"/>
      <c r="L28" s="97"/>
      <c r="M28" s="97"/>
      <c r="N28" s="97"/>
      <c r="O28" s="97"/>
      <c r="P28" s="98"/>
    </row>
    <row r="29" spans="1:16" x14ac:dyDescent="0.2">
      <c r="A29" s="96"/>
      <c r="B29" s="97"/>
      <c r="C29" s="97"/>
      <c r="D29" s="97"/>
      <c r="E29" s="97"/>
      <c r="F29" s="97"/>
      <c r="G29" s="97"/>
      <c r="H29" s="97"/>
      <c r="I29" s="97"/>
      <c r="J29" s="97"/>
      <c r="K29" s="97"/>
      <c r="L29" s="97"/>
      <c r="M29" s="97"/>
      <c r="N29" s="97"/>
      <c r="O29" s="97"/>
      <c r="P29" s="98"/>
    </row>
    <row r="30" spans="1:16" x14ac:dyDescent="0.2">
      <c r="A30" s="96"/>
      <c r="B30" s="111" t="s">
        <v>339</v>
      </c>
      <c r="C30" s="97"/>
      <c r="D30" s="97"/>
      <c r="E30" s="97"/>
      <c r="F30" s="97"/>
      <c r="G30" s="97"/>
      <c r="H30" s="97"/>
      <c r="I30" s="97"/>
      <c r="J30" s="97"/>
      <c r="K30" s="97"/>
      <c r="L30" s="97"/>
      <c r="M30" s="97"/>
      <c r="N30" s="97"/>
      <c r="O30" s="97"/>
      <c r="P30" s="98"/>
    </row>
    <row r="31" spans="1:16" x14ac:dyDescent="0.2">
      <c r="A31" s="96"/>
      <c r="B31" s="97"/>
      <c r="C31" s="97"/>
      <c r="D31" s="97"/>
      <c r="E31" s="97"/>
      <c r="F31" s="97"/>
      <c r="G31" s="97"/>
      <c r="H31" s="97"/>
      <c r="I31" s="97"/>
      <c r="J31" s="97"/>
      <c r="K31" s="97"/>
      <c r="L31" s="97"/>
      <c r="M31" s="97"/>
      <c r="N31" s="97"/>
      <c r="O31" s="97"/>
      <c r="P31" s="98"/>
    </row>
    <row r="32" spans="1:16" x14ac:dyDescent="0.2">
      <c r="A32" s="96"/>
      <c r="B32" s="97" t="s">
        <v>340</v>
      </c>
      <c r="C32" s="97"/>
      <c r="D32" s="97"/>
      <c r="E32" s="97"/>
      <c r="F32" s="97"/>
      <c r="G32" s="97"/>
      <c r="H32" s="97"/>
      <c r="I32" s="97"/>
      <c r="J32" s="97"/>
      <c r="K32" s="97"/>
      <c r="L32" s="97"/>
      <c r="M32" s="97"/>
      <c r="N32" s="97"/>
      <c r="O32" s="97"/>
      <c r="P32" s="98"/>
    </row>
    <row r="33" spans="1:16" ht="13.5" thickBot="1" x14ac:dyDescent="0.25">
      <c r="A33" s="96"/>
      <c r="B33" s="111"/>
      <c r="C33" s="97"/>
      <c r="D33" s="97"/>
      <c r="E33" s="97"/>
      <c r="F33" s="97"/>
      <c r="G33" s="97"/>
      <c r="H33" s="97"/>
      <c r="I33" s="97"/>
      <c r="J33" s="97"/>
      <c r="K33" s="97"/>
      <c r="L33" s="97"/>
      <c r="M33" s="97"/>
      <c r="N33" s="97"/>
      <c r="O33" s="97"/>
      <c r="P33" s="98"/>
    </row>
    <row r="34" spans="1:16" x14ac:dyDescent="0.2">
      <c r="A34" s="96"/>
      <c r="B34" s="314" t="s">
        <v>354</v>
      </c>
      <c r="C34" s="315"/>
      <c r="D34" s="315"/>
      <c r="E34" s="315"/>
      <c r="F34" s="315"/>
      <c r="G34" s="315"/>
      <c r="H34" s="315"/>
      <c r="I34" s="315"/>
      <c r="J34" s="315"/>
      <c r="K34" s="315"/>
      <c r="L34" s="315"/>
      <c r="M34" s="316"/>
      <c r="N34" s="97"/>
      <c r="O34" s="97"/>
      <c r="P34" s="98"/>
    </row>
    <row r="35" spans="1:16" x14ac:dyDescent="0.2">
      <c r="A35" s="96"/>
      <c r="B35" s="317"/>
      <c r="C35" s="318"/>
      <c r="D35" s="318"/>
      <c r="E35" s="318"/>
      <c r="F35" s="318"/>
      <c r="G35" s="318"/>
      <c r="H35" s="318"/>
      <c r="I35" s="318"/>
      <c r="J35" s="318"/>
      <c r="K35" s="318"/>
      <c r="L35" s="318"/>
      <c r="M35" s="319"/>
      <c r="N35" s="97"/>
      <c r="O35" s="97"/>
      <c r="P35" s="98"/>
    </row>
    <row r="36" spans="1:16" x14ac:dyDescent="0.2">
      <c r="A36" s="96"/>
      <c r="B36" s="317"/>
      <c r="C36" s="318"/>
      <c r="D36" s="318"/>
      <c r="E36" s="318"/>
      <c r="F36" s="318"/>
      <c r="G36" s="318"/>
      <c r="H36" s="318"/>
      <c r="I36" s="318"/>
      <c r="J36" s="318"/>
      <c r="K36" s="318"/>
      <c r="L36" s="318"/>
      <c r="M36" s="319"/>
      <c r="N36" s="97"/>
      <c r="O36" s="97"/>
      <c r="P36" s="98"/>
    </row>
    <row r="37" spans="1:16" x14ac:dyDescent="0.2">
      <c r="A37" s="96"/>
      <c r="B37" s="317"/>
      <c r="C37" s="318"/>
      <c r="D37" s="318"/>
      <c r="E37" s="318"/>
      <c r="F37" s="318"/>
      <c r="G37" s="318"/>
      <c r="H37" s="318"/>
      <c r="I37" s="318"/>
      <c r="J37" s="318"/>
      <c r="K37" s="318"/>
      <c r="L37" s="318"/>
      <c r="M37" s="319"/>
      <c r="N37" s="97"/>
      <c r="O37" s="97"/>
      <c r="P37" s="98"/>
    </row>
    <row r="38" spans="1:16" x14ac:dyDescent="0.2">
      <c r="A38" s="96"/>
      <c r="B38" s="317"/>
      <c r="C38" s="318"/>
      <c r="D38" s="318"/>
      <c r="E38" s="318"/>
      <c r="F38" s="318"/>
      <c r="G38" s="318"/>
      <c r="H38" s="318"/>
      <c r="I38" s="318"/>
      <c r="J38" s="318"/>
      <c r="K38" s="318"/>
      <c r="L38" s="318"/>
      <c r="M38" s="319"/>
      <c r="N38" s="97"/>
      <c r="O38" s="97"/>
      <c r="P38" s="98"/>
    </row>
    <row r="39" spans="1:16" x14ac:dyDescent="0.2">
      <c r="A39" s="96"/>
      <c r="B39" s="317"/>
      <c r="C39" s="318"/>
      <c r="D39" s="318"/>
      <c r="E39" s="318"/>
      <c r="F39" s="318"/>
      <c r="G39" s="318"/>
      <c r="H39" s="318"/>
      <c r="I39" s="318"/>
      <c r="J39" s="318"/>
      <c r="K39" s="318"/>
      <c r="L39" s="318"/>
      <c r="M39" s="319"/>
      <c r="N39" s="97"/>
      <c r="O39" s="97"/>
      <c r="P39" s="98"/>
    </row>
    <row r="40" spans="1:16" x14ac:dyDescent="0.2">
      <c r="A40" s="96"/>
      <c r="B40" s="317"/>
      <c r="C40" s="318"/>
      <c r="D40" s="318"/>
      <c r="E40" s="318"/>
      <c r="F40" s="318"/>
      <c r="G40" s="318"/>
      <c r="H40" s="318"/>
      <c r="I40" s="318"/>
      <c r="J40" s="318"/>
      <c r="K40" s="318"/>
      <c r="L40" s="318"/>
      <c r="M40" s="319"/>
      <c r="N40" s="97"/>
      <c r="O40" s="97"/>
      <c r="P40" s="98"/>
    </row>
    <row r="41" spans="1:16" x14ac:dyDescent="0.2">
      <c r="A41" s="96"/>
      <c r="B41" s="317"/>
      <c r="C41" s="318"/>
      <c r="D41" s="318"/>
      <c r="E41" s="318"/>
      <c r="F41" s="318"/>
      <c r="G41" s="318"/>
      <c r="H41" s="318"/>
      <c r="I41" s="318"/>
      <c r="J41" s="318"/>
      <c r="K41" s="318"/>
      <c r="L41" s="318"/>
      <c r="M41" s="319"/>
      <c r="N41" s="97"/>
      <c r="O41" s="97"/>
      <c r="P41" s="98"/>
    </row>
    <row r="42" spans="1:16" x14ac:dyDescent="0.2">
      <c r="A42" s="96"/>
      <c r="B42" s="317"/>
      <c r="C42" s="318"/>
      <c r="D42" s="318"/>
      <c r="E42" s="318"/>
      <c r="F42" s="318"/>
      <c r="G42" s="318"/>
      <c r="H42" s="318"/>
      <c r="I42" s="318"/>
      <c r="J42" s="318"/>
      <c r="K42" s="318"/>
      <c r="L42" s="318"/>
      <c r="M42" s="319"/>
      <c r="N42" s="97"/>
      <c r="O42" s="97"/>
      <c r="P42" s="98"/>
    </row>
    <row r="43" spans="1:16" x14ac:dyDescent="0.2">
      <c r="A43" s="96"/>
      <c r="B43" s="317"/>
      <c r="C43" s="318"/>
      <c r="D43" s="318"/>
      <c r="E43" s="318"/>
      <c r="F43" s="318"/>
      <c r="G43" s="318"/>
      <c r="H43" s="318"/>
      <c r="I43" s="318"/>
      <c r="J43" s="318"/>
      <c r="K43" s="318"/>
      <c r="L43" s="318"/>
      <c r="M43" s="319"/>
      <c r="N43" s="97"/>
      <c r="O43" s="97"/>
      <c r="P43" s="98"/>
    </row>
    <row r="44" spans="1:16" x14ac:dyDescent="0.2">
      <c r="A44" s="96"/>
      <c r="B44" s="317"/>
      <c r="C44" s="318"/>
      <c r="D44" s="318"/>
      <c r="E44" s="318"/>
      <c r="F44" s="318"/>
      <c r="G44" s="318"/>
      <c r="H44" s="318"/>
      <c r="I44" s="318"/>
      <c r="J44" s="318"/>
      <c r="K44" s="318"/>
      <c r="L44" s="318"/>
      <c r="M44" s="319"/>
      <c r="N44" s="97"/>
      <c r="O44" s="97"/>
      <c r="P44" s="98"/>
    </row>
    <row r="45" spans="1:16" x14ac:dyDescent="0.2">
      <c r="A45" s="96"/>
      <c r="B45" s="317"/>
      <c r="C45" s="318"/>
      <c r="D45" s="318"/>
      <c r="E45" s="318"/>
      <c r="F45" s="318"/>
      <c r="G45" s="318"/>
      <c r="H45" s="318"/>
      <c r="I45" s="318"/>
      <c r="J45" s="318"/>
      <c r="K45" s="318"/>
      <c r="L45" s="318"/>
      <c r="M45" s="319"/>
      <c r="N45" s="97"/>
      <c r="O45" s="97"/>
      <c r="P45" s="98"/>
    </row>
    <row r="46" spans="1:16" x14ac:dyDescent="0.2">
      <c r="A46" s="96"/>
      <c r="B46" s="317"/>
      <c r="C46" s="318"/>
      <c r="D46" s="318"/>
      <c r="E46" s="318"/>
      <c r="F46" s="318"/>
      <c r="G46" s="318"/>
      <c r="H46" s="318"/>
      <c r="I46" s="318"/>
      <c r="J46" s="318"/>
      <c r="K46" s="318"/>
      <c r="L46" s="318"/>
      <c r="M46" s="319"/>
      <c r="N46" s="97"/>
      <c r="O46" s="97"/>
      <c r="P46" s="98"/>
    </row>
    <row r="47" spans="1:16" x14ac:dyDescent="0.2">
      <c r="A47" s="96"/>
      <c r="B47" s="317"/>
      <c r="C47" s="318"/>
      <c r="D47" s="318"/>
      <c r="E47" s="318"/>
      <c r="F47" s="318"/>
      <c r="G47" s="318"/>
      <c r="H47" s="318"/>
      <c r="I47" s="318"/>
      <c r="J47" s="318"/>
      <c r="K47" s="318"/>
      <c r="L47" s="318"/>
      <c r="M47" s="319"/>
      <c r="N47" s="97"/>
      <c r="O47" s="97"/>
      <c r="P47" s="98"/>
    </row>
    <row r="48" spans="1:16" x14ac:dyDescent="0.2">
      <c r="A48" s="96"/>
      <c r="B48" s="317"/>
      <c r="C48" s="318"/>
      <c r="D48" s="318"/>
      <c r="E48" s="318"/>
      <c r="F48" s="318"/>
      <c r="G48" s="318"/>
      <c r="H48" s="318"/>
      <c r="I48" s="318"/>
      <c r="J48" s="318"/>
      <c r="K48" s="318"/>
      <c r="L48" s="318"/>
      <c r="M48" s="319"/>
      <c r="N48" s="97"/>
      <c r="O48" s="97"/>
      <c r="P48" s="98"/>
    </row>
    <row r="49" spans="1:16" x14ac:dyDescent="0.2">
      <c r="A49" s="96"/>
      <c r="B49" s="317"/>
      <c r="C49" s="318"/>
      <c r="D49" s="318"/>
      <c r="E49" s="318"/>
      <c r="F49" s="318"/>
      <c r="G49" s="318"/>
      <c r="H49" s="318"/>
      <c r="I49" s="318"/>
      <c r="J49" s="318"/>
      <c r="K49" s="318"/>
      <c r="L49" s="318"/>
      <c r="M49" s="319"/>
      <c r="N49" s="97"/>
      <c r="O49" s="97"/>
      <c r="P49" s="98"/>
    </row>
    <row r="50" spans="1:16" x14ac:dyDescent="0.2">
      <c r="A50" s="96"/>
      <c r="B50" s="317"/>
      <c r="C50" s="318"/>
      <c r="D50" s="318"/>
      <c r="E50" s="318"/>
      <c r="F50" s="318"/>
      <c r="G50" s="318"/>
      <c r="H50" s="318"/>
      <c r="I50" s="318"/>
      <c r="J50" s="318"/>
      <c r="K50" s="318"/>
      <c r="L50" s="318"/>
      <c r="M50" s="319"/>
      <c r="N50" s="97"/>
      <c r="O50" s="97"/>
      <c r="P50" s="98"/>
    </row>
    <row r="51" spans="1:16" x14ac:dyDescent="0.2">
      <c r="A51" s="96"/>
      <c r="B51" s="317"/>
      <c r="C51" s="318"/>
      <c r="D51" s="318"/>
      <c r="E51" s="318"/>
      <c r="F51" s="318"/>
      <c r="G51" s="318"/>
      <c r="H51" s="318"/>
      <c r="I51" s="318"/>
      <c r="J51" s="318"/>
      <c r="K51" s="318"/>
      <c r="L51" s="318"/>
      <c r="M51" s="319"/>
      <c r="N51" s="97"/>
      <c r="O51" s="97"/>
      <c r="P51" s="98"/>
    </row>
    <row r="52" spans="1:16" x14ac:dyDescent="0.2">
      <c r="A52" s="96"/>
      <c r="B52" s="317"/>
      <c r="C52" s="318"/>
      <c r="D52" s="318"/>
      <c r="E52" s="318"/>
      <c r="F52" s="318"/>
      <c r="G52" s="318"/>
      <c r="H52" s="318"/>
      <c r="I52" s="318"/>
      <c r="J52" s="318"/>
      <c r="K52" s="318"/>
      <c r="L52" s="318"/>
      <c r="M52" s="319"/>
      <c r="N52" s="97"/>
      <c r="O52" s="97"/>
      <c r="P52" s="98"/>
    </row>
    <row r="53" spans="1:16" x14ac:dyDescent="0.2">
      <c r="A53" s="96"/>
      <c r="B53" s="317"/>
      <c r="C53" s="318"/>
      <c r="D53" s="318"/>
      <c r="E53" s="318"/>
      <c r="F53" s="318"/>
      <c r="G53" s="318"/>
      <c r="H53" s="318"/>
      <c r="I53" s="318"/>
      <c r="J53" s="318"/>
      <c r="K53" s="318"/>
      <c r="L53" s="318"/>
      <c r="M53" s="319"/>
      <c r="N53" s="97"/>
      <c r="O53" s="97"/>
      <c r="P53" s="98"/>
    </row>
    <row r="54" spans="1:16" x14ac:dyDescent="0.2">
      <c r="A54" s="96"/>
      <c r="B54" s="317"/>
      <c r="C54" s="318"/>
      <c r="D54" s="318"/>
      <c r="E54" s="318"/>
      <c r="F54" s="318"/>
      <c r="G54" s="318"/>
      <c r="H54" s="318"/>
      <c r="I54" s="318"/>
      <c r="J54" s="318"/>
      <c r="K54" s="318"/>
      <c r="L54" s="318"/>
      <c r="M54" s="319"/>
      <c r="N54" s="97"/>
      <c r="O54" s="97"/>
      <c r="P54" s="98"/>
    </row>
    <row r="55" spans="1:16" x14ac:dyDescent="0.2">
      <c r="A55" s="96"/>
      <c r="B55" s="317"/>
      <c r="C55" s="318"/>
      <c r="D55" s="318"/>
      <c r="E55" s="318"/>
      <c r="F55" s="318"/>
      <c r="G55" s="318"/>
      <c r="H55" s="318"/>
      <c r="I55" s="318"/>
      <c r="J55" s="318"/>
      <c r="K55" s="318"/>
      <c r="L55" s="318"/>
      <c r="M55" s="319"/>
      <c r="N55" s="97"/>
      <c r="O55" s="97"/>
      <c r="P55" s="98"/>
    </row>
    <row r="56" spans="1:16" x14ac:dyDescent="0.2">
      <c r="A56" s="96"/>
      <c r="B56" s="317"/>
      <c r="C56" s="318"/>
      <c r="D56" s="318"/>
      <c r="E56" s="318"/>
      <c r="F56" s="318"/>
      <c r="G56" s="318"/>
      <c r="H56" s="318"/>
      <c r="I56" s="318"/>
      <c r="J56" s="318"/>
      <c r="K56" s="318"/>
      <c r="L56" s="318"/>
      <c r="M56" s="319"/>
      <c r="N56" s="97"/>
      <c r="O56" s="97"/>
      <c r="P56" s="98"/>
    </row>
    <row r="57" spans="1:16" x14ac:dyDescent="0.2">
      <c r="A57" s="96"/>
      <c r="B57" s="317"/>
      <c r="C57" s="318"/>
      <c r="D57" s="318"/>
      <c r="E57" s="318"/>
      <c r="F57" s="318"/>
      <c r="G57" s="318"/>
      <c r="H57" s="318"/>
      <c r="I57" s="318"/>
      <c r="J57" s="318"/>
      <c r="K57" s="318"/>
      <c r="L57" s="318"/>
      <c r="M57" s="319"/>
      <c r="N57" s="97"/>
      <c r="O57" s="97"/>
      <c r="P57" s="98"/>
    </row>
    <row r="58" spans="1:16" x14ac:dyDescent="0.2">
      <c r="A58" s="96"/>
      <c r="B58" s="317"/>
      <c r="C58" s="318"/>
      <c r="D58" s="318"/>
      <c r="E58" s="318"/>
      <c r="F58" s="318"/>
      <c r="G58" s="318"/>
      <c r="H58" s="318"/>
      <c r="I58" s="318"/>
      <c r="J58" s="318"/>
      <c r="K58" s="318"/>
      <c r="L58" s="318"/>
      <c r="M58" s="319"/>
      <c r="N58" s="97"/>
      <c r="O58" s="97"/>
      <c r="P58" s="98"/>
    </row>
    <row r="59" spans="1:16" x14ac:dyDescent="0.2">
      <c r="A59" s="96"/>
      <c r="B59" s="317"/>
      <c r="C59" s="318"/>
      <c r="D59" s="318"/>
      <c r="E59" s="318"/>
      <c r="F59" s="318"/>
      <c r="G59" s="318"/>
      <c r="H59" s="318"/>
      <c r="I59" s="318"/>
      <c r="J59" s="318"/>
      <c r="K59" s="318"/>
      <c r="L59" s="318"/>
      <c r="M59" s="319"/>
      <c r="N59" s="97"/>
      <c r="O59" s="97"/>
      <c r="P59" s="98"/>
    </row>
    <row r="60" spans="1:16" x14ac:dyDescent="0.2">
      <c r="A60" s="96"/>
      <c r="B60" s="317"/>
      <c r="C60" s="318"/>
      <c r="D60" s="318"/>
      <c r="E60" s="318"/>
      <c r="F60" s="318"/>
      <c r="G60" s="318"/>
      <c r="H60" s="318"/>
      <c r="I60" s="318"/>
      <c r="J60" s="318"/>
      <c r="K60" s="318"/>
      <c r="L60" s="318"/>
      <c r="M60" s="319"/>
      <c r="N60" s="97"/>
      <c r="O60" s="97"/>
      <c r="P60" s="98"/>
    </row>
    <row r="61" spans="1:16" x14ac:dyDescent="0.2">
      <c r="A61" s="96"/>
      <c r="B61" s="317"/>
      <c r="C61" s="318"/>
      <c r="D61" s="318"/>
      <c r="E61" s="318"/>
      <c r="F61" s="318"/>
      <c r="G61" s="318"/>
      <c r="H61" s="318"/>
      <c r="I61" s="318"/>
      <c r="J61" s="318"/>
      <c r="K61" s="318"/>
      <c r="L61" s="318"/>
      <c r="M61" s="319"/>
      <c r="N61" s="97"/>
      <c r="O61" s="97"/>
      <c r="P61" s="98"/>
    </row>
    <row r="62" spans="1:16" x14ac:dyDescent="0.2">
      <c r="A62" s="96"/>
      <c r="B62" s="317"/>
      <c r="C62" s="318"/>
      <c r="D62" s="318"/>
      <c r="E62" s="318"/>
      <c r="F62" s="318"/>
      <c r="G62" s="318"/>
      <c r="H62" s="318"/>
      <c r="I62" s="318"/>
      <c r="J62" s="318"/>
      <c r="K62" s="318"/>
      <c r="L62" s="318"/>
      <c r="M62" s="319"/>
      <c r="N62" s="97"/>
      <c r="O62" s="97"/>
      <c r="P62" s="98"/>
    </row>
    <row r="63" spans="1:16" x14ac:dyDescent="0.2">
      <c r="A63" s="96"/>
      <c r="B63" s="317"/>
      <c r="C63" s="318"/>
      <c r="D63" s="318"/>
      <c r="E63" s="318"/>
      <c r="F63" s="318"/>
      <c r="G63" s="318"/>
      <c r="H63" s="318"/>
      <c r="I63" s="318"/>
      <c r="J63" s="318"/>
      <c r="K63" s="318"/>
      <c r="L63" s="318"/>
      <c r="M63" s="319"/>
      <c r="N63" s="97"/>
      <c r="O63" s="97"/>
      <c r="P63" s="98"/>
    </row>
    <row r="64" spans="1:16" x14ac:dyDescent="0.2">
      <c r="A64" s="96"/>
      <c r="B64" s="317"/>
      <c r="C64" s="318"/>
      <c r="D64" s="318"/>
      <c r="E64" s="318"/>
      <c r="F64" s="318"/>
      <c r="G64" s="318"/>
      <c r="H64" s="318"/>
      <c r="I64" s="318"/>
      <c r="J64" s="318"/>
      <c r="K64" s="318"/>
      <c r="L64" s="318"/>
      <c r="M64" s="319"/>
      <c r="N64" s="97"/>
      <c r="O64" s="97"/>
      <c r="P64" s="98"/>
    </row>
    <row r="65" spans="1:16" x14ac:dyDescent="0.2">
      <c r="A65" s="96"/>
      <c r="B65" s="317"/>
      <c r="C65" s="318"/>
      <c r="D65" s="318"/>
      <c r="E65" s="318"/>
      <c r="F65" s="318"/>
      <c r="G65" s="318"/>
      <c r="H65" s="318"/>
      <c r="I65" s="318"/>
      <c r="J65" s="318"/>
      <c r="K65" s="318"/>
      <c r="L65" s="318"/>
      <c r="M65" s="319"/>
      <c r="N65" s="97"/>
      <c r="O65" s="97"/>
      <c r="P65" s="98"/>
    </row>
    <row r="66" spans="1:16" x14ac:dyDescent="0.2">
      <c r="A66" s="96"/>
      <c r="B66" s="317"/>
      <c r="C66" s="318"/>
      <c r="D66" s="318"/>
      <c r="E66" s="318"/>
      <c r="F66" s="318"/>
      <c r="G66" s="318"/>
      <c r="H66" s="318"/>
      <c r="I66" s="318"/>
      <c r="J66" s="318"/>
      <c r="K66" s="318"/>
      <c r="L66" s="318"/>
      <c r="M66" s="319"/>
      <c r="N66" s="97"/>
      <c r="O66" s="97"/>
      <c r="P66" s="98"/>
    </row>
    <row r="67" spans="1:16" x14ac:dyDescent="0.2">
      <c r="A67" s="96"/>
      <c r="B67" s="317"/>
      <c r="C67" s="318"/>
      <c r="D67" s="318"/>
      <c r="E67" s="318"/>
      <c r="F67" s="318"/>
      <c r="G67" s="318"/>
      <c r="H67" s="318"/>
      <c r="I67" s="318"/>
      <c r="J67" s="318"/>
      <c r="K67" s="318"/>
      <c r="L67" s="318"/>
      <c r="M67" s="319"/>
      <c r="N67" s="97"/>
      <c r="O67" s="97"/>
      <c r="P67" s="98"/>
    </row>
    <row r="68" spans="1:16" x14ac:dyDescent="0.2">
      <c r="A68" s="96"/>
      <c r="B68" s="317"/>
      <c r="C68" s="318"/>
      <c r="D68" s="318"/>
      <c r="E68" s="318"/>
      <c r="F68" s="318"/>
      <c r="G68" s="318"/>
      <c r="H68" s="318"/>
      <c r="I68" s="318"/>
      <c r="J68" s="318"/>
      <c r="K68" s="318"/>
      <c r="L68" s="318"/>
      <c r="M68" s="319"/>
      <c r="N68" s="97"/>
      <c r="O68" s="97"/>
      <c r="P68" s="98"/>
    </row>
    <row r="69" spans="1:16" x14ac:dyDescent="0.2">
      <c r="A69" s="96"/>
      <c r="B69" s="317"/>
      <c r="C69" s="318"/>
      <c r="D69" s="318"/>
      <c r="E69" s="318"/>
      <c r="F69" s="318"/>
      <c r="G69" s="318"/>
      <c r="H69" s="318"/>
      <c r="I69" s="318"/>
      <c r="J69" s="318"/>
      <c r="K69" s="318"/>
      <c r="L69" s="318"/>
      <c r="M69" s="319"/>
      <c r="N69" s="97"/>
      <c r="O69" s="97"/>
      <c r="P69" s="98"/>
    </row>
    <row r="70" spans="1:16" x14ac:dyDescent="0.2">
      <c r="A70" s="96"/>
      <c r="B70" s="317"/>
      <c r="C70" s="318"/>
      <c r="D70" s="318"/>
      <c r="E70" s="318"/>
      <c r="F70" s="318"/>
      <c r="G70" s="318"/>
      <c r="H70" s="318"/>
      <c r="I70" s="318"/>
      <c r="J70" s="318"/>
      <c r="K70" s="318"/>
      <c r="L70" s="318"/>
      <c r="M70" s="319"/>
      <c r="N70" s="97"/>
      <c r="O70" s="97"/>
      <c r="P70" s="98"/>
    </row>
    <row r="71" spans="1:16" x14ac:dyDescent="0.2">
      <c r="A71" s="96"/>
      <c r="B71" s="317"/>
      <c r="C71" s="318"/>
      <c r="D71" s="318"/>
      <c r="E71" s="318"/>
      <c r="F71" s="318"/>
      <c r="G71" s="318"/>
      <c r="H71" s="318"/>
      <c r="I71" s="318"/>
      <c r="J71" s="318"/>
      <c r="K71" s="318"/>
      <c r="L71" s="318"/>
      <c r="M71" s="319"/>
      <c r="N71" s="97"/>
      <c r="O71" s="97"/>
      <c r="P71" s="98"/>
    </row>
    <row r="72" spans="1:16" x14ac:dyDescent="0.2">
      <c r="A72" s="96"/>
      <c r="B72" s="317"/>
      <c r="C72" s="318"/>
      <c r="D72" s="318"/>
      <c r="E72" s="318"/>
      <c r="F72" s="318"/>
      <c r="G72" s="318"/>
      <c r="H72" s="318"/>
      <c r="I72" s="318"/>
      <c r="J72" s="318"/>
      <c r="K72" s="318"/>
      <c r="L72" s="318"/>
      <c r="M72" s="319"/>
      <c r="N72" s="97"/>
      <c r="O72" s="97"/>
      <c r="P72" s="98"/>
    </row>
    <row r="73" spans="1:16" x14ac:dyDescent="0.2">
      <c r="A73" s="96"/>
      <c r="B73" s="317"/>
      <c r="C73" s="318"/>
      <c r="D73" s="318"/>
      <c r="E73" s="318"/>
      <c r="F73" s="318"/>
      <c r="G73" s="318"/>
      <c r="H73" s="318"/>
      <c r="I73" s="318"/>
      <c r="J73" s="318"/>
      <c r="K73" s="318"/>
      <c r="L73" s="318"/>
      <c r="M73" s="319"/>
      <c r="N73" s="97"/>
      <c r="O73" s="97"/>
      <c r="P73" s="98"/>
    </row>
    <row r="74" spans="1:16" x14ac:dyDescent="0.2">
      <c r="A74" s="96"/>
      <c r="B74" s="317"/>
      <c r="C74" s="318"/>
      <c r="D74" s="318"/>
      <c r="E74" s="318"/>
      <c r="F74" s="318"/>
      <c r="G74" s="318"/>
      <c r="H74" s="318"/>
      <c r="I74" s="318"/>
      <c r="J74" s="318"/>
      <c r="K74" s="318"/>
      <c r="L74" s="318"/>
      <c r="M74" s="319"/>
      <c r="N74" s="97"/>
      <c r="O74" s="97"/>
      <c r="P74" s="98"/>
    </row>
    <row r="75" spans="1:16" x14ac:dyDescent="0.2">
      <c r="A75" s="96"/>
      <c r="B75" s="317"/>
      <c r="C75" s="318"/>
      <c r="D75" s="318"/>
      <c r="E75" s="318"/>
      <c r="F75" s="318"/>
      <c r="G75" s="318"/>
      <c r="H75" s="318"/>
      <c r="I75" s="318"/>
      <c r="J75" s="318"/>
      <c r="K75" s="318"/>
      <c r="L75" s="318"/>
      <c r="M75" s="319"/>
      <c r="N75" s="97"/>
      <c r="O75" s="97"/>
      <c r="P75" s="98"/>
    </row>
    <row r="76" spans="1:16" x14ac:dyDescent="0.2">
      <c r="A76" s="96"/>
      <c r="B76" s="317"/>
      <c r="C76" s="318"/>
      <c r="D76" s="318"/>
      <c r="E76" s="318"/>
      <c r="F76" s="318"/>
      <c r="G76" s="318"/>
      <c r="H76" s="318"/>
      <c r="I76" s="318"/>
      <c r="J76" s="318"/>
      <c r="K76" s="318"/>
      <c r="L76" s="318"/>
      <c r="M76" s="319"/>
      <c r="N76" s="97"/>
      <c r="O76" s="97"/>
      <c r="P76" s="98"/>
    </row>
    <row r="77" spans="1:16" x14ac:dyDescent="0.2">
      <c r="A77" s="96"/>
      <c r="B77" s="317"/>
      <c r="C77" s="318"/>
      <c r="D77" s="318"/>
      <c r="E77" s="318"/>
      <c r="F77" s="318"/>
      <c r="G77" s="318"/>
      <c r="H77" s="318"/>
      <c r="I77" s="318"/>
      <c r="J77" s="318"/>
      <c r="K77" s="318"/>
      <c r="L77" s="318"/>
      <c r="M77" s="319"/>
      <c r="N77" s="97"/>
      <c r="O77" s="97"/>
      <c r="P77" s="98"/>
    </row>
    <row r="78" spans="1:16" x14ac:dyDescent="0.2">
      <c r="A78" s="96"/>
      <c r="B78" s="317"/>
      <c r="C78" s="318"/>
      <c r="D78" s="318"/>
      <c r="E78" s="318"/>
      <c r="F78" s="318"/>
      <c r="G78" s="318"/>
      <c r="H78" s="318"/>
      <c r="I78" s="318"/>
      <c r="J78" s="318"/>
      <c r="K78" s="318"/>
      <c r="L78" s="318"/>
      <c r="M78" s="319"/>
      <c r="N78" s="97"/>
      <c r="O78" s="97"/>
      <c r="P78" s="98"/>
    </row>
    <row r="79" spans="1:16" x14ac:dyDescent="0.2">
      <c r="A79" s="96"/>
      <c r="B79" s="317"/>
      <c r="C79" s="318"/>
      <c r="D79" s="318"/>
      <c r="E79" s="318"/>
      <c r="F79" s="318"/>
      <c r="G79" s="318"/>
      <c r="H79" s="318"/>
      <c r="I79" s="318"/>
      <c r="J79" s="318"/>
      <c r="K79" s="318"/>
      <c r="L79" s="318"/>
      <c r="M79" s="319"/>
      <c r="N79" s="97"/>
      <c r="O79" s="97"/>
      <c r="P79" s="98"/>
    </row>
    <row r="80" spans="1:16" x14ac:dyDescent="0.2">
      <c r="A80" s="96"/>
      <c r="B80" s="317"/>
      <c r="C80" s="318"/>
      <c r="D80" s="318"/>
      <c r="E80" s="318"/>
      <c r="F80" s="318"/>
      <c r="G80" s="318"/>
      <c r="H80" s="318"/>
      <c r="I80" s="318"/>
      <c r="J80" s="318"/>
      <c r="K80" s="318"/>
      <c r="L80" s="318"/>
      <c r="M80" s="319"/>
      <c r="N80" s="97"/>
      <c r="O80" s="97"/>
      <c r="P80" s="98"/>
    </row>
    <row r="81" spans="1:16" x14ac:dyDescent="0.2">
      <c r="A81" s="96"/>
      <c r="B81" s="317"/>
      <c r="C81" s="318"/>
      <c r="D81" s="318"/>
      <c r="E81" s="318"/>
      <c r="F81" s="318"/>
      <c r="G81" s="318"/>
      <c r="H81" s="318"/>
      <c r="I81" s="318"/>
      <c r="J81" s="318"/>
      <c r="K81" s="318"/>
      <c r="L81" s="318"/>
      <c r="M81" s="319"/>
      <c r="N81" s="97"/>
      <c r="O81" s="97"/>
      <c r="P81" s="98"/>
    </row>
    <row r="82" spans="1:16" x14ac:dyDescent="0.2">
      <c r="A82" s="96"/>
      <c r="B82" s="317"/>
      <c r="C82" s="318"/>
      <c r="D82" s="318"/>
      <c r="E82" s="318"/>
      <c r="F82" s="318"/>
      <c r="G82" s="318"/>
      <c r="H82" s="318"/>
      <c r="I82" s="318"/>
      <c r="J82" s="318"/>
      <c r="K82" s="318"/>
      <c r="L82" s="318"/>
      <c r="M82" s="319"/>
      <c r="N82" s="97"/>
      <c r="O82" s="97"/>
      <c r="P82" s="98"/>
    </row>
    <row r="83" spans="1:16" x14ac:dyDescent="0.2">
      <c r="A83" s="96"/>
      <c r="B83" s="317"/>
      <c r="C83" s="318"/>
      <c r="D83" s="318"/>
      <c r="E83" s="318"/>
      <c r="F83" s="318"/>
      <c r="G83" s="318"/>
      <c r="H83" s="318"/>
      <c r="I83" s="318"/>
      <c r="J83" s="318"/>
      <c r="K83" s="318"/>
      <c r="L83" s="318"/>
      <c r="M83" s="319"/>
      <c r="N83" s="97"/>
      <c r="O83" s="97"/>
      <c r="P83" s="98"/>
    </row>
    <row r="84" spans="1:16" x14ac:dyDescent="0.2">
      <c r="A84" s="96"/>
      <c r="B84" s="317"/>
      <c r="C84" s="318"/>
      <c r="D84" s="318"/>
      <c r="E84" s="318"/>
      <c r="F84" s="318"/>
      <c r="G84" s="318"/>
      <c r="H84" s="318"/>
      <c r="I84" s="318"/>
      <c r="J84" s="318"/>
      <c r="K84" s="318"/>
      <c r="L84" s="318"/>
      <c r="M84" s="319"/>
      <c r="N84" s="97"/>
      <c r="O84" s="97"/>
      <c r="P84" s="98"/>
    </row>
    <row r="85" spans="1:16" x14ac:dyDescent="0.2">
      <c r="A85" s="96"/>
      <c r="B85" s="317"/>
      <c r="C85" s="318"/>
      <c r="D85" s="318"/>
      <c r="E85" s="318"/>
      <c r="F85" s="318"/>
      <c r="G85" s="318"/>
      <c r="H85" s="318"/>
      <c r="I85" s="318"/>
      <c r="J85" s="318"/>
      <c r="K85" s="318"/>
      <c r="L85" s="318"/>
      <c r="M85" s="319"/>
      <c r="N85" s="97"/>
      <c r="O85" s="97"/>
      <c r="P85" s="98"/>
    </row>
    <row r="86" spans="1:16" x14ac:dyDescent="0.2">
      <c r="A86" s="96"/>
      <c r="B86" s="317"/>
      <c r="C86" s="318"/>
      <c r="D86" s="318"/>
      <c r="E86" s="318"/>
      <c r="F86" s="318"/>
      <c r="G86" s="318"/>
      <c r="H86" s="318"/>
      <c r="I86" s="318"/>
      <c r="J86" s="318"/>
      <c r="K86" s="318"/>
      <c r="L86" s="318"/>
      <c r="M86" s="319"/>
      <c r="N86" s="97"/>
      <c r="O86" s="97"/>
      <c r="P86" s="98"/>
    </row>
    <row r="87" spans="1:16" x14ac:dyDescent="0.2">
      <c r="A87" s="96"/>
      <c r="B87" s="317"/>
      <c r="C87" s="318"/>
      <c r="D87" s="318"/>
      <c r="E87" s="318"/>
      <c r="F87" s="318"/>
      <c r="G87" s="318"/>
      <c r="H87" s="318"/>
      <c r="I87" s="318"/>
      <c r="J87" s="318"/>
      <c r="K87" s="318"/>
      <c r="L87" s="318"/>
      <c r="M87" s="319"/>
      <c r="N87" s="97"/>
      <c r="O87" s="97"/>
      <c r="P87" s="98"/>
    </row>
    <row r="88" spans="1:16" x14ac:dyDescent="0.2">
      <c r="A88" s="96"/>
      <c r="B88" s="317"/>
      <c r="C88" s="318"/>
      <c r="D88" s="318"/>
      <c r="E88" s="318"/>
      <c r="F88" s="318"/>
      <c r="G88" s="318"/>
      <c r="H88" s="318"/>
      <c r="I88" s="318"/>
      <c r="J88" s="318"/>
      <c r="K88" s="318"/>
      <c r="L88" s="318"/>
      <c r="M88" s="319"/>
      <c r="N88" s="97"/>
      <c r="O88" s="97"/>
      <c r="P88" s="98"/>
    </row>
    <row r="89" spans="1:16" x14ac:dyDescent="0.2">
      <c r="A89" s="96"/>
      <c r="B89" s="317"/>
      <c r="C89" s="318"/>
      <c r="D89" s="318"/>
      <c r="E89" s="318"/>
      <c r="F89" s="318"/>
      <c r="G89" s="318"/>
      <c r="H89" s="318"/>
      <c r="I89" s="318"/>
      <c r="J89" s="318"/>
      <c r="K89" s="318"/>
      <c r="L89" s="318"/>
      <c r="M89" s="319"/>
      <c r="N89" s="97"/>
      <c r="O89" s="97"/>
      <c r="P89" s="98"/>
    </row>
    <row r="90" spans="1:16" x14ac:dyDescent="0.2">
      <c r="A90" s="96"/>
      <c r="B90" s="317"/>
      <c r="C90" s="318"/>
      <c r="D90" s="318"/>
      <c r="E90" s="318"/>
      <c r="F90" s="318"/>
      <c r="G90" s="318"/>
      <c r="H90" s="318"/>
      <c r="I90" s="318"/>
      <c r="J90" s="318"/>
      <c r="K90" s="318"/>
      <c r="L90" s="318"/>
      <c r="M90" s="319"/>
      <c r="N90" s="97"/>
      <c r="O90" s="97"/>
      <c r="P90" s="98"/>
    </row>
    <row r="91" spans="1:16" x14ac:dyDescent="0.2">
      <c r="A91" s="96"/>
      <c r="B91" s="317"/>
      <c r="C91" s="318"/>
      <c r="D91" s="318"/>
      <c r="E91" s="318"/>
      <c r="F91" s="318"/>
      <c r="G91" s="318"/>
      <c r="H91" s="318"/>
      <c r="I91" s="318"/>
      <c r="J91" s="318"/>
      <c r="K91" s="318"/>
      <c r="L91" s="318"/>
      <c r="M91" s="319"/>
      <c r="N91" s="97"/>
      <c r="O91" s="97"/>
      <c r="P91" s="98"/>
    </row>
    <row r="92" spans="1:16" x14ac:dyDescent="0.2">
      <c r="A92" s="96"/>
      <c r="B92" s="317"/>
      <c r="C92" s="318"/>
      <c r="D92" s="318"/>
      <c r="E92" s="318"/>
      <c r="F92" s="318"/>
      <c r="G92" s="318"/>
      <c r="H92" s="318"/>
      <c r="I92" s="318"/>
      <c r="J92" s="318"/>
      <c r="K92" s="318"/>
      <c r="L92" s="318"/>
      <c r="M92" s="319"/>
      <c r="N92" s="97"/>
      <c r="O92" s="97"/>
      <c r="P92" s="98"/>
    </row>
    <row r="93" spans="1:16" x14ac:dyDescent="0.2">
      <c r="A93" s="96"/>
      <c r="B93" s="317"/>
      <c r="C93" s="318"/>
      <c r="D93" s="318"/>
      <c r="E93" s="318"/>
      <c r="F93" s="318"/>
      <c r="G93" s="318"/>
      <c r="H93" s="318"/>
      <c r="I93" s="318"/>
      <c r="J93" s="318"/>
      <c r="K93" s="318"/>
      <c r="L93" s="318"/>
      <c r="M93" s="319"/>
      <c r="N93" s="97"/>
      <c r="O93" s="97"/>
      <c r="P93" s="98"/>
    </row>
    <row r="94" spans="1:16" x14ac:dyDescent="0.2">
      <c r="A94" s="96"/>
      <c r="B94" s="317"/>
      <c r="C94" s="318"/>
      <c r="D94" s="318"/>
      <c r="E94" s="318"/>
      <c r="F94" s="318"/>
      <c r="G94" s="318"/>
      <c r="H94" s="318"/>
      <c r="I94" s="318"/>
      <c r="J94" s="318"/>
      <c r="K94" s="318"/>
      <c r="L94" s="318"/>
      <c r="M94" s="319"/>
      <c r="N94" s="97"/>
      <c r="O94" s="97"/>
      <c r="P94" s="98"/>
    </row>
    <row r="95" spans="1:16" x14ac:dyDescent="0.2">
      <c r="A95" s="96"/>
      <c r="B95" s="317"/>
      <c r="C95" s="318"/>
      <c r="D95" s="318"/>
      <c r="E95" s="318"/>
      <c r="F95" s="318"/>
      <c r="G95" s="318"/>
      <c r="H95" s="318"/>
      <c r="I95" s="318"/>
      <c r="J95" s="318"/>
      <c r="K95" s="318"/>
      <c r="L95" s="318"/>
      <c r="M95" s="319"/>
      <c r="N95" s="97"/>
      <c r="O95" s="97"/>
      <c r="P95" s="98"/>
    </row>
    <row r="96" spans="1:16" ht="13.5" thickBot="1" x14ac:dyDescent="0.25">
      <c r="A96" s="108"/>
      <c r="B96" s="320"/>
      <c r="C96" s="321"/>
      <c r="D96" s="321"/>
      <c r="E96" s="321"/>
      <c r="F96" s="321"/>
      <c r="G96" s="321"/>
      <c r="H96" s="321"/>
      <c r="I96" s="321"/>
      <c r="J96" s="321"/>
      <c r="K96" s="321"/>
      <c r="L96" s="321"/>
      <c r="M96" s="322"/>
      <c r="N96" s="109"/>
      <c r="O96" s="109"/>
      <c r="P96" s="110"/>
    </row>
    <row r="97" spans="1:16" ht="13.5" thickTop="1" x14ac:dyDescent="0.2">
      <c r="A97" s="92"/>
      <c r="B97" s="92"/>
      <c r="C97" s="92"/>
      <c r="D97" s="92"/>
      <c r="E97" s="92"/>
      <c r="F97" s="92"/>
      <c r="G97" s="92"/>
      <c r="H97" s="92"/>
      <c r="I97" s="92"/>
      <c r="J97" s="92"/>
      <c r="K97" s="92"/>
      <c r="L97" s="92"/>
      <c r="M97" s="92"/>
      <c r="N97" s="92"/>
      <c r="O97" s="92"/>
      <c r="P97" s="92"/>
    </row>
  </sheetData>
  <mergeCells count="3">
    <mergeCell ref="B15:I15"/>
    <mergeCell ref="B34:M96"/>
    <mergeCell ref="B14:D14"/>
  </mergeCells>
  <hyperlinks>
    <hyperlink ref="B14" r:id="rId1"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T199"/>
  <sheetViews>
    <sheetView tabSelected="1" topLeftCell="A61" zoomScale="205" zoomScaleNormal="205" zoomScaleSheetLayoutView="100" workbookViewId="0">
      <selection activeCell="F40" sqref="F40"/>
    </sheetView>
  </sheetViews>
  <sheetFormatPr defaultColWidth="8.85546875" defaultRowHeight="12.75" x14ac:dyDescent="0.2"/>
  <cols>
    <col min="1" max="1" width="0.42578125" style="158" customWidth="1"/>
    <col min="2" max="2" width="26.42578125" style="158" customWidth="1"/>
    <col min="3" max="3" width="31" style="158" customWidth="1"/>
    <col min="4" max="4" width="16.5703125" style="158" customWidth="1"/>
    <col min="5" max="5" width="20.85546875" style="158" customWidth="1"/>
    <col min="6" max="6" width="15.7109375" style="158" customWidth="1"/>
    <col min="7" max="7" width="5.5703125" style="261" customWidth="1"/>
    <col min="8" max="8" width="9.5703125" style="158" customWidth="1"/>
    <col min="9" max="9" width="12.85546875" style="158" customWidth="1"/>
    <col min="10" max="10" width="8.85546875" style="158"/>
    <col min="11" max="11" width="10.28515625" style="158" customWidth="1"/>
    <col min="12" max="12" width="8.85546875" style="158" customWidth="1"/>
    <col min="13" max="13" width="9.85546875" style="158" customWidth="1"/>
    <col min="14" max="19" width="0" style="158" hidden="1" customWidth="1"/>
    <col min="20" max="20" width="2.7109375" style="158" hidden="1" customWidth="1"/>
    <col min="21" max="21" width="3" style="158" hidden="1" customWidth="1"/>
    <col min="22" max="22" width="1.140625" style="158" hidden="1" customWidth="1"/>
    <col min="23" max="23" width="3.7109375" style="158" hidden="1" customWidth="1"/>
    <col min="24" max="38" width="0" style="158" hidden="1" customWidth="1"/>
    <col min="39" max="39" width="11.7109375" style="158" customWidth="1"/>
    <col min="40" max="40" width="6.7109375" style="158" hidden="1" customWidth="1"/>
    <col min="41" max="41" width="9.28515625" style="158" hidden="1" customWidth="1"/>
    <col min="42" max="42" width="12.28515625" style="158" customWidth="1"/>
    <col min="43" max="43" width="12" style="158" customWidth="1"/>
    <col min="44" max="44" width="13.42578125" style="158" customWidth="1"/>
    <col min="45" max="45" width="14.5703125" style="158" hidden="1" customWidth="1"/>
    <col min="46" max="46" width="14.7109375" style="158" customWidth="1"/>
    <col min="47" max="47" width="11.28515625" style="158" customWidth="1"/>
    <col min="48" max="48" width="13" style="158" customWidth="1"/>
    <col min="49" max="49" width="13.42578125" style="158" customWidth="1"/>
    <col min="50" max="50" width="14.7109375" style="158" customWidth="1"/>
    <col min="51" max="51" width="14.140625" style="158" customWidth="1"/>
    <col min="52" max="52" width="12.85546875" style="158" customWidth="1"/>
    <col min="53" max="53" width="12.5703125" style="158" customWidth="1"/>
    <col min="54" max="54" width="9.85546875" style="158" customWidth="1"/>
    <col min="55" max="55" width="12.7109375" style="158" customWidth="1"/>
    <col min="56" max="56" width="13.7109375" style="158" customWidth="1"/>
    <col min="57" max="57" width="13.85546875" style="158" customWidth="1"/>
    <col min="58" max="59" width="14.42578125" style="158" customWidth="1"/>
    <col min="60" max="60" width="15.42578125" style="158" customWidth="1"/>
    <col min="61" max="61" width="15.28515625" style="158" customWidth="1"/>
    <col min="62" max="62" width="15.7109375" style="158" customWidth="1"/>
    <col min="63" max="63" width="12.5703125" style="158" customWidth="1"/>
    <col min="64" max="64" width="16.85546875" style="158" customWidth="1"/>
    <col min="65" max="65" width="15.42578125" style="158" customWidth="1"/>
    <col min="66" max="66" width="14.5703125" style="158" customWidth="1"/>
    <col min="67" max="67" width="10" style="158" customWidth="1"/>
    <col min="68" max="68" width="6.140625" style="158" customWidth="1"/>
    <col min="69" max="69" width="7.140625" style="158" customWidth="1"/>
    <col min="70" max="70" width="8.28515625" style="158" customWidth="1"/>
    <col min="71" max="71" width="4.7109375" style="158" customWidth="1"/>
    <col min="72" max="16384" width="8.85546875" style="158"/>
  </cols>
  <sheetData>
    <row r="1" spans="1:45" s="46" customFormat="1" ht="60.75" customHeight="1" x14ac:dyDescent="0.2">
      <c r="A1" s="326" t="s">
        <v>357</v>
      </c>
      <c r="B1" s="327"/>
      <c r="C1" s="327"/>
      <c r="D1" s="327"/>
      <c r="E1" s="327"/>
      <c r="F1" s="327"/>
      <c r="G1" s="327"/>
      <c r="H1" s="327"/>
      <c r="I1" s="327"/>
      <c r="J1" s="327"/>
      <c r="K1" s="327"/>
      <c r="L1" s="327"/>
      <c r="M1" s="327"/>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45" ht="15.75" x14ac:dyDescent="0.2">
      <c r="A2" s="15"/>
      <c r="B2" s="19" t="s">
        <v>61</v>
      </c>
      <c r="C2" s="15"/>
      <c r="D2" s="15"/>
      <c r="E2" s="15"/>
      <c r="F2" s="157"/>
      <c r="G2" s="157"/>
      <c r="H2" s="15"/>
      <c r="I2" s="15"/>
      <c r="J2" s="15"/>
      <c r="K2" s="15"/>
      <c r="L2" s="325"/>
      <c r="M2" s="325"/>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x14ac:dyDescent="0.2">
      <c r="A3" s="15"/>
      <c r="B3" s="15"/>
      <c r="C3" s="15"/>
      <c r="D3" s="15"/>
      <c r="E3" s="15"/>
      <c r="F3" s="15"/>
      <c r="G3" s="157"/>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x14ac:dyDescent="0.2">
      <c r="A4" s="15"/>
      <c r="B4" s="15"/>
      <c r="C4" s="15"/>
      <c r="D4" s="15"/>
      <c r="E4" s="15"/>
      <c r="F4" s="15"/>
      <c r="G4" s="157"/>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45" x14ac:dyDescent="0.2">
      <c r="A5" s="15"/>
      <c r="B5" s="15"/>
      <c r="C5" s="15"/>
      <c r="D5" s="15"/>
      <c r="E5" s="15"/>
      <c r="F5" s="15"/>
      <c r="G5" s="15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45" x14ac:dyDescent="0.2">
      <c r="A6" s="15"/>
      <c r="B6" s="15"/>
      <c r="C6" s="15"/>
      <c r="D6" s="15"/>
      <c r="E6" s="15"/>
      <c r="F6" s="15"/>
      <c r="G6" s="157"/>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5" x14ac:dyDescent="0.2">
      <c r="A7" s="15"/>
      <c r="B7" s="15"/>
      <c r="C7" s="15"/>
      <c r="D7" s="15"/>
      <c r="E7" s="15"/>
      <c r="F7" s="15"/>
      <c r="G7" s="157"/>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5" x14ac:dyDescent="0.2">
      <c r="A8" s="15"/>
      <c r="B8" s="15"/>
      <c r="C8" s="15"/>
      <c r="D8" s="15"/>
      <c r="E8" s="15"/>
      <c r="F8" s="15"/>
      <c r="G8" s="157"/>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S8" s="183" t="s">
        <v>146</v>
      </c>
    </row>
    <row r="9" spans="1:45" ht="15" customHeight="1" x14ac:dyDescent="0.2">
      <c r="A9" s="15"/>
      <c r="B9" s="159"/>
      <c r="C9" s="89"/>
      <c r="D9" s="160" t="s">
        <v>265</v>
      </c>
      <c r="E9" s="45"/>
      <c r="F9" s="15"/>
      <c r="G9" s="157"/>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183" t="s">
        <v>144</v>
      </c>
    </row>
    <row r="10" spans="1:45" ht="15" customHeight="1" x14ac:dyDescent="0.2">
      <c r="A10" s="15"/>
      <c r="B10" s="161"/>
      <c r="C10" s="162"/>
      <c r="D10" s="15" t="s">
        <v>60</v>
      </c>
      <c r="E10" s="163"/>
      <c r="F10" s="15"/>
      <c r="G10" s="157"/>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5" ht="22.9" customHeight="1" x14ac:dyDescent="0.2">
      <c r="A11" s="15"/>
      <c r="B11" s="161"/>
      <c r="C11" s="164"/>
      <c r="D11" s="328" t="s">
        <v>323</v>
      </c>
      <c r="E11" s="329"/>
      <c r="F11" s="15"/>
      <c r="G11" s="157"/>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5" ht="21.6" customHeight="1" x14ac:dyDescent="0.2">
      <c r="A12" s="15"/>
      <c r="B12" s="161"/>
      <c r="C12" s="165"/>
      <c r="D12" s="328"/>
      <c r="E12" s="329"/>
      <c r="F12" s="15"/>
      <c r="G12" s="157"/>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5" ht="21.6" customHeight="1" thickBot="1" x14ac:dyDescent="0.25">
      <c r="A13" s="15"/>
      <c r="B13" s="161"/>
      <c r="C13" s="277"/>
      <c r="D13" s="276"/>
      <c r="E13" s="274"/>
      <c r="F13" s="15"/>
      <c r="G13" s="157"/>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5" ht="21.6" customHeight="1" x14ac:dyDescent="0.25">
      <c r="A14" s="15"/>
      <c r="B14" s="288" t="s">
        <v>389</v>
      </c>
      <c r="C14" s="300"/>
      <c r="D14" s="333" t="s">
        <v>390</v>
      </c>
      <c r="E14" s="333"/>
      <c r="F14" s="333"/>
      <c r="G14" s="333"/>
      <c r="H14" s="297"/>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6"/>
    </row>
    <row r="15" spans="1:45" ht="21.6" customHeight="1" x14ac:dyDescent="0.25">
      <c r="A15" s="15"/>
      <c r="B15" s="289"/>
      <c r="C15" s="299"/>
      <c r="D15" s="334"/>
      <c r="E15" s="334"/>
      <c r="F15" s="334"/>
      <c r="G15" s="334"/>
      <c r="H15" s="29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84"/>
    </row>
    <row r="16" spans="1:45" ht="15" x14ac:dyDescent="0.2">
      <c r="A16" s="15"/>
      <c r="B16" s="332"/>
      <c r="C16" s="290"/>
      <c r="D16" s="339" t="s">
        <v>391</v>
      </c>
      <c r="E16" s="339"/>
      <c r="F16" s="339"/>
      <c r="G16" s="339"/>
      <c r="H16" s="339"/>
      <c r="I16" s="339"/>
      <c r="J16" s="294"/>
      <c r="K16" s="287"/>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84"/>
    </row>
    <row r="17" spans="1:39" ht="15" x14ac:dyDescent="0.2">
      <c r="A17" s="15"/>
      <c r="B17" s="332"/>
      <c r="C17" s="290"/>
      <c r="D17" s="339" t="s">
        <v>392</v>
      </c>
      <c r="E17" s="339"/>
      <c r="F17" s="339"/>
      <c r="G17" s="339"/>
      <c r="H17" s="339"/>
      <c r="I17" s="339"/>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84"/>
    </row>
    <row r="18" spans="1:39" ht="15" x14ac:dyDescent="0.2">
      <c r="A18" s="15"/>
      <c r="B18" s="332"/>
      <c r="C18" s="290"/>
      <c r="D18" s="339" t="s">
        <v>393</v>
      </c>
      <c r="E18" s="339"/>
      <c r="F18" s="339"/>
      <c r="G18" s="339"/>
      <c r="H18" s="339"/>
      <c r="I18" s="339"/>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84"/>
    </row>
    <row r="19" spans="1:39" ht="15" x14ac:dyDescent="0.2">
      <c r="A19" s="15"/>
      <c r="B19" s="332"/>
      <c r="C19" s="290"/>
      <c r="D19" s="339" t="s">
        <v>394</v>
      </c>
      <c r="E19" s="339"/>
      <c r="F19" s="339"/>
      <c r="G19" s="339"/>
      <c r="H19" s="339"/>
      <c r="I19" s="339"/>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84"/>
    </row>
    <row r="20" spans="1:39" ht="15" x14ac:dyDescent="0.2">
      <c r="A20" s="15"/>
      <c r="B20" s="295"/>
      <c r="C20" s="290"/>
      <c r="D20" s="304" t="s">
        <v>398</v>
      </c>
      <c r="E20" s="291"/>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84"/>
    </row>
    <row r="21" spans="1:39" ht="21.6" customHeight="1" thickBot="1" x14ac:dyDescent="0.25">
      <c r="A21" s="15"/>
      <c r="B21" s="281"/>
      <c r="C21" s="278"/>
      <c r="D21" s="278"/>
      <c r="E21" s="279"/>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84"/>
    </row>
    <row r="22" spans="1:39" ht="30.6" customHeight="1" thickBot="1" x14ac:dyDescent="0.25">
      <c r="A22" s="15"/>
      <c r="B22" s="281"/>
      <c r="C22" s="278"/>
      <c r="D22" s="335" t="s">
        <v>395</v>
      </c>
      <c r="E22" s="336"/>
      <c r="F22" s="337"/>
      <c r="G22" s="302" t="s">
        <v>146</v>
      </c>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84"/>
    </row>
    <row r="23" spans="1:39" ht="27.6" customHeight="1" thickBot="1" x14ac:dyDescent="0.3">
      <c r="A23" s="15"/>
      <c r="B23" s="281"/>
      <c r="C23" s="278"/>
      <c r="D23" s="340" t="s">
        <v>396</v>
      </c>
      <c r="E23" s="341"/>
      <c r="F23" s="342"/>
      <c r="G23" s="303" t="s">
        <v>146</v>
      </c>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84"/>
    </row>
    <row r="24" spans="1:39" ht="5.45" customHeight="1" x14ac:dyDescent="0.2">
      <c r="A24" s="15"/>
      <c r="B24" s="281"/>
      <c r="C24" s="278"/>
      <c r="D24" s="338" t="s">
        <v>397</v>
      </c>
      <c r="E24" s="338"/>
      <c r="F24" s="33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84"/>
    </row>
    <row r="25" spans="1:39" ht="21.6" customHeight="1" x14ac:dyDescent="0.2">
      <c r="A25" s="15"/>
      <c r="B25" s="281"/>
      <c r="C25" s="278"/>
      <c r="D25" s="338"/>
      <c r="E25" s="338"/>
      <c r="F25" s="338"/>
      <c r="G25" s="296"/>
      <c r="H25" s="278"/>
      <c r="I25" s="278"/>
      <c r="J25" s="287"/>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84"/>
    </row>
    <row r="26" spans="1:39" ht="15" customHeight="1" thickBot="1" x14ac:dyDescent="0.25">
      <c r="A26" s="15"/>
      <c r="B26" s="282"/>
      <c r="C26" s="283"/>
      <c r="D26" s="301"/>
      <c r="E26" s="301"/>
      <c r="F26" s="301"/>
      <c r="G26" s="292"/>
      <c r="H26" s="283"/>
      <c r="I26" s="283"/>
      <c r="J26" s="29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5"/>
    </row>
    <row r="27" spans="1:39" ht="15" customHeight="1" x14ac:dyDescent="0.25">
      <c r="A27" s="15"/>
      <c r="B27" s="166" t="s">
        <v>100</v>
      </c>
      <c r="C27" s="167"/>
      <c r="D27" s="167"/>
      <c r="E27" s="168" t="s">
        <v>65</v>
      </c>
      <c r="F27" s="81">
        <v>18</v>
      </c>
      <c r="G27" s="169" t="s">
        <v>50</v>
      </c>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70"/>
    </row>
    <row r="28" spans="1:39" ht="15" customHeight="1" x14ac:dyDescent="0.25">
      <c r="A28" s="15"/>
      <c r="B28" s="171"/>
      <c r="C28" s="156"/>
      <c r="D28" s="156"/>
      <c r="E28" s="172" t="s">
        <v>70</v>
      </c>
      <c r="F28" s="82">
        <v>28</v>
      </c>
      <c r="G28" s="173" t="s">
        <v>50</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74"/>
    </row>
    <row r="29" spans="1:39" ht="15" customHeight="1" x14ac:dyDescent="0.2">
      <c r="A29" s="15"/>
      <c r="B29" s="175"/>
      <c r="C29" s="156"/>
      <c r="D29" s="156"/>
      <c r="E29" s="172" t="s">
        <v>66</v>
      </c>
      <c r="F29" s="82">
        <v>30</v>
      </c>
      <c r="G29" s="173" t="s">
        <v>50</v>
      </c>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74"/>
    </row>
    <row r="30" spans="1:39" ht="15" customHeight="1" x14ac:dyDescent="0.2">
      <c r="A30" s="15"/>
      <c r="B30" s="175"/>
      <c r="C30" s="156"/>
      <c r="D30" s="156"/>
      <c r="E30" s="172" t="s">
        <v>72</v>
      </c>
      <c r="F30" s="82">
        <v>5.4</v>
      </c>
      <c r="G30" s="173" t="s">
        <v>17</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74"/>
    </row>
    <row r="31" spans="1:39" ht="15" customHeight="1" x14ac:dyDescent="0.2">
      <c r="A31" s="15"/>
      <c r="B31" s="175"/>
      <c r="C31" s="156"/>
      <c r="D31" s="156"/>
      <c r="E31" s="172" t="s">
        <v>170</v>
      </c>
      <c r="F31" s="82">
        <v>640</v>
      </c>
      <c r="G31" s="176" t="s">
        <v>47</v>
      </c>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74"/>
    </row>
    <row r="32" spans="1:39" ht="15" customHeight="1" x14ac:dyDescent="0.2">
      <c r="A32" s="15"/>
      <c r="B32" s="175"/>
      <c r="C32" s="156"/>
      <c r="D32" s="156"/>
      <c r="E32" s="172" t="s">
        <v>71</v>
      </c>
      <c r="F32" s="305">
        <v>70</v>
      </c>
      <c r="G32" s="173" t="s">
        <v>76</v>
      </c>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74"/>
    </row>
    <row r="33" spans="1:40" ht="15" customHeight="1" x14ac:dyDescent="0.2">
      <c r="A33" s="15"/>
      <c r="B33" s="343" t="s">
        <v>399</v>
      </c>
      <c r="C33" s="156"/>
      <c r="D33" s="156"/>
      <c r="E33" s="172"/>
      <c r="F33" s="307"/>
      <c r="G33" s="173"/>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74"/>
    </row>
    <row r="34" spans="1:40" ht="15" customHeight="1" x14ac:dyDescent="0.2">
      <c r="A34" s="15"/>
      <c r="B34" s="343"/>
      <c r="C34" s="156"/>
      <c r="D34" s="156"/>
      <c r="E34" s="172"/>
      <c r="F34" s="307"/>
      <c r="G34" s="173"/>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74"/>
    </row>
    <row r="35" spans="1:40" ht="15" customHeight="1" x14ac:dyDescent="0.2">
      <c r="A35" s="15"/>
      <c r="B35" s="175"/>
      <c r="C35" s="156"/>
      <c r="D35" s="156"/>
      <c r="E35" s="172"/>
      <c r="F35" s="307"/>
      <c r="G35" s="173"/>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74"/>
    </row>
    <row r="36" spans="1:40" ht="15" customHeight="1" x14ac:dyDescent="0.2">
      <c r="A36" s="15"/>
      <c r="B36" s="175"/>
      <c r="C36" s="156"/>
      <c r="D36" s="156"/>
      <c r="E36" s="172"/>
      <c r="F36" s="307"/>
      <c r="G36" s="173"/>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74"/>
    </row>
    <row r="37" spans="1:40" ht="15" customHeight="1" thickBot="1" x14ac:dyDescent="0.25">
      <c r="A37" s="15"/>
      <c r="B37" s="177"/>
      <c r="C37" s="178"/>
      <c r="D37" s="178"/>
      <c r="E37" s="179"/>
      <c r="F37" s="308"/>
      <c r="G37" s="180"/>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81"/>
    </row>
    <row r="38" spans="1:40" ht="15" customHeight="1" x14ac:dyDescent="0.25">
      <c r="A38" s="15"/>
      <c r="B38" s="166" t="s">
        <v>169</v>
      </c>
      <c r="C38" s="182"/>
      <c r="D38" s="167"/>
      <c r="E38" s="168" t="s">
        <v>358</v>
      </c>
      <c r="F38" s="306">
        <f>Equations!F20</f>
        <v>8.2508250825082499</v>
      </c>
      <c r="G38" s="169" t="s">
        <v>49</v>
      </c>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70"/>
      <c r="AN38" s="183" t="s">
        <v>227</v>
      </c>
    </row>
    <row r="39" spans="1:40" ht="15" customHeight="1" x14ac:dyDescent="0.2">
      <c r="A39" s="15"/>
      <c r="B39" s="175"/>
      <c r="C39" s="156"/>
      <c r="D39" s="156"/>
      <c r="E39" s="172" t="s">
        <v>148</v>
      </c>
      <c r="F39" s="84" t="s">
        <v>144</v>
      </c>
      <c r="G39" s="173"/>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74"/>
      <c r="AN39" s="183" t="s">
        <v>146</v>
      </c>
    </row>
    <row r="40" spans="1:40" ht="15" customHeight="1" x14ac:dyDescent="0.2">
      <c r="A40" s="15"/>
      <c r="B40" s="175"/>
      <c r="C40" s="156"/>
      <c r="D40" s="156"/>
      <c r="E40" s="172" t="s">
        <v>62</v>
      </c>
      <c r="F40" s="85">
        <v>8</v>
      </c>
      <c r="G40" s="173" t="s">
        <v>49</v>
      </c>
      <c r="H40" s="184"/>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74"/>
      <c r="AN40" s="183" t="s">
        <v>144</v>
      </c>
    </row>
    <row r="41" spans="1:40" ht="15" customHeight="1" x14ac:dyDescent="0.2">
      <c r="A41" s="15"/>
      <c r="B41" s="175"/>
      <c r="C41" s="156"/>
      <c r="D41" s="156"/>
      <c r="E41" s="172" t="s">
        <v>150</v>
      </c>
      <c r="F41" s="42" t="str">
        <f>Equations!F21</f>
        <v>NA</v>
      </c>
      <c r="G41" s="185" t="s">
        <v>51</v>
      </c>
      <c r="H41" s="18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74"/>
    </row>
    <row r="42" spans="1:40" ht="15" customHeight="1" x14ac:dyDescent="0.2">
      <c r="A42" s="15"/>
      <c r="B42" s="175"/>
      <c r="C42" s="156"/>
      <c r="D42" s="156"/>
      <c r="E42" s="172" t="s">
        <v>151</v>
      </c>
      <c r="F42" s="41" t="str">
        <f>Equations!F22</f>
        <v>NA</v>
      </c>
      <c r="G42" s="185" t="s">
        <v>51</v>
      </c>
      <c r="H42" s="18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4"/>
    </row>
    <row r="43" spans="1:40" ht="15" customHeight="1" x14ac:dyDescent="0.2">
      <c r="A43" s="15"/>
      <c r="B43" s="175"/>
      <c r="C43" s="156"/>
      <c r="D43" s="156"/>
      <c r="E43" s="172" t="s">
        <v>152</v>
      </c>
      <c r="F43" s="84">
        <v>10</v>
      </c>
      <c r="G43" s="185" t="s">
        <v>51</v>
      </c>
      <c r="H43" s="186"/>
      <c r="I43" s="156"/>
      <c r="J43" s="184"/>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74"/>
      <c r="AN43" s="158" t="b">
        <f>AND(F39="No")</f>
        <v>1</v>
      </c>
    </row>
    <row r="44" spans="1:40" ht="15" customHeight="1" x14ac:dyDescent="0.2">
      <c r="A44" s="15"/>
      <c r="B44" s="175"/>
      <c r="C44" s="156"/>
      <c r="D44" s="156"/>
      <c r="E44" s="172" t="s">
        <v>153</v>
      </c>
      <c r="F44" s="84">
        <v>2</v>
      </c>
      <c r="G44" s="185" t="s">
        <v>51</v>
      </c>
      <c r="H44" s="18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74"/>
    </row>
    <row r="45" spans="1:40" ht="15" customHeight="1" x14ac:dyDescent="0.2">
      <c r="A45" s="15"/>
      <c r="B45" s="344" t="s">
        <v>399</v>
      </c>
      <c r="C45" s="156"/>
      <c r="D45" s="156"/>
      <c r="E45" s="172" t="s">
        <v>177</v>
      </c>
      <c r="F45" s="41">
        <f>RsEFF</f>
        <v>8</v>
      </c>
      <c r="G45" s="173" t="s">
        <v>49</v>
      </c>
      <c r="H45" s="18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74"/>
    </row>
    <row r="46" spans="1:40" ht="15" customHeight="1" x14ac:dyDescent="0.2">
      <c r="A46" s="15"/>
      <c r="B46" s="344"/>
      <c r="C46" s="156"/>
      <c r="D46" s="187"/>
      <c r="E46" s="188" t="s">
        <v>57</v>
      </c>
      <c r="F46" s="189">
        <f>CLMIN</f>
        <v>5.625</v>
      </c>
      <c r="G46" s="173" t="s">
        <v>17</v>
      </c>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74"/>
    </row>
    <row r="47" spans="1:40" ht="15" customHeight="1" x14ac:dyDescent="0.2">
      <c r="A47" s="15"/>
      <c r="B47" s="344"/>
      <c r="C47" s="156"/>
      <c r="D47" s="190"/>
      <c r="E47" s="191" t="s">
        <v>58</v>
      </c>
      <c r="F47" s="189">
        <f>CLNOM</f>
        <v>6.25</v>
      </c>
      <c r="G47" s="173" t="s">
        <v>17</v>
      </c>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74"/>
    </row>
    <row r="48" spans="1:40" ht="15" customHeight="1" x14ac:dyDescent="0.2">
      <c r="A48" s="15"/>
      <c r="B48" s="175"/>
      <c r="C48" s="156"/>
      <c r="D48" s="192"/>
      <c r="E48" s="193" t="s">
        <v>59</v>
      </c>
      <c r="F48" s="189">
        <f>CLMAX</f>
        <v>6.875</v>
      </c>
      <c r="G48" s="173" t="s">
        <v>17</v>
      </c>
      <c r="H48" s="156"/>
      <c r="I48" s="19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74"/>
      <c r="AN48" s="183" t="s">
        <v>171</v>
      </c>
    </row>
    <row r="49" spans="1:46" ht="15" customHeight="1" thickBot="1" x14ac:dyDescent="0.25">
      <c r="A49" s="15"/>
      <c r="B49" s="175"/>
      <c r="C49" s="156"/>
      <c r="D49" s="156"/>
      <c r="E49" s="172" t="s">
        <v>67</v>
      </c>
      <c r="F49" s="195">
        <f>Equations!F27/1000</f>
        <v>0.37812499999999999</v>
      </c>
      <c r="G49" s="173" t="s">
        <v>51</v>
      </c>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74"/>
      <c r="AN49" s="183" t="s">
        <v>172</v>
      </c>
    </row>
    <row r="50" spans="1:46" ht="15" x14ac:dyDescent="0.25">
      <c r="A50" s="15"/>
      <c r="B50" s="166" t="s">
        <v>73</v>
      </c>
      <c r="C50" s="167"/>
      <c r="D50" s="167"/>
      <c r="E50" s="196" t="s">
        <v>342</v>
      </c>
      <c r="F50" s="83" t="s">
        <v>402</v>
      </c>
      <c r="G50" s="19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70"/>
    </row>
    <row r="51" spans="1:46" ht="15.75" x14ac:dyDescent="0.3">
      <c r="A51" s="15"/>
      <c r="B51" s="175"/>
      <c r="C51" s="156"/>
      <c r="D51" s="156"/>
      <c r="E51" s="198" t="s">
        <v>174</v>
      </c>
      <c r="F51" s="112">
        <v>62</v>
      </c>
      <c r="G51" s="173" t="s">
        <v>77</v>
      </c>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74"/>
      <c r="AN51" s="158">
        <f>((((TJMAX-TAMB)/ThetaJA)/(CLMAX^2))*1000)*NUMFETS^2</f>
        <v>35.830445214609433</v>
      </c>
      <c r="AO51" s="158">
        <f>((TJMAX-TAMB)/ThetaJA)</f>
        <v>1.6935483870967742</v>
      </c>
    </row>
    <row r="52" spans="1:46" x14ac:dyDescent="0.2">
      <c r="A52" s="15"/>
      <c r="B52" s="175"/>
      <c r="C52" s="156"/>
      <c r="D52" s="156"/>
      <c r="E52" s="198" t="s">
        <v>74</v>
      </c>
      <c r="F52" s="85">
        <v>1</v>
      </c>
      <c r="G52" s="173" t="s">
        <v>75</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74"/>
      <c r="AN52" s="199" t="s">
        <v>175</v>
      </c>
    </row>
    <row r="53" spans="1:46" ht="15.75" x14ac:dyDescent="0.3">
      <c r="A53" s="15"/>
      <c r="B53" s="175"/>
      <c r="C53" s="156"/>
      <c r="D53" s="156"/>
      <c r="E53" s="198" t="s">
        <v>179</v>
      </c>
      <c r="F53" s="85">
        <v>2</v>
      </c>
      <c r="G53" s="173" t="s">
        <v>49</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74"/>
      <c r="AN53" s="183">
        <f>F53</f>
        <v>2</v>
      </c>
    </row>
    <row r="54" spans="1:46" ht="14.25" x14ac:dyDescent="0.2">
      <c r="A54" s="15"/>
      <c r="B54" s="175"/>
      <c r="C54" s="156"/>
      <c r="D54" s="156"/>
      <c r="E54" s="198" t="s">
        <v>78</v>
      </c>
      <c r="F54" s="85">
        <v>175</v>
      </c>
      <c r="G54" s="173" t="s">
        <v>136</v>
      </c>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74"/>
      <c r="AN54" s="183">
        <f t="shared" ref="AN54:AN59" si="0">F54</f>
        <v>175</v>
      </c>
    </row>
    <row r="55" spans="1:46" ht="15.75" x14ac:dyDescent="0.3">
      <c r="A55" s="15"/>
      <c r="B55" s="275"/>
      <c r="C55" s="156"/>
      <c r="D55" s="156"/>
      <c r="E55" s="198" t="s">
        <v>274</v>
      </c>
      <c r="F55" s="86">
        <v>90</v>
      </c>
      <c r="G55" s="173" t="s">
        <v>17</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74"/>
      <c r="AN55" s="183">
        <f t="shared" si="0"/>
        <v>90</v>
      </c>
    </row>
    <row r="56" spans="1:46" ht="15.75" x14ac:dyDescent="0.3">
      <c r="A56" s="15"/>
      <c r="B56" s="275"/>
      <c r="C56" s="156"/>
      <c r="D56" s="156"/>
      <c r="E56" s="198" t="s">
        <v>275</v>
      </c>
      <c r="F56" s="86">
        <v>7.5</v>
      </c>
      <c r="G56" s="173" t="s">
        <v>17</v>
      </c>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74"/>
      <c r="AN56" s="183">
        <f t="shared" si="0"/>
        <v>7.5</v>
      </c>
    </row>
    <row r="57" spans="1:46" ht="15.75" x14ac:dyDescent="0.3">
      <c r="A57" s="15"/>
      <c r="B57" s="311" t="s">
        <v>73</v>
      </c>
      <c r="C57" s="156"/>
      <c r="D57" s="156"/>
      <c r="E57" s="198" t="s">
        <v>276</v>
      </c>
      <c r="F57" s="86">
        <v>2</v>
      </c>
      <c r="G57" s="173" t="s">
        <v>17</v>
      </c>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74"/>
      <c r="AN57" s="183">
        <f t="shared" si="0"/>
        <v>2</v>
      </c>
    </row>
    <row r="58" spans="1:46" ht="15.75" x14ac:dyDescent="0.3">
      <c r="A58" s="15"/>
      <c r="B58" s="275"/>
      <c r="C58" s="156"/>
      <c r="D58" s="156"/>
      <c r="E58" s="198" t="s">
        <v>277</v>
      </c>
      <c r="F58" s="86">
        <v>0.5</v>
      </c>
      <c r="G58" s="173" t="s">
        <v>17</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74"/>
      <c r="AN58" s="183">
        <f t="shared" si="0"/>
        <v>0.5</v>
      </c>
    </row>
    <row r="59" spans="1:46" ht="15.75" x14ac:dyDescent="0.3">
      <c r="A59" s="15"/>
      <c r="B59" s="275"/>
      <c r="C59" s="156"/>
      <c r="D59" s="156"/>
      <c r="E59" s="198" t="s">
        <v>278</v>
      </c>
      <c r="F59" s="86">
        <v>0.5</v>
      </c>
      <c r="G59" s="173" t="s">
        <v>17</v>
      </c>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74"/>
      <c r="AN59" s="183">
        <f t="shared" si="0"/>
        <v>0.5</v>
      </c>
    </row>
    <row r="60" spans="1:46" ht="15" customHeight="1" x14ac:dyDescent="0.2">
      <c r="A60" s="15"/>
      <c r="B60" s="275"/>
      <c r="C60" s="156"/>
      <c r="D60" s="156"/>
      <c r="E60" s="198" t="s">
        <v>222</v>
      </c>
      <c r="F60" s="74">
        <f>(IOUTMAX/NUMFETS)^2*RDSON/1000</f>
        <v>5.8320000000000011E-2</v>
      </c>
      <c r="G60" s="173" t="s">
        <v>51</v>
      </c>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74"/>
      <c r="AT60" s="346"/>
    </row>
    <row r="61" spans="1:46" ht="15" customHeight="1" x14ac:dyDescent="0.3">
      <c r="A61" s="15"/>
      <c r="B61" s="346" t="s">
        <v>341</v>
      </c>
      <c r="C61" s="156"/>
      <c r="D61" s="156"/>
      <c r="E61" s="198" t="s">
        <v>178</v>
      </c>
      <c r="F61" s="74">
        <f>TAMB+(FETPDISS*ThetaJA)</f>
        <v>73.615840000000006</v>
      </c>
      <c r="G61" s="173" t="s">
        <v>76</v>
      </c>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74"/>
      <c r="AT61" s="346"/>
    </row>
    <row r="62" spans="1:46" ht="15" customHeight="1" x14ac:dyDescent="0.2">
      <c r="A62" s="15"/>
      <c r="B62" s="346"/>
      <c r="C62" s="156"/>
      <c r="D62" s="156"/>
      <c r="E62" s="172" t="s">
        <v>388</v>
      </c>
      <c r="F62" s="74">
        <f>Equations!F38</f>
        <v>25</v>
      </c>
      <c r="G62" s="173" t="s">
        <v>51</v>
      </c>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74"/>
      <c r="AT62" s="346"/>
    </row>
    <row r="63" spans="1:46" ht="15" customHeight="1" x14ac:dyDescent="0.2">
      <c r="A63" s="15"/>
      <c r="B63" s="346"/>
      <c r="C63" s="156"/>
      <c r="D63" s="156"/>
      <c r="E63" s="172" t="s">
        <v>182</v>
      </c>
      <c r="F63" s="86">
        <v>80</v>
      </c>
      <c r="G63" s="173" t="s">
        <v>51</v>
      </c>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74"/>
      <c r="AT63" s="346"/>
    </row>
    <row r="64" spans="1:46" ht="15" customHeight="1" x14ac:dyDescent="0.2">
      <c r="A64" s="15"/>
      <c r="B64" s="346"/>
      <c r="C64" s="156"/>
      <c r="D64" s="156"/>
      <c r="E64" s="172" t="s">
        <v>362</v>
      </c>
      <c r="F64" s="86">
        <v>41.2</v>
      </c>
      <c r="G64" s="200" t="s">
        <v>48</v>
      </c>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74"/>
      <c r="AT64" s="346"/>
    </row>
    <row r="65" spans="1:46" ht="15" customHeight="1" x14ac:dyDescent="0.2">
      <c r="A65" s="15"/>
      <c r="B65" s="346"/>
      <c r="C65" s="156"/>
      <c r="D65" s="156"/>
      <c r="E65" s="172" t="s">
        <v>363</v>
      </c>
      <c r="F65" s="58">
        <f>Equations!F43</f>
        <v>19.388235294117649</v>
      </c>
      <c r="G65" s="200" t="s">
        <v>48</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74"/>
      <c r="AT65" s="346"/>
    </row>
    <row r="66" spans="1:46" ht="15" customHeight="1" x14ac:dyDescent="0.2">
      <c r="A66" s="15"/>
      <c r="B66" s="346"/>
      <c r="C66" s="156"/>
      <c r="D66" s="156"/>
      <c r="E66" s="172" t="s">
        <v>386</v>
      </c>
      <c r="F66" s="85">
        <v>19.600000000000001</v>
      </c>
      <c r="G66" s="200" t="s">
        <v>48</v>
      </c>
      <c r="H66" s="156"/>
      <c r="I66" s="331" t="s">
        <v>400</v>
      </c>
      <c r="J66" s="331"/>
      <c r="K66" s="331"/>
      <c r="L66" s="331"/>
      <c r="M66" s="331"/>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74"/>
      <c r="AT66" s="346"/>
    </row>
    <row r="67" spans="1:46" ht="15" customHeight="1" thickBot="1" x14ac:dyDescent="0.25">
      <c r="A67" s="15"/>
      <c r="B67" s="346"/>
      <c r="C67" s="156"/>
      <c r="D67" s="156"/>
      <c r="E67" s="172" t="s">
        <v>185</v>
      </c>
      <c r="F67" s="58">
        <f>Equations!F47</f>
        <v>80.592105263157904</v>
      </c>
      <c r="G67" s="173" t="s">
        <v>51</v>
      </c>
      <c r="H67" s="156"/>
      <c r="I67" s="345"/>
      <c r="J67" s="345"/>
      <c r="K67" s="345"/>
      <c r="L67" s="345"/>
      <c r="M67" s="345"/>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74"/>
    </row>
    <row r="68" spans="1:46" ht="15" x14ac:dyDescent="0.25">
      <c r="A68" s="15"/>
      <c r="B68" s="166" t="s">
        <v>84</v>
      </c>
      <c r="C68" s="167"/>
      <c r="D68" s="167"/>
      <c r="E68" s="196" t="s">
        <v>139</v>
      </c>
      <c r="F68" s="87">
        <v>0</v>
      </c>
      <c r="G68" s="197" t="s">
        <v>50</v>
      </c>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70"/>
      <c r="AN68" s="183"/>
    </row>
    <row r="69" spans="1:46" x14ac:dyDescent="0.2">
      <c r="A69" s="15"/>
      <c r="B69" s="201"/>
      <c r="C69" s="156"/>
      <c r="D69" s="156"/>
      <c r="E69" s="198" t="s">
        <v>85</v>
      </c>
      <c r="F69" s="85" t="s">
        <v>87</v>
      </c>
      <c r="G69" s="17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74"/>
      <c r="AN69" s="183"/>
    </row>
    <row r="70" spans="1:46" x14ac:dyDescent="0.2">
      <c r="A70" s="15"/>
      <c r="B70" s="175"/>
      <c r="C70" s="156"/>
      <c r="D70" s="156"/>
      <c r="E70" s="198" t="s">
        <v>86</v>
      </c>
      <c r="F70" s="85">
        <v>0</v>
      </c>
      <c r="G70" s="176" t="str">
        <f>IF(F69="Constant Current","A","Ohms")</f>
        <v>A</v>
      </c>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74"/>
      <c r="AN70" s="158" t="s">
        <v>87</v>
      </c>
    </row>
    <row r="71" spans="1:46" x14ac:dyDescent="0.2">
      <c r="A71" s="15"/>
      <c r="B71" s="175"/>
      <c r="C71" s="156"/>
      <c r="D71" s="156"/>
      <c r="E71" s="172" t="s">
        <v>145</v>
      </c>
      <c r="F71" s="84" t="s">
        <v>144</v>
      </c>
      <c r="G71" s="17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74"/>
      <c r="AN71" s="158" t="s">
        <v>88</v>
      </c>
    </row>
    <row r="72" spans="1:46" x14ac:dyDescent="0.2">
      <c r="A72" s="15"/>
      <c r="B72" s="175"/>
      <c r="C72" s="156"/>
      <c r="D72" s="156"/>
      <c r="E72" s="198" t="s">
        <v>201</v>
      </c>
      <c r="F72" s="202">
        <f>Start_up!M2</f>
        <v>4.2142388600410641</v>
      </c>
      <c r="G72" s="173" t="s">
        <v>5</v>
      </c>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74"/>
      <c r="AN72" s="183"/>
    </row>
    <row r="73" spans="1:46" x14ac:dyDescent="0.2">
      <c r="A73" s="15"/>
      <c r="B73" s="175"/>
      <c r="C73" s="156"/>
      <c r="D73" s="156"/>
      <c r="E73" s="198" t="s">
        <v>208</v>
      </c>
      <c r="F73" s="203">
        <f>Start_up!O2</f>
        <v>1</v>
      </c>
      <c r="G73" s="173"/>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74"/>
      <c r="AN73" s="183"/>
    </row>
    <row r="74" spans="1:46" ht="13.15" customHeight="1" x14ac:dyDescent="0.2">
      <c r="A74" s="15"/>
      <c r="B74" s="201"/>
      <c r="C74" s="156"/>
      <c r="D74" s="204"/>
      <c r="E74" s="205" t="s">
        <v>202</v>
      </c>
      <c r="F74" s="202">
        <f>Equations!F55</f>
        <v>7.3749180050718621</v>
      </c>
      <c r="G74" s="176" t="s">
        <v>5</v>
      </c>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74"/>
    </row>
    <row r="75" spans="1:46" ht="12.6" customHeight="1" x14ac:dyDescent="0.2">
      <c r="A75" s="15"/>
      <c r="B75" s="175"/>
      <c r="C75" s="156"/>
      <c r="D75" s="204"/>
      <c r="E75" s="206" t="s">
        <v>206</v>
      </c>
      <c r="F75" s="202">
        <f>Equations!F56</f>
        <v>46.093237531699138</v>
      </c>
      <c r="G75" s="173" t="s">
        <v>69</v>
      </c>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74"/>
    </row>
    <row r="76" spans="1:46" ht="15" customHeight="1" x14ac:dyDescent="0.2">
      <c r="A76" s="15"/>
      <c r="B76" s="175"/>
      <c r="C76" s="156"/>
      <c r="D76" s="204"/>
      <c r="E76" s="206" t="s">
        <v>209</v>
      </c>
      <c r="F76" s="85">
        <v>10</v>
      </c>
      <c r="G76" s="173" t="s">
        <v>69</v>
      </c>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74"/>
    </row>
    <row r="77" spans="1:46" ht="15" customHeight="1" x14ac:dyDescent="0.2">
      <c r="A77" s="15"/>
      <c r="B77" s="312" t="s">
        <v>84</v>
      </c>
      <c r="C77" s="156"/>
      <c r="D77" s="204"/>
      <c r="E77" s="206" t="s">
        <v>262</v>
      </c>
      <c r="F77" s="202">
        <f>Equations!F58</f>
        <v>1.6</v>
      </c>
      <c r="G77" s="173" t="s">
        <v>5</v>
      </c>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74"/>
    </row>
    <row r="78" spans="1:46" ht="15" customHeight="1" x14ac:dyDescent="0.2">
      <c r="A78" s="15"/>
      <c r="B78" s="175"/>
      <c r="C78" s="156"/>
      <c r="D78" s="204"/>
      <c r="E78" s="206" t="s">
        <v>217</v>
      </c>
      <c r="F78" s="202">
        <f>Equations!F59</f>
        <v>1.4407798071943654</v>
      </c>
      <c r="G78" s="173"/>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74"/>
    </row>
    <row r="79" spans="1:46" ht="15" customHeight="1" x14ac:dyDescent="0.2">
      <c r="A79" s="15"/>
      <c r="B79" s="175"/>
      <c r="C79" s="156"/>
      <c r="D79" s="204"/>
      <c r="E79" s="206" t="s">
        <v>267</v>
      </c>
      <c r="F79" s="84" t="s">
        <v>144</v>
      </c>
      <c r="G79" s="173"/>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74"/>
    </row>
    <row r="80" spans="1:46" ht="15" customHeight="1" x14ac:dyDescent="0.2">
      <c r="A80" s="15"/>
      <c r="B80" s="175"/>
      <c r="C80" s="156"/>
      <c r="D80" s="204"/>
      <c r="E80" s="206" t="s">
        <v>272</v>
      </c>
      <c r="F80" s="202">
        <f>dv_dt_recommendations!L29</f>
        <v>1.4961614828462699</v>
      </c>
      <c r="G80" s="173" t="s">
        <v>225</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74"/>
    </row>
    <row r="81" spans="1:40" ht="15" customHeight="1" x14ac:dyDescent="0.2">
      <c r="A81" s="15"/>
      <c r="B81" s="175"/>
      <c r="C81" s="156"/>
      <c r="D81" s="204"/>
      <c r="E81" s="206" t="s">
        <v>273</v>
      </c>
      <c r="F81" s="202">
        <f>dv_dt_recommendations!L30</f>
        <v>9.3517211223102387E-2</v>
      </c>
      <c r="G81" s="173" t="s">
        <v>225</v>
      </c>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74"/>
    </row>
    <row r="82" spans="1:40" ht="15" customHeight="1" x14ac:dyDescent="0.2">
      <c r="A82" s="15"/>
      <c r="B82" s="330" t="s">
        <v>353</v>
      </c>
      <c r="C82" s="331"/>
      <c r="D82" s="204"/>
      <c r="E82" s="207" t="s">
        <v>259</v>
      </c>
      <c r="F82" s="85">
        <v>1.92</v>
      </c>
      <c r="G82" s="173" t="s">
        <v>225</v>
      </c>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74"/>
    </row>
    <row r="83" spans="1:40" ht="15" customHeight="1" x14ac:dyDescent="0.2">
      <c r="A83" s="15"/>
      <c r="B83" s="330"/>
      <c r="C83" s="331"/>
      <c r="D83" s="204"/>
      <c r="E83" s="207" t="s">
        <v>249</v>
      </c>
      <c r="F83" s="202">
        <f>Equations!F63</f>
        <v>11.458333333333334</v>
      </c>
      <c r="G83" s="208" t="s">
        <v>69</v>
      </c>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74"/>
    </row>
    <row r="84" spans="1:40" ht="15" customHeight="1" x14ac:dyDescent="0.2">
      <c r="A84" s="15"/>
      <c r="B84" s="330"/>
      <c r="C84" s="331"/>
      <c r="D84" s="204"/>
      <c r="E84" s="207" t="s">
        <v>250</v>
      </c>
      <c r="F84" s="85">
        <v>22</v>
      </c>
      <c r="G84" s="173" t="s">
        <v>69</v>
      </c>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74"/>
    </row>
    <row r="85" spans="1:40" ht="15" customHeight="1" x14ac:dyDescent="0.2">
      <c r="A85" s="15"/>
      <c r="B85" s="330"/>
      <c r="C85" s="331"/>
      <c r="D85" s="204"/>
      <c r="E85" s="207" t="s">
        <v>260</v>
      </c>
      <c r="F85" s="202">
        <f>Equations!F65</f>
        <v>1</v>
      </c>
      <c r="G85" s="173" t="s">
        <v>225</v>
      </c>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74"/>
    </row>
    <row r="86" spans="1:40" ht="16.899999999999999" customHeight="1" x14ac:dyDescent="0.2">
      <c r="A86" s="15"/>
      <c r="B86" s="330"/>
      <c r="C86" s="331"/>
      <c r="D86" s="204"/>
      <c r="E86" s="207" t="s">
        <v>255</v>
      </c>
      <c r="F86" s="202">
        <f>Equations!F72</f>
        <v>0.94601946332032094</v>
      </c>
      <c r="G86" s="173"/>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74"/>
    </row>
    <row r="87" spans="1:40" ht="16.899999999999999" customHeight="1" x14ac:dyDescent="0.2">
      <c r="A87" s="15"/>
      <c r="B87" s="175"/>
      <c r="C87" s="156"/>
      <c r="D87" s="204"/>
      <c r="E87" s="207" t="s">
        <v>252</v>
      </c>
      <c r="F87" s="85">
        <v>30</v>
      </c>
      <c r="G87" s="173" t="s">
        <v>5</v>
      </c>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74"/>
    </row>
    <row r="88" spans="1:40" ht="16.899999999999999" customHeight="1" x14ac:dyDescent="0.2">
      <c r="A88" s="15"/>
      <c r="B88" s="175"/>
      <c r="C88" s="156"/>
      <c r="D88" s="204"/>
      <c r="E88" s="207" t="s">
        <v>253</v>
      </c>
      <c r="F88" s="202">
        <f>Equations!F77</f>
        <v>187.5</v>
      </c>
      <c r="G88" s="173" t="s">
        <v>69</v>
      </c>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74"/>
    </row>
    <row r="89" spans="1:40" ht="16.899999999999999" customHeight="1" x14ac:dyDescent="0.3">
      <c r="A89" s="15"/>
      <c r="B89" s="175"/>
      <c r="C89" s="156"/>
      <c r="D89" s="204"/>
      <c r="E89" s="209" t="s">
        <v>324</v>
      </c>
      <c r="F89" s="85">
        <v>10</v>
      </c>
      <c r="G89" s="173" t="s">
        <v>69</v>
      </c>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74"/>
    </row>
    <row r="90" spans="1:40" ht="15" customHeight="1" x14ac:dyDescent="0.2">
      <c r="A90" s="15"/>
      <c r="B90" s="175"/>
      <c r="C90" s="156"/>
      <c r="D90" s="204"/>
      <c r="E90" s="206" t="s">
        <v>258</v>
      </c>
      <c r="F90" s="202">
        <f>Equations!F79</f>
        <v>1.6</v>
      </c>
      <c r="G90" s="173" t="s">
        <v>5</v>
      </c>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210" t="s">
        <v>176</v>
      </c>
    </row>
    <row r="91" spans="1:40" ht="31.9" customHeight="1" thickBot="1" x14ac:dyDescent="0.25">
      <c r="A91" s="15"/>
      <c r="B91" s="177"/>
      <c r="C91" s="178"/>
      <c r="D91" s="211"/>
      <c r="E91" s="212" t="s">
        <v>263</v>
      </c>
      <c r="F91" s="213">
        <f>Equations!F81</f>
        <v>1.4407798071943654</v>
      </c>
      <c r="G91" s="214"/>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215"/>
    </row>
    <row r="92" spans="1:40" ht="15" customHeight="1" x14ac:dyDescent="0.25">
      <c r="A92" s="15"/>
      <c r="B92" s="216" t="s">
        <v>160</v>
      </c>
      <c r="C92" s="217"/>
      <c r="D92" s="156"/>
      <c r="E92" s="218" t="s">
        <v>381</v>
      </c>
      <c r="F92" s="153">
        <v>18</v>
      </c>
      <c r="G92" s="219" t="s">
        <v>50</v>
      </c>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74"/>
      <c r="AN92" s="183" t="s">
        <v>14</v>
      </c>
    </row>
    <row r="93" spans="1:40" ht="15" customHeight="1" x14ac:dyDescent="0.2">
      <c r="A93" s="15"/>
      <c r="B93" s="175"/>
      <c r="C93" s="156"/>
      <c r="D93" s="156"/>
      <c r="E93" s="218" t="s">
        <v>378</v>
      </c>
      <c r="F93" s="220">
        <v>10</v>
      </c>
      <c r="G93" s="221" t="s">
        <v>48</v>
      </c>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74"/>
    </row>
    <row r="94" spans="1:40" ht="15" customHeight="1" x14ac:dyDescent="0.2">
      <c r="A94" s="15"/>
      <c r="B94" s="175"/>
      <c r="C94" s="156"/>
      <c r="D94" s="156"/>
      <c r="E94" s="218" t="s">
        <v>379</v>
      </c>
      <c r="F94" s="88">
        <v>10</v>
      </c>
      <c r="G94" s="221" t="s">
        <v>48</v>
      </c>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74"/>
    </row>
    <row r="95" spans="1:40" ht="15" customHeight="1" x14ac:dyDescent="0.2">
      <c r="A95" s="15"/>
      <c r="B95" s="175"/>
      <c r="C95" s="156"/>
      <c r="D95" s="156"/>
      <c r="E95" s="218" t="s">
        <v>380</v>
      </c>
      <c r="F95" s="220">
        <f>Equations!F89</f>
        <v>123.33333333333331</v>
      </c>
      <c r="G95" s="221" t="s">
        <v>48</v>
      </c>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74"/>
    </row>
    <row r="96" spans="1:40" ht="15" customHeight="1" x14ac:dyDescent="0.2">
      <c r="A96" s="15"/>
      <c r="B96" s="175"/>
      <c r="C96" s="156"/>
      <c r="D96" s="156"/>
      <c r="E96" s="218" t="s">
        <v>382</v>
      </c>
      <c r="F96" s="88">
        <v>130</v>
      </c>
      <c r="G96" s="219" t="s">
        <v>48</v>
      </c>
      <c r="H96" s="156"/>
      <c r="I96" s="156"/>
      <c r="J96" s="222"/>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74"/>
    </row>
    <row r="97" spans="1:39" ht="15" customHeight="1" x14ac:dyDescent="0.2">
      <c r="A97" s="15"/>
      <c r="B97" s="175"/>
      <c r="C97" s="156"/>
      <c r="D97" s="156"/>
      <c r="E97" s="156"/>
      <c r="F97" s="156"/>
      <c r="G97" s="223"/>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74"/>
    </row>
    <row r="98" spans="1:39" ht="15" customHeight="1" thickBot="1" x14ac:dyDescent="0.25">
      <c r="A98" s="15"/>
      <c r="B98" s="175"/>
      <c r="C98" s="224" t="s">
        <v>21</v>
      </c>
      <c r="D98" s="225" t="s">
        <v>18</v>
      </c>
      <c r="E98" s="225" t="s">
        <v>19</v>
      </c>
      <c r="F98" s="225" t="s">
        <v>20</v>
      </c>
      <c r="G98" s="223"/>
      <c r="H98" s="204"/>
      <c r="I98" s="204"/>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74"/>
    </row>
    <row r="99" spans="1:39" ht="15" customHeight="1" thickBot="1" x14ac:dyDescent="0.25">
      <c r="A99" s="15"/>
      <c r="B99" s="324" t="s">
        <v>160</v>
      </c>
      <c r="C99" s="198" t="s">
        <v>55</v>
      </c>
      <c r="D99" s="226">
        <f>Equations!E94</f>
        <v>18.48</v>
      </c>
      <c r="E99" s="226">
        <f>Equations!F94</f>
        <v>18.900000000000002</v>
      </c>
      <c r="F99" s="226">
        <f>Equations!G94</f>
        <v>19.32</v>
      </c>
      <c r="G99" s="219" t="s">
        <v>50</v>
      </c>
      <c r="H99" s="204"/>
      <c r="I99" s="204"/>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74"/>
    </row>
    <row r="100" spans="1:39" ht="15" customHeight="1" x14ac:dyDescent="0.2">
      <c r="A100" s="15"/>
      <c r="B100" s="324"/>
      <c r="C100" s="198" t="s">
        <v>56</v>
      </c>
      <c r="D100" s="226">
        <f>Equations!E95</f>
        <v>17.079999999999998</v>
      </c>
      <c r="E100" s="226">
        <f>Equations!F95</f>
        <v>17.5</v>
      </c>
      <c r="F100" s="226">
        <f>Equations!G95</f>
        <v>17.920000000000002</v>
      </c>
      <c r="G100" s="219" t="s">
        <v>50</v>
      </c>
      <c r="H100" s="204"/>
      <c r="I100" s="204"/>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74"/>
    </row>
    <row r="101" spans="1:39" ht="15" customHeight="1" x14ac:dyDescent="0.2">
      <c r="A101" s="310"/>
      <c r="B101" s="175"/>
      <c r="C101" s="198"/>
      <c r="D101" s="309"/>
      <c r="E101" s="309"/>
      <c r="F101" s="309"/>
      <c r="G101" s="252"/>
      <c r="H101" s="204"/>
      <c r="I101" s="204"/>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74"/>
    </row>
    <row r="102" spans="1:39" ht="15" customHeight="1" x14ac:dyDescent="0.2">
      <c r="A102" s="310"/>
      <c r="B102" s="175"/>
      <c r="C102" s="198"/>
      <c r="D102" s="309"/>
      <c r="E102" s="309"/>
      <c r="F102" s="309"/>
      <c r="G102" s="252"/>
      <c r="H102" s="204"/>
      <c r="I102" s="204"/>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74"/>
    </row>
    <row r="103" spans="1:39" ht="15" customHeight="1" thickBot="1" x14ac:dyDescent="0.25">
      <c r="A103" s="15"/>
      <c r="B103" s="175"/>
      <c r="C103" s="204"/>
      <c r="D103" s="204"/>
      <c r="E103" s="204"/>
      <c r="F103" s="204"/>
      <c r="G103" s="204"/>
      <c r="H103" s="227"/>
      <c r="I103" s="204"/>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74"/>
    </row>
    <row r="104" spans="1:39" ht="18.75" customHeight="1" x14ac:dyDescent="0.25">
      <c r="A104" s="15"/>
      <c r="B104" s="166" t="s">
        <v>163</v>
      </c>
      <c r="C104" s="167"/>
      <c r="D104" s="167"/>
      <c r="E104" s="228" t="s">
        <v>64</v>
      </c>
      <c r="F104" s="229">
        <f>Rs</f>
        <v>8</v>
      </c>
      <c r="G104" s="230" t="s">
        <v>49</v>
      </c>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70"/>
    </row>
    <row r="105" spans="1:39" ht="15" customHeight="1" x14ac:dyDescent="0.25">
      <c r="A105" s="15"/>
      <c r="B105" s="171"/>
      <c r="C105" s="156"/>
      <c r="D105" s="156"/>
      <c r="E105" s="231" t="s">
        <v>161</v>
      </c>
      <c r="F105" s="232" t="str">
        <f>IF(F39="No","DNP",RDIV1)</f>
        <v>DNP</v>
      </c>
      <c r="G105" s="233" t="s">
        <v>51</v>
      </c>
      <c r="H105" s="156"/>
      <c r="I105" s="156"/>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34"/>
    </row>
    <row r="106" spans="1:39" ht="14.25" customHeight="1" thickBot="1" x14ac:dyDescent="0.3">
      <c r="A106" s="15"/>
      <c r="B106" s="171"/>
      <c r="C106" s="156"/>
      <c r="D106" s="156"/>
      <c r="E106" s="231" t="s">
        <v>162</v>
      </c>
      <c r="F106" s="232" t="str">
        <f>IF(F39="No","short",RDIV2)</f>
        <v>short</v>
      </c>
      <c r="G106" s="233" t="s">
        <v>51</v>
      </c>
      <c r="H106" s="156"/>
      <c r="I106" s="156"/>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34"/>
    </row>
    <row r="107" spans="1:39" ht="15" customHeight="1" x14ac:dyDescent="0.2">
      <c r="A107" s="15"/>
      <c r="B107" s="175"/>
      <c r="C107" s="156"/>
      <c r="D107" s="156"/>
      <c r="E107" s="235" t="s">
        <v>8</v>
      </c>
      <c r="F107" s="236">
        <f>F96</f>
        <v>130</v>
      </c>
      <c r="G107" s="237" t="s">
        <v>48</v>
      </c>
      <c r="H107" s="156"/>
      <c r="I107" s="238"/>
      <c r="J107" s="239"/>
      <c r="K107" s="240" t="s">
        <v>19</v>
      </c>
      <c r="L107" s="241" t="s">
        <v>110</v>
      </c>
      <c r="M107" s="225"/>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174"/>
    </row>
    <row r="108" spans="1:39" ht="15" customHeight="1" x14ac:dyDescent="0.2">
      <c r="A108" s="15"/>
      <c r="B108" s="175"/>
      <c r="C108" s="156"/>
      <c r="D108" s="156"/>
      <c r="E108" s="235" t="s">
        <v>9</v>
      </c>
      <c r="F108" s="236">
        <f>F94</f>
        <v>10</v>
      </c>
      <c r="G108" s="237" t="s">
        <v>48</v>
      </c>
      <c r="H108" s="156"/>
      <c r="I108" s="243"/>
      <c r="J108" s="244" t="s">
        <v>164</v>
      </c>
      <c r="K108" s="245">
        <f>F47</f>
        <v>6.25</v>
      </c>
      <c r="L108" s="246" t="s">
        <v>17</v>
      </c>
      <c r="M108" s="247"/>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74"/>
    </row>
    <row r="109" spans="1:39" ht="15" customHeight="1" x14ac:dyDescent="0.2">
      <c r="A109" s="15"/>
      <c r="B109" s="175"/>
      <c r="C109" s="156"/>
      <c r="D109" s="156"/>
      <c r="E109" s="235" t="s">
        <v>10</v>
      </c>
      <c r="F109" s="189">
        <f>F64</f>
        <v>41.2</v>
      </c>
      <c r="G109" s="237" t="s">
        <v>48</v>
      </c>
      <c r="H109" s="156"/>
      <c r="I109" s="243"/>
      <c r="J109" s="244" t="s">
        <v>118</v>
      </c>
      <c r="K109" s="248">
        <f>F67</f>
        <v>80.592105263157904</v>
      </c>
      <c r="L109" s="246" t="s">
        <v>51</v>
      </c>
      <c r="M109" s="249"/>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74"/>
    </row>
    <row r="110" spans="1:39" ht="15" customHeight="1" x14ac:dyDescent="0.2">
      <c r="A110" s="15"/>
      <c r="B110" s="175"/>
      <c r="C110" s="156"/>
      <c r="D110" s="156"/>
      <c r="E110" s="235" t="s">
        <v>11</v>
      </c>
      <c r="F110" s="250">
        <f>RPWR</f>
        <v>19.600000000000001</v>
      </c>
      <c r="G110" s="237" t="s">
        <v>48</v>
      </c>
      <c r="H110" s="156"/>
      <c r="I110" s="243"/>
      <c r="J110" s="244" t="s">
        <v>165</v>
      </c>
      <c r="K110" s="251">
        <f>IF(F71="YES", F90,F77)</f>
        <v>1.6</v>
      </c>
      <c r="L110" s="246" t="s">
        <v>5</v>
      </c>
      <c r="M110" s="247"/>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74"/>
    </row>
    <row r="111" spans="1:39" ht="15" customHeight="1" x14ac:dyDescent="0.2">
      <c r="A111" s="15"/>
      <c r="B111" s="175"/>
      <c r="C111" s="156"/>
      <c r="D111" s="156"/>
      <c r="E111" s="235" t="s">
        <v>12</v>
      </c>
      <c r="F111" s="202">
        <f>IF(F71="YES", F89, F76)</f>
        <v>10</v>
      </c>
      <c r="G111" s="252" t="s">
        <v>69</v>
      </c>
      <c r="H111" s="156"/>
      <c r="I111" s="243"/>
      <c r="J111" s="253" t="s">
        <v>166</v>
      </c>
      <c r="K111" s="245">
        <f>E99</f>
        <v>18.900000000000002</v>
      </c>
      <c r="L111" s="246" t="s">
        <v>50</v>
      </c>
      <c r="M111" s="254"/>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74"/>
    </row>
    <row r="112" spans="1:39" ht="15" customHeight="1" x14ac:dyDescent="0.2">
      <c r="A112" s="15"/>
      <c r="B112" s="175"/>
      <c r="C112" s="156"/>
      <c r="D112" s="156"/>
      <c r="E112" s="235" t="s">
        <v>359</v>
      </c>
      <c r="F112" s="255">
        <v>0.1</v>
      </c>
      <c r="G112" s="237" t="s">
        <v>47</v>
      </c>
      <c r="H112" s="156"/>
      <c r="I112" s="243"/>
      <c r="J112" s="253" t="s">
        <v>167</v>
      </c>
      <c r="K112" s="245">
        <f>E100</f>
        <v>17.5</v>
      </c>
      <c r="L112" s="246" t="s">
        <v>50</v>
      </c>
      <c r="M112" s="247"/>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74"/>
    </row>
    <row r="113" spans="1:40" ht="15" customHeight="1" x14ac:dyDescent="0.2">
      <c r="A113" s="15"/>
      <c r="B113" s="175"/>
      <c r="C113" s="156"/>
      <c r="D113" s="156"/>
      <c r="E113" s="256" t="s">
        <v>356</v>
      </c>
      <c r="F113" s="257" t="str">
        <f>F50</f>
        <v>IPB020N08N5</v>
      </c>
      <c r="G113" s="252"/>
      <c r="H113" s="156"/>
      <c r="M113" s="258"/>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74"/>
    </row>
    <row r="114" spans="1:40" ht="15" customHeight="1" x14ac:dyDescent="0.2">
      <c r="A114" s="15"/>
      <c r="B114" s="175"/>
      <c r="C114" s="156"/>
      <c r="D114" s="156"/>
      <c r="E114" s="231" t="s">
        <v>360</v>
      </c>
      <c r="F114" s="259" t="str">
        <f>IF(F71="YES", 1, "DNP" )</f>
        <v>DNP</v>
      </c>
      <c r="G114" s="237" t="s">
        <v>48</v>
      </c>
      <c r="H114" s="156"/>
      <c r="I114" s="156"/>
      <c r="J114" s="156"/>
      <c r="K114" s="156"/>
      <c r="L114" s="156"/>
      <c r="M114" s="258"/>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74"/>
    </row>
    <row r="115" spans="1:40" ht="15" customHeight="1" x14ac:dyDescent="0.2">
      <c r="A115" s="15"/>
      <c r="B115" s="175"/>
      <c r="C115" s="156"/>
      <c r="D115" s="156"/>
      <c r="E115" s="231" t="s">
        <v>361</v>
      </c>
      <c r="F115" s="260" t="str">
        <f>IF(F71="YES", F84, "DNP" )</f>
        <v>DNP</v>
      </c>
      <c r="G115" s="252" t="s">
        <v>69</v>
      </c>
      <c r="H115" s="156"/>
      <c r="I115" s="156"/>
      <c r="J115" s="156"/>
      <c r="K115" s="156"/>
      <c r="L115" s="156"/>
      <c r="M115" s="258"/>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74"/>
    </row>
    <row r="116" spans="1:40" ht="15" customHeight="1" x14ac:dyDescent="0.2">
      <c r="A116" s="15"/>
      <c r="B116" s="175"/>
      <c r="C116" s="156"/>
      <c r="D116" s="156"/>
      <c r="H116" s="156"/>
      <c r="I116" s="156"/>
      <c r="J116" s="156"/>
      <c r="K116" s="156"/>
      <c r="L116" s="156"/>
      <c r="M116" s="258"/>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74"/>
    </row>
    <row r="117" spans="1:40" ht="15" customHeight="1" x14ac:dyDescent="0.2">
      <c r="A117" s="15"/>
      <c r="B117" s="175"/>
      <c r="C117" s="156"/>
      <c r="D117" s="156"/>
      <c r="E117" s="172"/>
      <c r="F117" s="262"/>
      <c r="G117" s="252"/>
      <c r="H117" s="156"/>
      <c r="I117" s="156"/>
      <c r="J117" s="156"/>
      <c r="K117" s="156"/>
      <c r="L117" s="156"/>
      <c r="M117" s="258"/>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74"/>
    </row>
    <row r="118" spans="1:40" ht="15" customHeight="1" x14ac:dyDescent="0.2">
      <c r="A118" s="15"/>
      <c r="B118" s="175"/>
      <c r="C118" s="156"/>
      <c r="D118" s="156"/>
      <c r="E118" s="172"/>
      <c r="F118" s="262"/>
      <c r="G118" s="252"/>
      <c r="H118" s="156"/>
      <c r="I118" s="156"/>
      <c r="J118" s="156"/>
      <c r="K118" s="156"/>
      <c r="L118" s="156"/>
      <c r="M118" s="258"/>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74"/>
    </row>
    <row r="119" spans="1:40" ht="15" customHeight="1" x14ac:dyDescent="0.2">
      <c r="A119" s="15"/>
      <c r="B119" s="175"/>
      <c r="C119" s="156"/>
      <c r="D119" s="156"/>
      <c r="E119" s="172"/>
      <c r="F119" s="262"/>
      <c r="G119" s="252"/>
      <c r="H119" s="156"/>
      <c r="I119" s="156"/>
      <c r="J119" s="156"/>
      <c r="K119" s="156"/>
      <c r="L119" s="156"/>
      <c r="M119" s="263"/>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74"/>
    </row>
    <row r="120" spans="1:40" ht="15" customHeight="1" x14ac:dyDescent="0.2">
      <c r="A120" s="15"/>
      <c r="B120" s="175"/>
      <c r="C120" s="156"/>
      <c r="D120" s="156"/>
      <c r="E120" s="172"/>
      <c r="F120" s="262"/>
      <c r="G120" s="252"/>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74"/>
      <c r="AN120" s="183"/>
    </row>
    <row r="121" spans="1:40" ht="15.75" x14ac:dyDescent="0.3">
      <c r="A121" s="15"/>
      <c r="B121" s="264" t="s">
        <v>13</v>
      </c>
      <c r="C121" s="265" t="s">
        <v>54</v>
      </c>
      <c r="D121" s="266"/>
      <c r="E121" s="265"/>
      <c r="F121" s="267"/>
      <c r="G121" s="252"/>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74"/>
      <c r="AN121" s="183"/>
    </row>
    <row r="122" spans="1:40" x14ac:dyDescent="0.2">
      <c r="A122" s="15"/>
      <c r="B122" s="175"/>
      <c r="C122" s="265" t="s">
        <v>63</v>
      </c>
      <c r="D122" s="156"/>
      <c r="E122" s="265"/>
      <c r="F122" s="156"/>
      <c r="G122" s="252"/>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74"/>
    </row>
    <row r="123" spans="1:40" x14ac:dyDescent="0.2">
      <c r="A123" s="15"/>
      <c r="B123" s="175"/>
      <c r="C123" s="265" t="s">
        <v>173</v>
      </c>
      <c r="D123" s="156"/>
      <c r="E123" s="265"/>
      <c r="F123" s="156"/>
      <c r="G123" s="252"/>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74"/>
    </row>
    <row r="124" spans="1:40" ht="13.5" thickBot="1" x14ac:dyDescent="0.25">
      <c r="A124" s="15"/>
      <c r="B124" s="177"/>
      <c r="C124" s="178"/>
      <c r="D124" s="178"/>
      <c r="E124" s="268"/>
      <c r="F124" s="178"/>
      <c r="G124" s="269"/>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81"/>
    </row>
    <row r="125" spans="1:40" x14ac:dyDescent="0.2">
      <c r="A125" s="15"/>
      <c r="B125" s="15"/>
      <c r="C125" s="15"/>
      <c r="D125" s="15"/>
      <c r="E125" s="15"/>
      <c r="F125" s="15"/>
      <c r="G125" s="157"/>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40" ht="15" x14ac:dyDescent="0.25">
      <c r="A126" s="15"/>
      <c r="B126" s="270"/>
      <c r="C126" s="15"/>
      <c r="D126" s="15"/>
      <c r="E126" s="15"/>
      <c r="F126" s="271"/>
      <c r="G126" s="263"/>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40" x14ac:dyDescent="0.2">
      <c r="A127" s="15"/>
      <c r="B127" s="15"/>
      <c r="C127" s="15"/>
      <c r="D127" s="15"/>
      <c r="E127" s="15"/>
      <c r="F127" s="271"/>
      <c r="G127" s="263"/>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40" x14ac:dyDescent="0.2">
      <c r="A128" s="15"/>
      <c r="B128" s="15"/>
      <c r="C128" s="15"/>
      <c r="D128" s="15"/>
      <c r="E128" s="15"/>
      <c r="F128" s="271"/>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
      <c r="A129" s="15"/>
      <c r="B129" s="15"/>
      <c r="C129" s="15"/>
      <c r="D129" s="15"/>
      <c r="E129" s="15"/>
      <c r="F129" s="271"/>
      <c r="G129" s="272"/>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
      <c r="A130" s="15"/>
      <c r="B130" s="15"/>
      <c r="C130" s="15"/>
      <c r="D130" s="15"/>
      <c r="E130" s="15"/>
      <c r="F130" s="271"/>
      <c r="G130" s="272"/>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
      <c r="A131" s="15"/>
      <c r="B131" s="15"/>
      <c r="C131" s="15"/>
      <c r="D131" s="15"/>
      <c r="E131" s="15"/>
      <c r="F131" s="271"/>
      <c r="G131" s="272"/>
      <c r="H131" s="271"/>
      <c r="I131" s="271"/>
      <c r="J131" s="271"/>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x14ac:dyDescent="0.2">
      <c r="A132" s="15"/>
      <c r="B132" s="15"/>
      <c r="C132" s="15"/>
      <c r="D132" s="15"/>
      <c r="E132" s="15"/>
      <c r="F132" s="271"/>
      <c r="G132" s="272"/>
      <c r="H132" s="271"/>
      <c r="I132" s="271"/>
      <c r="J132" s="271"/>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
      <c r="A133" s="15"/>
      <c r="B133" s="15"/>
      <c r="C133" s="15"/>
      <c r="D133" s="15"/>
      <c r="E133" s="15"/>
      <c r="F133" s="271"/>
      <c r="G133" s="272"/>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
      <c r="A134" s="15"/>
      <c r="B134" s="15"/>
      <c r="C134" s="15"/>
      <c r="D134" s="15"/>
      <c r="E134" s="15"/>
      <c r="F134" s="15"/>
      <c r="G134" s="272"/>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
      <c r="A135" s="15"/>
      <c r="B135" s="15"/>
      <c r="C135" s="15"/>
      <c r="D135" s="15"/>
      <c r="E135" s="15"/>
      <c r="F135" s="271"/>
      <c r="G135" s="272"/>
      <c r="H135" s="271"/>
      <c r="I135" s="271"/>
      <c r="J135" s="271"/>
      <c r="K135" s="271"/>
      <c r="L135" s="27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
      <c r="A136" s="15"/>
      <c r="B136" s="15"/>
      <c r="C136" s="15"/>
      <c r="D136" s="15"/>
      <c r="E136" s="15"/>
      <c r="F136" s="271"/>
      <c r="G136" s="272"/>
      <c r="H136" s="271"/>
      <c r="I136" s="271"/>
      <c r="J136" s="271"/>
      <c r="K136" s="271"/>
      <c r="L136" s="27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
      <c r="A137" s="15"/>
      <c r="B137" s="15"/>
      <c r="C137" s="15"/>
      <c r="D137" s="15"/>
      <c r="E137" s="15"/>
      <c r="F137" s="271"/>
      <c r="G137" s="157"/>
      <c r="H137" s="271"/>
      <c r="I137" s="271"/>
      <c r="J137" s="271"/>
      <c r="K137" s="271"/>
      <c r="L137" s="27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
      <c r="A138" s="15"/>
      <c r="B138" s="15"/>
      <c r="C138" s="15"/>
      <c r="D138" s="15"/>
      <c r="E138" s="15"/>
      <c r="F138" s="271"/>
      <c r="G138" s="272"/>
      <c r="H138" s="271"/>
      <c r="I138" s="271"/>
      <c r="J138" s="271"/>
      <c r="K138" s="271"/>
      <c r="L138" s="27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
      <c r="A139" s="15"/>
      <c r="B139" s="15"/>
      <c r="C139" s="15"/>
      <c r="D139" s="15"/>
      <c r="E139" s="15"/>
      <c r="F139" s="271"/>
      <c r="G139" s="272"/>
      <c r="H139" s="271"/>
      <c r="I139" s="271"/>
      <c r="J139" s="271"/>
      <c r="K139" s="271"/>
      <c r="L139" s="27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
      <c r="A140" s="15"/>
      <c r="B140" s="15"/>
      <c r="C140" s="15"/>
      <c r="D140" s="15"/>
      <c r="E140" s="15"/>
      <c r="F140" s="271"/>
      <c r="G140" s="272"/>
      <c r="H140" s="271"/>
      <c r="I140" s="271"/>
      <c r="J140" s="271"/>
      <c r="K140" s="271"/>
      <c r="L140" s="27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
      <c r="A141" s="15"/>
      <c r="B141" s="15"/>
      <c r="C141" s="15"/>
      <c r="D141" s="15"/>
      <c r="E141" s="15"/>
      <c r="F141" s="15"/>
      <c r="G141" s="272"/>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
      <c r="A142" s="15"/>
      <c r="B142" s="15"/>
      <c r="C142" s="15"/>
      <c r="D142" s="15"/>
      <c r="E142" s="15"/>
      <c r="F142" s="15"/>
      <c r="G142" s="272"/>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
      <c r="A143" s="15"/>
      <c r="B143" s="15"/>
      <c r="C143" s="15"/>
      <c r="D143" s="15"/>
      <c r="E143" s="15"/>
      <c r="F143" s="15"/>
      <c r="G143" s="272"/>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
      <c r="A144" s="15"/>
      <c r="B144" s="15"/>
      <c r="C144" s="15"/>
      <c r="D144" s="15"/>
      <c r="E144" s="15"/>
      <c r="F144" s="15"/>
      <c r="G144" s="157"/>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
      <c r="A145" s="15"/>
      <c r="B145" s="15"/>
      <c r="C145" s="15"/>
      <c r="D145" s="15"/>
      <c r="E145" s="15"/>
      <c r="F145" s="15"/>
      <c r="G145" s="157"/>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
      <c r="A146" s="15"/>
      <c r="B146" s="15"/>
      <c r="C146" s="15"/>
      <c r="D146" s="15"/>
      <c r="E146" s="15"/>
      <c r="F146" s="15"/>
      <c r="G146" s="157"/>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
      <c r="A147" s="15"/>
      <c r="B147" s="15"/>
      <c r="C147" s="15"/>
      <c r="D147" s="15"/>
      <c r="E147" s="15"/>
      <c r="F147" s="15"/>
      <c r="G147" s="157"/>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
      <c r="A148" s="15"/>
      <c r="B148" s="15"/>
      <c r="C148" s="15"/>
      <c r="D148" s="15"/>
      <c r="E148" s="15"/>
      <c r="F148" s="15"/>
      <c r="G148" s="157"/>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
      <c r="A149" s="15"/>
      <c r="B149" s="15"/>
      <c r="C149" s="15"/>
      <c r="D149" s="15"/>
      <c r="E149" s="15"/>
      <c r="F149" s="15"/>
      <c r="G149" s="157"/>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
      <c r="A150" s="15"/>
      <c r="B150" s="15"/>
      <c r="C150" s="15"/>
      <c r="D150" s="15"/>
      <c r="E150" s="15"/>
      <c r="F150" s="15"/>
      <c r="G150" s="157"/>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
      <c r="A151" s="15"/>
      <c r="B151" s="15"/>
      <c r="C151" s="15"/>
      <c r="D151" s="15"/>
      <c r="E151" s="15"/>
      <c r="F151" s="15"/>
      <c r="G151" s="157"/>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5" x14ac:dyDescent="0.25">
      <c r="A152" s="15"/>
      <c r="B152" s="273"/>
      <c r="C152" s="15"/>
      <c r="D152" s="15"/>
      <c r="E152" s="15"/>
      <c r="F152" s="15"/>
      <c r="G152" s="157"/>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
      <c r="A153" s="15"/>
      <c r="B153" s="15"/>
      <c r="C153" s="15"/>
      <c r="D153" s="15"/>
      <c r="E153" s="15"/>
      <c r="F153" s="15"/>
      <c r="G153" s="157"/>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
      <c r="A154" s="15"/>
      <c r="B154" s="15"/>
      <c r="C154" s="15"/>
      <c r="D154" s="15"/>
      <c r="E154" s="15"/>
      <c r="F154" s="15"/>
      <c r="G154" s="157"/>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
      <c r="A155" s="15"/>
      <c r="B155" s="15"/>
      <c r="C155" s="15"/>
      <c r="D155" s="15"/>
      <c r="E155" s="15"/>
      <c r="F155" s="15"/>
      <c r="G155" s="157"/>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
      <c r="A156" s="15"/>
      <c r="B156" s="15"/>
      <c r="C156" s="15"/>
      <c r="D156" s="15"/>
      <c r="E156" s="15"/>
      <c r="F156" s="15"/>
      <c r="G156" s="157"/>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
      <c r="A157" s="15"/>
      <c r="B157" s="15"/>
      <c r="D157" s="15"/>
      <c r="E157" s="15"/>
      <c r="F157" s="15"/>
      <c r="G157" s="157"/>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
      <c r="A158" s="15"/>
      <c r="B158" s="15"/>
      <c r="C158" s="15"/>
      <c r="D158" s="15"/>
      <c r="E158" s="15"/>
      <c r="F158" s="15"/>
      <c r="G158" s="157"/>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
      <c r="A159" s="15"/>
      <c r="B159" s="15"/>
      <c r="C159" s="15"/>
      <c r="D159" s="15"/>
      <c r="E159" s="15"/>
      <c r="F159" s="15"/>
      <c r="G159" s="157"/>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
      <c r="A160" s="15"/>
      <c r="B160" s="15"/>
      <c r="C160" s="15"/>
      <c r="D160" s="15"/>
      <c r="E160" s="15"/>
      <c r="F160" s="15"/>
      <c r="G160" s="157"/>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
      <c r="A161" s="15"/>
      <c r="B161" s="15"/>
      <c r="C161" s="15"/>
      <c r="D161" s="15"/>
      <c r="E161" s="15"/>
      <c r="F161" s="15"/>
      <c r="G161" s="157"/>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
      <c r="A162" s="15"/>
      <c r="B162" s="15"/>
      <c r="C162" s="15"/>
      <c r="D162" s="15"/>
      <c r="E162" s="15"/>
      <c r="F162" s="15"/>
      <c r="G162" s="157"/>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
      <c r="A163" s="15"/>
      <c r="B163" s="15"/>
      <c r="C163" s="15"/>
      <c r="D163" s="15"/>
      <c r="E163" s="15"/>
      <c r="F163" s="15"/>
      <c r="G163" s="157"/>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
      <c r="A164" s="15"/>
      <c r="B164" s="15"/>
      <c r="C164" s="15"/>
      <c r="D164" s="15"/>
      <c r="E164" s="15"/>
      <c r="F164" s="15"/>
      <c r="G164" s="157"/>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
      <c r="A165" s="15"/>
      <c r="B165" s="15"/>
      <c r="C165" s="15"/>
      <c r="D165" s="15"/>
      <c r="E165" s="15"/>
      <c r="F165" s="15"/>
      <c r="G165" s="157"/>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
      <c r="A166" s="15"/>
      <c r="B166" s="15"/>
      <c r="C166" s="15"/>
      <c r="D166" s="15"/>
      <c r="E166" s="15"/>
      <c r="F166" s="15"/>
      <c r="G166" s="157"/>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
      <c r="A167" s="15"/>
      <c r="B167" s="15"/>
      <c r="C167" s="15"/>
      <c r="D167" s="15"/>
      <c r="E167" s="15"/>
      <c r="F167" s="15"/>
      <c r="G167" s="157"/>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
      <c r="A168" s="15"/>
      <c r="B168" s="15"/>
      <c r="C168" s="15"/>
      <c r="D168" s="15"/>
      <c r="E168" s="15"/>
      <c r="F168" s="15"/>
      <c r="G168" s="157"/>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
      <c r="A169" s="15"/>
      <c r="B169" s="15"/>
      <c r="C169" s="15"/>
      <c r="D169" s="15"/>
      <c r="E169" s="15"/>
      <c r="F169" s="15"/>
      <c r="G169" s="157"/>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
      <c r="A170" s="15"/>
      <c r="B170" s="15"/>
      <c r="C170" s="15"/>
      <c r="D170" s="15"/>
      <c r="E170" s="15"/>
      <c r="F170" s="15"/>
      <c r="G170" s="157"/>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
      <c r="A171" s="15"/>
      <c r="B171" s="15"/>
      <c r="C171" s="15"/>
      <c r="D171" s="15"/>
      <c r="E171" s="15"/>
      <c r="F171" s="15"/>
      <c r="G171" s="157"/>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
      <c r="A172" s="15"/>
      <c r="B172" s="15"/>
      <c r="C172" s="15"/>
      <c r="D172" s="15"/>
      <c r="E172" s="15"/>
      <c r="F172" s="15"/>
      <c r="G172" s="157"/>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
      <c r="A173" s="15"/>
      <c r="B173" s="15"/>
      <c r="C173" s="15"/>
      <c r="D173" s="15"/>
      <c r="E173" s="15"/>
      <c r="F173" s="15"/>
      <c r="G173" s="157"/>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
      <c r="A174" s="15"/>
      <c r="B174" s="15"/>
      <c r="C174" s="15"/>
      <c r="D174" s="15"/>
      <c r="E174" s="15"/>
      <c r="F174" s="15"/>
      <c r="G174" s="157"/>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
      <c r="A175" s="15"/>
      <c r="B175" s="15"/>
      <c r="C175" s="15"/>
      <c r="D175" s="15"/>
      <c r="E175" s="15"/>
      <c r="F175" s="15"/>
      <c r="G175" s="157"/>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
      <c r="A176" s="15"/>
      <c r="B176" s="15"/>
      <c r="C176" s="15"/>
      <c r="D176" s="15"/>
      <c r="E176" s="15"/>
      <c r="F176" s="15"/>
      <c r="G176" s="157"/>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x14ac:dyDescent="0.2">
      <c r="A177" s="15"/>
      <c r="B177" s="15"/>
      <c r="C177" s="15"/>
      <c r="D177" s="15"/>
      <c r="E177" s="15"/>
      <c r="F177" s="15"/>
      <c r="G177" s="157"/>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x14ac:dyDescent="0.2">
      <c r="A178" s="15"/>
      <c r="B178" s="15"/>
      <c r="C178" s="15"/>
      <c r="D178" s="15"/>
      <c r="E178" s="15"/>
      <c r="F178" s="15"/>
      <c r="G178" s="15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x14ac:dyDescent="0.2">
      <c r="A179" s="15"/>
      <c r="B179" s="15"/>
      <c r="C179" s="15"/>
      <c r="D179" s="15"/>
      <c r="E179" s="15"/>
      <c r="F179" s="15"/>
      <c r="G179" s="157"/>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x14ac:dyDescent="0.2">
      <c r="A180" s="15"/>
      <c r="B180" s="15"/>
      <c r="C180" s="15"/>
      <c r="D180" s="15"/>
      <c r="E180" s="15"/>
      <c r="F180" s="15"/>
      <c r="G180" s="157"/>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x14ac:dyDescent="0.2">
      <c r="A181" s="15"/>
      <c r="B181" s="15"/>
      <c r="C181" s="15"/>
      <c r="D181" s="15"/>
      <c r="E181" s="15"/>
      <c r="F181" s="15"/>
      <c r="G181" s="157"/>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x14ac:dyDescent="0.2">
      <c r="A182" s="15"/>
      <c r="B182" s="15"/>
      <c r="C182" s="15"/>
      <c r="D182" s="15"/>
      <c r="E182" s="15"/>
      <c r="F182" s="15"/>
      <c r="G182" s="157"/>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x14ac:dyDescent="0.2">
      <c r="A183" s="15"/>
      <c r="B183" s="15"/>
      <c r="C183" s="15"/>
      <c r="D183" s="15"/>
      <c r="E183" s="15"/>
      <c r="F183" s="15"/>
      <c r="G183" s="157"/>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x14ac:dyDescent="0.2">
      <c r="A184" s="15"/>
      <c r="B184" s="15"/>
      <c r="C184" s="15"/>
      <c r="D184" s="15"/>
      <c r="E184" s="15"/>
      <c r="F184" s="15"/>
      <c r="G184" s="157"/>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x14ac:dyDescent="0.2">
      <c r="A185" s="15"/>
      <c r="B185" s="15"/>
      <c r="C185" s="15"/>
      <c r="D185" s="15"/>
      <c r="E185" s="15"/>
      <c r="F185" s="15"/>
      <c r="G185" s="157"/>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x14ac:dyDescent="0.2">
      <c r="A186" s="15"/>
      <c r="B186" s="15"/>
      <c r="C186" s="15"/>
      <c r="D186" s="15"/>
      <c r="E186" s="15"/>
      <c r="F186" s="15"/>
      <c r="G186" s="157"/>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x14ac:dyDescent="0.2">
      <c r="A187" s="15"/>
      <c r="B187" s="15"/>
      <c r="C187" s="15"/>
      <c r="D187" s="15"/>
      <c r="E187" s="15"/>
      <c r="F187" s="15"/>
      <c r="G187" s="157"/>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x14ac:dyDescent="0.2">
      <c r="A188" s="15"/>
      <c r="B188" s="15"/>
      <c r="C188" s="15"/>
      <c r="D188" s="15"/>
      <c r="E188" s="15"/>
      <c r="F188" s="15"/>
      <c r="G188" s="157"/>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x14ac:dyDescent="0.2">
      <c r="A189" s="15"/>
      <c r="B189" s="15"/>
      <c r="C189" s="15"/>
      <c r="D189" s="15"/>
      <c r="E189" s="15"/>
      <c r="F189" s="15"/>
      <c r="G189" s="157"/>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x14ac:dyDescent="0.2">
      <c r="A190" s="15"/>
      <c r="B190" s="15"/>
      <c r="C190" s="15"/>
      <c r="D190" s="15"/>
      <c r="E190" s="15"/>
      <c r="F190" s="15"/>
      <c r="G190" s="157"/>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x14ac:dyDescent="0.2">
      <c r="A191" s="15"/>
      <c r="B191" s="15"/>
      <c r="C191" s="15"/>
      <c r="D191" s="15"/>
      <c r="E191" s="15"/>
      <c r="F191" s="15"/>
      <c r="G191" s="157"/>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x14ac:dyDescent="0.2">
      <c r="A192" s="15"/>
      <c r="B192" s="15"/>
      <c r="C192" s="15"/>
      <c r="D192" s="15"/>
      <c r="E192" s="15"/>
      <c r="F192" s="15"/>
      <c r="G192" s="157"/>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x14ac:dyDescent="0.2">
      <c r="A193" s="15"/>
      <c r="B193" s="15"/>
      <c r="C193" s="15"/>
      <c r="D193" s="15"/>
      <c r="E193" s="15"/>
      <c r="F193" s="15"/>
      <c r="G193" s="157"/>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x14ac:dyDescent="0.2">
      <c r="A194" s="15"/>
      <c r="B194" s="15"/>
      <c r="C194" s="15"/>
      <c r="D194" s="15"/>
      <c r="E194" s="15"/>
      <c r="F194" s="15"/>
      <c r="G194" s="157"/>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x14ac:dyDescent="0.2">
      <c r="A195" s="15"/>
      <c r="B195" s="15"/>
      <c r="C195" s="15"/>
      <c r="D195" s="15"/>
      <c r="E195" s="15"/>
      <c r="F195" s="15"/>
      <c r="G195" s="157"/>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
      <c r="A196" s="15"/>
      <c r="B196" s="15"/>
      <c r="C196" s="15"/>
      <c r="D196" s="15"/>
      <c r="E196" s="15"/>
      <c r="F196" s="15"/>
      <c r="G196" s="157"/>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x14ac:dyDescent="0.2">
      <c r="G197" s="157"/>
    </row>
    <row r="198" spans="1:39" x14ac:dyDescent="0.2">
      <c r="G198" s="157"/>
    </row>
    <row r="199" spans="1:39" x14ac:dyDescent="0.2">
      <c r="G199" s="157"/>
    </row>
  </sheetData>
  <sheetProtection selectLockedCells="1"/>
  <mergeCells count="19">
    <mergeCell ref="I66:M67"/>
    <mergeCell ref="AT60:AT66"/>
    <mergeCell ref="B61:B67"/>
    <mergeCell ref="B99:B100"/>
    <mergeCell ref="L2:M2"/>
    <mergeCell ref="A1:M1"/>
    <mergeCell ref="D11:E12"/>
    <mergeCell ref="B82:C86"/>
    <mergeCell ref="B16:B19"/>
    <mergeCell ref="D14:G15"/>
    <mergeCell ref="D22:F22"/>
    <mergeCell ref="D24:F25"/>
    <mergeCell ref="D16:I16"/>
    <mergeCell ref="D17:I17"/>
    <mergeCell ref="D18:I18"/>
    <mergeCell ref="D19:I19"/>
    <mergeCell ref="D23:F23"/>
    <mergeCell ref="B33:B34"/>
    <mergeCell ref="B45:B47"/>
  </mergeCells>
  <phoneticPr fontId="4" type="noConversion"/>
  <conditionalFormatting sqref="B61:B67">
    <cfRule type="expression" dxfId="26" priority="1">
      <formula>$G$23="No"</formula>
    </cfRule>
    <cfRule type="expression" dxfId="25" priority="2">
      <formula>$G$22="No"</formula>
    </cfRule>
  </conditionalFormatting>
  <conditionalFormatting sqref="B82">
    <cfRule type="expression" dxfId="24" priority="7" stopIfTrue="1">
      <formula>$F$71="NO"</formula>
    </cfRule>
  </conditionalFormatting>
  <conditionalFormatting sqref="B79:G91">
    <cfRule type="expression" dxfId="3" priority="14" stopIfTrue="1">
      <formula>$F$71="NO"</formula>
    </cfRule>
  </conditionalFormatting>
  <conditionalFormatting sqref="B27:AM60 C61:AM65 C66:I66 N66:AM67 C67:H67 B68:AM99 C100:AM100 B101:AM124">
    <cfRule type="expression" dxfId="2" priority="5">
      <formula>$G$23="No"</formula>
    </cfRule>
    <cfRule type="expression" dxfId="1" priority="6">
      <formula>$G$22="No"</formula>
    </cfRule>
  </conditionalFormatting>
  <conditionalFormatting sqref="E96">
    <cfRule type="expression" dxfId="23" priority="69" stopIfTrue="1">
      <formula>#REF!="Option A"</formula>
    </cfRule>
  </conditionalFormatting>
  <conditionalFormatting sqref="E71:F71">
    <cfRule type="expression" dxfId="22" priority="74">
      <formula>#REF!="Yes"</formula>
    </cfRule>
  </conditionalFormatting>
  <conditionalFormatting sqref="E41:G45">
    <cfRule type="expression" dxfId="21" priority="9" stopIfTrue="1">
      <formula>IF($F$39="No", "TRUE", "FALSE")</formula>
    </cfRule>
  </conditionalFormatting>
  <conditionalFormatting sqref="E72:G78">
    <cfRule type="expression" dxfId="20" priority="20" stopIfTrue="1">
      <formula>$F$71="Yes"</formula>
    </cfRule>
  </conditionalFormatting>
  <conditionalFormatting sqref="F40">
    <cfRule type="cellIs" dxfId="19" priority="70" stopIfTrue="1" operator="greaterThan">
      <formula>200</formula>
    </cfRule>
  </conditionalFormatting>
  <conditionalFormatting sqref="F41:F42">
    <cfRule type="cellIs" dxfId="18" priority="31" operator="equal">
      <formula>"NA"</formula>
    </cfRule>
    <cfRule type="cellIs" dxfId="17" priority="37" operator="equal">
      <formula>"""NA"""</formula>
    </cfRule>
  </conditionalFormatting>
  <conditionalFormatting sqref="F46:F48">
    <cfRule type="cellIs" dxfId="16" priority="8" operator="lessThan">
      <formula>$F$30</formula>
    </cfRule>
  </conditionalFormatting>
  <conditionalFormatting sqref="F61">
    <cfRule type="colorScale" priority="34">
      <colorScale>
        <cfvo type="min"/>
        <cfvo type="formula" val="$AN$54*0.8"/>
        <cfvo type="num" val="$AN$54"/>
        <color theme="0"/>
        <color rgb="FFFFC000"/>
        <color rgb="FFFF0000"/>
      </colorScale>
    </cfRule>
  </conditionalFormatting>
  <conditionalFormatting sqref="F67">
    <cfRule type="cellIs" dxfId="15" priority="13" operator="lessThan">
      <formula>$F$62</formula>
    </cfRule>
  </conditionalFormatting>
  <conditionalFormatting sqref="F73">
    <cfRule type="cellIs" dxfId="14" priority="76" operator="lessThan">
      <formula>0.25</formula>
    </cfRule>
  </conditionalFormatting>
  <conditionalFormatting sqref="F76">
    <cfRule type="cellIs" dxfId="13" priority="27" operator="lessThan">
      <formula>$F$75</formula>
    </cfRule>
  </conditionalFormatting>
  <conditionalFormatting sqref="F78">
    <cfRule type="cellIs" dxfId="12" priority="24" operator="lessThan">
      <formula>1.1</formula>
    </cfRule>
    <cfRule type="cellIs" dxfId="11" priority="25" operator="between">
      <formula>1.1</formula>
      <formula>1.3</formula>
    </cfRule>
  </conditionalFormatting>
  <conditionalFormatting sqref="F79">
    <cfRule type="expression" dxfId="10" priority="12">
      <formula>#REF!="Yes"</formula>
    </cfRule>
  </conditionalFormatting>
  <conditionalFormatting sqref="F82 F85">
    <cfRule type="cellIs" dxfId="0" priority="15" operator="greaterThanOrEqual">
      <formula>$F$80</formula>
    </cfRule>
  </conditionalFormatting>
  <conditionalFormatting sqref="F86 F91">
    <cfRule type="cellIs" dxfId="9" priority="16" operator="between">
      <formula>1.1</formula>
      <formula>1.2999</formula>
    </cfRule>
    <cfRule type="cellIs" dxfId="8" priority="17" operator="lessThan">
      <formula>1.1</formula>
    </cfRule>
  </conditionalFormatting>
  <conditionalFormatting sqref="G82 G84:G89">
    <cfRule type="expression" dxfId="7" priority="22">
      <formula>#REF!="Yes"</formula>
    </cfRule>
  </conditionalFormatting>
  <conditionalFormatting sqref="G96">
    <cfRule type="expression" dxfId="6" priority="60">
      <formula>#REF!="Option A"</formula>
    </cfRule>
  </conditionalFormatting>
  <conditionalFormatting sqref="AT60:AT66">
    <cfRule type="expression" dxfId="5" priority="3">
      <formula>$G$23="No"</formula>
    </cfRule>
    <cfRule type="expression" dxfId="4" priority="4">
      <formula>$G$22="No"</formula>
    </cfRule>
  </conditionalFormatting>
  <dataValidations xWindow="815" yWindow="414" count="9">
    <dataValidation type="whole" allowBlank="1" showInputMessage="1" showErrorMessage="1" sqref="F52" xr:uid="{00000000-0002-0000-0100-000000000000}">
      <formula1>1</formula1>
      <formula2>6</formula2>
    </dataValidation>
    <dataValidation type="decimal" operator="greaterThan" allowBlank="1" showInputMessage="1" showErrorMessage="1" sqref="F43 F45" xr:uid="{00000000-0002-0000-0100-000001000000}">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xr:uid="{00000000-0002-0000-0100-000002000000}">
      <formula1>"""NA"""</formula1>
    </dataValidation>
    <dataValidation type="list" allowBlank="1" showInputMessage="1" showErrorMessage="1" sqref="F71 F79 F39" xr:uid="{00000000-0002-0000-0100-000003000000}">
      <formula1>$AN$39:$AN$40</formula1>
    </dataValidation>
    <dataValidation type="list" allowBlank="1" showInputMessage="1" showErrorMessage="1" sqref="F69" xr:uid="{00000000-0002-0000-0100-000004000000}">
      <formula1>$AN$70:$AN$71</formula1>
    </dataValidation>
    <dataValidation type="decimal" allowBlank="1" showInputMessage="1" showErrorMessage="1" sqref="F54" xr:uid="{00000000-0002-0000-0100-000005000000}">
      <formula1>0</formula1>
      <formula2>200</formula2>
    </dataValidation>
    <dataValidation type="decimal" allowBlank="1" showInputMessage="1" showErrorMessage="1" sqref="F55:F59" xr:uid="{00000000-0002-0000-0100-000006000000}">
      <formula1>0.001</formula1>
      <formula2>400</formula2>
    </dataValidation>
    <dataValidation type="decimal" allowBlank="1" showInputMessage="1" showErrorMessage="1" error="Must enter value less than 10" sqref="F44" xr:uid="{00000000-0002-0000-0100-000007000000}">
      <formula1>0</formula1>
      <formula2>10</formula2>
    </dataValidation>
    <dataValidation type="list" allowBlank="1" showInputMessage="1" showErrorMessage="1" sqref="G22:G23" xr:uid="{00000000-0002-0000-0100-000008000000}">
      <formula1>yesno</formula1>
    </dataValidation>
  </dataValidations>
  <hyperlinks>
    <hyperlink ref="B2" r:id="rId1" xr:uid="{00000000-0004-0000-0100-000000000000}"/>
    <hyperlink ref="D24:F25" r:id="rId2" display="*For additional questions not addressed in the videos, please post on E2E.ti.com" xr:uid="{00000000-0004-0000-0100-000001000000}"/>
    <hyperlink ref="D20" r:id="rId3" xr:uid="{00000000-0004-0000-0100-000002000000}"/>
    <hyperlink ref="B33:B34" r:id="rId4" display="Steps 1 &amp; 2: Operating Conditions, Current Limit, &amp; Circuit Breaker" xr:uid="{00000000-0004-0000-0100-000003000000}"/>
    <hyperlink ref="B45:B47" r:id="rId5" display="Steps 1 &amp; 2: Operating Conditions, Current Limit, &amp; Circuit Breaker" xr:uid="{00000000-0004-0000-0100-000004000000}"/>
    <hyperlink ref="B57" r:id="rId6" xr:uid="{00000000-0004-0000-0100-000005000000}"/>
    <hyperlink ref="B77" r:id="rId7" xr:uid="{00000000-0004-0000-0100-000006000000}"/>
    <hyperlink ref="B99" r:id="rId8" xr:uid="{00000000-0004-0000-0100-000007000000}"/>
    <hyperlink ref="D19" r:id="rId9" display="Step 5: UVLO, OVLO &amp; PGD Thresholds" xr:uid="{00000000-0004-0000-0100-000008000000}"/>
    <hyperlink ref="D18" r:id="rId10" display="Step 4: Startup" xr:uid="{00000000-0004-0000-0100-000009000000}"/>
    <hyperlink ref="D17" r:id="rId11" display="Step 3: MOSFET Selection" xr:uid="{00000000-0004-0000-0100-00000A000000}"/>
    <hyperlink ref="D16:F16" r:id="rId12" display="Steps 1 &amp; 2: Operating Conditions, Current Limit, &amp; Circuit Breaker" xr:uid="{00000000-0004-0000-0100-00000B000000}"/>
    <hyperlink ref="D16:I16" r:id="rId13" display="Steps 1 &amp; 2: Operating Conditions, Current Limit, &amp; Circuit Breaker (7:41)" xr:uid="{00000000-0004-0000-0100-00000C000000}"/>
    <hyperlink ref="D17:I17" r:id="rId14" display="Step 3: MOSFET Selection (9:58)" xr:uid="{00000000-0004-0000-0100-00000D000000}"/>
    <hyperlink ref="D18:I18" r:id="rId15" display="Step 4: Startup (10:32)" xr:uid="{00000000-0004-0000-0100-00000E000000}"/>
    <hyperlink ref="D19:I19" r:id="rId16" display="Step 5: UVLO, OVLO &amp; PGD Thresholds (4:20)" xr:uid="{00000000-0004-0000-0100-00000F000000}"/>
    <hyperlink ref="B99:B100" r:id="rId17" display="Step 5: UVLO, OVLO &amp; PGD Thresholds" xr:uid="{00000000-0004-0000-0100-000010000000}"/>
  </hyperlinks>
  <pageMargins left="0.17" right="0.17" top="0.55000000000000004" bottom="0.92" header="0.48" footer="0.2"/>
  <pageSetup scale="62" fitToHeight="2" orientation="portrait" r:id="rId18"/>
  <headerFooter alignWithMargins="0"/>
  <drawing r:id="rId19"/>
  <legacy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J24"/>
  <sheetViews>
    <sheetView workbookViewId="0">
      <selection activeCell="E25" sqref="A4:E25"/>
    </sheetView>
  </sheetViews>
  <sheetFormatPr defaultRowHeight="12.75" x14ac:dyDescent="0.2"/>
  <cols>
    <col min="1" max="1" width="9.42578125" customWidth="1"/>
    <col min="2" max="2" width="24.28515625" customWidth="1"/>
    <col min="12" max="12" width="13.5703125" customWidth="1"/>
  </cols>
  <sheetData>
    <row r="2" spans="1:10" x14ac:dyDescent="0.2">
      <c r="A2" s="16"/>
      <c r="C2" s="16" t="s">
        <v>35</v>
      </c>
      <c r="D2" s="16" t="s">
        <v>36</v>
      </c>
      <c r="E2" s="16" t="s">
        <v>37</v>
      </c>
      <c r="F2" s="16" t="s">
        <v>110</v>
      </c>
    </row>
    <row r="3" spans="1:10" x14ac:dyDescent="0.2">
      <c r="A3" s="11" t="s">
        <v>106</v>
      </c>
      <c r="C3" s="16"/>
      <c r="D3" s="16"/>
      <c r="E3" s="16"/>
    </row>
    <row r="4" spans="1:10" x14ac:dyDescent="0.2">
      <c r="A4" s="11"/>
      <c r="B4" s="16" t="s">
        <v>116</v>
      </c>
      <c r="C4" s="39">
        <v>-40</v>
      </c>
      <c r="D4" s="39"/>
      <c r="E4" s="39">
        <v>125</v>
      </c>
    </row>
    <row r="5" spans="1:10" x14ac:dyDescent="0.2">
      <c r="B5" s="17" t="s">
        <v>107</v>
      </c>
      <c r="C5" s="1">
        <v>9</v>
      </c>
      <c r="D5" s="1"/>
      <c r="E5" s="1">
        <v>80</v>
      </c>
      <c r="F5" s="16" t="s">
        <v>50</v>
      </c>
      <c r="J5" s="2"/>
    </row>
    <row r="6" spans="1:10" ht="16.5" customHeight="1" x14ac:dyDescent="0.2">
      <c r="A6" s="11" t="s">
        <v>83</v>
      </c>
      <c r="B6" s="17"/>
      <c r="C6" s="1"/>
      <c r="D6" s="1"/>
      <c r="E6" s="1"/>
      <c r="J6" s="2"/>
    </row>
    <row r="7" spans="1:10" x14ac:dyDescent="0.2">
      <c r="B7" s="17" t="s">
        <v>108</v>
      </c>
      <c r="C7" s="1">
        <v>45</v>
      </c>
      <c r="D7" s="1">
        <v>50</v>
      </c>
      <c r="E7" s="1">
        <v>55</v>
      </c>
      <c r="J7" s="17"/>
    </row>
    <row r="8" spans="1:10" x14ac:dyDescent="0.2">
      <c r="B8" s="17" t="s">
        <v>109</v>
      </c>
      <c r="C8" s="1"/>
      <c r="D8" s="1">
        <v>7.5</v>
      </c>
      <c r="E8" s="1">
        <v>20</v>
      </c>
      <c r="F8" s="16" t="s">
        <v>111</v>
      </c>
      <c r="J8" s="17"/>
    </row>
    <row r="9" spans="1:10" x14ac:dyDescent="0.2">
      <c r="C9" s="1"/>
      <c r="D9" s="1"/>
      <c r="E9" s="1"/>
    </row>
    <row r="10" spans="1:10" x14ac:dyDescent="0.2">
      <c r="C10" s="1"/>
      <c r="D10" s="1"/>
      <c r="E10" s="1"/>
    </row>
    <row r="11" spans="1:10" x14ac:dyDescent="0.2">
      <c r="A11" s="11" t="s">
        <v>112</v>
      </c>
      <c r="C11" s="1"/>
      <c r="D11" s="1"/>
      <c r="E11" s="1"/>
    </row>
    <row r="12" spans="1:10" x14ac:dyDescent="0.2">
      <c r="B12" s="17" t="s">
        <v>113</v>
      </c>
      <c r="C12" s="1">
        <v>3.9</v>
      </c>
      <c r="D12" s="1">
        <v>4</v>
      </c>
      <c r="E12" s="1">
        <v>4.0999999999999996</v>
      </c>
      <c r="F12" s="16" t="s">
        <v>50</v>
      </c>
    </row>
    <row r="13" spans="1:10" x14ac:dyDescent="0.2">
      <c r="B13" s="17"/>
      <c r="C13" s="1"/>
      <c r="D13" s="1"/>
      <c r="E13" s="1"/>
      <c r="F13" s="16"/>
    </row>
    <row r="14" spans="1:10" x14ac:dyDescent="0.2">
      <c r="B14" s="17" t="s">
        <v>264</v>
      </c>
      <c r="C14" s="80"/>
      <c r="D14" s="80"/>
      <c r="E14" s="80"/>
      <c r="F14" s="16"/>
    </row>
    <row r="15" spans="1:10" x14ac:dyDescent="0.2">
      <c r="B15" s="17" t="s">
        <v>114</v>
      </c>
      <c r="C15" s="1">
        <v>15</v>
      </c>
      <c r="D15" s="1">
        <v>25</v>
      </c>
      <c r="E15" s="1">
        <v>34</v>
      </c>
      <c r="F15" s="16" t="s">
        <v>111</v>
      </c>
    </row>
    <row r="16" spans="1:10" x14ac:dyDescent="0.2">
      <c r="B16" s="17" t="s">
        <v>200</v>
      </c>
      <c r="C16" s="61"/>
      <c r="D16" s="61">
        <f>SQRT(0.66^2+ ((34-25)/25)^2+ 0.1^2)</f>
        <v>0.75841940903434168</v>
      </c>
      <c r="E16" s="61"/>
      <c r="F16" s="16"/>
      <c r="G16" s="16" t="s">
        <v>199</v>
      </c>
    </row>
    <row r="17" spans="1:7" x14ac:dyDescent="0.2">
      <c r="B17" s="17" t="s">
        <v>197</v>
      </c>
      <c r="C17" s="61"/>
      <c r="D17" s="61">
        <v>0.75</v>
      </c>
      <c r="E17" s="61"/>
      <c r="F17" s="16"/>
      <c r="G17" s="16" t="s">
        <v>198</v>
      </c>
    </row>
    <row r="18" spans="1:7" x14ac:dyDescent="0.2">
      <c r="B18" s="2"/>
      <c r="C18" s="1"/>
      <c r="D18" s="1"/>
      <c r="E18" s="1"/>
    </row>
    <row r="19" spans="1:7" x14ac:dyDescent="0.2">
      <c r="A19" s="11" t="s">
        <v>147</v>
      </c>
      <c r="B19" s="2"/>
      <c r="C19" s="1"/>
      <c r="D19" s="1"/>
      <c r="E19" s="1"/>
    </row>
    <row r="20" spans="1:7" x14ac:dyDescent="0.2">
      <c r="B20" s="17" t="s">
        <v>149</v>
      </c>
      <c r="C20" s="1">
        <v>15</v>
      </c>
      <c r="D20" s="1">
        <v>22</v>
      </c>
      <c r="E20" s="1">
        <v>35</v>
      </c>
    </row>
    <row r="21" spans="1:7" x14ac:dyDescent="0.2">
      <c r="B21" s="2"/>
      <c r="C21" s="1"/>
      <c r="D21" s="1"/>
      <c r="E21" s="1"/>
    </row>
    <row r="22" spans="1:7" x14ac:dyDescent="0.2">
      <c r="A22" s="11" t="s">
        <v>375</v>
      </c>
      <c r="B22" s="2"/>
      <c r="C22" s="1"/>
      <c r="D22" s="1"/>
      <c r="E22" s="1"/>
    </row>
    <row r="23" spans="1:7" x14ac:dyDescent="0.2">
      <c r="B23" s="16" t="s">
        <v>376</v>
      </c>
      <c r="C23">
        <v>1.32</v>
      </c>
      <c r="D23">
        <v>1.35</v>
      </c>
      <c r="E23">
        <v>1.38</v>
      </c>
      <c r="F23" s="16" t="s">
        <v>50</v>
      </c>
    </row>
    <row r="24" spans="1:7" x14ac:dyDescent="0.2">
      <c r="B24" s="16" t="s">
        <v>377</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3:Y171"/>
  <sheetViews>
    <sheetView topLeftCell="A22" workbookViewId="0">
      <selection activeCell="F39" sqref="F39"/>
    </sheetView>
  </sheetViews>
  <sheetFormatPr defaultRowHeight="12.75" x14ac:dyDescent="0.2"/>
  <cols>
    <col min="6" max="6" width="14.28515625" customWidth="1"/>
    <col min="8" max="8" width="14" customWidth="1"/>
    <col min="9" max="9" width="12.7109375" customWidth="1"/>
    <col min="10" max="10" width="11.7109375" customWidth="1"/>
  </cols>
  <sheetData>
    <row r="13" spans="1:6" x14ac:dyDescent="0.2">
      <c r="A13" s="11" t="s">
        <v>83</v>
      </c>
    </row>
    <row r="14" spans="1:6" x14ac:dyDescent="0.2">
      <c r="E14" s="2"/>
    </row>
    <row r="15" spans="1:6" x14ac:dyDescent="0.2">
      <c r="D15" t="s">
        <v>156</v>
      </c>
      <c r="E15">
        <v>45</v>
      </c>
      <c r="F15" s="40" t="s">
        <v>119</v>
      </c>
    </row>
    <row r="16" spans="1:6" x14ac:dyDescent="0.2">
      <c r="D16" t="s">
        <v>155</v>
      </c>
      <c r="E16">
        <v>50</v>
      </c>
      <c r="F16" s="40" t="s">
        <v>119</v>
      </c>
    </row>
    <row r="17" spans="1:10" x14ac:dyDescent="0.2">
      <c r="D17" t="s">
        <v>154</v>
      </c>
      <c r="E17">
        <v>55</v>
      </c>
      <c r="F17" s="40" t="s">
        <v>119</v>
      </c>
    </row>
    <row r="18" spans="1:10" x14ac:dyDescent="0.2">
      <c r="E18" s="2"/>
    </row>
    <row r="19" spans="1:10" x14ac:dyDescent="0.2">
      <c r="A19" s="11"/>
      <c r="E19" s="2"/>
    </row>
    <row r="20" spans="1:10" x14ac:dyDescent="0.2">
      <c r="E20" s="2" t="s">
        <v>0</v>
      </c>
      <c r="F20">
        <f>CLMIN_Threshold/('Design Calculator'!F30*1.01)</f>
        <v>8.2508250825082499</v>
      </c>
    </row>
    <row r="21" spans="1:10" x14ac:dyDescent="0.2">
      <c r="E21" s="17" t="s">
        <v>157</v>
      </c>
      <c r="F21" s="16" t="str">
        <f>IF(Rs&gt;RsMAX,10,"NA")</f>
        <v>NA</v>
      </c>
    </row>
    <row r="22" spans="1:10" x14ac:dyDescent="0.2">
      <c r="E22" s="17" t="s">
        <v>158</v>
      </c>
      <c r="F22" t="str">
        <f>IF(Rs&gt;RsMAX,(((IOUTMAX*Rs)/CLMIN_Threshold)-1)*F21,"NA")</f>
        <v>NA</v>
      </c>
    </row>
    <row r="23" spans="1:10" x14ac:dyDescent="0.2">
      <c r="E23" s="17" t="s">
        <v>159</v>
      </c>
      <c r="F23">
        <f>IF(RsMAX&gt;Rs,Rs,IF('Design Calculator'!F39="Yes",IF(Rs&gt;RsMAX,Rs/(1+RDIV2/RDIV1),Rs),Rs))</f>
        <v>8</v>
      </c>
      <c r="H23" s="47"/>
    </row>
    <row r="24" spans="1:10" x14ac:dyDescent="0.2">
      <c r="E24" s="2" t="s">
        <v>1</v>
      </c>
      <c r="F24" s="4">
        <f>CLMIN_Threshold/RsEFF</f>
        <v>5.625</v>
      </c>
      <c r="G24" s="4"/>
    </row>
    <row r="25" spans="1:10" x14ac:dyDescent="0.2">
      <c r="E25" s="2" t="s">
        <v>2</v>
      </c>
      <c r="F25">
        <f>CLNOM_Threshold/RsEFF</f>
        <v>6.25</v>
      </c>
    </row>
    <row r="26" spans="1:10" x14ac:dyDescent="0.2">
      <c r="E26" s="2" t="s">
        <v>3</v>
      </c>
      <c r="F26">
        <f>CLMAX_Threshold/RsEFF</f>
        <v>6.875</v>
      </c>
    </row>
    <row r="27" spans="1:10" x14ac:dyDescent="0.2">
      <c r="E27" s="2" t="s">
        <v>4</v>
      </c>
      <c r="F27">
        <f>F26^2*'Design Calculator'!F40</f>
        <v>378.125</v>
      </c>
      <c r="J27" s="16" t="s">
        <v>365</v>
      </c>
    </row>
    <row r="28" spans="1:10" x14ac:dyDescent="0.2">
      <c r="J28" s="16"/>
    </row>
    <row r="29" spans="1:10" x14ac:dyDescent="0.2">
      <c r="J29" s="16" t="s">
        <v>366</v>
      </c>
    </row>
    <row r="30" spans="1:10" x14ac:dyDescent="0.2">
      <c r="E30" s="2"/>
      <c r="J30" s="16"/>
    </row>
    <row r="31" spans="1:10" x14ac:dyDescent="0.2">
      <c r="A31" s="11" t="s">
        <v>103</v>
      </c>
      <c r="J31" s="16" t="s">
        <v>367</v>
      </c>
    </row>
    <row r="32" spans="1:10" x14ac:dyDescent="0.2">
      <c r="A32" s="16"/>
      <c r="F32" s="16" t="s">
        <v>104</v>
      </c>
      <c r="H32" s="16" t="s">
        <v>105</v>
      </c>
      <c r="J32" s="16"/>
    </row>
    <row r="33" spans="1:10" x14ac:dyDescent="0.2">
      <c r="A33" s="16"/>
      <c r="E33" s="25" t="s">
        <v>79</v>
      </c>
      <c r="F33" s="26">
        <f>VINMAX*'Design Calculator'!F55</f>
        <v>2700</v>
      </c>
      <c r="G33" s="16" t="s">
        <v>51</v>
      </c>
      <c r="H33">
        <f>F33*(TJMAX-TJ)/(TJMAX-25)</f>
        <v>1824.9148799999998</v>
      </c>
      <c r="J33" s="16" t="s">
        <v>369</v>
      </c>
    </row>
    <row r="34" spans="1:10" x14ac:dyDescent="0.2">
      <c r="A34" s="16"/>
      <c r="E34" s="25" t="s">
        <v>80</v>
      </c>
      <c r="F34" s="26">
        <f>VINMAX*'Design Calculator'!F56</f>
        <v>225</v>
      </c>
      <c r="G34" s="16" t="s">
        <v>51</v>
      </c>
      <c r="H34">
        <f>F34*(TJMAX-TJ)/(TJMAX-25)</f>
        <v>152.07623999999998</v>
      </c>
      <c r="J34" s="16"/>
    </row>
    <row r="35" spans="1:10" x14ac:dyDescent="0.2">
      <c r="A35" s="16"/>
      <c r="E35" s="25" t="s">
        <v>81</v>
      </c>
      <c r="F35" s="26">
        <f>VINMAX*'Design Calculator'!F57</f>
        <v>60</v>
      </c>
      <c r="G35" s="16" t="s">
        <v>51</v>
      </c>
      <c r="H35">
        <f>F35*(TJMAX-TJ)/(TJMAX-25)</f>
        <v>40.553663999999998</v>
      </c>
    </row>
    <row r="36" spans="1:10" x14ac:dyDescent="0.2">
      <c r="A36" s="16"/>
      <c r="E36" s="25" t="s">
        <v>82</v>
      </c>
      <c r="F36" s="26">
        <f>VINMAX*'Design Calculator'!F58</f>
        <v>15</v>
      </c>
      <c r="G36" s="34" t="s">
        <v>51</v>
      </c>
      <c r="H36">
        <f>F36*(TJMAX-TJ)/(TJMAX-25)</f>
        <v>10.138415999999999</v>
      </c>
      <c r="J36" s="16"/>
    </row>
    <row r="37" spans="1:10" x14ac:dyDescent="0.2">
      <c r="A37" s="16"/>
      <c r="E37" s="36"/>
      <c r="F37" s="35"/>
      <c r="G37" s="34"/>
    </row>
    <row r="38" spans="1:10" x14ac:dyDescent="0.2">
      <c r="A38" s="16"/>
      <c r="E38" s="36" t="s">
        <v>120</v>
      </c>
      <c r="F38" s="35">
        <f>MAX(VINMAX*5/RsEFF,0.4*10*CLNOM)</f>
        <v>25</v>
      </c>
      <c r="G38" s="34" t="s">
        <v>51</v>
      </c>
      <c r="J38" s="16"/>
    </row>
    <row r="39" spans="1:10" x14ac:dyDescent="0.2">
      <c r="A39" s="16"/>
      <c r="E39" s="36" t="s">
        <v>183</v>
      </c>
      <c r="F39" s="35">
        <f>'Design Calculator'!F63</f>
        <v>80</v>
      </c>
      <c r="G39" s="34" t="s">
        <v>51</v>
      </c>
    </row>
    <row r="40" spans="1:10" x14ac:dyDescent="0.2">
      <c r="A40" s="16"/>
      <c r="E40" s="78" t="s">
        <v>364</v>
      </c>
      <c r="F40" s="80">
        <f>F39/CLNOM/10</f>
        <v>1.28</v>
      </c>
      <c r="G40" s="34" t="s">
        <v>50</v>
      </c>
    </row>
    <row r="41" spans="1:10" x14ac:dyDescent="0.2">
      <c r="A41" s="16"/>
      <c r="E41" s="78" t="s">
        <v>15</v>
      </c>
      <c r="F41" s="80">
        <f>'Design Calculator'!F64</f>
        <v>41.2</v>
      </c>
      <c r="G41" s="16" t="s">
        <v>184</v>
      </c>
    </row>
    <row r="42" spans="1:10" x14ac:dyDescent="0.2">
      <c r="A42" s="16"/>
      <c r="E42" s="78" t="s">
        <v>368</v>
      </c>
      <c r="F42" s="6">
        <f>F40/4</f>
        <v>0.32</v>
      </c>
    </row>
    <row r="43" spans="1:10" x14ac:dyDescent="0.2">
      <c r="A43" s="16"/>
      <c r="E43" s="78" t="s">
        <v>16</v>
      </c>
      <c r="F43" s="6">
        <f>F41*F42/(1-F42)</f>
        <v>19.388235294117649</v>
      </c>
      <c r="G43" s="16" t="s">
        <v>184</v>
      </c>
    </row>
    <row r="44" spans="1:10" x14ac:dyDescent="0.2">
      <c r="A44" s="16"/>
      <c r="E44" s="78" t="s">
        <v>370</v>
      </c>
      <c r="F44" s="35">
        <f>'Design Calculator'!F66</f>
        <v>19.600000000000001</v>
      </c>
    </row>
    <row r="45" spans="1:10" x14ac:dyDescent="0.2">
      <c r="A45" s="16"/>
      <c r="E45" s="78"/>
      <c r="F45" s="35"/>
    </row>
    <row r="46" spans="1:10" x14ac:dyDescent="0.2">
      <c r="E46" s="36" t="s">
        <v>371</v>
      </c>
      <c r="F46" s="154">
        <f>4*F44/(F44+F41)</f>
        <v>1.2894736842105263</v>
      </c>
      <c r="G46" s="34" t="s">
        <v>50</v>
      </c>
    </row>
    <row r="47" spans="1:10" x14ac:dyDescent="0.2">
      <c r="E47" s="36" t="s">
        <v>180</v>
      </c>
      <c r="F47" s="154">
        <f>F46*10*CLNOM</f>
        <v>80.592105263157904</v>
      </c>
      <c r="G47" s="34"/>
    </row>
    <row r="48" spans="1:10" x14ac:dyDescent="0.2">
      <c r="E48" s="36"/>
      <c r="F48" s="152"/>
      <c r="G48" s="34"/>
    </row>
    <row r="49" spans="1:12" x14ac:dyDescent="0.2">
      <c r="E49" s="2"/>
      <c r="F49" s="1"/>
      <c r="H49" s="2"/>
      <c r="I49" s="1"/>
      <c r="K49" s="2"/>
      <c r="L49" s="1"/>
    </row>
    <row r="50" spans="1:12" x14ac:dyDescent="0.2">
      <c r="E50" s="2"/>
      <c r="F50" s="1"/>
      <c r="H50" s="2"/>
      <c r="I50" s="1"/>
      <c r="K50" s="2"/>
      <c r="L50" s="1"/>
    </row>
    <row r="51" spans="1:12" x14ac:dyDescent="0.2">
      <c r="A51" s="11" t="s">
        <v>102</v>
      </c>
    </row>
    <row r="52" spans="1:12" x14ac:dyDescent="0.2">
      <c r="A52" s="11"/>
      <c r="D52" s="347" t="s">
        <v>223</v>
      </c>
      <c r="E52" s="348"/>
      <c r="F52" s="348"/>
      <c r="G52" s="348"/>
    </row>
    <row r="53" spans="1:12" x14ac:dyDescent="0.2">
      <c r="A53" s="11"/>
      <c r="E53" s="17" t="s">
        <v>203</v>
      </c>
      <c r="F53" s="4">
        <f>Start_up!M2</f>
        <v>4.2142388600410641</v>
      </c>
      <c r="G53" s="16" t="s">
        <v>5</v>
      </c>
    </row>
    <row r="54" spans="1:12" x14ac:dyDescent="0.2">
      <c r="A54" s="11"/>
      <c r="E54" s="17" t="s">
        <v>204</v>
      </c>
      <c r="F54" s="4">
        <f>'Device Parmaters'!D17</f>
        <v>0.75</v>
      </c>
    </row>
    <row r="55" spans="1:12" x14ac:dyDescent="0.2">
      <c r="A55" s="11"/>
      <c r="E55" s="17" t="s">
        <v>205</v>
      </c>
      <c r="F55">
        <f>F53*(1+F54)</f>
        <v>7.3749180050718621</v>
      </c>
      <c r="G55" s="16" t="s">
        <v>5</v>
      </c>
    </row>
    <row r="56" spans="1:12" x14ac:dyDescent="0.2">
      <c r="A56" s="11"/>
      <c r="E56" s="17" t="s">
        <v>206</v>
      </c>
      <c r="F56">
        <f>'Device Parmaters'!D15/'Device Parmaters'!D12*F55</f>
        <v>46.093237531699138</v>
      </c>
      <c r="G56" s="16" t="s">
        <v>69</v>
      </c>
    </row>
    <row r="57" spans="1:12" x14ac:dyDescent="0.2">
      <c r="A57" s="11"/>
      <c r="E57" s="17" t="s">
        <v>207</v>
      </c>
      <c r="F57" s="4">
        <f>'Design Calculator'!F76</f>
        <v>10</v>
      </c>
      <c r="G57" s="16" t="s">
        <v>69</v>
      </c>
    </row>
    <row r="58" spans="1:12" x14ac:dyDescent="0.2">
      <c r="A58" s="11"/>
      <c r="E58" s="17" t="s">
        <v>210</v>
      </c>
      <c r="F58">
        <f>'Device Parmaters'!D12/'Device Parmaters'!D15*F57</f>
        <v>1.6</v>
      </c>
      <c r="G58" s="16" t="s">
        <v>5</v>
      </c>
    </row>
    <row r="59" spans="1:12" x14ac:dyDescent="0.2">
      <c r="A59" s="11"/>
      <c r="E59" s="17" t="s">
        <v>218</v>
      </c>
      <c r="F59">
        <f>SOA!C26/Equations!F47</f>
        <v>1.4407798071943654</v>
      </c>
      <c r="G59" s="16"/>
    </row>
    <row r="60" spans="1:12" x14ac:dyDescent="0.2">
      <c r="A60" s="11"/>
      <c r="E60" s="17"/>
      <c r="G60" s="16"/>
    </row>
    <row r="61" spans="1:12" x14ac:dyDescent="0.2">
      <c r="A61" s="11"/>
      <c r="D61" s="347" t="s">
        <v>228</v>
      </c>
      <c r="E61" s="348"/>
      <c r="F61" s="348"/>
      <c r="G61" s="348"/>
    </row>
    <row r="62" spans="1:12" x14ac:dyDescent="0.2">
      <c r="A62" s="11"/>
      <c r="C62" s="16"/>
      <c r="D62" s="76"/>
      <c r="E62" s="17" t="s">
        <v>224</v>
      </c>
      <c r="F62" s="69">
        <f>'Design Calculator'!F82</f>
        <v>1.92</v>
      </c>
      <c r="G62" s="60" t="s">
        <v>225</v>
      </c>
    </row>
    <row r="63" spans="1:12" x14ac:dyDescent="0.2">
      <c r="A63" s="11"/>
      <c r="C63" s="16"/>
      <c r="D63" s="76"/>
      <c r="E63" s="17" t="s">
        <v>249</v>
      </c>
      <c r="F63" s="70">
        <f>'Device Parmaters'!D20/ss_rate</f>
        <v>11.458333333333334</v>
      </c>
      <c r="G63" s="16" t="s">
        <v>69</v>
      </c>
    </row>
    <row r="64" spans="1:12" x14ac:dyDescent="0.2">
      <c r="A64" s="11"/>
      <c r="C64" s="16"/>
      <c r="D64" s="76"/>
      <c r="E64" s="17" t="s">
        <v>250</v>
      </c>
      <c r="F64" s="69">
        <f>'Design Calculator'!F84</f>
        <v>22</v>
      </c>
      <c r="G64" s="16" t="s">
        <v>69</v>
      </c>
    </row>
    <row r="65" spans="1:8" x14ac:dyDescent="0.2">
      <c r="A65" s="11"/>
      <c r="C65" s="16"/>
      <c r="D65" s="76"/>
      <c r="E65" s="17" t="s">
        <v>251</v>
      </c>
      <c r="F65" s="70">
        <f>ss_rate*F63/F64</f>
        <v>1</v>
      </c>
      <c r="G65" s="16" t="s">
        <v>225</v>
      </c>
    </row>
    <row r="66" spans="1:8" x14ac:dyDescent="0.2">
      <c r="A66" s="11"/>
      <c r="C66" s="16"/>
      <c r="D66" s="76"/>
      <c r="E66" s="17" t="s">
        <v>226</v>
      </c>
      <c r="F66" s="69">
        <f>COUTMAX*F65/1000</f>
        <v>0.64</v>
      </c>
      <c r="G66" s="60" t="s">
        <v>17</v>
      </c>
    </row>
    <row r="67" spans="1:8" x14ac:dyDescent="0.2">
      <c r="A67" s="11"/>
      <c r="C67" s="16"/>
      <c r="D67" s="76"/>
      <c r="E67" s="17" t="s">
        <v>242</v>
      </c>
      <c r="F67" s="69">
        <f>VINMAX/F65</f>
        <v>30</v>
      </c>
      <c r="G67" s="60" t="s">
        <v>5</v>
      </c>
    </row>
    <row r="68" spans="1:8" x14ac:dyDescent="0.2">
      <c r="A68" s="11"/>
      <c r="C68" s="16"/>
      <c r="D68" s="76"/>
      <c r="E68" s="17" t="s">
        <v>243</v>
      </c>
      <c r="F68" s="69">
        <f>Start_up!N5</f>
        <v>0.28523076923076918</v>
      </c>
      <c r="G68" s="69" t="s">
        <v>232</v>
      </c>
    </row>
    <row r="69" spans="1:8" x14ac:dyDescent="0.2">
      <c r="A69" s="11"/>
      <c r="C69" s="16"/>
      <c r="D69" s="76"/>
      <c r="E69" s="17" t="s">
        <v>244</v>
      </c>
      <c r="F69" s="69">
        <f>Start_up!Q4</f>
        <v>80.592105263157904</v>
      </c>
      <c r="G69" s="69" t="s">
        <v>51</v>
      </c>
    </row>
    <row r="70" spans="1:8" x14ac:dyDescent="0.2">
      <c r="A70" s="11"/>
      <c r="D70" s="75"/>
      <c r="E70" s="17" t="s">
        <v>245</v>
      </c>
      <c r="F70" s="69">
        <f>F68/F69*1000</f>
        <v>3.5391899529042377</v>
      </c>
      <c r="G70" s="69" t="s">
        <v>5</v>
      </c>
    </row>
    <row r="71" spans="1:8" x14ac:dyDescent="0.2">
      <c r="A71" s="11"/>
      <c r="E71" s="17" t="s">
        <v>246</v>
      </c>
      <c r="F71" s="16">
        <f>SOA!H28</f>
        <v>76.241700168907457</v>
      </c>
      <c r="G71" s="69" t="s">
        <v>51</v>
      </c>
    </row>
    <row r="72" spans="1:8" x14ac:dyDescent="0.2">
      <c r="A72" s="11"/>
      <c r="E72" s="17" t="s">
        <v>247</v>
      </c>
      <c r="F72" s="16">
        <f>F71/F69</f>
        <v>0.94601946332032094</v>
      </c>
      <c r="G72" s="16"/>
    </row>
    <row r="73" spans="1:8" x14ac:dyDescent="0.2">
      <c r="A73" s="11"/>
      <c r="E73" s="17"/>
      <c r="F73" s="16"/>
      <c r="G73" s="16"/>
    </row>
    <row r="74" spans="1:8" x14ac:dyDescent="0.2">
      <c r="A74" s="11"/>
      <c r="E74" s="17"/>
      <c r="F74" s="16">
        <v>1</v>
      </c>
      <c r="G74" s="69" t="s">
        <v>5</v>
      </c>
    </row>
    <row r="75" spans="1:8" x14ac:dyDescent="0.2">
      <c r="A75" s="11"/>
      <c r="D75" s="349" t="s">
        <v>256</v>
      </c>
      <c r="E75" s="349"/>
      <c r="F75" s="349"/>
      <c r="G75" s="349"/>
      <c r="H75" s="349"/>
    </row>
    <row r="76" spans="1:8" x14ac:dyDescent="0.2">
      <c r="A76" s="11"/>
      <c r="E76" s="17" t="s">
        <v>252</v>
      </c>
      <c r="F76" s="79">
        <f>'Design Calculator'!F87</f>
        <v>30</v>
      </c>
      <c r="G76" s="16"/>
    </row>
    <row r="77" spans="1:8" x14ac:dyDescent="0.2">
      <c r="A77" s="11"/>
      <c r="E77" s="17" t="s">
        <v>253</v>
      </c>
      <c r="F77" s="16">
        <f>'Device Parmaters'!D15/'Device Parmaters'!D12*F76</f>
        <v>187.5</v>
      </c>
      <c r="G77" s="16" t="s">
        <v>69</v>
      </c>
    </row>
    <row r="78" spans="1:8" x14ac:dyDescent="0.2">
      <c r="A78" s="11"/>
      <c r="E78" s="78" t="s">
        <v>254</v>
      </c>
      <c r="F78" s="79">
        <f>'Design Calculator'!F89</f>
        <v>10</v>
      </c>
      <c r="G78" s="16" t="s">
        <v>69</v>
      </c>
    </row>
    <row r="79" spans="1:8" x14ac:dyDescent="0.2">
      <c r="A79" s="11"/>
      <c r="E79" s="77" t="s">
        <v>258</v>
      </c>
      <c r="F79" s="16">
        <f>'Device Parmaters'!D12/'Device Parmaters'!D15*F78</f>
        <v>1.6</v>
      </c>
      <c r="G79" s="16" t="s">
        <v>5</v>
      </c>
    </row>
    <row r="80" spans="1:8" x14ac:dyDescent="0.2">
      <c r="A80" s="11"/>
      <c r="E80" s="78" t="s">
        <v>257</v>
      </c>
      <c r="F80" s="16">
        <f>SOA!C26</f>
        <v>116.11547788244064</v>
      </c>
      <c r="G80" s="16" t="s">
        <v>51</v>
      </c>
    </row>
    <row r="81" spans="1:13" x14ac:dyDescent="0.2">
      <c r="A81" s="11"/>
      <c r="E81" s="77" t="s">
        <v>247</v>
      </c>
      <c r="F81" s="16">
        <f>F80/F47</f>
        <v>1.4407798071943654</v>
      </c>
      <c r="G81" s="16"/>
    </row>
    <row r="82" spans="1:13" x14ac:dyDescent="0.2">
      <c r="A82" s="11"/>
      <c r="E82" s="17"/>
      <c r="F82" s="16"/>
      <c r="G82" s="16"/>
    </row>
    <row r="83" spans="1:13" x14ac:dyDescent="0.2">
      <c r="E83" s="2"/>
      <c r="J83" s="7"/>
      <c r="M83" s="7"/>
    </row>
    <row r="84" spans="1:13" x14ac:dyDescent="0.2">
      <c r="E84" s="17"/>
      <c r="J84" s="7"/>
      <c r="M84" s="7"/>
    </row>
    <row r="85" spans="1:13" x14ac:dyDescent="0.2">
      <c r="E85" s="11" t="s">
        <v>374</v>
      </c>
      <c r="J85" s="16" t="s">
        <v>383</v>
      </c>
    </row>
    <row r="86" spans="1:13" x14ac:dyDescent="0.2">
      <c r="E86" s="17" t="s">
        <v>381</v>
      </c>
      <c r="F86">
        <f>'Design Calculator'!F92</f>
        <v>18</v>
      </c>
      <c r="G86" s="16" t="s">
        <v>50</v>
      </c>
    </row>
    <row r="87" spans="1:13" x14ac:dyDescent="0.2">
      <c r="E87" s="17" t="s">
        <v>378</v>
      </c>
      <c r="F87">
        <f>'Design Calculator'!F93</f>
        <v>10</v>
      </c>
      <c r="G87" s="16" t="s">
        <v>184</v>
      </c>
      <c r="J87" s="16" t="s">
        <v>384</v>
      </c>
    </row>
    <row r="88" spans="1:13" x14ac:dyDescent="0.2">
      <c r="E88" s="17" t="s">
        <v>379</v>
      </c>
      <c r="F88">
        <f>'Design Calculator'!F94</f>
        <v>10</v>
      </c>
      <c r="G88" s="16" t="s">
        <v>184</v>
      </c>
    </row>
    <row r="89" spans="1:13" x14ac:dyDescent="0.2">
      <c r="E89" s="17" t="s">
        <v>380</v>
      </c>
      <c r="F89" s="155">
        <f>F88*(-1+F86/'Device Parmaters'!D23)</f>
        <v>123.33333333333331</v>
      </c>
      <c r="G89" s="16" t="s">
        <v>184</v>
      </c>
      <c r="J89" s="16" t="s">
        <v>385</v>
      </c>
    </row>
    <row r="90" spans="1:13" x14ac:dyDescent="0.2">
      <c r="E90" s="17" t="s">
        <v>382</v>
      </c>
      <c r="F90">
        <f>'Design Calculator'!F96</f>
        <v>130</v>
      </c>
      <c r="G90" s="16" t="s">
        <v>184</v>
      </c>
    </row>
    <row r="91" spans="1:13" x14ac:dyDescent="0.2">
      <c r="E91" s="2"/>
      <c r="F91" s="9"/>
      <c r="G91" s="9"/>
    </row>
    <row r="92" spans="1:13" x14ac:dyDescent="0.2">
      <c r="E92" s="2"/>
      <c r="F92" s="9"/>
      <c r="G92" s="9"/>
    </row>
    <row r="93" spans="1:13" ht="13.5" thickBot="1" x14ac:dyDescent="0.25">
      <c r="D93" s="43" t="s">
        <v>21</v>
      </c>
      <c r="E93" s="44" t="s">
        <v>18</v>
      </c>
      <c r="F93" s="44" t="s">
        <v>19</v>
      </c>
      <c r="G93" s="44" t="s">
        <v>20</v>
      </c>
    </row>
    <row r="94" spans="1:13" ht="13.5" thickBot="1" x14ac:dyDescent="0.25">
      <c r="D94" s="18" t="s">
        <v>55</v>
      </c>
      <c r="E94" s="24">
        <f>($F$90+$F$88)/$F$88*'Device Parmaters'!C23</f>
        <v>18.48</v>
      </c>
      <c r="F94" s="24">
        <f>($F$90+$F$88)/$F$88*'Device Parmaters'!D23</f>
        <v>18.900000000000002</v>
      </c>
      <c r="G94" s="24">
        <f>($F$90+$F$88)/$F$88*'Device Parmaters'!E23</f>
        <v>19.32</v>
      </c>
    </row>
    <row r="95" spans="1:13" x14ac:dyDescent="0.2">
      <c r="D95" s="18" t="s">
        <v>56</v>
      </c>
      <c r="E95" s="24">
        <f>($F$90+$F$88)/$F$88*'Device Parmaters'!C24</f>
        <v>17.079999999999998</v>
      </c>
      <c r="F95" s="24">
        <f>($F$90+$F$88)/$F$88*'Device Parmaters'!D24</f>
        <v>17.5</v>
      </c>
      <c r="G95" s="24">
        <f>($F$90+$F$88)/$F$88*'Device Parmaters'!E24</f>
        <v>17.920000000000002</v>
      </c>
    </row>
    <row r="96" spans="1:13" x14ac:dyDescent="0.2">
      <c r="E96" s="3"/>
      <c r="F96" s="9"/>
      <c r="G96" s="9"/>
    </row>
    <row r="104" spans="5:7" x14ac:dyDescent="0.2">
      <c r="E104" s="17"/>
      <c r="F104" s="16"/>
      <c r="G104" s="16"/>
    </row>
    <row r="105" spans="5:7" x14ac:dyDescent="0.2">
      <c r="E105" s="17"/>
      <c r="F105" s="16"/>
      <c r="G105" s="16"/>
    </row>
    <row r="106" spans="5:7" x14ac:dyDescent="0.2">
      <c r="E106" s="17"/>
      <c r="G106" s="16"/>
    </row>
    <row r="127" spans="3:6" x14ac:dyDescent="0.2">
      <c r="C127" s="11" t="s">
        <v>23</v>
      </c>
    </row>
    <row r="128" spans="3:6" x14ac:dyDescent="0.2">
      <c r="E128" s="2" t="s">
        <v>24</v>
      </c>
      <c r="F128" s="1">
        <f>'Design Calculator'!F40</f>
        <v>8</v>
      </c>
    </row>
    <row r="129" spans="4:18" x14ac:dyDescent="0.2">
      <c r="E129" s="2" t="s">
        <v>25</v>
      </c>
      <c r="F129" s="1">
        <f>'Design Calculator'!F29</f>
        <v>30</v>
      </c>
    </row>
    <row r="131" spans="4:18" x14ac:dyDescent="0.2">
      <c r="E131" s="2" t="s">
        <v>26</v>
      </c>
      <c r="F131" s="9">
        <f>F24</f>
        <v>5.625</v>
      </c>
    </row>
    <row r="132" spans="4:18" x14ac:dyDescent="0.2">
      <c r="E132" s="2" t="s">
        <v>27</v>
      </c>
      <c r="F132" s="9">
        <f>F25</f>
        <v>6.25</v>
      </c>
    </row>
    <row r="133" spans="4:18" x14ac:dyDescent="0.2">
      <c r="E133" s="2" t="s">
        <v>28</v>
      </c>
      <c r="F133" s="9">
        <f>F26</f>
        <v>6.875</v>
      </c>
    </row>
    <row r="135" spans="4:18" x14ac:dyDescent="0.2">
      <c r="E135" s="2" t="s">
        <v>29</v>
      </c>
      <c r="F135" s="6">
        <f>'Design Calculator'!F67</f>
        <v>80.592105263157904</v>
      </c>
    </row>
    <row r="136" spans="4:18" x14ac:dyDescent="0.2">
      <c r="E136" s="2"/>
      <c r="F136" s="6"/>
    </row>
    <row r="138" spans="4:18" x14ac:dyDescent="0.2">
      <c r="E138" s="2"/>
      <c r="F138" s="6"/>
    </row>
    <row r="143" spans="4:18" x14ac:dyDescent="0.2">
      <c r="D143" t="s">
        <v>30</v>
      </c>
      <c r="E143" s="2"/>
      <c r="I143" t="s">
        <v>31</v>
      </c>
      <c r="N143" t="s">
        <v>46</v>
      </c>
      <c r="R143" s="16" t="s">
        <v>52</v>
      </c>
    </row>
    <row r="144" spans="4:18" x14ac:dyDescent="0.2">
      <c r="D144" t="s">
        <v>32</v>
      </c>
      <c r="I144" t="s">
        <v>33</v>
      </c>
      <c r="N144" t="s">
        <v>38</v>
      </c>
      <c r="R144" s="16" t="s">
        <v>53</v>
      </c>
    </row>
    <row r="145" spans="2:25" x14ac:dyDescent="0.2">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
      <c r="B146">
        <f>D146*F146</f>
        <v>80.592105263157904</v>
      </c>
      <c r="C146" s="5">
        <v>0.1</v>
      </c>
      <c r="D146" s="5">
        <f>C146/12*$F$129</f>
        <v>0.25</v>
      </c>
      <c r="E146" s="12">
        <f>(1-$F$169)*F146</f>
        <v>241.7763157894737</v>
      </c>
      <c r="F146" s="12">
        <f>($F$135)/D146</f>
        <v>322.36842105263162</v>
      </c>
      <c r="G146" s="12">
        <f>F146*(1+$F$169)</f>
        <v>402.96052631578954</v>
      </c>
      <c r="I146" s="5">
        <f>D146</f>
        <v>0.25</v>
      </c>
      <c r="J146" s="12">
        <f t="shared" ref="J146:J162" si="0">IF(E146&gt;$F$131,$F$131,E146)</f>
        <v>5.625</v>
      </c>
      <c r="K146" s="12">
        <f t="shared" ref="K146:K162" si="1">IF(F146&gt;$F$132,$F$132,F146)</f>
        <v>6.25</v>
      </c>
      <c r="L146" s="12">
        <f t="shared" ref="L146:L162" si="2">IF(G146&gt;$F$133,$F$133,G146)</f>
        <v>6.875</v>
      </c>
      <c r="N146" t="s">
        <v>40</v>
      </c>
      <c r="R146" s="5">
        <f>I146</f>
        <v>0.25</v>
      </c>
      <c r="S146" s="12">
        <f t="shared" ref="S146:S165" si="3">IF($R146&gt;$F$129,0.0000000005,J146)</f>
        <v>5.625</v>
      </c>
      <c r="T146" s="12">
        <f t="shared" ref="T146:T165" si="4">IF($R146&gt;$F$129,0.0000000005,K146)</f>
        <v>6.25</v>
      </c>
      <c r="U146" s="12">
        <f t="shared" ref="U146:U165" si="5">IF($R146&gt;$F$129,0.0000000005,L146)</f>
        <v>6.875</v>
      </c>
      <c r="V146" s="12">
        <f>$X$146/R146</f>
        <v>464.46191152976257</v>
      </c>
      <c r="X146">
        <f>SOA!C26</f>
        <v>116.11547788244064</v>
      </c>
      <c r="Y146" s="16" t="s">
        <v>51</v>
      </c>
    </row>
    <row r="147" spans="2:25" x14ac:dyDescent="0.2">
      <c r="B147">
        <f t="shared" ref="B147:B162" si="6">D147*F147</f>
        <v>80.592105263157919</v>
      </c>
      <c r="C147" s="5">
        <v>1</v>
      </c>
      <c r="D147" s="5">
        <f t="shared" ref="D147:D162" si="7">C147/12*$F$129</f>
        <v>2.5</v>
      </c>
      <c r="E147" s="12">
        <f t="shared" ref="E147:E162" si="8">(1-$F$169)*F147</f>
        <v>24.177631578947373</v>
      </c>
      <c r="F147" s="12">
        <f t="shared" ref="F147:F162" si="9">($F$135)/D147</f>
        <v>32.236842105263165</v>
      </c>
      <c r="G147" s="12">
        <f t="shared" ref="G147:G162" si="10">F147*(1+$F$169)</f>
        <v>40.296052631578959</v>
      </c>
      <c r="I147" s="5">
        <f t="shared" ref="I147:I162" si="11">D147</f>
        <v>2.5</v>
      </c>
      <c r="J147" s="12">
        <f t="shared" si="0"/>
        <v>5.625</v>
      </c>
      <c r="K147" s="12">
        <f t="shared" si="1"/>
        <v>6.25</v>
      </c>
      <c r="L147" s="12">
        <f t="shared" si="2"/>
        <v>6.875</v>
      </c>
      <c r="R147" s="5">
        <f t="shared" ref="R147:R162" si="12">I147</f>
        <v>2.5</v>
      </c>
      <c r="S147" s="12">
        <f t="shared" si="3"/>
        <v>5.625</v>
      </c>
      <c r="T147" s="12">
        <f t="shared" si="4"/>
        <v>6.25</v>
      </c>
      <c r="U147" s="12">
        <f t="shared" si="5"/>
        <v>6.875</v>
      </c>
      <c r="V147" s="12">
        <f t="shared" ref="V147:V165" si="13">$X$146/R147</f>
        <v>46.446191152976255</v>
      </c>
    </row>
    <row r="148" spans="2:25" x14ac:dyDescent="0.2">
      <c r="B148">
        <f t="shared" si="6"/>
        <v>80.592105263157919</v>
      </c>
      <c r="C148" s="5">
        <v>2</v>
      </c>
      <c r="D148" s="5">
        <f t="shared" si="7"/>
        <v>5</v>
      </c>
      <c r="E148" s="12">
        <f t="shared" si="8"/>
        <v>12.088815789473687</v>
      </c>
      <c r="F148" s="12">
        <f t="shared" si="9"/>
        <v>16.118421052631582</v>
      </c>
      <c r="G148" s="12">
        <f t="shared" si="10"/>
        <v>20.14802631578948</v>
      </c>
      <c r="I148" s="5">
        <f t="shared" si="11"/>
        <v>5</v>
      </c>
      <c r="J148" s="12">
        <f t="shared" si="0"/>
        <v>5.625</v>
      </c>
      <c r="K148" s="12">
        <f t="shared" si="1"/>
        <v>6.25</v>
      </c>
      <c r="L148" s="12">
        <f t="shared" si="2"/>
        <v>6.875</v>
      </c>
      <c r="O148" s="13" t="s">
        <v>41</v>
      </c>
      <c r="R148" s="5">
        <f t="shared" si="12"/>
        <v>5</v>
      </c>
      <c r="S148" s="12">
        <f t="shared" si="3"/>
        <v>5.625</v>
      </c>
      <c r="T148" s="12">
        <f t="shared" si="4"/>
        <v>6.25</v>
      </c>
      <c r="U148" s="12">
        <f t="shared" si="5"/>
        <v>6.875</v>
      </c>
      <c r="V148" s="12">
        <f t="shared" si="13"/>
        <v>23.223095576488127</v>
      </c>
    </row>
    <row r="149" spans="2:25" x14ac:dyDescent="0.2">
      <c r="B149">
        <f t="shared" si="6"/>
        <v>80.592105263157904</v>
      </c>
      <c r="C149" s="5">
        <v>3</v>
      </c>
      <c r="D149" s="5">
        <f t="shared" si="7"/>
        <v>7.5</v>
      </c>
      <c r="E149" s="12">
        <f t="shared" si="8"/>
        <v>8.0592105263157912</v>
      </c>
      <c r="F149" s="12">
        <f t="shared" si="9"/>
        <v>10.745614035087721</v>
      </c>
      <c r="G149" s="12">
        <f t="shared" si="10"/>
        <v>13.432017543859651</v>
      </c>
      <c r="I149" s="5">
        <f t="shared" si="11"/>
        <v>7.5</v>
      </c>
      <c r="J149" s="12">
        <f t="shared" si="0"/>
        <v>5.625</v>
      </c>
      <c r="K149" s="12">
        <f t="shared" si="1"/>
        <v>6.25</v>
      </c>
      <c r="L149" s="12">
        <f t="shared" si="2"/>
        <v>6.875</v>
      </c>
      <c r="N149" s="8" t="s">
        <v>34</v>
      </c>
      <c r="O149" s="14" t="s">
        <v>42</v>
      </c>
      <c r="R149" s="5">
        <f t="shared" si="12"/>
        <v>7.5</v>
      </c>
      <c r="S149" s="12">
        <f t="shared" si="3"/>
        <v>5.625</v>
      </c>
      <c r="T149" s="12">
        <f t="shared" si="4"/>
        <v>6.25</v>
      </c>
      <c r="U149" s="12">
        <f t="shared" si="5"/>
        <v>6.875</v>
      </c>
      <c r="V149" s="12">
        <f t="shared" si="13"/>
        <v>15.482063717658752</v>
      </c>
    </row>
    <row r="150" spans="2:25" x14ac:dyDescent="0.2">
      <c r="B150">
        <f t="shared" si="6"/>
        <v>80.592105263157919</v>
      </c>
      <c r="C150" s="5">
        <v>4</v>
      </c>
      <c r="D150" s="5">
        <f t="shared" si="7"/>
        <v>10</v>
      </c>
      <c r="E150" s="12">
        <f t="shared" si="8"/>
        <v>6.0444078947368434</v>
      </c>
      <c r="F150" s="12">
        <f t="shared" si="9"/>
        <v>8.0592105263157912</v>
      </c>
      <c r="G150" s="12">
        <f t="shared" si="10"/>
        <v>10.07401315789474</v>
      </c>
      <c r="I150" s="5">
        <f t="shared" si="11"/>
        <v>10</v>
      </c>
      <c r="J150" s="12">
        <f t="shared" si="0"/>
        <v>5.625</v>
      </c>
      <c r="K150" s="12">
        <f t="shared" si="1"/>
        <v>6.25</v>
      </c>
      <c r="L150" s="12">
        <f t="shared" si="2"/>
        <v>6.875</v>
      </c>
      <c r="N150" s="5">
        <f>I146</f>
        <v>0.25</v>
      </c>
      <c r="O150" s="5">
        <f>SOA!C39</f>
        <v>116.11547788244064</v>
      </c>
      <c r="P150" t="s">
        <v>43</v>
      </c>
      <c r="R150" s="5">
        <f t="shared" si="12"/>
        <v>10</v>
      </c>
      <c r="S150" s="12">
        <f t="shared" si="3"/>
        <v>5.625</v>
      </c>
      <c r="T150" s="12">
        <f t="shared" si="4"/>
        <v>6.25</v>
      </c>
      <c r="U150" s="12">
        <f t="shared" si="5"/>
        <v>6.875</v>
      </c>
      <c r="V150" s="12">
        <f t="shared" si="13"/>
        <v>11.611547788244064</v>
      </c>
    </row>
    <row r="151" spans="2:25" x14ac:dyDescent="0.2">
      <c r="B151">
        <f t="shared" si="6"/>
        <v>80.592105263157904</v>
      </c>
      <c r="C151" s="5">
        <v>5</v>
      </c>
      <c r="D151" s="5">
        <f t="shared" si="7"/>
        <v>12.5</v>
      </c>
      <c r="E151" s="12">
        <f t="shared" si="8"/>
        <v>4.8355263157894743</v>
      </c>
      <c r="F151" s="12">
        <f t="shared" si="9"/>
        <v>6.4473684210526327</v>
      </c>
      <c r="G151" s="12">
        <f t="shared" si="10"/>
        <v>8.0592105263157912</v>
      </c>
      <c r="I151" s="5">
        <f t="shared" si="11"/>
        <v>12.5</v>
      </c>
      <c r="J151" s="12">
        <f t="shared" si="0"/>
        <v>4.8355263157894743</v>
      </c>
      <c r="K151" s="12">
        <f t="shared" si="1"/>
        <v>6.25</v>
      </c>
      <c r="L151" s="12">
        <f t="shared" si="2"/>
        <v>6.875</v>
      </c>
      <c r="N151" s="5">
        <f t="shared" ref="N151:N166" si="14">I147</f>
        <v>2.5</v>
      </c>
      <c r="O151" s="12">
        <f>O154+((O150-O154)*3/7)</f>
        <v>105.05686094125582</v>
      </c>
      <c r="R151" s="5">
        <f t="shared" si="12"/>
        <v>12.5</v>
      </c>
      <c r="S151" s="12">
        <f t="shared" si="3"/>
        <v>4.8355263157894743</v>
      </c>
      <c r="T151" s="12">
        <f t="shared" si="4"/>
        <v>6.25</v>
      </c>
      <c r="U151" s="12">
        <f t="shared" si="5"/>
        <v>6.875</v>
      </c>
      <c r="V151" s="12">
        <f t="shared" si="13"/>
        <v>9.2892382305952523</v>
      </c>
    </row>
    <row r="152" spans="2:25" x14ac:dyDescent="0.2">
      <c r="B152">
        <f t="shared" si="6"/>
        <v>80.592105263157904</v>
      </c>
      <c r="C152" s="5">
        <v>6</v>
      </c>
      <c r="D152" s="5">
        <f t="shared" si="7"/>
        <v>15</v>
      </c>
      <c r="E152" s="12">
        <f t="shared" si="8"/>
        <v>4.0296052631578956</v>
      </c>
      <c r="F152" s="12">
        <f t="shared" si="9"/>
        <v>5.3728070175438605</v>
      </c>
      <c r="G152" s="12">
        <f t="shared" si="10"/>
        <v>6.7160087719298254</v>
      </c>
      <c r="I152" s="5">
        <f t="shared" si="11"/>
        <v>15</v>
      </c>
      <c r="J152" s="12">
        <f t="shared" si="0"/>
        <v>4.0296052631578956</v>
      </c>
      <c r="K152" s="12">
        <f t="shared" si="1"/>
        <v>5.3728070175438605</v>
      </c>
      <c r="L152" s="12">
        <f t="shared" si="2"/>
        <v>6.7160087719298254</v>
      </c>
      <c r="N152" s="5">
        <f t="shared" si="14"/>
        <v>5</v>
      </c>
      <c r="O152" s="12">
        <f>O154+((O150-O154)*2/8)</f>
        <v>101.60104314713556</v>
      </c>
      <c r="R152" s="5">
        <f t="shared" si="12"/>
        <v>15</v>
      </c>
      <c r="S152" s="12">
        <f t="shared" si="3"/>
        <v>4.0296052631578956</v>
      </c>
      <c r="T152" s="12">
        <f t="shared" si="4"/>
        <v>5.3728070175438605</v>
      </c>
      <c r="U152" s="12">
        <f t="shared" si="5"/>
        <v>6.7160087719298254</v>
      </c>
      <c r="V152" s="12">
        <f t="shared" si="13"/>
        <v>7.7410318588293761</v>
      </c>
    </row>
    <row r="153" spans="2:25" x14ac:dyDescent="0.2">
      <c r="B153">
        <f t="shared" si="6"/>
        <v>80.592105263157904</v>
      </c>
      <c r="C153" s="5">
        <v>7</v>
      </c>
      <c r="D153" s="5">
        <f t="shared" si="7"/>
        <v>17.5</v>
      </c>
      <c r="E153" s="12">
        <f t="shared" si="8"/>
        <v>3.4539473684210531</v>
      </c>
      <c r="F153" s="12">
        <f t="shared" si="9"/>
        <v>4.6052631578947372</v>
      </c>
      <c r="G153" s="12">
        <f t="shared" si="10"/>
        <v>5.7565789473684212</v>
      </c>
      <c r="I153" s="5">
        <f t="shared" si="11"/>
        <v>17.5</v>
      </c>
      <c r="J153" s="12">
        <f t="shared" si="0"/>
        <v>3.4539473684210531</v>
      </c>
      <c r="K153" s="12">
        <f t="shared" si="1"/>
        <v>4.6052631578947372</v>
      </c>
      <c r="L153" s="12">
        <f t="shared" si="2"/>
        <v>5.7565789473684212</v>
      </c>
      <c r="N153" s="5">
        <f t="shared" si="14"/>
        <v>7.5</v>
      </c>
      <c r="O153" s="12">
        <f>O154+((O150-O154)*1/9)</f>
        <v>98.913184862819804</v>
      </c>
      <c r="R153" s="5">
        <f t="shared" si="12"/>
        <v>17.5</v>
      </c>
      <c r="S153" s="12">
        <f t="shared" si="3"/>
        <v>3.4539473684210531</v>
      </c>
      <c r="T153" s="12">
        <f t="shared" si="4"/>
        <v>4.6052631578947372</v>
      </c>
      <c r="U153" s="12">
        <f t="shared" si="5"/>
        <v>5.7565789473684212</v>
      </c>
      <c r="V153" s="12">
        <f t="shared" si="13"/>
        <v>6.6351701647108943</v>
      </c>
    </row>
    <row r="154" spans="2:25" x14ac:dyDescent="0.2">
      <c r="B154">
        <f t="shared" si="6"/>
        <v>80.592105263157919</v>
      </c>
      <c r="C154" s="5">
        <v>8</v>
      </c>
      <c r="D154" s="5">
        <f t="shared" si="7"/>
        <v>20</v>
      </c>
      <c r="E154" s="12">
        <f t="shared" si="8"/>
        <v>3.0222039473684217</v>
      </c>
      <c r="F154" s="12">
        <f t="shared" si="9"/>
        <v>4.0296052631578956</v>
      </c>
      <c r="G154" s="12">
        <f t="shared" si="10"/>
        <v>5.0370065789473699</v>
      </c>
      <c r="I154" s="5">
        <f t="shared" si="11"/>
        <v>20</v>
      </c>
      <c r="J154" s="12">
        <f t="shared" si="0"/>
        <v>3.0222039473684217</v>
      </c>
      <c r="K154" s="12">
        <f t="shared" si="1"/>
        <v>4.0296052631578956</v>
      </c>
      <c r="L154" s="12">
        <f t="shared" si="2"/>
        <v>5.0370065789473699</v>
      </c>
      <c r="N154" s="5">
        <f t="shared" si="14"/>
        <v>10</v>
      </c>
      <c r="O154" s="12">
        <f>SOA!C40</f>
        <v>96.762898235367203</v>
      </c>
      <c r="P154" t="s">
        <v>44</v>
      </c>
      <c r="R154" s="5">
        <f t="shared" si="12"/>
        <v>20</v>
      </c>
      <c r="S154" s="12">
        <f t="shared" si="3"/>
        <v>3.0222039473684217</v>
      </c>
      <c r="T154" s="12">
        <f t="shared" si="4"/>
        <v>4.0296052631578956</v>
      </c>
      <c r="U154" s="12">
        <f t="shared" si="5"/>
        <v>5.0370065789473699</v>
      </c>
      <c r="V154" s="12">
        <f t="shared" si="13"/>
        <v>5.8057738941220318</v>
      </c>
    </row>
    <row r="155" spans="2:25" x14ac:dyDescent="0.2">
      <c r="B155">
        <f t="shared" si="6"/>
        <v>80.592105263157904</v>
      </c>
      <c r="C155" s="5">
        <v>9</v>
      </c>
      <c r="D155" s="5">
        <f t="shared" si="7"/>
        <v>22.5</v>
      </c>
      <c r="E155" s="12">
        <f t="shared" si="8"/>
        <v>2.6864035087719302</v>
      </c>
      <c r="F155" s="12">
        <f t="shared" si="9"/>
        <v>3.5818713450292403</v>
      </c>
      <c r="G155" s="12">
        <f t="shared" si="10"/>
        <v>4.4773391812865508</v>
      </c>
      <c r="I155" s="5">
        <f t="shared" si="11"/>
        <v>22.5</v>
      </c>
      <c r="J155" s="12">
        <f t="shared" si="0"/>
        <v>2.6864035087719302</v>
      </c>
      <c r="K155" s="12">
        <f t="shared" si="1"/>
        <v>3.5818713450292403</v>
      </c>
      <c r="L155" s="12">
        <f t="shared" si="2"/>
        <v>4.4773391812865508</v>
      </c>
      <c r="N155" s="5">
        <f t="shared" si="14"/>
        <v>12.5</v>
      </c>
      <c r="O155" s="12">
        <f>O$159+((O$154-O$159)*4/6)</f>
        <v>65.798770800049695</v>
      </c>
      <c r="R155" s="5">
        <f t="shared" si="12"/>
        <v>22.5</v>
      </c>
      <c r="S155" s="12">
        <f t="shared" si="3"/>
        <v>2.6864035087719302</v>
      </c>
      <c r="T155" s="12">
        <f t="shared" si="4"/>
        <v>3.5818713450292403</v>
      </c>
      <c r="U155" s="12">
        <f t="shared" si="5"/>
        <v>4.4773391812865508</v>
      </c>
      <c r="V155" s="12">
        <f t="shared" si="13"/>
        <v>5.1606879058862507</v>
      </c>
    </row>
    <row r="156" spans="2:25" x14ac:dyDescent="0.2">
      <c r="B156">
        <f t="shared" si="6"/>
        <v>80.592105263157904</v>
      </c>
      <c r="C156" s="5">
        <v>10</v>
      </c>
      <c r="D156" s="5">
        <f t="shared" si="7"/>
        <v>25</v>
      </c>
      <c r="E156" s="12">
        <f t="shared" si="8"/>
        <v>2.4177631578947372</v>
      </c>
      <c r="F156" s="12">
        <f t="shared" si="9"/>
        <v>3.2236842105263164</v>
      </c>
      <c r="G156" s="12">
        <f t="shared" si="10"/>
        <v>4.0296052631578956</v>
      </c>
      <c r="I156" s="5">
        <f t="shared" si="11"/>
        <v>25</v>
      </c>
      <c r="J156" s="12">
        <f t="shared" si="0"/>
        <v>2.4177631578947372</v>
      </c>
      <c r="K156" s="12">
        <f t="shared" si="1"/>
        <v>3.2236842105263164</v>
      </c>
      <c r="L156" s="12">
        <f t="shared" si="2"/>
        <v>4.0296052631578956</v>
      </c>
      <c r="N156" s="5">
        <f t="shared" si="14"/>
        <v>15</v>
      </c>
      <c r="O156" s="12">
        <f>O$159+((O$154-O$159)*3/7)</f>
        <v>43.681536917680042</v>
      </c>
      <c r="R156" s="5">
        <f t="shared" si="12"/>
        <v>25</v>
      </c>
      <c r="S156" s="12">
        <f t="shared" si="3"/>
        <v>2.4177631578947372</v>
      </c>
      <c r="T156" s="12">
        <f t="shared" si="4"/>
        <v>3.2236842105263164</v>
      </c>
      <c r="U156" s="12">
        <f t="shared" si="5"/>
        <v>4.0296052631578956</v>
      </c>
      <c r="V156" s="12">
        <f t="shared" si="13"/>
        <v>4.6446191152976262</v>
      </c>
    </row>
    <row r="157" spans="2:25" x14ac:dyDescent="0.2">
      <c r="B157">
        <f t="shared" si="6"/>
        <v>80.592105263157904</v>
      </c>
      <c r="C157" s="5">
        <v>11</v>
      </c>
      <c r="D157" s="5">
        <f t="shared" si="7"/>
        <v>27.5</v>
      </c>
      <c r="E157" s="12">
        <f t="shared" si="8"/>
        <v>2.1979665071770338</v>
      </c>
      <c r="F157" s="12">
        <f t="shared" si="9"/>
        <v>2.9306220095693782</v>
      </c>
      <c r="G157" s="12">
        <f t="shared" si="10"/>
        <v>3.6632775119617227</v>
      </c>
      <c r="I157" s="5">
        <f t="shared" si="11"/>
        <v>27.5</v>
      </c>
      <c r="J157" s="12">
        <f t="shared" si="0"/>
        <v>2.1979665071770338</v>
      </c>
      <c r="K157" s="12">
        <f t="shared" si="1"/>
        <v>2.9306220095693782</v>
      </c>
      <c r="L157" s="12">
        <f t="shared" si="2"/>
        <v>3.6632775119617227</v>
      </c>
      <c r="N157" s="5">
        <f t="shared" si="14"/>
        <v>17.5</v>
      </c>
      <c r="O157" s="12">
        <f>O$159+((O$154-O$159)*2/8)</f>
        <v>27.093611505902814</v>
      </c>
      <c r="R157" s="5">
        <f t="shared" si="12"/>
        <v>27.5</v>
      </c>
      <c r="S157" s="12">
        <f t="shared" si="3"/>
        <v>2.1979665071770338</v>
      </c>
      <c r="T157" s="12">
        <f t="shared" si="4"/>
        <v>2.9306220095693782</v>
      </c>
      <c r="U157" s="12">
        <f t="shared" si="5"/>
        <v>3.6632775119617227</v>
      </c>
      <c r="V157" s="12">
        <f t="shared" si="13"/>
        <v>4.2223810139069329</v>
      </c>
    </row>
    <row r="158" spans="2:25" x14ac:dyDescent="0.2">
      <c r="B158">
        <f t="shared" si="6"/>
        <v>80.592105263157904</v>
      </c>
      <c r="C158" s="5">
        <v>12</v>
      </c>
      <c r="D158" s="5">
        <f t="shared" si="7"/>
        <v>30</v>
      </c>
      <c r="E158" s="12">
        <f t="shared" si="8"/>
        <v>2.0148026315789478</v>
      </c>
      <c r="F158" s="12">
        <f t="shared" si="9"/>
        <v>2.6864035087719302</v>
      </c>
      <c r="G158" s="12">
        <f t="shared" si="10"/>
        <v>3.3580043859649127</v>
      </c>
      <c r="I158" s="5">
        <f t="shared" si="11"/>
        <v>30</v>
      </c>
      <c r="J158" s="12">
        <f t="shared" si="0"/>
        <v>2.0148026315789478</v>
      </c>
      <c r="K158" s="12">
        <f t="shared" si="1"/>
        <v>2.6864035087719302</v>
      </c>
      <c r="L158" s="12">
        <f t="shared" si="2"/>
        <v>3.3580043859649127</v>
      </c>
      <c r="N158" s="5">
        <f t="shared" si="14"/>
        <v>20</v>
      </c>
      <c r="O158" s="12">
        <f>O$159+((O$154-O$159)*1/9)</f>
        <v>14.19189174118719</v>
      </c>
      <c r="R158" s="5">
        <f t="shared" si="12"/>
        <v>30</v>
      </c>
      <c r="S158" s="12">
        <f t="shared" si="3"/>
        <v>2.0148026315789478</v>
      </c>
      <c r="T158" s="12">
        <f t="shared" si="4"/>
        <v>2.6864035087719302</v>
      </c>
      <c r="U158" s="12">
        <f t="shared" si="5"/>
        <v>3.3580043859649127</v>
      </c>
      <c r="V158" s="12">
        <f t="shared" si="13"/>
        <v>3.870515929414688</v>
      </c>
    </row>
    <row r="159" spans="2:25" x14ac:dyDescent="0.2">
      <c r="B159">
        <f t="shared" si="6"/>
        <v>80.592105263157904</v>
      </c>
      <c r="C159" s="5">
        <v>13</v>
      </c>
      <c r="D159" s="5">
        <f t="shared" si="7"/>
        <v>32.5</v>
      </c>
      <c r="E159" s="12">
        <f t="shared" si="8"/>
        <v>1.8598178137651824</v>
      </c>
      <c r="F159" s="12">
        <f t="shared" si="9"/>
        <v>2.4797570850202431</v>
      </c>
      <c r="G159" s="12">
        <f t="shared" si="10"/>
        <v>3.0996963562753037</v>
      </c>
      <c r="I159" s="5">
        <f t="shared" si="11"/>
        <v>32.5</v>
      </c>
      <c r="J159" s="12">
        <f t="shared" si="0"/>
        <v>1.8598178137651824</v>
      </c>
      <c r="K159" s="12">
        <f t="shared" si="1"/>
        <v>2.4797570850202431</v>
      </c>
      <c r="L159" s="12">
        <f t="shared" si="2"/>
        <v>3.0996963562753037</v>
      </c>
      <c r="N159" s="5">
        <f t="shared" si="14"/>
        <v>22.5</v>
      </c>
      <c r="O159" s="12">
        <f>SOA!C41</f>
        <v>3.870515929414688</v>
      </c>
      <c r="P159" t="s">
        <v>44</v>
      </c>
      <c r="R159" s="5">
        <f t="shared" si="12"/>
        <v>32.5</v>
      </c>
      <c r="S159" s="12">
        <f t="shared" si="3"/>
        <v>5.0000000000000003E-10</v>
      </c>
      <c r="T159" s="12">
        <f t="shared" si="4"/>
        <v>5.0000000000000003E-10</v>
      </c>
      <c r="U159" s="12">
        <f t="shared" si="5"/>
        <v>5.0000000000000003E-10</v>
      </c>
      <c r="V159" s="12">
        <f t="shared" si="13"/>
        <v>3.5727839348443275</v>
      </c>
    </row>
    <row r="160" spans="2:25" x14ac:dyDescent="0.2">
      <c r="B160">
        <f t="shared" si="6"/>
        <v>80.592105263157904</v>
      </c>
      <c r="C160" s="5">
        <v>14</v>
      </c>
      <c r="D160" s="5">
        <f t="shared" si="7"/>
        <v>35</v>
      </c>
      <c r="E160" s="12">
        <f t="shared" si="8"/>
        <v>1.7269736842105265</v>
      </c>
      <c r="F160" s="12">
        <f t="shared" si="9"/>
        <v>2.3026315789473686</v>
      </c>
      <c r="G160" s="12">
        <f t="shared" si="10"/>
        <v>2.8782894736842106</v>
      </c>
      <c r="I160" s="5">
        <f t="shared" si="11"/>
        <v>35</v>
      </c>
      <c r="J160" s="12">
        <f t="shared" si="0"/>
        <v>1.7269736842105265</v>
      </c>
      <c r="K160" s="12">
        <f t="shared" si="1"/>
        <v>2.3026315789473686</v>
      </c>
      <c r="L160" s="12">
        <f t="shared" si="2"/>
        <v>2.8782894736842106</v>
      </c>
      <c r="N160" s="5">
        <f t="shared" si="14"/>
        <v>25</v>
      </c>
      <c r="O160" s="12">
        <f>O$164+((O$159-O$164)*4/6)</f>
        <v>2.5803439529431254</v>
      </c>
      <c r="R160" s="5">
        <f t="shared" si="12"/>
        <v>35</v>
      </c>
      <c r="S160" s="12">
        <f t="shared" si="3"/>
        <v>5.0000000000000003E-10</v>
      </c>
      <c r="T160" s="12">
        <f t="shared" si="4"/>
        <v>5.0000000000000003E-10</v>
      </c>
      <c r="U160" s="12">
        <f t="shared" si="5"/>
        <v>5.0000000000000003E-10</v>
      </c>
      <c r="V160" s="12">
        <f t="shared" si="13"/>
        <v>3.3175850823554471</v>
      </c>
    </row>
    <row r="161" spans="2:22" x14ac:dyDescent="0.2">
      <c r="B161">
        <f t="shared" si="6"/>
        <v>80.592105263157904</v>
      </c>
      <c r="C161" s="5">
        <v>15</v>
      </c>
      <c r="D161" s="5">
        <f t="shared" si="7"/>
        <v>37.5</v>
      </c>
      <c r="E161" s="12">
        <f t="shared" si="8"/>
        <v>1.611842105263158</v>
      </c>
      <c r="F161" s="12">
        <f t="shared" si="9"/>
        <v>2.1491228070175441</v>
      </c>
      <c r="G161" s="12">
        <f t="shared" si="10"/>
        <v>2.6864035087719302</v>
      </c>
      <c r="I161" s="5">
        <f t="shared" si="11"/>
        <v>37.5</v>
      </c>
      <c r="J161" s="12">
        <f t="shared" si="0"/>
        <v>1.611842105263158</v>
      </c>
      <c r="K161" s="12">
        <f t="shared" si="1"/>
        <v>2.1491228070175441</v>
      </c>
      <c r="L161" s="12">
        <f t="shared" si="2"/>
        <v>2.6864035087719302</v>
      </c>
      <c r="N161" s="5">
        <f t="shared" si="14"/>
        <v>27.5</v>
      </c>
      <c r="O161" s="12">
        <f>O$164+((O$159-O$164)*3/7)</f>
        <v>1.6587925411777233</v>
      </c>
      <c r="R161" s="5">
        <f t="shared" si="12"/>
        <v>37.5</v>
      </c>
      <c r="S161" s="12">
        <f t="shared" si="3"/>
        <v>5.0000000000000003E-10</v>
      </c>
      <c r="T161" s="12">
        <f t="shared" si="4"/>
        <v>5.0000000000000003E-10</v>
      </c>
      <c r="U161" s="12">
        <f t="shared" si="5"/>
        <v>5.0000000000000003E-10</v>
      </c>
      <c r="V161" s="12">
        <f t="shared" si="13"/>
        <v>3.0964127435317503</v>
      </c>
    </row>
    <row r="162" spans="2:22" x14ac:dyDescent="0.2">
      <c r="B162">
        <f t="shared" si="6"/>
        <v>80.592105263157919</v>
      </c>
      <c r="C162" s="5">
        <v>16</v>
      </c>
      <c r="D162" s="5">
        <f t="shared" si="7"/>
        <v>40</v>
      </c>
      <c r="E162" s="12">
        <f t="shared" si="8"/>
        <v>1.5111019736842108</v>
      </c>
      <c r="F162" s="12">
        <f t="shared" si="9"/>
        <v>2.0148026315789478</v>
      </c>
      <c r="G162" s="12">
        <f t="shared" si="10"/>
        <v>2.518503289473685</v>
      </c>
      <c r="I162" s="5">
        <f t="shared" si="11"/>
        <v>40</v>
      </c>
      <c r="J162" s="12">
        <f t="shared" si="0"/>
        <v>1.5111019736842108</v>
      </c>
      <c r="K162" s="12">
        <f t="shared" si="1"/>
        <v>2.0148026315789478</v>
      </c>
      <c r="L162" s="12">
        <f t="shared" si="2"/>
        <v>2.518503289473685</v>
      </c>
      <c r="N162" s="5">
        <f t="shared" si="14"/>
        <v>30</v>
      </c>
      <c r="O162" s="12">
        <f>O$164+((O$159-O$164)*2/8)</f>
        <v>0.96762898235367201</v>
      </c>
      <c r="R162" s="5">
        <f t="shared" si="12"/>
        <v>40</v>
      </c>
      <c r="S162" s="12">
        <f t="shared" si="3"/>
        <v>5.0000000000000003E-10</v>
      </c>
      <c r="T162" s="12">
        <f t="shared" si="4"/>
        <v>5.0000000000000003E-10</v>
      </c>
      <c r="U162" s="12">
        <f t="shared" si="5"/>
        <v>5.0000000000000003E-10</v>
      </c>
      <c r="V162" s="12">
        <f t="shared" si="13"/>
        <v>2.9028869470610159</v>
      </c>
    </row>
    <row r="163" spans="2:22" x14ac:dyDescent="0.2">
      <c r="N163" s="5">
        <f t="shared" si="14"/>
        <v>32.5</v>
      </c>
      <c r="O163" s="12">
        <f>O$164+((O$159-O$164)*1/9)</f>
        <v>0.43005732549052089</v>
      </c>
      <c r="R163" s="5"/>
      <c r="S163" s="12">
        <f t="shared" si="3"/>
        <v>0</v>
      </c>
      <c r="T163" s="12">
        <f t="shared" si="4"/>
        <v>0</v>
      </c>
      <c r="U163" s="12">
        <f t="shared" si="5"/>
        <v>0</v>
      </c>
      <c r="V163" s="12" t="e">
        <f t="shared" si="13"/>
        <v>#DIV/0!</v>
      </c>
    </row>
    <row r="164" spans="2:22" x14ac:dyDescent="0.2">
      <c r="D164" s="16" t="s">
        <v>211</v>
      </c>
      <c r="N164" s="5">
        <f t="shared" si="14"/>
        <v>35</v>
      </c>
      <c r="O164" s="12">
        <f>SOA!C42</f>
        <v>0</v>
      </c>
      <c r="P164" t="s">
        <v>44</v>
      </c>
      <c r="R164" s="5"/>
      <c r="S164" s="12">
        <f t="shared" si="3"/>
        <v>0</v>
      </c>
      <c r="T164" s="12">
        <f t="shared" si="4"/>
        <v>0</v>
      </c>
      <c r="U164" s="12">
        <f t="shared" si="5"/>
        <v>0</v>
      </c>
      <c r="V164" s="12" t="e">
        <f t="shared" si="13"/>
        <v>#DIV/0!</v>
      </c>
    </row>
    <row r="165" spans="2:22" x14ac:dyDescent="0.2">
      <c r="N165" s="5">
        <f t="shared" si="14"/>
        <v>37.5</v>
      </c>
      <c r="O165" s="12">
        <f>O$169+((O$164-O$169)*4/6)</f>
        <v>0</v>
      </c>
      <c r="R165" s="5"/>
      <c r="S165" s="12">
        <f t="shared" si="3"/>
        <v>0</v>
      </c>
      <c r="T165" s="12">
        <f t="shared" si="4"/>
        <v>0</v>
      </c>
      <c r="U165" s="12">
        <f t="shared" si="5"/>
        <v>0</v>
      </c>
      <c r="V165" s="12" t="e">
        <f t="shared" si="13"/>
        <v>#DIV/0!</v>
      </c>
    </row>
    <row r="166" spans="2:22" x14ac:dyDescent="0.2">
      <c r="D166" s="16" t="s">
        <v>212</v>
      </c>
      <c r="E166" t="e">
        <f>'Device Parmaters'!#REF!</f>
        <v>#REF!</v>
      </c>
      <c r="N166" s="5">
        <f t="shared" si="14"/>
        <v>40</v>
      </c>
      <c r="O166" s="12">
        <f>O$169+((O$164-O$169)*3/7)</f>
        <v>0</v>
      </c>
    </row>
    <row r="167" spans="2:22" x14ac:dyDescent="0.2">
      <c r="D167" s="16" t="s">
        <v>213</v>
      </c>
      <c r="E167">
        <f>RsEFF*0.001</f>
        <v>8.0000000000000002E-3</v>
      </c>
      <c r="N167" s="5"/>
      <c r="O167" s="12"/>
    </row>
    <row r="168" spans="2:22" x14ac:dyDescent="0.2">
      <c r="D168" s="16" t="s">
        <v>214</v>
      </c>
      <c r="E168">
        <f>VINMAX</f>
        <v>30</v>
      </c>
      <c r="N168" s="5"/>
      <c r="O168" s="12"/>
    </row>
    <row r="169" spans="2:22" x14ac:dyDescent="0.2">
      <c r="D169" s="16" t="s">
        <v>215</v>
      </c>
      <c r="E169" s="59"/>
      <c r="F169">
        <v>0.25</v>
      </c>
      <c r="N169" s="5"/>
      <c r="O169" s="12"/>
    </row>
    <row r="171" spans="2:22" x14ac:dyDescent="0.2">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5"/>
  <sheetViews>
    <sheetView topLeftCell="A5" zoomScale="85" zoomScaleNormal="85" workbookViewId="0">
      <selection activeCell="J9" sqref="J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2.85546875" style="28" customWidth="1"/>
    <col min="12" max="12" width="14.28515625" style="28" customWidth="1"/>
    <col min="13" max="13" width="20.85546875" style="28" customWidth="1"/>
    <col min="14" max="14" width="12.7109375" style="28" customWidth="1"/>
    <col min="15" max="15" width="10.140625" style="28" bestFit="1" customWidth="1"/>
    <col min="16" max="16" width="18.85546875" style="28" customWidth="1"/>
    <col min="17" max="17" width="10.85546875" style="28" customWidth="1"/>
    <col min="18" max="16384" width="9.140625" style="28"/>
  </cols>
  <sheetData>
    <row r="1" spans="1:25" x14ac:dyDescent="0.2">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
      <c r="B2" s="64">
        <f>'Design Calculator'!F67</f>
        <v>80.592105263157904</v>
      </c>
      <c r="C2" s="28">
        <f>'Design Calculator'!F47</f>
        <v>6.25</v>
      </c>
      <c r="D2" s="28" t="str">
        <f>IF( 'Design Calculator'!F69 = "Constant Current", "CC", "R")</f>
        <v>CC</v>
      </c>
      <c r="F2" s="28" t="str">
        <f>'Design Calculator'!F71</f>
        <v>No</v>
      </c>
      <c r="G2" s="28">
        <f>'Design Calculator'!F70</f>
        <v>0</v>
      </c>
      <c r="H2" s="28">
        <f>'Design Calculator'!F68</f>
        <v>0</v>
      </c>
      <c r="I2" s="28">
        <f>RsEFF</f>
        <v>8</v>
      </c>
      <c r="J2" s="28">
        <v>0</v>
      </c>
      <c r="M2" s="64">
        <f>J114*1000</f>
        <v>4.2142388600410641</v>
      </c>
      <c r="N2" s="28" t="s">
        <v>5</v>
      </c>
      <c r="O2" s="68">
        <f>MIN(L10:L111)</f>
        <v>1</v>
      </c>
      <c r="Q2" s="28">
        <f>'Device Parmaters'!E20/'Device Parmaters'!D20</f>
        <v>1.5909090909090908</v>
      </c>
      <c r="R2" s="28">
        <f>'Device Parmaters'!C20/'Device Parmaters'!D20</f>
        <v>0.68181818181818177</v>
      </c>
    </row>
    <row r="3" spans="1:25" x14ac:dyDescent="0.2">
      <c r="B3" s="64"/>
      <c r="M3" s="64"/>
      <c r="O3" s="68"/>
    </row>
    <row r="4" spans="1:25" x14ac:dyDescent="0.2">
      <c r="B4" s="64"/>
      <c r="D4" s="28" t="s">
        <v>229</v>
      </c>
      <c r="M4" s="64" t="s">
        <v>230</v>
      </c>
      <c r="N4" s="28">
        <f>MIN(M10:M114)</f>
        <v>2.0987527412280702</v>
      </c>
      <c r="O4" s="68" t="s">
        <v>225</v>
      </c>
      <c r="P4" s="28" t="s">
        <v>239</v>
      </c>
      <c r="Q4" s="28">
        <f>MAX(O10:O114)</f>
        <v>80.592105263157904</v>
      </c>
      <c r="R4" s="28" t="s">
        <v>51</v>
      </c>
    </row>
    <row r="5" spans="1:25" x14ac:dyDescent="0.2">
      <c r="B5" s="64"/>
      <c r="M5" s="28" t="s">
        <v>231</v>
      </c>
      <c r="N5" s="28">
        <f>SUM(N10:N114)</f>
        <v>0.28523076923076918</v>
      </c>
      <c r="O5" s="68" t="s">
        <v>232</v>
      </c>
      <c r="P5" s="28" t="s">
        <v>241</v>
      </c>
      <c r="Q5" s="28">
        <f>MAX(P10:P114)</f>
        <v>30.545454545454543</v>
      </c>
      <c r="R5" s="28" t="s">
        <v>51</v>
      </c>
    </row>
    <row r="6" spans="1:25" x14ac:dyDescent="0.2">
      <c r="P6" s="28" t="s">
        <v>240</v>
      </c>
      <c r="Q6" s="28">
        <f>MAX(Q10:Q114)</f>
        <v>13.09090909090909</v>
      </c>
      <c r="R6" s="28" t="s">
        <v>51</v>
      </c>
    </row>
    <row r="7" spans="1:25" x14ac:dyDescent="0.2">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
      <c r="A8" s="65"/>
      <c r="B8" s="66"/>
      <c r="C8" s="66"/>
      <c r="D8" s="66"/>
      <c r="E8" s="66"/>
      <c r="F8" s="66"/>
      <c r="G8" s="66"/>
      <c r="H8" s="66"/>
      <c r="I8" s="66"/>
      <c r="J8" s="67"/>
      <c r="K8" s="90">
        <v>-10</v>
      </c>
      <c r="L8" s="65"/>
      <c r="M8" s="65"/>
      <c r="N8" s="65"/>
      <c r="O8" s="28">
        <v>0</v>
      </c>
    </row>
    <row r="9" spans="1:25" x14ac:dyDescent="0.2">
      <c r="A9" s="65"/>
      <c r="B9" s="66"/>
      <c r="C9" s="66"/>
      <c r="D9" s="66"/>
      <c r="E9" s="66"/>
      <c r="F9" s="66"/>
      <c r="G9" s="66"/>
      <c r="H9" s="66"/>
      <c r="I9" s="66"/>
      <c r="J9" s="67"/>
      <c r="K9" s="38">
        <v>-0.01</v>
      </c>
      <c r="L9" s="65"/>
      <c r="M9" s="65"/>
      <c r="N9" s="65"/>
      <c r="O9" s="28">
        <v>0</v>
      </c>
    </row>
    <row r="10" spans="1:25" x14ac:dyDescent="0.2">
      <c r="A10" s="28">
        <f t="shared" ref="A10:A41" si="0">VINMAX</f>
        <v>30</v>
      </c>
      <c r="B10" s="31">
        <f t="shared" ref="B10:B41" si="1">VINMAX*((ROW()-10)/104)</f>
        <v>0</v>
      </c>
      <c r="C10" s="29">
        <f t="shared" ref="C10:C41" si="2">IF(B10&gt;=$H$2,IF($D$2="CC", $G$2, B10/$G$2), 0)</f>
        <v>0</v>
      </c>
      <c r="D10" s="27">
        <f>$B$2-B10*$J$2/($I$2*0.001)</f>
        <v>80.592105263157904</v>
      </c>
      <c r="E10" s="27">
        <f>MIN(D10/(A10-B10),$C$2)</f>
        <v>2.6864035087719302</v>
      </c>
      <c r="F10" s="29">
        <f>I_Cout_ss+C10</f>
        <v>0.64</v>
      </c>
      <c r="G10" s="27">
        <f>IF($F$2="YES", F10, E10)</f>
        <v>2.6864035087719302</v>
      </c>
      <c r="H10" s="29">
        <f t="shared" ref="H10:H41" si="3">G10-C10</f>
        <v>2.6864035087719302</v>
      </c>
      <c r="I10" s="30">
        <f>(COUTMAX/1000000)*(B10)/H10</f>
        <v>0</v>
      </c>
      <c r="J10" s="37">
        <f>I10</f>
        <v>0</v>
      </c>
      <c r="K10" s="90">
        <f>J10*1000</f>
        <v>0</v>
      </c>
      <c r="L10" s="68">
        <f>H10/G10</f>
        <v>1</v>
      </c>
      <c r="M10" s="28">
        <f t="shared" ref="M10:M41" si="4">1/COUTMAX*(E10/2-C10)*1000</f>
        <v>2.0987527412280702</v>
      </c>
      <c r="N10" s="28">
        <f>I10*G10*(A10-B10)</f>
        <v>0</v>
      </c>
      <c r="O10" s="28">
        <f>G10*(A10-B10)</f>
        <v>80.592105263157904</v>
      </c>
      <c r="P10" s="28">
        <f t="shared" ref="P10:P41" si="5">(A10-B10)*(I_Cout_ss*$Q$2+C10)</f>
        <v>30.545454545454543</v>
      </c>
      <c r="Q10" s="28">
        <f t="shared" ref="Q10:Q41" si="6">(A10-B10)*(I_Cout_ss*$R$2+C10)</f>
        <v>13.09090909090909</v>
      </c>
    </row>
    <row r="11" spans="1:25" x14ac:dyDescent="0.2">
      <c r="A11" s="28">
        <f t="shared" si="0"/>
        <v>30</v>
      </c>
      <c r="B11" s="31">
        <f t="shared" si="1"/>
        <v>0.28846153846153849</v>
      </c>
      <c r="C11" s="29">
        <f t="shared" si="2"/>
        <v>0</v>
      </c>
      <c r="D11" s="27">
        <f t="shared" ref="D11:D41" si="7">$B$2-B11*$J$2/($I$2*0.001)</f>
        <v>80.592105263157904</v>
      </c>
      <c r="E11" s="27">
        <f t="shared" ref="E11:E74" si="8">MIN(D11/(A11-B11),$C$2)</f>
        <v>2.7124850962357354</v>
      </c>
      <c r="F11" s="29">
        <f t="shared" ref="F11:F41" si="9">I_Cout_ss+C11</f>
        <v>0.64</v>
      </c>
      <c r="G11" s="27">
        <f t="shared" ref="G11:G74" si="10">IF($F$2="YES", F11, E11)</f>
        <v>2.7124850962357354</v>
      </c>
      <c r="H11" s="29">
        <f t="shared" si="3"/>
        <v>2.7124850962357354</v>
      </c>
      <c r="I11" s="30">
        <f t="shared" ref="I11:I42" si="11">(COUTMAX/1000000)*(B11-B10)/H11</f>
        <v>6.8061345248158442E-5</v>
      </c>
      <c r="J11" s="37">
        <f>J10+I11</f>
        <v>6.8061345248158442E-5</v>
      </c>
      <c r="K11" s="90">
        <f t="shared" ref="K11:K74" si="12">J11*1000</f>
        <v>6.8061345248158447E-2</v>
      </c>
      <c r="L11" s="68">
        <f t="shared" ref="L11:L74" si="13">H11/G11</f>
        <v>1</v>
      </c>
      <c r="M11" s="28">
        <f t="shared" si="4"/>
        <v>2.1191289814341685</v>
      </c>
      <c r="N11" s="28">
        <f>I11*G11*(A11-B11)</f>
        <v>5.485207100591717E-3</v>
      </c>
      <c r="O11" s="28">
        <f>G11*(A11-B11)</f>
        <v>80.592105263157904</v>
      </c>
      <c r="P11" s="28">
        <f t="shared" si="5"/>
        <v>30.251748251748246</v>
      </c>
      <c r="Q11" s="28">
        <f t="shared" si="6"/>
        <v>12.965034965034963</v>
      </c>
    </row>
    <row r="12" spans="1:25" x14ac:dyDescent="0.2">
      <c r="A12" s="28">
        <f t="shared" si="0"/>
        <v>30</v>
      </c>
      <c r="B12" s="31">
        <f t="shared" si="1"/>
        <v>0.57692307692307698</v>
      </c>
      <c r="C12" s="29">
        <f t="shared" si="2"/>
        <v>0</v>
      </c>
      <c r="D12" s="27">
        <f t="shared" si="7"/>
        <v>80.592105263157904</v>
      </c>
      <c r="E12" s="27">
        <f t="shared" si="8"/>
        <v>2.7390780873753013</v>
      </c>
      <c r="F12" s="29">
        <f t="shared" si="9"/>
        <v>0.64</v>
      </c>
      <c r="G12" s="27">
        <f t="shared" si="10"/>
        <v>2.7390780873753013</v>
      </c>
      <c r="H12" s="29">
        <f t="shared" si="3"/>
        <v>2.7390780873753013</v>
      </c>
      <c r="I12" s="30">
        <f t="shared" si="11"/>
        <v>6.7400555488467587E-5</v>
      </c>
      <c r="J12" s="37">
        <f t="shared" ref="J12:J75" si="14">J11+I12</f>
        <v>1.3546190073662604E-4</v>
      </c>
      <c r="K12" s="90">
        <f t="shared" si="12"/>
        <v>0.13546190073662603</v>
      </c>
      <c r="L12" s="68">
        <f t="shared" si="13"/>
        <v>1</v>
      </c>
      <c r="M12" s="28">
        <f t="shared" si="4"/>
        <v>2.1399047557619539</v>
      </c>
      <c r="N12" s="28">
        <f>I12*G12*(A12-B12)</f>
        <v>5.431952662721895E-3</v>
      </c>
      <c r="O12" s="28">
        <f t="shared" ref="O12:O74" si="15">G12*(A12-B12)</f>
        <v>80.592105263157904</v>
      </c>
      <c r="P12" s="28">
        <f t="shared" si="5"/>
        <v>29.958041958041957</v>
      </c>
      <c r="Q12" s="28">
        <f t="shared" si="6"/>
        <v>12.839160839160838</v>
      </c>
      <c r="X12" s="350" t="s">
        <v>91</v>
      </c>
      <c r="Y12" s="350"/>
    </row>
    <row r="13" spans="1:25" x14ac:dyDescent="0.2">
      <c r="A13" s="28">
        <f t="shared" si="0"/>
        <v>30</v>
      </c>
      <c r="B13" s="31">
        <f t="shared" si="1"/>
        <v>0.86538461538461542</v>
      </c>
      <c r="C13" s="29">
        <f t="shared" si="2"/>
        <v>0</v>
      </c>
      <c r="D13" s="27">
        <f t="shared" si="7"/>
        <v>80.592105263157904</v>
      </c>
      <c r="E13" s="27">
        <f t="shared" si="8"/>
        <v>2.7661976723988193</v>
      </c>
      <c r="F13" s="29">
        <f t="shared" si="9"/>
        <v>0.64</v>
      </c>
      <c r="G13" s="27">
        <f>IF($F$2="YES", F13, E13)</f>
        <v>2.7661976723988193</v>
      </c>
      <c r="H13" s="29">
        <f t="shared" si="3"/>
        <v>2.7661976723988193</v>
      </c>
      <c r="I13" s="30">
        <f t="shared" si="11"/>
        <v>6.6739765728776704E-5</v>
      </c>
      <c r="J13" s="37">
        <f t="shared" si="14"/>
        <v>2.0220166646540275E-4</v>
      </c>
      <c r="K13" s="90">
        <f t="shared" si="12"/>
        <v>0.20220166646540275</v>
      </c>
      <c r="L13" s="68">
        <f t="shared" si="13"/>
        <v>1</v>
      </c>
      <c r="M13" s="28">
        <f t="shared" si="4"/>
        <v>2.161091931561578</v>
      </c>
      <c r="N13" s="28">
        <f>I13*G13*(A13-B13)</f>
        <v>5.3786982248520705E-3</v>
      </c>
      <c r="O13" s="28">
        <f t="shared" si="15"/>
        <v>80.592105263157904</v>
      </c>
      <c r="P13" s="28">
        <f t="shared" si="5"/>
        <v>29.66433566433566</v>
      </c>
      <c r="Q13" s="28">
        <f t="shared" si="6"/>
        <v>12.713286713286712</v>
      </c>
      <c r="X13" s="32" t="s">
        <v>92</v>
      </c>
      <c r="Y13" s="33">
        <v>0.3</v>
      </c>
    </row>
    <row r="14" spans="1:25" x14ac:dyDescent="0.2">
      <c r="A14" s="28">
        <f t="shared" si="0"/>
        <v>30</v>
      </c>
      <c r="B14" s="31">
        <f t="shared" si="1"/>
        <v>1.153846153846154</v>
      </c>
      <c r="C14" s="29">
        <f t="shared" si="2"/>
        <v>0</v>
      </c>
      <c r="D14" s="27">
        <f t="shared" si="7"/>
        <v>80.592105263157904</v>
      </c>
      <c r="E14" s="27">
        <f t="shared" si="8"/>
        <v>2.7938596491228074</v>
      </c>
      <c r="F14" s="29">
        <f t="shared" si="9"/>
        <v>0.64</v>
      </c>
      <c r="G14" s="27">
        <f t="shared" si="10"/>
        <v>2.7938596491228074</v>
      </c>
      <c r="H14" s="29">
        <f t="shared" si="3"/>
        <v>2.7938596491228074</v>
      </c>
      <c r="I14" s="30">
        <f t="shared" si="11"/>
        <v>6.6078975969085876E-5</v>
      </c>
      <c r="J14" s="37">
        <f t="shared" si="14"/>
        <v>2.6828064243448861E-4</v>
      </c>
      <c r="K14" s="90">
        <f t="shared" si="12"/>
        <v>0.26828064243448863</v>
      </c>
      <c r="L14" s="68">
        <f t="shared" si="13"/>
        <v>1</v>
      </c>
      <c r="M14" s="28">
        <f t="shared" si="4"/>
        <v>2.1827028508771931</v>
      </c>
      <c r="N14" s="28">
        <f t="shared" ref="N14:N74" si="16">I14*G14*(A14-B14)</f>
        <v>5.3254437869822511E-3</v>
      </c>
      <c r="O14" s="28">
        <f t="shared" si="15"/>
        <v>80.592105263157904</v>
      </c>
      <c r="P14" s="28">
        <f t="shared" si="5"/>
        <v>29.370629370629366</v>
      </c>
      <c r="Q14" s="28">
        <f t="shared" si="6"/>
        <v>12.587412587412587</v>
      </c>
      <c r="X14" s="32" t="s">
        <v>93</v>
      </c>
      <c r="Y14" s="33">
        <v>0.3</v>
      </c>
    </row>
    <row r="15" spans="1:25" x14ac:dyDescent="0.2">
      <c r="A15" s="28">
        <f t="shared" si="0"/>
        <v>30</v>
      </c>
      <c r="B15" s="31">
        <f t="shared" si="1"/>
        <v>1.4423076923076923</v>
      </c>
      <c r="C15" s="29">
        <f t="shared" si="2"/>
        <v>0</v>
      </c>
      <c r="D15" s="27">
        <f t="shared" si="7"/>
        <v>80.592105263157904</v>
      </c>
      <c r="E15" s="27">
        <f t="shared" si="8"/>
        <v>2.8220804536594013</v>
      </c>
      <c r="F15" s="29">
        <f t="shared" si="9"/>
        <v>0.64</v>
      </c>
      <c r="G15" s="27">
        <f t="shared" si="10"/>
        <v>2.8220804536594013</v>
      </c>
      <c r="H15" s="29">
        <f t="shared" si="3"/>
        <v>2.8220804536594013</v>
      </c>
      <c r="I15" s="30">
        <f t="shared" si="11"/>
        <v>6.5418186209394966E-5</v>
      </c>
      <c r="J15" s="37">
        <f t="shared" si="14"/>
        <v>3.3369882864388355E-4</v>
      </c>
      <c r="K15" s="90">
        <f t="shared" si="12"/>
        <v>0.33369882864388356</v>
      </c>
      <c r="L15" s="68">
        <f t="shared" si="13"/>
        <v>1</v>
      </c>
      <c r="M15" s="28">
        <f t="shared" si="4"/>
        <v>2.2047503544214071</v>
      </c>
      <c r="N15" s="28">
        <f t="shared" si="16"/>
        <v>5.272189349112423E-3</v>
      </c>
      <c r="O15" s="28">
        <f t="shared" si="15"/>
        <v>80.592105263157904</v>
      </c>
      <c r="P15" s="28">
        <f t="shared" si="5"/>
        <v>29.076923076923073</v>
      </c>
      <c r="Q15" s="28">
        <f t="shared" si="6"/>
        <v>12.46153846153846</v>
      </c>
      <c r="X15" s="32" t="s">
        <v>94</v>
      </c>
      <c r="Y15" s="33">
        <f>SQRT(Y14^2+Y13^2)</f>
        <v>0.42426406871192851</v>
      </c>
    </row>
    <row r="16" spans="1:25" x14ac:dyDescent="0.2">
      <c r="A16" s="28">
        <f t="shared" si="0"/>
        <v>30</v>
      </c>
      <c r="B16" s="31">
        <f t="shared" si="1"/>
        <v>1.7307692307692308</v>
      </c>
      <c r="C16" s="29">
        <f t="shared" si="2"/>
        <v>0</v>
      </c>
      <c r="D16" s="27">
        <f t="shared" si="7"/>
        <v>80.592105263157904</v>
      </c>
      <c r="E16" s="27">
        <f t="shared" si="8"/>
        <v>2.8508771929824563</v>
      </c>
      <c r="F16" s="29">
        <f t="shared" si="9"/>
        <v>0.64</v>
      </c>
      <c r="G16" s="27">
        <f t="shared" si="10"/>
        <v>2.8508771929824563</v>
      </c>
      <c r="H16" s="29">
        <f t="shared" si="3"/>
        <v>2.8508771929824563</v>
      </c>
      <c r="I16" s="30">
        <f t="shared" si="11"/>
        <v>6.4757396449704164E-5</v>
      </c>
      <c r="J16" s="37">
        <f t="shared" si="14"/>
        <v>3.984562250935877E-4</v>
      </c>
      <c r="K16" s="90">
        <f t="shared" si="12"/>
        <v>0.39845622509358769</v>
      </c>
      <c r="L16" s="68">
        <f t="shared" si="13"/>
        <v>1</v>
      </c>
      <c r="M16" s="28">
        <f t="shared" si="4"/>
        <v>2.2272478070175441</v>
      </c>
      <c r="N16" s="28">
        <f t="shared" si="16"/>
        <v>5.2189349112426054E-3</v>
      </c>
      <c r="O16" s="28">
        <f t="shared" si="15"/>
        <v>80.592105263157904</v>
      </c>
      <c r="P16" s="28">
        <f t="shared" si="5"/>
        <v>28.78321678321678</v>
      </c>
      <c r="Q16" s="28">
        <f t="shared" si="6"/>
        <v>12.335664335664335</v>
      </c>
      <c r="X16" s="33"/>
      <c r="Y16" s="33"/>
    </row>
    <row r="17" spans="1:25" x14ac:dyDescent="0.2">
      <c r="A17" s="28">
        <f t="shared" si="0"/>
        <v>30</v>
      </c>
      <c r="B17" s="31">
        <f t="shared" si="1"/>
        <v>2.0192307692307692</v>
      </c>
      <c r="C17" s="29">
        <f t="shared" si="2"/>
        <v>0</v>
      </c>
      <c r="D17" s="27">
        <f t="shared" si="7"/>
        <v>80.592105263157904</v>
      </c>
      <c r="E17" s="27">
        <f t="shared" si="8"/>
        <v>2.8802676795080489</v>
      </c>
      <c r="F17" s="29">
        <f t="shared" si="9"/>
        <v>0.64</v>
      </c>
      <c r="G17" s="27">
        <f t="shared" si="10"/>
        <v>2.8802676795080489</v>
      </c>
      <c r="H17" s="29">
        <f t="shared" si="3"/>
        <v>2.8802676795080489</v>
      </c>
      <c r="I17" s="30">
        <f t="shared" si="11"/>
        <v>6.4096606690013254E-5</v>
      </c>
      <c r="J17" s="37">
        <f t="shared" si="14"/>
        <v>4.6255283178360095E-4</v>
      </c>
      <c r="K17" s="90">
        <f t="shared" si="12"/>
        <v>0.46255283178360096</v>
      </c>
      <c r="L17" s="68">
        <f t="shared" si="13"/>
        <v>1</v>
      </c>
      <c r="M17" s="28">
        <f t="shared" si="4"/>
        <v>2.2502091246156635</v>
      </c>
      <c r="N17" s="28">
        <f t="shared" si="16"/>
        <v>5.1656804733727791E-3</v>
      </c>
      <c r="O17" s="28">
        <f t="shared" si="15"/>
        <v>80.592105263157904</v>
      </c>
      <c r="P17" s="28">
        <f t="shared" si="5"/>
        <v>28.489510489510486</v>
      </c>
      <c r="Q17" s="28">
        <f t="shared" si="6"/>
        <v>12.209790209790208</v>
      </c>
      <c r="X17" s="32" t="s">
        <v>95</v>
      </c>
      <c r="Y17" s="33">
        <v>0.3</v>
      </c>
    </row>
    <row r="18" spans="1:25" x14ac:dyDescent="0.2">
      <c r="A18" s="28">
        <f t="shared" si="0"/>
        <v>30</v>
      </c>
      <c r="B18" s="31">
        <f t="shared" si="1"/>
        <v>2.3076923076923079</v>
      </c>
      <c r="C18" s="29">
        <f t="shared" si="2"/>
        <v>0</v>
      </c>
      <c r="D18" s="27">
        <f t="shared" si="7"/>
        <v>80.592105263157904</v>
      </c>
      <c r="E18" s="27">
        <f t="shared" si="8"/>
        <v>2.9102704678362574</v>
      </c>
      <c r="F18" s="29">
        <f t="shared" si="9"/>
        <v>0.64</v>
      </c>
      <c r="G18" s="27">
        <f t="shared" si="10"/>
        <v>2.9102704678362574</v>
      </c>
      <c r="H18" s="29">
        <f t="shared" si="3"/>
        <v>2.9102704678362574</v>
      </c>
      <c r="I18" s="30">
        <f t="shared" si="11"/>
        <v>6.3435816930322494E-5</v>
      </c>
      <c r="J18" s="37">
        <f t="shared" si="14"/>
        <v>5.2598864871392342E-4</v>
      </c>
      <c r="K18" s="90">
        <f t="shared" si="12"/>
        <v>0.52598864871392337</v>
      </c>
      <c r="L18" s="68">
        <f t="shared" si="13"/>
        <v>1</v>
      </c>
      <c r="M18" s="28">
        <f t="shared" si="4"/>
        <v>2.2736488029970761</v>
      </c>
      <c r="N18" s="28">
        <f t="shared" si="16"/>
        <v>5.1124260355029649E-3</v>
      </c>
      <c r="O18" s="28">
        <f t="shared" si="15"/>
        <v>80.592105263157904</v>
      </c>
      <c r="P18" s="28">
        <f t="shared" si="5"/>
        <v>28.195804195804193</v>
      </c>
      <c r="Q18" s="28">
        <f t="shared" si="6"/>
        <v>12.083916083916083</v>
      </c>
      <c r="X18" s="32" t="s">
        <v>96</v>
      </c>
      <c r="Y18" s="33">
        <f>MAX(Y15:Y17)</f>
        <v>0.42426406871192851</v>
      </c>
    </row>
    <row r="19" spans="1:25" x14ac:dyDescent="0.2">
      <c r="A19" s="28">
        <f t="shared" si="0"/>
        <v>30</v>
      </c>
      <c r="B19" s="31">
        <f t="shared" si="1"/>
        <v>2.5961538461538463</v>
      </c>
      <c r="C19" s="29">
        <f t="shared" si="2"/>
        <v>0</v>
      </c>
      <c r="D19" s="27">
        <f t="shared" si="7"/>
        <v>80.592105263157904</v>
      </c>
      <c r="E19" s="27">
        <f t="shared" si="8"/>
        <v>2.9409048938134816</v>
      </c>
      <c r="F19" s="29">
        <f t="shared" si="9"/>
        <v>0.64</v>
      </c>
      <c r="G19" s="27">
        <f t="shared" si="10"/>
        <v>2.9409048938134816</v>
      </c>
      <c r="H19" s="29">
        <f t="shared" si="3"/>
        <v>2.9409048938134816</v>
      </c>
      <c r="I19" s="30">
        <f t="shared" si="11"/>
        <v>6.277502717063153E-5</v>
      </c>
      <c r="J19" s="37">
        <f t="shared" si="14"/>
        <v>5.8876367588455499E-4</v>
      </c>
      <c r="K19" s="90">
        <f t="shared" si="12"/>
        <v>0.58876367588455503</v>
      </c>
      <c r="L19" s="68">
        <f t="shared" si="13"/>
        <v>1</v>
      </c>
      <c r="M19" s="28">
        <f t="shared" si="4"/>
        <v>2.2975819482917825</v>
      </c>
      <c r="N19" s="28">
        <f t="shared" si="16"/>
        <v>5.0591715976331343E-3</v>
      </c>
      <c r="O19" s="28">
        <f t="shared" si="15"/>
        <v>80.592105263157904</v>
      </c>
      <c r="P19" s="28">
        <f t="shared" si="5"/>
        <v>27.9020979020979</v>
      </c>
      <c r="Q19" s="28">
        <f t="shared" si="6"/>
        <v>11.958041958041957</v>
      </c>
      <c r="X19" s="33"/>
      <c r="Y19" s="33"/>
    </row>
    <row r="20" spans="1:25" x14ac:dyDescent="0.2">
      <c r="A20" s="28">
        <f t="shared" si="0"/>
        <v>30</v>
      </c>
      <c r="B20" s="31">
        <f t="shared" si="1"/>
        <v>2.8846153846153846</v>
      </c>
      <c r="C20" s="29">
        <f t="shared" si="2"/>
        <v>0</v>
      </c>
      <c r="D20" s="27">
        <f t="shared" si="7"/>
        <v>80.592105263157904</v>
      </c>
      <c r="E20" s="27">
        <f t="shared" si="8"/>
        <v>2.9721911160880929</v>
      </c>
      <c r="F20" s="29">
        <f t="shared" si="9"/>
        <v>0.64</v>
      </c>
      <c r="G20" s="27">
        <f t="shared" si="10"/>
        <v>2.9721911160880929</v>
      </c>
      <c r="H20" s="29">
        <f t="shared" si="3"/>
        <v>2.9721911160880929</v>
      </c>
      <c r="I20" s="30">
        <f t="shared" si="11"/>
        <v>6.2114237410940674E-5</v>
      </c>
      <c r="J20" s="37">
        <f t="shared" si="14"/>
        <v>6.5087791329549566E-4</v>
      </c>
      <c r="K20" s="90">
        <f t="shared" si="12"/>
        <v>0.65087791329549571</v>
      </c>
      <c r="L20" s="68">
        <f t="shared" si="13"/>
        <v>1</v>
      </c>
      <c r="M20" s="28">
        <f t="shared" si="4"/>
        <v>2.3220243094438229</v>
      </c>
      <c r="N20" s="28">
        <f t="shared" si="16"/>
        <v>5.0059171597633123E-3</v>
      </c>
      <c r="O20" s="28">
        <f t="shared" si="15"/>
        <v>80.592105263157904</v>
      </c>
      <c r="P20" s="28">
        <f t="shared" si="5"/>
        <v>27.608391608391607</v>
      </c>
      <c r="Q20" s="28">
        <f t="shared" si="6"/>
        <v>11.832167832167832</v>
      </c>
      <c r="X20" s="32" t="s">
        <v>97</v>
      </c>
      <c r="Y20" s="33">
        <v>0.2</v>
      </c>
    </row>
    <row r="21" spans="1:25" x14ac:dyDescent="0.2">
      <c r="A21" s="28">
        <f t="shared" si="0"/>
        <v>30</v>
      </c>
      <c r="B21" s="31">
        <f t="shared" si="1"/>
        <v>3.1730769230769229</v>
      </c>
      <c r="C21" s="29">
        <f t="shared" si="2"/>
        <v>0</v>
      </c>
      <c r="D21" s="27">
        <f t="shared" si="7"/>
        <v>80.592105263157904</v>
      </c>
      <c r="E21" s="27">
        <f t="shared" si="8"/>
        <v>3.0041501603471046</v>
      </c>
      <c r="F21" s="29">
        <f t="shared" si="9"/>
        <v>0.64</v>
      </c>
      <c r="G21" s="27">
        <f t="shared" si="10"/>
        <v>3.0041501603471046</v>
      </c>
      <c r="H21" s="29">
        <f t="shared" si="3"/>
        <v>3.0041501603471046</v>
      </c>
      <c r="I21" s="30">
        <f t="shared" si="11"/>
        <v>6.1453447651249818E-5</v>
      </c>
      <c r="J21" s="37">
        <f t="shared" si="14"/>
        <v>7.1233136094674544E-4</v>
      </c>
      <c r="K21" s="90">
        <f t="shared" si="12"/>
        <v>0.71233136094674543</v>
      </c>
      <c r="L21" s="68">
        <f t="shared" si="13"/>
        <v>1</v>
      </c>
      <c r="M21" s="28">
        <f t="shared" si="4"/>
        <v>2.3469923127711758</v>
      </c>
      <c r="N21" s="28">
        <f t="shared" si="16"/>
        <v>4.9526627218934895E-3</v>
      </c>
      <c r="O21" s="28">
        <f t="shared" si="15"/>
        <v>80.592105263157904</v>
      </c>
      <c r="P21" s="28">
        <f t="shared" si="5"/>
        <v>27.314685314685313</v>
      </c>
      <c r="Q21" s="28">
        <f t="shared" si="6"/>
        <v>11.706293706293705</v>
      </c>
      <c r="X21" s="32" t="s">
        <v>98</v>
      </c>
      <c r="Y21" s="33">
        <v>0.2</v>
      </c>
    </row>
    <row r="22" spans="1:25" x14ac:dyDescent="0.2">
      <c r="A22" s="28">
        <f t="shared" si="0"/>
        <v>30</v>
      </c>
      <c r="B22" s="31">
        <f t="shared" si="1"/>
        <v>3.4615384615384617</v>
      </c>
      <c r="C22" s="29">
        <f t="shared" si="2"/>
        <v>0</v>
      </c>
      <c r="D22" s="27">
        <f t="shared" si="7"/>
        <v>80.592105263157904</v>
      </c>
      <c r="E22" s="27">
        <f t="shared" si="8"/>
        <v>3.0368039664378337</v>
      </c>
      <c r="F22" s="29">
        <f t="shared" si="9"/>
        <v>0.64</v>
      </c>
      <c r="G22" s="27">
        <f t="shared" si="10"/>
        <v>3.0368039664378337</v>
      </c>
      <c r="H22" s="29">
        <f t="shared" si="3"/>
        <v>3.0368039664378337</v>
      </c>
      <c r="I22" s="30">
        <f t="shared" si="11"/>
        <v>6.0792657891559058E-5</v>
      </c>
      <c r="J22" s="37">
        <f t="shared" si="14"/>
        <v>7.7312401883830454E-4</v>
      </c>
      <c r="K22" s="90">
        <f t="shared" si="12"/>
        <v>0.77312401883830451</v>
      </c>
      <c r="L22" s="68">
        <f t="shared" si="13"/>
        <v>1</v>
      </c>
      <c r="M22" s="28">
        <f t="shared" si="4"/>
        <v>2.3725030987795575</v>
      </c>
      <c r="N22" s="28">
        <f t="shared" si="16"/>
        <v>4.8994082840236744E-3</v>
      </c>
      <c r="O22" s="28">
        <f t="shared" si="15"/>
        <v>80.592105263157904</v>
      </c>
      <c r="P22" s="28">
        <f t="shared" si="5"/>
        <v>27.02097902097902</v>
      </c>
      <c r="Q22" s="28">
        <f t="shared" si="6"/>
        <v>11.58041958041958</v>
      </c>
      <c r="X22" s="32" t="s">
        <v>94</v>
      </c>
      <c r="Y22" s="33">
        <f>SQRT(Y21^2+Y20^2)</f>
        <v>0.28284271247461906</v>
      </c>
    </row>
    <row r="23" spans="1:25" x14ac:dyDescent="0.2">
      <c r="A23" s="28">
        <f t="shared" si="0"/>
        <v>30</v>
      </c>
      <c r="B23" s="31">
        <f t="shared" si="1"/>
        <v>3.75</v>
      </c>
      <c r="C23" s="29">
        <f t="shared" si="2"/>
        <v>0</v>
      </c>
      <c r="D23" s="27">
        <f t="shared" si="7"/>
        <v>80.592105263157904</v>
      </c>
      <c r="E23" s="27">
        <f t="shared" si="8"/>
        <v>3.0701754385964914</v>
      </c>
      <c r="F23" s="29">
        <f t="shared" si="9"/>
        <v>0.64</v>
      </c>
      <c r="G23" s="27">
        <f t="shared" si="10"/>
        <v>3.0701754385964914</v>
      </c>
      <c r="H23" s="29">
        <f t="shared" si="3"/>
        <v>3.0701754385964914</v>
      </c>
      <c r="I23" s="30">
        <f t="shared" si="11"/>
        <v>6.0131868131868107E-5</v>
      </c>
      <c r="J23" s="37">
        <f t="shared" si="14"/>
        <v>8.3325588697017263E-4</v>
      </c>
      <c r="K23" s="90">
        <f t="shared" si="12"/>
        <v>0.83325588697017261</v>
      </c>
      <c r="L23" s="68">
        <f t="shared" si="13"/>
        <v>1</v>
      </c>
      <c r="M23" s="28">
        <f t="shared" si="4"/>
        <v>2.3985745614035094</v>
      </c>
      <c r="N23" s="28">
        <f t="shared" si="16"/>
        <v>4.8461538461538447E-3</v>
      </c>
      <c r="O23" s="28">
        <f t="shared" si="15"/>
        <v>80.592105263157904</v>
      </c>
      <c r="P23" s="28">
        <f t="shared" si="5"/>
        <v>26.727272727272723</v>
      </c>
      <c r="Q23" s="28">
        <f t="shared" si="6"/>
        <v>11.454545454545453</v>
      </c>
      <c r="X23" s="33"/>
      <c r="Y23" s="33"/>
    </row>
    <row r="24" spans="1:25" x14ac:dyDescent="0.2">
      <c r="A24" s="28">
        <f t="shared" si="0"/>
        <v>30</v>
      </c>
      <c r="B24" s="31">
        <f t="shared" si="1"/>
        <v>4.0384615384615383</v>
      </c>
      <c r="C24" s="29">
        <f t="shared" si="2"/>
        <v>0</v>
      </c>
      <c r="D24" s="27">
        <f t="shared" si="7"/>
        <v>80.592105263157904</v>
      </c>
      <c r="E24" s="27">
        <f t="shared" si="8"/>
        <v>3.1042884990253419</v>
      </c>
      <c r="F24" s="29">
        <f t="shared" si="9"/>
        <v>0.64</v>
      </c>
      <c r="G24" s="27">
        <f t="shared" si="10"/>
        <v>3.1042884990253419</v>
      </c>
      <c r="H24" s="29">
        <f t="shared" si="3"/>
        <v>3.1042884990253419</v>
      </c>
      <c r="I24" s="30">
        <f t="shared" si="11"/>
        <v>5.9471078372177238E-5</v>
      </c>
      <c r="J24" s="37">
        <f t="shared" si="14"/>
        <v>8.9272696534234983E-4</v>
      </c>
      <c r="K24" s="90">
        <f t="shared" si="12"/>
        <v>0.89272696534234985</v>
      </c>
      <c r="L24" s="68">
        <f t="shared" si="13"/>
        <v>1</v>
      </c>
      <c r="M24" s="28">
        <f t="shared" si="4"/>
        <v>2.4252253898635487</v>
      </c>
      <c r="N24" s="28">
        <f t="shared" si="16"/>
        <v>4.7928994082840218E-3</v>
      </c>
      <c r="O24" s="28">
        <f t="shared" si="15"/>
        <v>80.592105263157904</v>
      </c>
      <c r="P24" s="28">
        <f t="shared" si="5"/>
        <v>26.43356643356643</v>
      </c>
      <c r="Q24" s="28">
        <f t="shared" si="6"/>
        <v>11.328671328671327</v>
      </c>
      <c r="X24" s="32" t="s">
        <v>99</v>
      </c>
      <c r="Y24" s="33">
        <f>SQRT(Y18^2+Y22^2)</f>
        <v>0.50990195135927852</v>
      </c>
    </row>
    <row r="25" spans="1:25" x14ac:dyDescent="0.2">
      <c r="A25" s="28">
        <f t="shared" si="0"/>
        <v>30</v>
      </c>
      <c r="B25" s="31">
        <f t="shared" si="1"/>
        <v>4.3269230769230766</v>
      </c>
      <c r="C25" s="29">
        <f t="shared" si="2"/>
        <v>0</v>
      </c>
      <c r="D25" s="27">
        <f t="shared" si="7"/>
        <v>80.592105263157904</v>
      </c>
      <c r="E25" s="27">
        <f t="shared" si="8"/>
        <v>3.1391681450818059</v>
      </c>
      <c r="F25" s="29">
        <f t="shared" si="9"/>
        <v>0.64</v>
      </c>
      <c r="G25" s="27">
        <f t="shared" si="10"/>
        <v>3.1391681450818059</v>
      </c>
      <c r="H25" s="29">
        <f t="shared" si="3"/>
        <v>3.1391681450818059</v>
      </c>
      <c r="I25" s="30">
        <f t="shared" si="11"/>
        <v>5.8810288612486389E-5</v>
      </c>
      <c r="J25" s="37">
        <f t="shared" si="14"/>
        <v>9.5153725395483624E-4</v>
      </c>
      <c r="K25" s="90">
        <f t="shared" si="12"/>
        <v>0.95153725395483624</v>
      </c>
      <c r="L25" s="68">
        <f t="shared" si="13"/>
        <v>1</v>
      </c>
      <c r="M25" s="28">
        <f t="shared" si="4"/>
        <v>2.452475113345161</v>
      </c>
      <c r="N25" s="28">
        <f t="shared" si="16"/>
        <v>4.7396449704141998E-3</v>
      </c>
      <c r="O25" s="28">
        <f t="shared" si="15"/>
        <v>80.592105263157904</v>
      </c>
      <c r="P25" s="28">
        <f t="shared" si="5"/>
        <v>26.139860139860136</v>
      </c>
      <c r="Q25" s="28">
        <f t="shared" si="6"/>
        <v>11.202797202797202</v>
      </c>
    </row>
    <row r="26" spans="1:25" x14ac:dyDescent="0.2">
      <c r="A26" s="28">
        <f t="shared" si="0"/>
        <v>30</v>
      </c>
      <c r="B26" s="31">
        <f t="shared" si="1"/>
        <v>4.6153846153846159</v>
      </c>
      <c r="C26" s="29">
        <f t="shared" si="2"/>
        <v>0</v>
      </c>
      <c r="D26" s="27">
        <f t="shared" si="7"/>
        <v>80.592105263157904</v>
      </c>
      <c r="E26" s="27">
        <f t="shared" si="8"/>
        <v>3.1748405103668267</v>
      </c>
      <c r="F26" s="29">
        <f t="shared" si="9"/>
        <v>0.64</v>
      </c>
      <c r="G26" s="27">
        <f t="shared" si="10"/>
        <v>3.1748405103668267</v>
      </c>
      <c r="H26" s="29">
        <f t="shared" si="3"/>
        <v>3.1748405103668267</v>
      </c>
      <c r="I26" s="30">
        <f t="shared" si="11"/>
        <v>5.8149498852795703E-5</v>
      </c>
      <c r="J26" s="37">
        <f t="shared" si="14"/>
        <v>1.0096867528076319E-3</v>
      </c>
      <c r="K26" s="90">
        <f t="shared" si="12"/>
        <v>1.0096867528076319</v>
      </c>
      <c r="L26" s="68">
        <f t="shared" si="13"/>
        <v>1</v>
      </c>
      <c r="M26" s="28">
        <f t="shared" si="4"/>
        <v>2.4803441487240838</v>
      </c>
      <c r="N26" s="28">
        <f t="shared" si="16"/>
        <v>4.6863905325443909E-3</v>
      </c>
      <c r="O26" s="28">
        <f t="shared" si="15"/>
        <v>80.592105263157904</v>
      </c>
      <c r="P26" s="28">
        <f t="shared" si="5"/>
        <v>25.846153846153843</v>
      </c>
      <c r="Q26" s="28">
        <f t="shared" si="6"/>
        <v>11.076923076923077</v>
      </c>
    </row>
    <row r="27" spans="1:25" x14ac:dyDescent="0.2">
      <c r="A27" s="28">
        <f t="shared" si="0"/>
        <v>30</v>
      </c>
      <c r="B27" s="31">
        <f t="shared" si="1"/>
        <v>4.9038461538461542</v>
      </c>
      <c r="C27" s="29">
        <f t="shared" si="2"/>
        <v>0</v>
      </c>
      <c r="D27" s="27">
        <f t="shared" si="7"/>
        <v>80.592105263157904</v>
      </c>
      <c r="E27" s="27">
        <f t="shared" si="8"/>
        <v>3.2113329300262152</v>
      </c>
      <c r="F27" s="29">
        <f t="shared" si="9"/>
        <v>0.64</v>
      </c>
      <c r="G27" s="27">
        <f t="shared" si="10"/>
        <v>3.2113329300262152</v>
      </c>
      <c r="H27" s="29">
        <f t="shared" si="3"/>
        <v>3.2113329300262152</v>
      </c>
      <c r="I27" s="30">
        <f t="shared" si="11"/>
        <v>5.7488709093104671E-5</v>
      </c>
      <c r="J27" s="37">
        <f t="shared" si="14"/>
        <v>1.0671754619007365E-3</v>
      </c>
      <c r="K27" s="90">
        <f t="shared" si="12"/>
        <v>1.0671754619007365</v>
      </c>
      <c r="L27" s="68">
        <f t="shared" si="13"/>
        <v>1</v>
      </c>
      <c r="M27" s="28">
        <f t="shared" si="4"/>
        <v>2.5088538515829808</v>
      </c>
      <c r="N27" s="28">
        <f t="shared" si="16"/>
        <v>4.633136094674555E-3</v>
      </c>
      <c r="O27" s="28">
        <f t="shared" si="15"/>
        <v>80.592105263157904</v>
      </c>
      <c r="P27" s="28">
        <f t="shared" si="5"/>
        <v>25.55244755244755</v>
      </c>
      <c r="Q27" s="28">
        <f t="shared" si="6"/>
        <v>10.95104895104895</v>
      </c>
    </row>
    <row r="28" spans="1:25" x14ac:dyDescent="0.2">
      <c r="A28" s="28">
        <f t="shared" si="0"/>
        <v>30</v>
      </c>
      <c r="B28" s="31">
        <f t="shared" si="1"/>
        <v>5.1923076923076925</v>
      </c>
      <c r="C28" s="29">
        <f t="shared" si="2"/>
        <v>0</v>
      </c>
      <c r="D28" s="27">
        <f t="shared" si="7"/>
        <v>80.592105263157904</v>
      </c>
      <c r="E28" s="27">
        <f t="shared" si="8"/>
        <v>3.2486740106079157</v>
      </c>
      <c r="F28" s="29">
        <f t="shared" si="9"/>
        <v>0.64</v>
      </c>
      <c r="G28" s="27">
        <f t="shared" si="10"/>
        <v>3.2486740106079157</v>
      </c>
      <c r="H28" s="29">
        <f t="shared" si="3"/>
        <v>3.2486740106079157</v>
      </c>
      <c r="I28" s="30">
        <f t="shared" si="11"/>
        <v>5.6827919333413809E-5</v>
      </c>
      <c r="J28" s="37">
        <f t="shared" si="14"/>
        <v>1.1240033812341503E-3</v>
      </c>
      <c r="K28" s="90">
        <f t="shared" si="12"/>
        <v>1.1240033812341503</v>
      </c>
      <c r="L28" s="68">
        <f t="shared" si="13"/>
        <v>1</v>
      </c>
      <c r="M28" s="28">
        <f t="shared" si="4"/>
        <v>2.5380265707874345</v>
      </c>
      <c r="N28" s="28">
        <f t="shared" si="16"/>
        <v>4.5798816568047322E-3</v>
      </c>
      <c r="O28" s="28">
        <f t="shared" si="15"/>
        <v>80.592105263157904</v>
      </c>
      <c r="P28" s="28">
        <f t="shared" si="5"/>
        <v>25.258741258741257</v>
      </c>
      <c r="Q28" s="28">
        <f t="shared" si="6"/>
        <v>10.825174825174825</v>
      </c>
    </row>
    <row r="29" spans="1:25" x14ac:dyDescent="0.2">
      <c r="A29" s="28">
        <f t="shared" si="0"/>
        <v>30</v>
      </c>
      <c r="B29" s="31">
        <f t="shared" si="1"/>
        <v>5.4807692307692308</v>
      </c>
      <c r="C29" s="29">
        <f t="shared" si="2"/>
        <v>0</v>
      </c>
      <c r="D29" s="27">
        <f t="shared" si="7"/>
        <v>80.592105263157904</v>
      </c>
      <c r="E29" s="27">
        <f t="shared" si="8"/>
        <v>3.2868937048503617</v>
      </c>
      <c r="F29" s="29">
        <f t="shared" si="9"/>
        <v>0.64</v>
      </c>
      <c r="G29" s="27">
        <f t="shared" si="10"/>
        <v>3.2868937048503617</v>
      </c>
      <c r="H29" s="29">
        <f t="shared" si="3"/>
        <v>3.2868937048503617</v>
      </c>
      <c r="I29" s="30">
        <f t="shared" si="11"/>
        <v>5.6167129573722953E-5</v>
      </c>
      <c r="J29" s="37">
        <f t="shared" si="14"/>
        <v>1.1801705108078733E-3</v>
      </c>
      <c r="K29" s="90">
        <f t="shared" si="12"/>
        <v>1.1801705108078733</v>
      </c>
      <c r="L29" s="68">
        <f t="shared" si="13"/>
        <v>1</v>
      </c>
      <c r="M29" s="28">
        <f t="shared" si="4"/>
        <v>2.5678857069143453</v>
      </c>
      <c r="N29" s="28">
        <f t="shared" si="16"/>
        <v>4.5266272189349102E-3</v>
      </c>
      <c r="O29" s="28">
        <f t="shared" si="15"/>
        <v>80.592105263157904</v>
      </c>
      <c r="P29" s="28">
        <f t="shared" si="5"/>
        <v>24.965034965034963</v>
      </c>
      <c r="Q29" s="28">
        <f t="shared" si="6"/>
        <v>10.699300699300698</v>
      </c>
    </row>
    <row r="30" spans="1:25" x14ac:dyDescent="0.2">
      <c r="A30" s="28">
        <f t="shared" si="0"/>
        <v>30</v>
      </c>
      <c r="B30" s="31">
        <f t="shared" si="1"/>
        <v>5.7692307692307692</v>
      </c>
      <c r="C30" s="29">
        <f t="shared" si="2"/>
        <v>0</v>
      </c>
      <c r="D30" s="27">
        <f t="shared" si="7"/>
        <v>80.592105263157904</v>
      </c>
      <c r="E30" s="27">
        <f t="shared" si="8"/>
        <v>3.3260233918128659</v>
      </c>
      <c r="F30" s="29">
        <f t="shared" si="9"/>
        <v>0.64</v>
      </c>
      <c r="G30" s="27">
        <f t="shared" si="10"/>
        <v>3.3260233918128659</v>
      </c>
      <c r="H30" s="29">
        <f t="shared" si="3"/>
        <v>3.3260233918128659</v>
      </c>
      <c r="I30" s="30">
        <f t="shared" si="11"/>
        <v>5.5506339814032097E-5</v>
      </c>
      <c r="J30" s="37">
        <f t="shared" si="14"/>
        <v>1.2356768506219054E-3</v>
      </c>
      <c r="K30" s="90">
        <f t="shared" si="12"/>
        <v>1.2356768506219054</v>
      </c>
      <c r="L30" s="68">
        <f t="shared" si="13"/>
        <v>1</v>
      </c>
      <c r="M30" s="28">
        <f t="shared" si="4"/>
        <v>2.5984557748538015</v>
      </c>
      <c r="N30" s="28">
        <f t="shared" si="16"/>
        <v>4.4733727810650874E-3</v>
      </c>
      <c r="O30" s="28">
        <f t="shared" si="15"/>
        <v>80.592105263157904</v>
      </c>
      <c r="P30" s="28">
        <f t="shared" si="5"/>
        <v>24.671328671328666</v>
      </c>
      <c r="Q30" s="28">
        <f t="shared" si="6"/>
        <v>10.573426573426573</v>
      </c>
    </row>
    <row r="31" spans="1:25" x14ac:dyDescent="0.2">
      <c r="A31" s="28">
        <f t="shared" si="0"/>
        <v>30</v>
      </c>
      <c r="B31" s="31">
        <f t="shared" si="1"/>
        <v>6.0576923076923075</v>
      </c>
      <c r="C31" s="29">
        <f t="shared" si="2"/>
        <v>0</v>
      </c>
      <c r="D31" s="27">
        <f t="shared" si="7"/>
        <v>80.592105263157904</v>
      </c>
      <c r="E31" s="27">
        <f t="shared" si="8"/>
        <v>3.3660959627985627</v>
      </c>
      <c r="F31" s="29">
        <f t="shared" si="9"/>
        <v>0.64</v>
      </c>
      <c r="G31" s="27">
        <f t="shared" si="10"/>
        <v>3.3660959627985627</v>
      </c>
      <c r="H31" s="29">
        <f t="shared" si="3"/>
        <v>3.3660959627985627</v>
      </c>
      <c r="I31" s="30">
        <f t="shared" si="11"/>
        <v>5.4845550054341242E-5</v>
      </c>
      <c r="J31" s="37">
        <f t="shared" si="14"/>
        <v>1.2905224006762466E-3</v>
      </c>
      <c r="K31" s="90">
        <f t="shared" si="12"/>
        <v>1.2905224006762466</v>
      </c>
      <c r="L31" s="68">
        <f t="shared" si="13"/>
        <v>1</v>
      </c>
      <c r="M31" s="28">
        <f t="shared" si="4"/>
        <v>2.6297624709363774</v>
      </c>
      <c r="N31" s="28">
        <f t="shared" si="16"/>
        <v>4.4201183431952645E-3</v>
      </c>
      <c r="O31" s="28">
        <f t="shared" si="15"/>
        <v>80.592105263157904</v>
      </c>
      <c r="P31" s="28">
        <f t="shared" si="5"/>
        <v>24.377622377622377</v>
      </c>
      <c r="Q31" s="28">
        <f t="shared" si="6"/>
        <v>10.447552447552448</v>
      </c>
    </row>
    <row r="32" spans="1:25" x14ac:dyDescent="0.2">
      <c r="A32" s="28">
        <f t="shared" si="0"/>
        <v>30</v>
      </c>
      <c r="B32" s="31">
        <f t="shared" si="1"/>
        <v>6.3461538461538458</v>
      </c>
      <c r="C32" s="29">
        <f t="shared" si="2"/>
        <v>0</v>
      </c>
      <c r="D32" s="27">
        <f t="shared" si="7"/>
        <v>80.592105263157904</v>
      </c>
      <c r="E32" s="27">
        <f t="shared" si="8"/>
        <v>3.4071459135643991</v>
      </c>
      <c r="F32" s="29">
        <f t="shared" si="9"/>
        <v>0.64</v>
      </c>
      <c r="G32" s="27">
        <f t="shared" si="10"/>
        <v>3.4071459135643991</v>
      </c>
      <c r="H32" s="29">
        <f t="shared" si="3"/>
        <v>3.4071459135643991</v>
      </c>
      <c r="I32" s="30">
        <f t="shared" si="11"/>
        <v>5.4184760294650379E-5</v>
      </c>
      <c r="J32" s="37">
        <f t="shared" si="14"/>
        <v>1.3447071609708971E-3</v>
      </c>
      <c r="K32" s="90">
        <f t="shared" si="12"/>
        <v>1.3447071609708972</v>
      </c>
      <c r="L32" s="68">
        <f t="shared" si="13"/>
        <v>1</v>
      </c>
      <c r="M32" s="28">
        <f t="shared" si="4"/>
        <v>2.661832744972187</v>
      </c>
      <c r="N32" s="28">
        <f t="shared" si="16"/>
        <v>4.3668639053254426E-3</v>
      </c>
      <c r="O32" s="28">
        <f t="shared" si="15"/>
        <v>80.592105263157904</v>
      </c>
      <c r="P32" s="28">
        <f t="shared" si="5"/>
        <v>24.08391608391608</v>
      </c>
      <c r="Q32" s="28">
        <f t="shared" si="6"/>
        <v>10.321678321678322</v>
      </c>
    </row>
    <row r="33" spans="1:17" x14ac:dyDescent="0.2">
      <c r="A33" s="28">
        <f t="shared" si="0"/>
        <v>30</v>
      </c>
      <c r="B33" s="31">
        <f t="shared" si="1"/>
        <v>6.6346153846153841</v>
      </c>
      <c r="C33" s="29">
        <f t="shared" si="2"/>
        <v>0</v>
      </c>
      <c r="D33" s="27">
        <f t="shared" si="7"/>
        <v>80.592105263157904</v>
      </c>
      <c r="E33" s="27">
        <f t="shared" si="8"/>
        <v>3.4492094433614904</v>
      </c>
      <c r="F33" s="29">
        <f t="shared" si="9"/>
        <v>0.64</v>
      </c>
      <c r="G33" s="27">
        <f t="shared" si="10"/>
        <v>3.4492094433614904</v>
      </c>
      <c r="H33" s="29">
        <f t="shared" si="3"/>
        <v>3.4492094433614904</v>
      </c>
      <c r="I33" s="30">
        <f t="shared" si="11"/>
        <v>5.3523970534959524E-5</v>
      </c>
      <c r="J33" s="37">
        <f t="shared" si="14"/>
        <v>1.3982311315058565E-3</v>
      </c>
      <c r="K33" s="90">
        <f t="shared" si="12"/>
        <v>1.3982311315058567</v>
      </c>
      <c r="L33" s="68">
        <f t="shared" si="13"/>
        <v>1</v>
      </c>
      <c r="M33" s="28">
        <f t="shared" si="4"/>
        <v>2.6946948776261643</v>
      </c>
      <c r="N33" s="28">
        <f t="shared" si="16"/>
        <v>4.3136094674556197E-3</v>
      </c>
      <c r="O33" s="28">
        <f t="shared" si="15"/>
        <v>80.592105263157904</v>
      </c>
      <c r="P33" s="28">
        <f t="shared" si="5"/>
        <v>23.79020979020979</v>
      </c>
      <c r="Q33" s="28">
        <f t="shared" si="6"/>
        <v>10.195804195804197</v>
      </c>
    </row>
    <row r="34" spans="1:17" x14ac:dyDescent="0.2">
      <c r="A34" s="28">
        <f t="shared" si="0"/>
        <v>30</v>
      </c>
      <c r="B34" s="31">
        <f t="shared" si="1"/>
        <v>6.9230769230769234</v>
      </c>
      <c r="C34" s="29">
        <f t="shared" si="2"/>
        <v>0</v>
      </c>
      <c r="D34" s="27">
        <f t="shared" si="7"/>
        <v>80.592105263157904</v>
      </c>
      <c r="E34" s="27">
        <f t="shared" si="8"/>
        <v>3.4923245614035094</v>
      </c>
      <c r="F34" s="29">
        <f t="shared" si="9"/>
        <v>0.64</v>
      </c>
      <c r="G34" s="27">
        <f t="shared" si="10"/>
        <v>3.4923245614035094</v>
      </c>
      <c r="H34" s="29">
        <f t="shared" si="3"/>
        <v>3.4923245614035094</v>
      </c>
      <c r="I34" s="30">
        <f t="shared" si="11"/>
        <v>5.2863180775268824E-5</v>
      </c>
      <c r="J34" s="37">
        <f t="shared" si="14"/>
        <v>1.4510943122811254E-3</v>
      </c>
      <c r="K34" s="90">
        <f t="shared" si="12"/>
        <v>1.4510943122811255</v>
      </c>
      <c r="L34" s="68">
        <f t="shared" si="13"/>
        <v>1</v>
      </c>
      <c r="M34" s="28">
        <f t="shared" si="4"/>
        <v>2.7283785635964919</v>
      </c>
      <c r="N34" s="28">
        <f t="shared" si="16"/>
        <v>4.2603550295858108E-3</v>
      </c>
      <c r="O34" s="28">
        <f t="shared" si="15"/>
        <v>80.592105263157904</v>
      </c>
      <c r="P34" s="28">
        <f t="shared" si="5"/>
        <v>23.496503496503493</v>
      </c>
      <c r="Q34" s="28">
        <f t="shared" si="6"/>
        <v>10.06993006993007</v>
      </c>
    </row>
    <row r="35" spans="1:17" x14ac:dyDescent="0.2">
      <c r="A35" s="28">
        <f t="shared" si="0"/>
        <v>30</v>
      </c>
      <c r="B35" s="31">
        <f t="shared" si="1"/>
        <v>7.2115384615384617</v>
      </c>
      <c r="C35" s="29">
        <f t="shared" si="2"/>
        <v>0</v>
      </c>
      <c r="D35" s="27">
        <f t="shared" si="7"/>
        <v>80.592105263157904</v>
      </c>
      <c r="E35" s="27">
        <f t="shared" si="8"/>
        <v>3.5365312014212749</v>
      </c>
      <c r="F35" s="29">
        <f t="shared" si="9"/>
        <v>0.64</v>
      </c>
      <c r="G35" s="27">
        <f t="shared" si="10"/>
        <v>3.5365312014212749</v>
      </c>
      <c r="H35" s="29">
        <f t="shared" si="3"/>
        <v>3.5365312014212749</v>
      </c>
      <c r="I35" s="30">
        <f t="shared" si="11"/>
        <v>5.2202391015577805E-5</v>
      </c>
      <c r="J35" s="37">
        <f t="shared" si="14"/>
        <v>1.5032967032967033E-3</v>
      </c>
      <c r="K35" s="90">
        <f t="shared" si="12"/>
        <v>1.5032967032967033</v>
      </c>
      <c r="L35" s="68">
        <f t="shared" si="13"/>
        <v>1</v>
      </c>
      <c r="M35" s="28">
        <f t="shared" si="4"/>
        <v>2.7629150011103714</v>
      </c>
      <c r="N35" s="28">
        <f t="shared" si="16"/>
        <v>4.2071005917159749E-3</v>
      </c>
      <c r="O35" s="28">
        <f t="shared" si="15"/>
        <v>80.592105263157904</v>
      </c>
      <c r="P35" s="28">
        <f t="shared" si="5"/>
        <v>23.202797202797203</v>
      </c>
      <c r="Q35" s="28">
        <f t="shared" si="6"/>
        <v>9.9440559440559451</v>
      </c>
    </row>
    <row r="36" spans="1:17" x14ac:dyDescent="0.2">
      <c r="A36" s="28">
        <f t="shared" si="0"/>
        <v>30</v>
      </c>
      <c r="B36" s="31">
        <f t="shared" si="1"/>
        <v>7.5</v>
      </c>
      <c r="C36" s="29">
        <f t="shared" si="2"/>
        <v>0</v>
      </c>
      <c r="D36" s="27">
        <f t="shared" si="7"/>
        <v>80.592105263157904</v>
      </c>
      <c r="E36" s="27">
        <f t="shared" si="8"/>
        <v>3.5818713450292403</v>
      </c>
      <c r="F36" s="29">
        <f t="shared" si="9"/>
        <v>0.64</v>
      </c>
      <c r="G36" s="27">
        <f t="shared" si="10"/>
        <v>3.5818713450292403</v>
      </c>
      <c r="H36" s="29">
        <f t="shared" si="3"/>
        <v>3.5818713450292403</v>
      </c>
      <c r="I36" s="30">
        <f t="shared" si="11"/>
        <v>5.1541601255886943E-5</v>
      </c>
      <c r="J36" s="37">
        <f t="shared" si="14"/>
        <v>1.5548383045525902E-3</v>
      </c>
      <c r="K36" s="90">
        <f t="shared" si="12"/>
        <v>1.5548383045525902</v>
      </c>
      <c r="L36" s="68">
        <f t="shared" si="13"/>
        <v>1</v>
      </c>
      <c r="M36" s="28">
        <f t="shared" si="4"/>
        <v>2.7983369883040941</v>
      </c>
      <c r="N36" s="28">
        <f t="shared" si="16"/>
        <v>4.1538461538461521E-3</v>
      </c>
      <c r="O36" s="28">
        <f t="shared" si="15"/>
        <v>80.592105263157904</v>
      </c>
      <c r="P36" s="28">
        <f t="shared" si="5"/>
        <v>22.909090909090907</v>
      </c>
      <c r="Q36" s="28">
        <f t="shared" si="6"/>
        <v>9.8181818181818183</v>
      </c>
    </row>
    <row r="37" spans="1:17" x14ac:dyDescent="0.2">
      <c r="A37" s="28">
        <f t="shared" si="0"/>
        <v>30</v>
      </c>
      <c r="B37" s="31">
        <f t="shared" si="1"/>
        <v>7.7884615384615392</v>
      </c>
      <c r="C37" s="29">
        <f t="shared" si="2"/>
        <v>0</v>
      </c>
      <c r="D37" s="27">
        <f t="shared" si="7"/>
        <v>80.592105263157904</v>
      </c>
      <c r="E37" s="27">
        <f t="shared" si="8"/>
        <v>3.6283891547049447</v>
      </c>
      <c r="F37" s="29">
        <f t="shared" si="9"/>
        <v>0.64</v>
      </c>
      <c r="G37" s="27">
        <f t="shared" si="10"/>
        <v>3.6283891547049447</v>
      </c>
      <c r="H37" s="29">
        <f t="shared" si="3"/>
        <v>3.6283891547049447</v>
      </c>
      <c r="I37" s="30">
        <f t="shared" si="11"/>
        <v>5.0880811496196243E-5</v>
      </c>
      <c r="J37" s="37">
        <f t="shared" si="14"/>
        <v>1.6057191160487865E-3</v>
      </c>
      <c r="K37" s="90">
        <f t="shared" si="12"/>
        <v>1.6057191160487865</v>
      </c>
      <c r="L37" s="68">
        <f t="shared" si="13"/>
        <v>1</v>
      </c>
      <c r="M37" s="28">
        <f t="shared" si="4"/>
        <v>2.8346790271132383</v>
      </c>
      <c r="N37" s="28">
        <f t="shared" si="16"/>
        <v>4.1005917159763422E-3</v>
      </c>
      <c r="O37" s="28">
        <f t="shared" si="15"/>
        <v>80.592105263157904</v>
      </c>
      <c r="P37" s="28">
        <f t="shared" si="5"/>
        <v>22.61538461538461</v>
      </c>
      <c r="Q37" s="28">
        <f t="shared" si="6"/>
        <v>9.6923076923076916</v>
      </c>
    </row>
    <row r="38" spans="1:17" x14ac:dyDescent="0.2">
      <c r="A38" s="28">
        <f t="shared" si="0"/>
        <v>30</v>
      </c>
      <c r="B38" s="31">
        <f t="shared" si="1"/>
        <v>8.0769230769230766</v>
      </c>
      <c r="C38" s="29">
        <f t="shared" si="2"/>
        <v>0</v>
      </c>
      <c r="D38" s="27">
        <f t="shared" si="7"/>
        <v>80.592105263157904</v>
      </c>
      <c r="E38" s="27">
        <f t="shared" si="8"/>
        <v>3.6761311172668516</v>
      </c>
      <c r="F38" s="29">
        <f t="shared" si="9"/>
        <v>0.64</v>
      </c>
      <c r="G38" s="27">
        <f t="shared" si="10"/>
        <v>3.6761311172668516</v>
      </c>
      <c r="H38" s="29">
        <f t="shared" si="3"/>
        <v>3.6761311172668516</v>
      </c>
      <c r="I38" s="30">
        <f t="shared" si="11"/>
        <v>5.0220021736505076E-5</v>
      </c>
      <c r="J38" s="37">
        <f t="shared" si="14"/>
        <v>1.6559391377852916E-3</v>
      </c>
      <c r="K38" s="90">
        <f t="shared" si="12"/>
        <v>1.6559391377852917</v>
      </c>
      <c r="L38" s="68">
        <f t="shared" si="13"/>
        <v>1</v>
      </c>
      <c r="M38" s="28">
        <f t="shared" si="4"/>
        <v>2.871977435364728</v>
      </c>
      <c r="N38" s="28">
        <f t="shared" si="16"/>
        <v>4.0473372781064951E-3</v>
      </c>
      <c r="O38" s="28">
        <f t="shared" si="15"/>
        <v>80.592105263157904</v>
      </c>
      <c r="P38" s="28">
        <f t="shared" si="5"/>
        <v>22.32167832167832</v>
      </c>
      <c r="Q38" s="28">
        <f t="shared" si="6"/>
        <v>9.5664335664335667</v>
      </c>
    </row>
    <row r="39" spans="1:17" x14ac:dyDescent="0.2">
      <c r="A39" s="28">
        <f t="shared" si="0"/>
        <v>30</v>
      </c>
      <c r="B39" s="31">
        <f t="shared" si="1"/>
        <v>8.365384615384615</v>
      </c>
      <c r="C39" s="29">
        <f t="shared" si="2"/>
        <v>0</v>
      </c>
      <c r="D39" s="27">
        <f t="shared" si="7"/>
        <v>80.592105263157904</v>
      </c>
      <c r="E39" s="27">
        <f t="shared" si="8"/>
        <v>3.7251461988304095</v>
      </c>
      <c r="F39" s="29">
        <f t="shared" si="9"/>
        <v>0.64</v>
      </c>
      <c r="G39" s="27">
        <f t="shared" si="10"/>
        <v>3.7251461988304095</v>
      </c>
      <c r="H39" s="29">
        <f t="shared" si="3"/>
        <v>3.7251461988304095</v>
      </c>
      <c r="I39" s="30">
        <f t="shared" si="11"/>
        <v>4.9559231976814376E-5</v>
      </c>
      <c r="J39" s="37">
        <f t="shared" si="14"/>
        <v>1.7054983697621059E-3</v>
      </c>
      <c r="K39" s="90">
        <f t="shared" si="12"/>
        <v>1.7054983697621058</v>
      </c>
      <c r="L39" s="68">
        <f t="shared" si="13"/>
        <v>1</v>
      </c>
      <c r="M39" s="28">
        <f t="shared" si="4"/>
        <v>2.9102704678362574</v>
      </c>
      <c r="N39" s="28">
        <f t="shared" si="16"/>
        <v>3.9940828402366853E-3</v>
      </c>
      <c r="O39" s="28">
        <f t="shared" si="15"/>
        <v>80.592105263157904</v>
      </c>
      <c r="P39" s="28">
        <f t="shared" si="5"/>
        <v>22.027972027972027</v>
      </c>
      <c r="Q39" s="28">
        <f t="shared" si="6"/>
        <v>9.4405594405594417</v>
      </c>
    </row>
    <row r="40" spans="1:17" x14ac:dyDescent="0.2">
      <c r="A40" s="28">
        <f t="shared" si="0"/>
        <v>30</v>
      </c>
      <c r="B40" s="31">
        <f t="shared" si="1"/>
        <v>8.6538461538461533</v>
      </c>
      <c r="C40" s="29">
        <f t="shared" si="2"/>
        <v>0</v>
      </c>
      <c r="D40" s="27">
        <f t="shared" si="7"/>
        <v>80.592105263157904</v>
      </c>
      <c r="E40" s="27">
        <f t="shared" si="8"/>
        <v>3.775486012328118</v>
      </c>
      <c r="F40" s="29">
        <f t="shared" si="9"/>
        <v>0.64</v>
      </c>
      <c r="G40" s="27">
        <f t="shared" si="10"/>
        <v>3.775486012328118</v>
      </c>
      <c r="H40" s="29">
        <f t="shared" si="3"/>
        <v>3.775486012328118</v>
      </c>
      <c r="I40" s="30">
        <f t="shared" si="11"/>
        <v>4.8898442217123514E-5</v>
      </c>
      <c r="J40" s="37">
        <f t="shared" si="14"/>
        <v>1.7543968119792294E-3</v>
      </c>
      <c r="K40" s="90">
        <f t="shared" si="12"/>
        <v>1.7543968119792295</v>
      </c>
      <c r="L40" s="68">
        <f t="shared" si="13"/>
        <v>1</v>
      </c>
      <c r="M40" s="28">
        <f t="shared" si="4"/>
        <v>2.9495984471313421</v>
      </c>
      <c r="N40" s="28">
        <f t="shared" si="16"/>
        <v>3.9408284023668624E-3</v>
      </c>
      <c r="O40" s="28">
        <f t="shared" si="15"/>
        <v>80.592105263157904</v>
      </c>
      <c r="P40" s="28">
        <f t="shared" si="5"/>
        <v>21.734265734265733</v>
      </c>
      <c r="Q40" s="28">
        <f t="shared" si="6"/>
        <v>9.314685314685315</v>
      </c>
    </row>
    <row r="41" spans="1:17" x14ac:dyDescent="0.2">
      <c r="A41" s="28">
        <f t="shared" si="0"/>
        <v>30</v>
      </c>
      <c r="B41" s="31">
        <f t="shared" si="1"/>
        <v>8.9423076923076916</v>
      </c>
      <c r="C41" s="29">
        <f t="shared" si="2"/>
        <v>0</v>
      </c>
      <c r="D41" s="27">
        <f t="shared" si="7"/>
        <v>80.592105263157904</v>
      </c>
      <c r="E41" s="27">
        <f t="shared" si="8"/>
        <v>3.8272049987983663</v>
      </c>
      <c r="F41" s="29">
        <f t="shared" si="9"/>
        <v>0.64</v>
      </c>
      <c r="G41" s="27">
        <f t="shared" si="10"/>
        <v>3.8272049987983663</v>
      </c>
      <c r="H41" s="29">
        <f t="shared" si="3"/>
        <v>3.8272049987983663</v>
      </c>
      <c r="I41" s="30">
        <f t="shared" si="11"/>
        <v>4.8237652457432651E-5</v>
      </c>
      <c r="J41" s="37">
        <f t="shared" si="14"/>
        <v>1.8026344644366621E-3</v>
      </c>
      <c r="K41" s="90">
        <f t="shared" si="12"/>
        <v>1.8026344644366621</v>
      </c>
      <c r="L41" s="68">
        <f t="shared" si="13"/>
        <v>1</v>
      </c>
      <c r="M41" s="28">
        <f t="shared" si="4"/>
        <v>2.990003905311224</v>
      </c>
      <c r="N41" s="28">
        <f t="shared" si="16"/>
        <v>3.88757396449704E-3</v>
      </c>
      <c r="O41" s="28">
        <f t="shared" si="15"/>
        <v>80.592105263157904</v>
      </c>
      <c r="P41" s="28">
        <f t="shared" si="5"/>
        <v>21.440559440559436</v>
      </c>
      <c r="Q41" s="28">
        <f t="shared" si="6"/>
        <v>9.1888111888111883</v>
      </c>
    </row>
    <row r="42" spans="1:17" x14ac:dyDescent="0.2">
      <c r="A42" s="28">
        <f t="shared" ref="A42:A73" si="17">VINMAX</f>
        <v>30</v>
      </c>
      <c r="B42" s="31">
        <f t="shared" ref="B42:B73" si="18">VINMAX*((ROW()-10)/104)</f>
        <v>9.2307692307692317</v>
      </c>
      <c r="C42" s="29">
        <f t="shared" ref="C42:C73" si="19">IF(B42&gt;=$H$2,IF($D$2="CC", $G$2, B42/$G$2), 0)</f>
        <v>0</v>
      </c>
      <c r="D42" s="27">
        <f t="shared" ref="D42:D73" si="20">$B$2-B42*$J$2/($I$2*0.001)</f>
        <v>80.592105263157904</v>
      </c>
      <c r="E42" s="27">
        <f t="shared" si="8"/>
        <v>3.8803606237816775</v>
      </c>
      <c r="F42" s="29">
        <f t="shared" ref="F42:F73" si="21">I_Cout_ss+C42</f>
        <v>0.64</v>
      </c>
      <c r="G42" s="27">
        <f t="shared" si="10"/>
        <v>3.8803606237816775</v>
      </c>
      <c r="H42" s="29">
        <f t="shared" ref="H42:H73" si="22">G42-C42</f>
        <v>3.8803606237816775</v>
      </c>
      <c r="I42" s="30">
        <f t="shared" si="11"/>
        <v>4.757686269774208E-5</v>
      </c>
      <c r="J42" s="37">
        <f t="shared" si="14"/>
        <v>1.8502113271344042E-3</v>
      </c>
      <c r="K42" s="90">
        <f t="shared" si="12"/>
        <v>1.8502113271344043</v>
      </c>
      <c r="L42" s="68">
        <f t="shared" si="13"/>
        <v>1</v>
      </c>
      <c r="M42" s="28">
        <f t="shared" ref="M42:M73" si="23">1/COUTMAX*(E42/2-C42)*1000</f>
        <v>3.0315317373294359</v>
      </c>
      <c r="N42" s="28">
        <f t="shared" si="16"/>
        <v>3.8343195266272406E-3</v>
      </c>
      <c r="O42" s="28">
        <f t="shared" si="15"/>
        <v>80.592105263157904</v>
      </c>
      <c r="P42" s="28">
        <f t="shared" ref="P42:P73" si="24">(A42-B42)*(I_Cout_ss*$Q$2+C42)</f>
        <v>21.146853146853143</v>
      </c>
      <c r="Q42" s="28">
        <f t="shared" ref="Q42:Q73" si="25">(A42-B42)*(I_Cout_ss*$R$2+C42)</f>
        <v>9.0629370629370616</v>
      </c>
    </row>
    <row r="43" spans="1:17" x14ac:dyDescent="0.2">
      <c r="A43" s="28">
        <f t="shared" si="17"/>
        <v>30</v>
      </c>
      <c r="B43" s="31">
        <f t="shared" si="18"/>
        <v>9.5192307692307683</v>
      </c>
      <c r="C43" s="29">
        <f t="shared" si="19"/>
        <v>0</v>
      </c>
      <c r="D43" s="27">
        <f t="shared" si="20"/>
        <v>80.592105263157904</v>
      </c>
      <c r="E43" s="27">
        <f t="shared" si="8"/>
        <v>3.9350135903138126</v>
      </c>
      <c r="F43" s="29">
        <f t="shared" si="21"/>
        <v>0.64</v>
      </c>
      <c r="G43" s="27">
        <f t="shared" si="10"/>
        <v>3.9350135903138126</v>
      </c>
      <c r="H43" s="29">
        <f t="shared" si="22"/>
        <v>3.9350135903138126</v>
      </c>
      <c r="I43" s="30">
        <f t="shared" ref="I43:I74" si="26">(COUTMAX/1000000)*(B43-B42)/H43</f>
        <v>4.6916072938050655E-5</v>
      </c>
      <c r="J43" s="37">
        <f t="shared" si="14"/>
        <v>1.897127400072455E-3</v>
      </c>
      <c r="K43" s="90">
        <f t="shared" si="12"/>
        <v>1.897127400072455</v>
      </c>
      <c r="L43" s="68">
        <f t="shared" si="13"/>
        <v>1</v>
      </c>
      <c r="M43" s="28">
        <f t="shared" si="23"/>
        <v>3.0742293674326664</v>
      </c>
      <c r="N43" s="28">
        <f t="shared" si="16"/>
        <v>3.7810650887573722E-3</v>
      </c>
      <c r="O43" s="28">
        <f t="shared" si="15"/>
        <v>80.592105263157904</v>
      </c>
      <c r="P43" s="28">
        <f t="shared" si="24"/>
        <v>20.853146853146853</v>
      </c>
      <c r="Q43" s="28">
        <f t="shared" si="25"/>
        <v>8.9370629370629384</v>
      </c>
    </row>
    <row r="44" spans="1:17" x14ac:dyDescent="0.2">
      <c r="A44" s="28">
        <f t="shared" si="17"/>
        <v>30</v>
      </c>
      <c r="B44" s="31">
        <f t="shared" si="18"/>
        <v>9.8076923076923084</v>
      </c>
      <c r="C44" s="29">
        <f t="shared" si="19"/>
        <v>0</v>
      </c>
      <c r="D44" s="27">
        <f t="shared" si="20"/>
        <v>80.592105263157904</v>
      </c>
      <c r="E44" s="27">
        <f t="shared" si="8"/>
        <v>3.9912280701754388</v>
      </c>
      <c r="F44" s="29">
        <f t="shared" si="21"/>
        <v>0.64</v>
      </c>
      <c r="G44" s="27">
        <f t="shared" si="10"/>
        <v>3.9912280701754388</v>
      </c>
      <c r="H44" s="29">
        <f t="shared" si="22"/>
        <v>3.9912280701754388</v>
      </c>
      <c r="I44" s="30">
        <f t="shared" si="26"/>
        <v>4.6255283178360369E-5</v>
      </c>
      <c r="J44" s="37">
        <f t="shared" si="14"/>
        <v>1.9433826832508153E-3</v>
      </c>
      <c r="K44" s="90">
        <f t="shared" si="12"/>
        <v>1.9433826832508152</v>
      </c>
      <c r="L44" s="68">
        <f t="shared" si="13"/>
        <v>1</v>
      </c>
      <c r="M44" s="28">
        <f t="shared" si="23"/>
        <v>3.1181469298245617</v>
      </c>
      <c r="N44" s="28">
        <f t="shared" si="16"/>
        <v>3.7278106508875958E-3</v>
      </c>
      <c r="O44" s="28">
        <f t="shared" si="15"/>
        <v>80.592105263157904</v>
      </c>
      <c r="P44" s="28">
        <f t="shared" si="24"/>
        <v>20.55944055944056</v>
      </c>
      <c r="Q44" s="28">
        <f t="shared" si="25"/>
        <v>8.8111888111888117</v>
      </c>
    </row>
    <row r="45" spans="1:17" x14ac:dyDescent="0.2">
      <c r="A45" s="28">
        <f t="shared" si="17"/>
        <v>30</v>
      </c>
      <c r="B45" s="31">
        <f t="shared" si="18"/>
        <v>10.096153846153847</v>
      </c>
      <c r="C45" s="29">
        <f t="shared" si="19"/>
        <v>0</v>
      </c>
      <c r="D45" s="27">
        <f t="shared" si="20"/>
        <v>80.592105263157904</v>
      </c>
      <c r="E45" s="27">
        <f t="shared" si="8"/>
        <v>4.0490719552504455</v>
      </c>
      <c r="F45" s="29">
        <f t="shared" si="21"/>
        <v>0.64</v>
      </c>
      <c r="G45" s="27">
        <f t="shared" si="10"/>
        <v>4.0490719552504455</v>
      </c>
      <c r="H45" s="29">
        <f t="shared" si="22"/>
        <v>4.0490719552504455</v>
      </c>
      <c r="I45" s="30">
        <f t="shared" si="26"/>
        <v>4.5594493418669222E-5</v>
      </c>
      <c r="J45" s="37">
        <f t="shared" si="14"/>
        <v>1.9889771766694844E-3</v>
      </c>
      <c r="K45" s="90">
        <f t="shared" si="12"/>
        <v>1.9889771766694844</v>
      </c>
      <c r="L45" s="68">
        <f t="shared" si="13"/>
        <v>1</v>
      </c>
      <c r="M45" s="28">
        <f t="shared" si="23"/>
        <v>3.1633374650394108</v>
      </c>
      <c r="N45" s="28">
        <f t="shared" si="16"/>
        <v>3.67455621301775E-3</v>
      </c>
      <c r="O45" s="28">
        <f t="shared" si="15"/>
        <v>80.592105263157904</v>
      </c>
      <c r="P45" s="28">
        <f t="shared" si="24"/>
        <v>20.265734265734263</v>
      </c>
      <c r="Q45" s="28">
        <f t="shared" si="25"/>
        <v>8.685314685314685</v>
      </c>
    </row>
    <row r="46" spans="1:17" x14ac:dyDescent="0.2">
      <c r="A46" s="28">
        <f t="shared" si="17"/>
        <v>30</v>
      </c>
      <c r="B46" s="31">
        <f t="shared" si="18"/>
        <v>10.384615384615385</v>
      </c>
      <c r="C46" s="29">
        <f t="shared" si="19"/>
        <v>0</v>
      </c>
      <c r="D46" s="27">
        <f t="shared" si="20"/>
        <v>80.592105263157904</v>
      </c>
      <c r="E46" s="27">
        <f t="shared" si="8"/>
        <v>4.1086171310629522</v>
      </c>
      <c r="F46" s="29">
        <f t="shared" si="21"/>
        <v>0.64</v>
      </c>
      <c r="G46" s="27">
        <f t="shared" si="10"/>
        <v>4.1086171310629522</v>
      </c>
      <c r="H46" s="29">
        <f t="shared" si="22"/>
        <v>4.1086171310629522</v>
      </c>
      <c r="I46" s="30">
        <f t="shared" si="26"/>
        <v>4.493370365897836E-5</v>
      </c>
      <c r="J46" s="37">
        <f t="shared" si="14"/>
        <v>2.0339108803284628E-3</v>
      </c>
      <c r="K46" s="90">
        <f t="shared" si="12"/>
        <v>2.0339108803284627</v>
      </c>
      <c r="L46" s="68">
        <f t="shared" si="13"/>
        <v>1</v>
      </c>
      <c r="M46" s="28">
        <f t="shared" si="23"/>
        <v>3.2098571336429318</v>
      </c>
      <c r="N46" s="28">
        <f t="shared" si="16"/>
        <v>3.6213017751479271E-3</v>
      </c>
      <c r="O46" s="28">
        <f t="shared" si="15"/>
        <v>80.592105263157904</v>
      </c>
      <c r="P46" s="28">
        <f t="shared" si="24"/>
        <v>19.972027972027966</v>
      </c>
      <c r="Q46" s="28">
        <f t="shared" si="25"/>
        <v>8.5594405594405583</v>
      </c>
    </row>
    <row r="47" spans="1:17" x14ac:dyDescent="0.2">
      <c r="A47" s="28">
        <f t="shared" si="17"/>
        <v>30</v>
      </c>
      <c r="B47" s="31">
        <f t="shared" si="18"/>
        <v>10.673076923076923</v>
      </c>
      <c r="C47" s="29">
        <f t="shared" si="19"/>
        <v>0</v>
      </c>
      <c r="D47" s="27">
        <f t="shared" si="20"/>
        <v>80.592105263157904</v>
      </c>
      <c r="E47" s="27">
        <f t="shared" si="8"/>
        <v>4.1699397748101603</v>
      </c>
      <c r="F47" s="29">
        <f t="shared" si="21"/>
        <v>0.64</v>
      </c>
      <c r="G47" s="27">
        <f t="shared" si="10"/>
        <v>4.1699397748101603</v>
      </c>
      <c r="H47" s="29">
        <f t="shared" si="22"/>
        <v>4.1699397748101603</v>
      </c>
      <c r="I47" s="30">
        <f t="shared" si="26"/>
        <v>4.4272913899287504E-5</v>
      </c>
      <c r="J47" s="37">
        <f t="shared" si="14"/>
        <v>2.0781837942277503E-3</v>
      </c>
      <c r="K47" s="90">
        <f t="shared" si="12"/>
        <v>2.0781837942277503</v>
      </c>
      <c r="L47" s="68">
        <f t="shared" si="13"/>
        <v>1</v>
      </c>
      <c r="M47" s="28">
        <f t="shared" si="23"/>
        <v>3.2577654490704382</v>
      </c>
      <c r="N47" s="28">
        <f t="shared" si="16"/>
        <v>3.5680473372781052E-3</v>
      </c>
      <c r="O47" s="28">
        <f t="shared" si="15"/>
        <v>80.592105263157904</v>
      </c>
      <c r="P47" s="28">
        <f t="shared" si="24"/>
        <v>19.678321678321677</v>
      </c>
      <c r="Q47" s="28">
        <f t="shared" si="25"/>
        <v>8.4335664335664333</v>
      </c>
    </row>
    <row r="48" spans="1:17" x14ac:dyDescent="0.2">
      <c r="A48" s="28">
        <f t="shared" si="17"/>
        <v>30</v>
      </c>
      <c r="B48" s="31">
        <f t="shared" si="18"/>
        <v>10.961538461538462</v>
      </c>
      <c r="C48" s="29">
        <f t="shared" si="19"/>
        <v>0</v>
      </c>
      <c r="D48" s="27">
        <f t="shared" si="20"/>
        <v>80.592105263157904</v>
      </c>
      <c r="E48" s="27">
        <f t="shared" si="8"/>
        <v>4.233120680489102</v>
      </c>
      <c r="F48" s="29">
        <f t="shared" si="21"/>
        <v>0.64</v>
      </c>
      <c r="G48" s="27">
        <f t="shared" si="10"/>
        <v>4.233120680489102</v>
      </c>
      <c r="H48" s="29">
        <f t="shared" si="22"/>
        <v>4.233120680489102</v>
      </c>
      <c r="I48" s="30">
        <f t="shared" si="26"/>
        <v>4.3612124139596648E-5</v>
      </c>
      <c r="J48" s="37">
        <f t="shared" si="14"/>
        <v>2.1217959183673471E-3</v>
      </c>
      <c r="K48" s="90">
        <f t="shared" si="12"/>
        <v>2.1217959183673472</v>
      </c>
      <c r="L48" s="68">
        <f t="shared" si="13"/>
        <v>1</v>
      </c>
      <c r="M48" s="28">
        <f t="shared" si="23"/>
        <v>3.3071255316321109</v>
      </c>
      <c r="N48" s="28">
        <f t="shared" si="16"/>
        <v>3.5147928994082832E-3</v>
      </c>
      <c r="O48" s="28">
        <f t="shared" si="15"/>
        <v>80.592105263157904</v>
      </c>
      <c r="P48" s="28">
        <f t="shared" si="24"/>
        <v>19.384615384615383</v>
      </c>
      <c r="Q48" s="28">
        <f t="shared" si="25"/>
        <v>8.3076923076923084</v>
      </c>
    </row>
    <row r="49" spans="1:17" x14ac:dyDescent="0.2">
      <c r="A49" s="28">
        <f t="shared" si="17"/>
        <v>30</v>
      </c>
      <c r="B49" s="31">
        <f t="shared" si="18"/>
        <v>11.25</v>
      </c>
      <c r="C49" s="29">
        <f t="shared" si="19"/>
        <v>0</v>
      </c>
      <c r="D49" s="27">
        <f t="shared" si="20"/>
        <v>80.592105263157904</v>
      </c>
      <c r="E49" s="27">
        <f t="shared" si="8"/>
        <v>4.2982456140350882</v>
      </c>
      <c r="F49" s="29">
        <f t="shared" si="21"/>
        <v>0.64</v>
      </c>
      <c r="G49" s="27">
        <f t="shared" si="10"/>
        <v>4.2982456140350882</v>
      </c>
      <c r="H49" s="29">
        <f t="shared" si="22"/>
        <v>4.2982456140350882</v>
      </c>
      <c r="I49" s="30">
        <f t="shared" si="26"/>
        <v>4.2951334379905786E-5</v>
      </c>
      <c r="J49" s="37">
        <f t="shared" si="14"/>
        <v>2.1647472527472531E-3</v>
      </c>
      <c r="K49" s="90">
        <f t="shared" si="12"/>
        <v>2.1647472527472531</v>
      </c>
      <c r="L49" s="68">
        <f t="shared" si="13"/>
        <v>1</v>
      </c>
      <c r="M49" s="28">
        <f t="shared" si="23"/>
        <v>3.3580043859649127</v>
      </c>
      <c r="N49" s="28">
        <f t="shared" si="16"/>
        <v>3.4615384615384603E-3</v>
      </c>
      <c r="O49" s="28">
        <f t="shared" si="15"/>
        <v>80.592105263157904</v>
      </c>
      <c r="P49" s="28">
        <f t="shared" si="24"/>
        <v>19.09090909090909</v>
      </c>
      <c r="Q49" s="28">
        <f t="shared" si="25"/>
        <v>8.1818181818181817</v>
      </c>
    </row>
    <row r="50" spans="1:17" x14ac:dyDescent="0.2">
      <c r="A50" s="28">
        <f t="shared" si="17"/>
        <v>30</v>
      </c>
      <c r="B50" s="31">
        <f t="shared" si="18"/>
        <v>11.538461538461538</v>
      </c>
      <c r="C50" s="29">
        <f t="shared" si="19"/>
        <v>0</v>
      </c>
      <c r="D50" s="27">
        <f t="shared" si="20"/>
        <v>80.592105263157904</v>
      </c>
      <c r="E50" s="27">
        <f t="shared" si="8"/>
        <v>4.365405701754387</v>
      </c>
      <c r="F50" s="29">
        <f t="shared" si="21"/>
        <v>0.64</v>
      </c>
      <c r="G50" s="27">
        <f t="shared" si="10"/>
        <v>4.365405701754387</v>
      </c>
      <c r="H50" s="29">
        <f t="shared" si="22"/>
        <v>4.365405701754387</v>
      </c>
      <c r="I50" s="30">
        <f t="shared" si="26"/>
        <v>4.2290544620214923E-5</v>
      </c>
      <c r="J50" s="37">
        <f t="shared" si="14"/>
        <v>2.2070377973674679E-3</v>
      </c>
      <c r="K50" s="90">
        <f t="shared" si="12"/>
        <v>2.2070377973674677</v>
      </c>
      <c r="L50" s="68">
        <f t="shared" si="13"/>
        <v>1</v>
      </c>
      <c r="M50" s="28">
        <f t="shared" si="23"/>
        <v>3.4104732044956152</v>
      </c>
      <c r="N50" s="28">
        <f t="shared" si="16"/>
        <v>3.4082840236686375E-3</v>
      </c>
      <c r="O50" s="28">
        <f t="shared" si="15"/>
        <v>80.592105263157904</v>
      </c>
      <c r="P50" s="28">
        <f t="shared" si="24"/>
        <v>18.797202797202793</v>
      </c>
      <c r="Q50" s="28">
        <f t="shared" si="25"/>
        <v>8.0559440559440549</v>
      </c>
    </row>
    <row r="51" spans="1:17" x14ac:dyDescent="0.2">
      <c r="A51" s="28">
        <f t="shared" si="17"/>
        <v>30</v>
      </c>
      <c r="B51" s="31">
        <f t="shared" si="18"/>
        <v>11.826923076923077</v>
      </c>
      <c r="C51" s="29">
        <f t="shared" si="19"/>
        <v>0</v>
      </c>
      <c r="D51" s="27">
        <f t="shared" si="20"/>
        <v>80.592105263157904</v>
      </c>
      <c r="E51" s="27">
        <f t="shared" si="8"/>
        <v>4.4346978557504881</v>
      </c>
      <c r="F51" s="29">
        <f t="shared" si="21"/>
        <v>0.64</v>
      </c>
      <c r="G51" s="27">
        <f t="shared" si="10"/>
        <v>4.4346978557504881</v>
      </c>
      <c r="H51" s="29">
        <f t="shared" si="22"/>
        <v>4.4346978557504881</v>
      </c>
      <c r="I51" s="30">
        <f t="shared" si="26"/>
        <v>4.1629754860524068E-5</v>
      </c>
      <c r="J51" s="37">
        <f t="shared" si="14"/>
        <v>2.2486675522279918E-3</v>
      </c>
      <c r="K51" s="90">
        <f t="shared" si="12"/>
        <v>2.248667552227992</v>
      </c>
      <c r="L51" s="68">
        <f t="shared" si="13"/>
        <v>1</v>
      </c>
      <c r="M51" s="28">
        <f t="shared" si="23"/>
        <v>3.464607699805069</v>
      </c>
      <c r="N51" s="28">
        <f t="shared" si="16"/>
        <v>3.3550295857988155E-3</v>
      </c>
      <c r="O51" s="28">
        <f t="shared" si="15"/>
        <v>80.592105263157904</v>
      </c>
      <c r="P51" s="28">
        <f t="shared" si="24"/>
        <v>18.503496503496503</v>
      </c>
      <c r="Q51" s="28">
        <f t="shared" si="25"/>
        <v>7.93006993006993</v>
      </c>
    </row>
    <row r="52" spans="1:17" x14ac:dyDescent="0.2">
      <c r="A52" s="28">
        <f t="shared" si="17"/>
        <v>30</v>
      </c>
      <c r="B52" s="31">
        <f t="shared" si="18"/>
        <v>12.115384615384615</v>
      </c>
      <c r="C52" s="29">
        <f t="shared" si="19"/>
        <v>0</v>
      </c>
      <c r="D52" s="27">
        <f t="shared" si="20"/>
        <v>80.592105263157904</v>
      </c>
      <c r="E52" s="27">
        <f t="shared" si="8"/>
        <v>4.5062252405206564</v>
      </c>
      <c r="F52" s="29">
        <f t="shared" si="21"/>
        <v>0.64</v>
      </c>
      <c r="G52" s="27">
        <f t="shared" si="10"/>
        <v>4.5062252405206564</v>
      </c>
      <c r="H52" s="29">
        <f t="shared" si="22"/>
        <v>4.5062252405206564</v>
      </c>
      <c r="I52" s="30">
        <f t="shared" si="26"/>
        <v>4.0968965100833219E-5</v>
      </c>
      <c r="J52" s="37">
        <f t="shared" si="14"/>
        <v>2.289636517328825E-3</v>
      </c>
      <c r="K52" s="90">
        <f t="shared" si="12"/>
        <v>2.2896365173288249</v>
      </c>
      <c r="L52" s="68">
        <f t="shared" si="13"/>
        <v>1</v>
      </c>
      <c r="M52" s="28">
        <f t="shared" si="23"/>
        <v>3.5204884691567631</v>
      </c>
      <c r="N52" s="28">
        <f t="shared" si="16"/>
        <v>3.3017751479289936E-3</v>
      </c>
      <c r="O52" s="28">
        <f t="shared" si="15"/>
        <v>80.592105263157904</v>
      </c>
      <c r="P52" s="28">
        <f t="shared" si="24"/>
        <v>18.20979020979021</v>
      </c>
      <c r="Q52" s="28">
        <f t="shared" si="25"/>
        <v>7.8041958041958051</v>
      </c>
    </row>
    <row r="53" spans="1:17" x14ac:dyDescent="0.2">
      <c r="A53" s="28">
        <f t="shared" si="17"/>
        <v>30</v>
      </c>
      <c r="B53" s="31">
        <f t="shared" si="18"/>
        <v>12.403846153846153</v>
      </c>
      <c r="C53" s="29">
        <f t="shared" si="19"/>
        <v>0</v>
      </c>
      <c r="D53" s="27">
        <f t="shared" si="20"/>
        <v>80.592105263157904</v>
      </c>
      <c r="E53" s="27">
        <f t="shared" si="8"/>
        <v>4.5800977854472249</v>
      </c>
      <c r="F53" s="29">
        <f t="shared" si="21"/>
        <v>0.64</v>
      </c>
      <c r="G53" s="27">
        <f t="shared" si="10"/>
        <v>4.5800977854472249</v>
      </c>
      <c r="H53" s="29">
        <f t="shared" si="22"/>
        <v>4.5800977854472249</v>
      </c>
      <c r="I53" s="30">
        <f t="shared" si="26"/>
        <v>4.0308175341142357E-5</v>
      </c>
      <c r="J53" s="37">
        <f t="shared" si="14"/>
        <v>2.3299446926699674E-3</v>
      </c>
      <c r="K53" s="90">
        <f t="shared" si="12"/>
        <v>2.3299446926699674</v>
      </c>
      <c r="L53" s="68">
        <f t="shared" si="13"/>
        <v>1</v>
      </c>
      <c r="M53" s="28">
        <f t="shared" si="23"/>
        <v>3.5782013948806446</v>
      </c>
      <c r="N53" s="28">
        <f t="shared" si="16"/>
        <v>3.2485207100591707E-3</v>
      </c>
      <c r="O53" s="28">
        <f t="shared" si="15"/>
        <v>80.592105263157904</v>
      </c>
      <c r="P53" s="28">
        <f t="shared" si="24"/>
        <v>17.916083916083913</v>
      </c>
      <c r="Q53" s="28">
        <f t="shared" si="25"/>
        <v>7.6783216783216783</v>
      </c>
    </row>
    <row r="54" spans="1:17" x14ac:dyDescent="0.2">
      <c r="A54" s="28">
        <f t="shared" si="17"/>
        <v>30</v>
      </c>
      <c r="B54" s="31">
        <f t="shared" si="18"/>
        <v>12.692307692307692</v>
      </c>
      <c r="C54" s="29">
        <f t="shared" si="19"/>
        <v>0</v>
      </c>
      <c r="D54" s="27">
        <f t="shared" si="20"/>
        <v>80.592105263157904</v>
      </c>
      <c r="E54" s="27">
        <f t="shared" si="8"/>
        <v>4.6564327485380126</v>
      </c>
      <c r="F54" s="29">
        <f t="shared" si="21"/>
        <v>0.64</v>
      </c>
      <c r="G54" s="27">
        <f t="shared" si="10"/>
        <v>4.6564327485380126</v>
      </c>
      <c r="H54" s="29">
        <f t="shared" si="22"/>
        <v>4.6564327485380126</v>
      </c>
      <c r="I54" s="30">
        <f t="shared" si="26"/>
        <v>3.9647385581451494E-5</v>
      </c>
      <c r="J54" s="37">
        <f t="shared" si="14"/>
        <v>2.369592078251419E-3</v>
      </c>
      <c r="K54" s="90">
        <f t="shared" si="12"/>
        <v>2.369592078251419</v>
      </c>
      <c r="L54" s="68">
        <f t="shared" si="13"/>
        <v>1</v>
      </c>
      <c r="M54" s="28">
        <f t="shared" si="23"/>
        <v>3.6378380847953227</v>
      </c>
      <c r="N54" s="28">
        <f t="shared" si="16"/>
        <v>3.1952662721893479E-3</v>
      </c>
      <c r="O54" s="28">
        <f t="shared" si="15"/>
        <v>80.592105263157904</v>
      </c>
      <c r="P54" s="28">
        <f t="shared" si="24"/>
        <v>17.62237762237762</v>
      </c>
      <c r="Q54" s="28">
        <f t="shared" si="25"/>
        <v>7.5524475524475516</v>
      </c>
    </row>
    <row r="55" spans="1:17" x14ac:dyDescent="0.2">
      <c r="A55" s="28">
        <f t="shared" si="17"/>
        <v>30</v>
      </c>
      <c r="B55" s="31">
        <f t="shared" si="18"/>
        <v>12.980769230769232</v>
      </c>
      <c r="C55" s="29">
        <f t="shared" si="19"/>
        <v>0</v>
      </c>
      <c r="D55" s="27">
        <f t="shared" si="20"/>
        <v>80.592105263157904</v>
      </c>
      <c r="E55" s="27">
        <f t="shared" si="8"/>
        <v>4.7353553374962845</v>
      </c>
      <c r="F55" s="29">
        <f t="shared" si="21"/>
        <v>0.64</v>
      </c>
      <c r="G55" s="27">
        <f t="shared" si="10"/>
        <v>4.7353553374962845</v>
      </c>
      <c r="H55" s="29">
        <f t="shared" si="22"/>
        <v>4.7353553374962845</v>
      </c>
      <c r="I55" s="30">
        <f t="shared" si="26"/>
        <v>3.8986595821760876E-5</v>
      </c>
      <c r="J55" s="37">
        <f t="shared" si="14"/>
        <v>2.4085786740731798E-3</v>
      </c>
      <c r="K55" s="90">
        <f t="shared" si="12"/>
        <v>2.4085786740731798</v>
      </c>
      <c r="L55" s="68">
        <f t="shared" si="13"/>
        <v>1</v>
      </c>
      <c r="M55" s="28">
        <f t="shared" si="23"/>
        <v>3.6994963574189725</v>
      </c>
      <c r="N55" s="28">
        <f t="shared" si="16"/>
        <v>3.142011834319545E-3</v>
      </c>
      <c r="O55" s="28">
        <f t="shared" si="15"/>
        <v>80.592105263157904</v>
      </c>
      <c r="P55" s="28">
        <f t="shared" si="24"/>
        <v>17.328671328671323</v>
      </c>
      <c r="Q55" s="28">
        <f t="shared" si="25"/>
        <v>7.4265734265734249</v>
      </c>
    </row>
    <row r="56" spans="1:17" x14ac:dyDescent="0.2">
      <c r="A56" s="28">
        <f t="shared" si="17"/>
        <v>30</v>
      </c>
      <c r="B56" s="31">
        <f t="shared" si="18"/>
        <v>13.269230769230768</v>
      </c>
      <c r="C56" s="29">
        <f t="shared" si="19"/>
        <v>0</v>
      </c>
      <c r="D56" s="27">
        <f t="shared" si="20"/>
        <v>80.592105263157904</v>
      </c>
      <c r="E56" s="27">
        <f t="shared" si="8"/>
        <v>4.8169993950393222</v>
      </c>
      <c r="F56" s="29">
        <f t="shared" si="21"/>
        <v>0.64</v>
      </c>
      <c r="G56" s="27">
        <f t="shared" si="10"/>
        <v>4.8169993950393222</v>
      </c>
      <c r="H56" s="29">
        <f t="shared" si="22"/>
        <v>4.8169993950393222</v>
      </c>
      <c r="I56" s="30">
        <f t="shared" si="26"/>
        <v>3.8325806062069552E-5</v>
      </c>
      <c r="J56" s="37">
        <f t="shared" si="14"/>
        <v>2.4469044801352494E-3</v>
      </c>
      <c r="K56" s="90">
        <f t="shared" si="12"/>
        <v>2.4469044801352493</v>
      </c>
      <c r="L56" s="68">
        <f t="shared" si="13"/>
        <v>1</v>
      </c>
      <c r="M56" s="28">
        <f t="shared" si="23"/>
        <v>3.7632807773744705</v>
      </c>
      <c r="N56" s="28">
        <f t="shared" si="16"/>
        <v>3.0887573964496844E-3</v>
      </c>
      <c r="O56" s="28">
        <f t="shared" si="15"/>
        <v>80.592105263157904</v>
      </c>
      <c r="P56" s="28">
        <f t="shared" si="24"/>
        <v>17.034965034965037</v>
      </c>
      <c r="Q56" s="28">
        <f t="shared" si="25"/>
        <v>7.3006993006993017</v>
      </c>
    </row>
    <row r="57" spans="1:17" x14ac:dyDescent="0.2">
      <c r="A57" s="28">
        <f t="shared" si="17"/>
        <v>30</v>
      </c>
      <c r="B57" s="31">
        <f t="shared" si="18"/>
        <v>13.557692307692308</v>
      </c>
      <c r="C57" s="29">
        <f t="shared" si="19"/>
        <v>0</v>
      </c>
      <c r="D57" s="27">
        <f t="shared" si="20"/>
        <v>80.592105263157904</v>
      </c>
      <c r="E57" s="27">
        <f t="shared" si="8"/>
        <v>4.9015081563558018</v>
      </c>
      <c r="F57" s="29">
        <f t="shared" si="21"/>
        <v>0.64</v>
      </c>
      <c r="G57" s="27">
        <f t="shared" si="10"/>
        <v>4.9015081563558018</v>
      </c>
      <c r="H57" s="29">
        <f t="shared" si="22"/>
        <v>4.9015081563558018</v>
      </c>
      <c r="I57" s="30">
        <f t="shared" si="26"/>
        <v>3.7665016302379158E-5</v>
      </c>
      <c r="J57" s="37">
        <f t="shared" si="14"/>
        <v>2.4845694964376287E-3</v>
      </c>
      <c r="K57" s="90">
        <f t="shared" si="12"/>
        <v>2.4845694964376288</v>
      </c>
      <c r="L57" s="68">
        <f t="shared" si="13"/>
        <v>1</v>
      </c>
      <c r="M57" s="28">
        <f t="shared" si="23"/>
        <v>3.8293032471529704</v>
      </c>
      <c r="N57" s="28">
        <f t="shared" si="16"/>
        <v>3.0355029585798997E-3</v>
      </c>
      <c r="O57" s="28">
        <f t="shared" si="15"/>
        <v>80.592105263157904</v>
      </c>
      <c r="P57" s="28">
        <f t="shared" si="24"/>
        <v>16.74125874125874</v>
      </c>
      <c r="Q57" s="28">
        <f t="shared" si="25"/>
        <v>7.174825174825175</v>
      </c>
    </row>
    <row r="58" spans="1:17" x14ac:dyDescent="0.2">
      <c r="A58" s="28">
        <f t="shared" si="17"/>
        <v>30</v>
      </c>
      <c r="B58" s="31">
        <f t="shared" si="18"/>
        <v>13.846153846153847</v>
      </c>
      <c r="C58" s="29">
        <f t="shared" si="19"/>
        <v>0</v>
      </c>
      <c r="D58" s="27">
        <f t="shared" si="20"/>
        <v>80.592105263157904</v>
      </c>
      <c r="E58" s="27">
        <f t="shared" si="8"/>
        <v>4.9890350877192988</v>
      </c>
      <c r="F58" s="29">
        <f t="shared" si="21"/>
        <v>0.64</v>
      </c>
      <c r="G58" s="27">
        <f t="shared" si="10"/>
        <v>4.9890350877192988</v>
      </c>
      <c r="H58" s="29">
        <f t="shared" si="22"/>
        <v>4.9890350877192988</v>
      </c>
      <c r="I58" s="30">
        <f t="shared" si="26"/>
        <v>3.7004226542688065E-5</v>
      </c>
      <c r="J58" s="37">
        <f t="shared" si="14"/>
        <v>2.5215737229803167E-3</v>
      </c>
      <c r="K58" s="90">
        <f t="shared" si="12"/>
        <v>2.5215737229803166</v>
      </c>
      <c r="L58" s="68">
        <f t="shared" si="13"/>
        <v>1</v>
      </c>
      <c r="M58" s="28">
        <f t="shared" si="23"/>
        <v>3.8976836622807025</v>
      </c>
      <c r="N58" s="28">
        <f t="shared" si="16"/>
        <v>2.9822485207100582E-3</v>
      </c>
      <c r="O58" s="28">
        <f t="shared" si="15"/>
        <v>80.592105263157904</v>
      </c>
      <c r="P58" s="28">
        <f t="shared" si="24"/>
        <v>16.447552447552447</v>
      </c>
      <c r="Q58" s="28">
        <f t="shared" si="25"/>
        <v>7.0489510489510483</v>
      </c>
    </row>
    <row r="59" spans="1:17" x14ac:dyDescent="0.2">
      <c r="A59" s="28">
        <f t="shared" si="17"/>
        <v>30</v>
      </c>
      <c r="B59" s="31">
        <f t="shared" si="18"/>
        <v>14.134615384615385</v>
      </c>
      <c r="C59" s="29">
        <f t="shared" si="19"/>
        <v>0</v>
      </c>
      <c r="D59" s="27">
        <f t="shared" si="20"/>
        <v>80.592105263157904</v>
      </c>
      <c r="E59" s="27">
        <f t="shared" si="8"/>
        <v>5.0797448165869223</v>
      </c>
      <c r="F59" s="29">
        <f t="shared" si="21"/>
        <v>0.64</v>
      </c>
      <c r="G59" s="27">
        <f t="shared" si="10"/>
        <v>5.0797448165869223</v>
      </c>
      <c r="H59" s="29">
        <f t="shared" si="22"/>
        <v>5.0797448165869223</v>
      </c>
      <c r="I59" s="30">
        <f t="shared" si="26"/>
        <v>3.6343436782997209E-5</v>
      </c>
      <c r="J59" s="37">
        <f t="shared" si="14"/>
        <v>2.557917159763314E-3</v>
      </c>
      <c r="K59" s="90">
        <f t="shared" si="12"/>
        <v>2.5579171597633139</v>
      </c>
      <c r="L59" s="68">
        <f t="shared" si="13"/>
        <v>1</v>
      </c>
      <c r="M59" s="28">
        <f t="shared" si="23"/>
        <v>3.9685506379585336</v>
      </c>
      <c r="N59" s="28">
        <f t="shared" si="16"/>
        <v>2.9289940828402358E-3</v>
      </c>
      <c r="O59" s="28">
        <f t="shared" si="15"/>
        <v>80.592105263157904</v>
      </c>
      <c r="P59" s="28">
        <f t="shared" si="24"/>
        <v>16.153846153846153</v>
      </c>
      <c r="Q59" s="28">
        <f t="shared" si="25"/>
        <v>6.9230769230769225</v>
      </c>
    </row>
    <row r="60" spans="1:17" x14ac:dyDescent="0.2">
      <c r="A60" s="28">
        <f t="shared" si="17"/>
        <v>30</v>
      </c>
      <c r="B60" s="31">
        <f t="shared" si="18"/>
        <v>14.423076923076923</v>
      </c>
      <c r="C60" s="29">
        <f t="shared" si="19"/>
        <v>0</v>
      </c>
      <c r="D60" s="27">
        <f t="shared" si="20"/>
        <v>80.592105263157904</v>
      </c>
      <c r="E60" s="27">
        <f t="shared" si="8"/>
        <v>5.173814165042236</v>
      </c>
      <c r="F60" s="29">
        <f t="shared" si="21"/>
        <v>0.64</v>
      </c>
      <c r="G60" s="27">
        <f t="shared" si="10"/>
        <v>5.173814165042236</v>
      </c>
      <c r="H60" s="29">
        <f t="shared" si="22"/>
        <v>5.173814165042236</v>
      </c>
      <c r="I60" s="30">
        <f t="shared" si="26"/>
        <v>3.5682647023306347E-5</v>
      </c>
      <c r="J60" s="37">
        <f t="shared" si="14"/>
        <v>2.5935998067866204E-3</v>
      </c>
      <c r="K60" s="90">
        <f t="shared" si="12"/>
        <v>2.5935998067866204</v>
      </c>
      <c r="L60" s="68">
        <f t="shared" si="13"/>
        <v>1</v>
      </c>
      <c r="M60" s="28">
        <f t="shared" si="23"/>
        <v>4.0420423164392476</v>
      </c>
      <c r="N60" s="28">
        <f t="shared" si="16"/>
        <v>2.875739644970413E-3</v>
      </c>
      <c r="O60" s="28">
        <f t="shared" si="15"/>
        <v>80.592105263157904</v>
      </c>
      <c r="P60" s="28">
        <f t="shared" si="24"/>
        <v>15.860139860139858</v>
      </c>
      <c r="Q60" s="28">
        <f t="shared" si="25"/>
        <v>6.7972027972027966</v>
      </c>
    </row>
    <row r="61" spans="1:17" x14ac:dyDescent="0.2">
      <c r="A61" s="28">
        <f t="shared" si="17"/>
        <v>30</v>
      </c>
      <c r="B61" s="31">
        <f t="shared" si="18"/>
        <v>14.711538461538462</v>
      </c>
      <c r="C61" s="29">
        <f t="shared" si="19"/>
        <v>0</v>
      </c>
      <c r="D61" s="27">
        <f t="shared" si="20"/>
        <v>80.592105263157904</v>
      </c>
      <c r="E61" s="27">
        <f t="shared" si="8"/>
        <v>5.2714333002317124</v>
      </c>
      <c r="F61" s="29">
        <f t="shared" si="21"/>
        <v>0.64</v>
      </c>
      <c r="G61" s="27">
        <f t="shared" si="10"/>
        <v>5.2714333002317124</v>
      </c>
      <c r="H61" s="29">
        <f t="shared" si="22"/>
        <v>5.2714333002317124</v>
      </c>
      <c r="I61" s="30">
        <f t="shared" si="26"/>
        <v>3.5021857263615484E-5</v>
      </c>
      <c r="J61" s="37">
        <f t="shared" si="14"/>
        <v>2.6286216640502361E-3</v>
      </c>
      <c r="K61" s="90">
        <f t="shared" si="12"/>
        <v>2.628621664050236</v>
      </c>
      <c r="L61" s="68">
        <f t="shared" si="13"/>
        <v>1</v>
      </c>
      <c r="M61" s="28">
        <f t="shared" si="23"/>
        <v>4.1183072658060258</v>
      </c>
      <c r="N61" s="28">
        <f>I61*G61*(A61-B61)</f>
        <v>2.8224852071005906E-3</v>
      </c>
      <c r="O61" s="28">
        <f t="shared" si="15"/>
        <v>80.592105263157904</v>
      </c>
      <c r="P61" s="28">
        <f t="shared" si="24"/>
        <v>15.566433566433565</v>
      </c>
      <c r="Q61" s="28">
        <f t="shared" si="25"/>
        <v>6.6713286713286708</v>
      </c>
    </row>
    <row r="62" spans="1:17" x14ac:dyDescent="0.2">
      <c r="A62" s="28">
        <f t="shared" si="17"/>
        <v>30</v>
      </c>
      <c r="B62" s="31">
        <f t="shared" si="18"/>
        <v>15</v>
      </c>
      <c r="C62" s="29">
        <f t="shared" si="19"/>
        <v>0</v>
      </c>
      <c r="D62" s="27">
        <f t="shared" si="20"/>
        <v>80.592105263157904</v>
      </c>
      <c r="E62" s="27">
        <f t="shared" si="8"/>
        <v>5.3728070175438605</v>
      </c>
      <c r="F62" s="29">
        <f t="shared" si="21"/>
        <v>0.64</v>
      </c>
      <c r="G62" s="27">
        <f t="shared" si="10"/>
        <v>5.3728070175438605</v>
      </c>
      <c r="H62" s="29">
        <f t="shared" si="22"/>
        <v>5.3728070175438605</v>
      </c>
      <c r="I62" s="30">
        <f t="shared" si="26"/>
        <v>3.4361067503924629E-5</v>
      </c>
      <c r="J62" s="37">
        <f t="shared" si="14"/>
        <v>2.6629827315541605E-3</v>
      </c>
      <c r="K62" s="90">
        <f t="shared" si="12"/>
        <v>2.6629827315541603</v>
      </c>
      <c r="L62" s="68">
        <f t="shared" si="13"/>
        <v>1</v>
      </c>
      <c r="M62" s="28">
        <f t="shared" si="23"/>
        <v>4.1975054824561404</v>
      </c>
      <c r="N62" s="28">
        <f t="shared" si="16"/>
        <v>2.7692307692307682E-3</v>
      </c>
      <c r="O62" s="28">
        <f t="shared" si="15"/>
        <v>80.592105263157904</v>
      </c>
      <c r="P62" s="28">
        <f t="shared" si="24"/>
        <v>15.272727272727272</v>
      </c>
      <c r="Q62" s="28">
        <f t="shared" si="25"/>
        <v>6.545454545454545</v>
      </c>
    </row>
    <row r="63" spans="1:17" x14ac:dyDescent="0.2">
      <c r="A63" s="28">
        <f t="shared" si="17"/>
        <v>30</v>
      </c>
      <c r="B63" s="31">
        <f t="shared" si="18"/>
        <v>15.288461538461537</v>
      </c>
      <c r="C63" s="29">
        <f t="shared" si="19"/>
        <v>0</v>
      </c>
      <c r="D63" s="27">
        <f t="shared" si="20"/>
        <v>80.592105263157904</v>
      </c>
      <c r="E63" s="27">
        <f t="shared" si="8"/>
        <v>5.4781561747506018</v>
      </c>
      <c r="F63" s="29">
        <f t="shared" si="21"/>
        <v>0.64</v>
      </c>
      <c r="G63" s="27">
        <f t="shared" si="10"/>
        <v>5.4781561747506018</v>
      </c>
      <c r="H63" s="29">
        <f t="shared" si="22"/>
        <v>5.4781561747506018</v>
      </c>
      <c r="I63" s="30">
        <f t="shared" si="26"/>
        <v>3.370027774423357E-5</v>
      </c>
      <c r="J63" s="37">
        <f t="shared" si="14"/>
        <v>2.6966830092983942E-3</v>
      </c>
      <c r="K63" s="90">
        <f t="shared" si="12"/>
        <v>2.6966830092983942</v>
      </c>
      <c r="L63" s="68">
        <f t="shared" si="13"/>
        <v>1</v>
      </c>
      <c r="M63" s="28">
        <f t="shared" si="23"/>
        <v>4.2798095115239079</v>
      </c>
      <c r="N63" s="28">
        <f t="shared" si="16"/>
        <v>2.7159763313609293E-3</v>
      </c>
      <c r="O63" s="28">
        <f t="shared" si="15"/>
        <v>80.592105263157904</v>
      </c>
      <c r="P63" s="28">
        <f t="shared" si="24"/>
        <v>14.97902097902098</v>
      </c>
      <c r="Q63" s="28">
        <f t="shared" si="25"/>
        <v>6.41958041958042</v>
      </c>
    </row>
    <row r="64" spans="1:17" x14ac:dyDescent="0.2">
      <c r="A64" s="28">
        <f t="shared" si="17"/>
        <v>30</v>
      </c>
      <c r="B64" s="31">
        <f t="shared" si="18"/>
        <v>15.576923076923078</v>
      </c>
      <c r="C64" s="29">
        <f t="shared" si="19"/>
        <v>0</v>
      </c>
      <c r="D64" s="27">
        <f t="shared" si="20"/>
        <v>80.592105263157904</v>
      </c>
      <c r="E64" s="27">
        <f t="shared" si="8"/>
        <v>5.5877192982456156</v>
      </c>
      <c r="F64" s="29">
        <f t="shared" si="21"/>
        <v>0.64</v>
      </c>
      <c r="G64" s="27">
        <f t="shared" si="10"/>
        <v>5.5877192982456156</v>
      </c>
      <c r="H64" s="29">
        <f t="shared" si="22"/>
        <v>5.5877192982456156</v>
      </c>
      <c r="I64" s="30">
        <f t="shared" si="26"/>
        <v>3.3039487984543317E-5</v>
      </c>
      <c r="J64" s="37">
        <f t="shared" si="14"/>
        <v>2.7297224972829374E-3</v>
      </c>
      <c r="K64" s="90">
        <f t="shared" si="12"/>
        <v>2.7297224972829373</v>
      </c>
      <c r="L64" s="68">
        <f t="shared" si="13"/>
        <v>1</v>
      </c>
      <c r="M64" s="28">
        <f t="shared" si="23"/>
        <v>4.365405701754387</v>
      </c>
      <c r="N64" s="28">
        <f t="shared" si="16"/>
        <v>2.6627218934911559E-3</v>
      </c>
      <c r="O64" s="28">
        <f t="shared" si="15"/>
        <v>80.592105263157904</v>
      </c>
      <c r="P64" s="28">
        <f t="shared" si="24"/>
        <v>14.685314685314681</v>
      </c>
      <c r="Q64" s="28">
        <f t="shared" si="25"/>
        <v>6.2937062937062924</v>
      </c>
    </row>
    <row r="65" spans="1:17" x14ac:dyDescent="0.2">
      <c r="A65" s="28">
        <f t="shared" si="17"/>
        <v>30</v>
      </c>
      <c r="B65" s="31">
        <f t="shared" si="18"/>
        <v>15.865384615384615</v>
      </c>
      <c r="C65" s="29">
        <f t="shared" si="19"/>
        <v>0</v>
      </c>
      <c r="D65" s="27">
        <f t="shared" si="20"/>
        <v>80.592105263157904</v>
      </c>
      <c r="E65" s="27">
        <f t="shared" si="8"/>
        <v>5.7017543859649127</v>
      </c>
      <c r="F65" s="29">
        <f t="shared" si="21"/>
        <v>0.64</v>
      </c>
      <c r="G65" s="27">
        <f t="shared" si="10"/>
        <v>5.7017543859649127</v>
      </c>
      <c r="H65" s="29">
        <f t="shared" si="22"/>
        <v>5.7017543859649127</v>
      </c>
      <c r="I65" s="30">
        <f t="shared" si="26"/>
        <v>3.2378698224851859E-5</v>
      </c>
      <c r="J65" s="37">
        <f t="shared" si="14"/>
        <v>2.7621011955077891E-3</v>
      </c>
      <c r="K65" s="90">
        <f t="shared" si="12"/>
        <v>2.762101195507789</v>
      </c>
      <c r="L65" s="68">
        <f t="shared" si="13"/>
        <v>1</v>
      </c>
      <c r="M65" s="28">
        <f t="shared" si="23"/>
        <v>4.4544956140350882</v>
      </c>
      <c r="N65" s="28">
        <f t="shared" si="16"/>
        <v>2.6094674556212849E-3</v>
      </c>
      <c r="O65" s="28">
        <f t="shared" si="15"/>
        <v>80.592105263157904</v>
      </c>
      <c r="P65" s="28">
        <f t="shared" si="24"/>
        <v>14.39160839160839</v>
      </c>
      <c r="Q65" s="28">
        <f t="shared" si="25"/>
        <v>6.1678321678321675</v>
      </c>
    </row>
    <row r="66" spans="1:17" x14ac:dyDescent="0.2">
      <c r="A66" s="28">
        <f t="shared" si="17"/>
        <v>30</v>
      </c>
      <c r="B66" s="31">
        <f t="shared" si="18"/>
        <v>16.153846153846153</v>
      </c>
      <c r="C66" s="29">
        <f t="shared" si="19"/>
        <v>0</v>
      </c>
      <c r="D66" s="27">
        <f t="shared" si="20"/>
        <v>80.592105263157904</v>
      </c>
      <c r="E66" s="27">
        <f t="shared" si="8"/>
        <v>5.8205409356725148</v>
      </c>
      <c r="F66" s="29">
        <f t="shared" si="21"/>
        <v>0.64</v>
      </c>
      <c r="G66" s="27">
        <f t="shared" si="10"/>
        <v>5.8205409356725148</v>
      </c>
      <c r="H66" s="29">
        <f t="shared" si="22"/>
        <v>5.8205409356725148</v>
      </c>
      <c r="I66" s="30">
        <f t="shared" si="26"/>
        <v>3.1717908465161199E-5</v>
      </c>
      <c r="J66" s="37">
        <f t="shared" si="14"/>
        <v>2.7938191039729504E-3</v>
      </c>
      <c r="K66" s="90">
        <f t="shared" si="12"/>
        <v>2.7938191039729503</v>
      </c>
      <c r="L66" s="68">
        <f t="shared" si="13"/>
        <v>1</v>
      </c>
      <c r="M66" s="28">
        <f t="shared" si="23"/>
        <v>4.5472976059941521</v>
      </c>
      <c r="N66" s="28">
        <f t="shared" si="16"/>
        <v>2.5562130177514786E-3</v>
      </c>
      <c r="O66" s="28">
        <f t="shared" si="15"/>
        <v>80.592105263157904</v>
      </c>
      <c r="P66" s="28">
        <f t="shared" si="24"/>
        <v>14.097902097902097</v>
      </c>
      <c r="Q66" s="28">
        <f t="shared" si="25"/>
        <v>6.0419580419580416</v>
      </c>
    </row>
    <row r="67" spans="1:17" x14ac:dyDescent="0.2">
      <c r="A67" s="28">
        <f t="shared" si="17"/>
        <v>30</v>
      </c>
      <c r="B67" s="31">
        <f t="shared" si="18"/>
        <v>16.442307692307693</v>
      </c>
      <c r="C67" s="29">
        <f t="shared" si="19"/>
        <v>0</v>
      </c>
      <c r="D67" s="27">
        <f t="shared" si="20"/>
        <v>80.592105263157904</v>
      </c>
      <c r="E67" s="27">
        <f t="shared" si="8"/>
        <v>5.9443822321761868</v>
      </c>
      <c r="F67" s="29">
        <f t="shared" si="21"/>
        <v>0.64</v>
      </c>
      <c r="G67" s="27">
        <f t="shared" si="10"/>
        <v>5.9443822321761868</v>
      </c>
      <c r="H67" s="29">
        <f t="shared" si="22"/>
        <v>5.9443822321761868</v>
      </c>
      <c r="I67" s="30">
        <f t="shared" si="26"/>
        <v>3.1057118705470527E-5</v>
      </c>
      <c r="J67" s="37">
        <f t="shared" si="14"/>
        <v>2.8248762226784209E-3</v>
      </c>
      <c r="K67" s="90">
        <f t="shared" si="12"/>
        <v>2.8248762226784208</v>
      </c>
      <c r="L67" s="68">
        <f t="shared" si="13"/>
        <v>1</v>
      </c>
      <c r="M67" s="28">
        <f t="shared" si="23"/>
        <v>4.6440486188876466</v>
      </c>
      <c r="N67" s="28">
        <f t="shared" si="16"/>
        <v>2.5029585798816713E-3</v>
      </c>
      <c r="O67" s="28">
        <f t="shared" si="15"/>
        <v>80.592105263157904</v>
      </c>
      <c r="P67" s="28">
        <f t="shared" si="24"/>
        <v>13.804195804195802</v>
      </c>
      <c r="Q67" s="28">
        <f t="shared" si="25"/>
        <v>5.9160839160839149</v>
      </c>
    </row>
    <row r="68" spans="1:17" x14ac:dyDescent="0.2">
      <c r="A68" s="28">
        <f t="shared" si="17"/>
        <v>30</v>
      </c>
      <c r="B68" s="31">
        <f t="shared" si="18"/>
        <v>16.73076923076923</v>
      </c>
      <c r="C68" s="29">
        <f t="shared" si="19"/>
        <v>0</v>
      </c>
      <c r="D68" s="27">
        <f t="shared" si="20"/>
        <v>80.592105263157904</v>
      </c>
      <c r="E68" s="27">
        <f t="shared" si="8"/>
        <v>6.0736079328756674</v>
      </c>
      <c r="F68" s="29">
        <f t="shared" si="21"/>
        <v>0.64</v>
      </c>
      <c r="G68" s="27">
        <f t="shared" si="10"/>
        <v>6.0736079328756674</v>
      </c>
      <c r="H68" s="29">
        <f t="shared" si="22"/>
        <v>6.0736079328756674</v>
      </c>
      <c r="I68" s="30">
        <f t="shared" si="26"/>
        <v>3.0396328945779298E-5</v>
      </c>
      <c r="J68" s="37">
        <f t="shared" si="14"/>
        <v>2.8552725516242002E-3</v>
      </c>
      <c r="K68" s="90">
        <f t="shared" si="12"/>
        <v>2.8552725516242004</v>
      </c>
      <c r="L68" s="68">
        <f t="shared" si="13"/>
        <v>1</v>
      </c>
      <c r="M68" s="28">
        <f t="shared" si="23"/>
        <v>4.7450061975591149</v>
      </c>
      <c r="N68" s="28">
        <f t="shared" si="16"/>
        <v>2.4497041420118186E-3</v>
      </c>
      <c r="O68" s="28">
        <f t="shared" si="15"/>
        <v>80.592105263157904</v>
      </c>
      <c r="P68" s="28">
        <f t="shared" si="24"/>
        <v>13.51048951048951</v>
      </c>
      <c r="Q68" s="28">
        <f t="shared" si="25"/>
        <v>5.79020979020979</v>
      </c>
    </row>
    <row r="69" spans="1:17" x14ac:dyDescent="0.2">
      <c r="A69" s="28">
        <f t="shared" si="17"/>
        <v>30</v>
      </c>
      <c r="B69" s="31">
        <f t="shared" si="18"/>
        <v>17.01923076923077</v>
      </c>
      <c r="C69" s="29">
        <f t="shared" si="19"/>
        <v>0</v>
      </c>
      <c r="D69" s="27">
        <f t="shared" si="20"/>
        <v>80.592105263157904</v>
      </c>
      <c r="E69" s="27">
        <f t="shared" si="8"/>
        <v>6.2085769980506837</v>
      </c>
      <c r="F69" s="29">
        <f t="shared" si="21"/>
        <v>0.64</v>
      </c>
      <c r="G69" s="27">
        <f t="shared" si="10"/>
        <v>6.2085769980506837</v>
      </c>
      <c r="H69" s="29">
        <f t="shared" si="22"/>
        <v>6.2085769980506837</v>
      </c>
      <c r="I69" s="30">
        <f t="shared" si="26"/>
        <v>2.9735539186088802E-5</v>
      </c>
      <c r="J69" s="37">
        <f t="shared" si="14"/>
        <v>2.8850080908102891E-3</v>
      </c>
      <c r="K69" s="90">
        <f t="shared" si="12"/>
        <v>2.8850080908102891</v>
      </c>
      <c r="L69" s="68">
        <f t="shared" si="13"/>
        <v>1</v>
      </c>
      <c r="M69" s="28">
        <f t="shared" si="23"/>
        <v>4.8504507797270975</v>
      </c>
      <c r="N69" s="28">
        <f t="shared" si="16"/>
        <v>2.3964497041420257E-3</v>
      </c>
      <c r="O69" s="28">
        <f t="shared" si="15"/>
        <v>80.592105263157904</v>
      </c>
      <c r="P69" s="28">
        <f t="shared" si="24"/>
        <v>13.216783216783215</v>
      </c>
      <c r="Q69" s="28">
        <f t="shared" si="25"/>
        <v>5.6643356643356633</v>
      </c>
    </row>
    <row r="70" spans="1:17" x14ac:dyDescent="0.2">
      <c r="A70" s="28">
        <f t="shared" si="17"/>
        <v>30</v>
      </c>
      <c r="B70" s="31">
        <f t="shared" si="18"/>
        <v>17.307692307692307</v>
      </c>
      <c r="C70" s="29">
        <f t="shared" si="19"/>
        <v>0</v>
      </c>
      <c r="D70" s="27">
        <f t="shared" si="20"/>
        <v>80.592105263157904</v>
      </c>
      <c r="E70" s="27">
        <f t="shared" si="8"/>
        <v>6.25</v>
      </c>
      <c r="F70" s="29">
        <f t="shared" si="21"/>
        <v>0.64</v>
      </c>
      <c r="G70" s="27">
        <f t="shared" si="10"/>
        <v>6.25</v>
      </c>
      <c r="H70" s="29">
        <f t="shared" si="22"/>
        <v>6.25</v>
      </c>
      <c r="I70" s="30">
        <f t="shared" si="26"/>
        <v>2.9538461538461347E-5</v>
      </c>
      <c r="J70" s="37">
        <f t="shared" si="14"/>
        <v>2.9145465523487506E-3</v>
      </c>
      <c r="K70" s="90">
        <f t="shared" si="12"/>
        <v>2.9145465523487504</v>
      </c>
      <c r="L70" s="68">
        <f t="shared" si="13"/>
        <v>1</v>
      </c>
      <c r="M70" s="28">
        <f t="shared" si="23"/>
        <v>4.8828125</v>
      </c>
      <c r="N70" s="28">
        <f t="shared" si="16"/>
        <v>2.3431952662721742E-3</v>
      </c>
      <c r="O70" s="28">
        <f t="shared" si="15"/>
        <v>79.32692307692308</v>
      </c>
      <c r="P70" s="28">
        <f t="shared" si="24"/>
        <v>12.923076923076923</v>
      </c>
      <c r="Q70" s="28">
        <f t="shared" si="25"/>
        <v>5.5384615384615383</v>
      </c>
    </row>
    <row r="71" spans="1:17" x14ac:dyDescent="0.2">
      <c r="A71" s="28">
        <f t="shared" si="17"/>
        <v>30</v>
      </c>
      <c r="B71" s="31">
        <f t="shared" si="18"/>
        <v>17.596153846153847</v>
      </c>
      <c r="C71" s="29">
        <f t="shared" si="19"/>
        <v>0</v>
      </c>
      <c r="D71" s="27">
        <f t="shared" si="20"/>
        <v>80.592105263157904</v>
      </c>
      <c r="E71" s="27">
        <f t="shared" si="8"/>
        <v>6.25</v>
      </c>
      <c r="F71" s="29">
        <f t="shared" si="21"/>
        <v>0.64</v>
      </c>
      <c r="G71" s="27">
        <f t="shared" si="10"/>
        <v>6.25</v>
      </c>
      <c r="H71" s="29">
        <f t="shared" si="22"/>
        <v>6.25</v>
      </c>
      <c r="I71" s="30">
        <f t="shared" si="26"/>
        <v>2.9538461538461709E-5</v>
      </c>
      <c r="J71" s="37">
        <f t="shared" si="14"/>
        <v>2.9440850138872125E-3</v>
      </c>
      <c r="K71" s="90">
        <f t="shared" si="12"/>
        <v>2.9440850138872126</v>
      </c>
      <c r="L71" s="68">
        <f t="shared" si="13"/>
        <v>1</v>
      </c>
      <c r="M71" s="28">
        <f t="shared" si="23"/>
        <v>4.8828125</v>
      </c>
      <c r="N71" s="28">
        <f t="shared" si="16"/>
        <v>2.28994082840238E-3</v>
      </c>
      <c r="O71" s="28">
        <f t="shared" si="15"/>
        <v>77.524038461538453</v>
      </c>
      <c r="P71" s="28">
        <f t="shared" si="24"/>
        <v>12.629370629370628</v>
      </c>
      <c r="Q71" s="28">
        <f t="shared" si="25"/>
        <v>5.4125874125874125</v>
      </c>
    </row>
    <row r="72" spans="1:17" x14ac:dyDescent="0.2">
      <c r="A72" s="28">
        <f t="shared" si="17"/>
        <v>30</v>
      </c>
      <c r="B72" s="31">
        <f t="shared" si="18"/>
        <v>17.884615384615383</v>
      </c>
      <c r="C72" s="29">
        <f t="shared" si="19"/>
        <v>0</v>
      </c>
      <c r="D72" s="27">
        <f t="shared" si="20"/>
        <v>80.592105263157904</v>
      </c>
      <c r="E72" s="27">
        <f t="shared" si="8"/>
        <v>6.25</v>
      </c>
      <c r="F72" s="29">
        <f t="shared" si="21"/>
        <v>0.64</v>
      </c>
      <c r="G72" s="27">
        <f t="shared" si="10"/>
        <v>6.25</v>
      </c>
      <c r="H72" s="29">
        <f t="shared" si="22"/>
        <v>6.25</v>
      </c>
      <c r="I72" s="30">
        <f t="shared" si="26"/>
        <v>2.9538461538461347E-5</v>
      </c>
      <c r="J72" s="37">
        <f t="shared" si="14"/>
        <v>2.973623475425674E-3</v>
      </c>
      <c r="K72" s="90">
        <f t="shared" si="12"/>
        <v>2.9736234754256738</v>
      </c>
      <c r="L72" s="68">
        <f t="shared" si="13"/>
        <v>1</v>
      </c>
      <c r="M72" s="28">
        <f t="shared" si="23"/>
        <v>4.8828125</v>
      </c>
      <c r="N72" s="28">
        <f t="shared" si="16"/>
        <v>2.2366863905325302E-3</v>
      </c>
      <c r="O72" s="28">
        <f t="shared" si="15"/>
        <v>75.721153846153854</v>
      </c>
      <c r="P72" s="28">
        <f t="shared" si="24"/>
        <v>12.335664335664335</v>
      </c>
      <c r="Q72" s="28">
        <f t="shared" si="25"/>
        <v>5.2867132867132867</v>
      </c>
    </row>
    <row r="73" spans="1:17" x14ac:dyDescent="0.2">
      <c r="A73" s="28">
        <f t="shared" si="17"/>
        <v>30</v>
      </c>
      <c r="B73" s="31">
        <f t="shared" si="18"/>
        <v>18.173076923076923</v>
      </c>
      <c r="C73" s="29">
        <f t="shared" si="19"/>
        <v>0</v>
      </c>
      <c r="D73" s="27">
        <f t="shared" si="20"/>
        <v>80.592105263157904</v>
      </c>
      <c r="E73" s="27">
        <f t="shared" si="8"/>
        <v>6.25</v>
      </c>
      <c r="F73" s="29">
        <f t="shared" si="21"/>
        <v>0.64</v>
      </c>
      <c r="G73" s="27">
        <f t="shared" si="10"/>
        <v>6.25</v>
      </c>
      <c r="H73" s="29">
        <f t="shared" si="22"/>
        <v>6.25</v>
      </c>
      <c r="I73" s="30">
        <f t="shared" si="26"/>
        <v>2.9538461538461709E-5</v>
      </c>
      <c r="J73" s="37">
        <f t="shared" si="14"/>
        <v>3.0031619369641359E-3</v>
      </c>
      <c r="K73" s="90">
        <f t="shared" si="12"/>
        <v>3.003161936964136</v>
      </c>
      <c r="L73" s="68">
        <f t="shared" si="13"/>
        <v>1</v>
      </c>
      <c r="M73" s="28">
        <f t="shared" si="23"/>
        <v>4.8828125</v>
      </c>
      <c r="N73" s="28">
        <f t="shared" si="16"/>
        <v>2.1834319526627347E-3</v>
      </c>
      <c r="O73" s="28">
        <f t="shared" si="15"/>
        <v>73.918269230769226</v>
      </c>
      <c r="P73" s="28">
        <f t="shared" si="24"/>
        <v>12.04195804195804</v>
      </c>
      <c r="Q73" s="28">
        <f t="shared" si="25"/>
        <v>5.1608391608391608</v>
      </c>
    </row>
    <row r="74" spans="1:17" x14ac:dyDescent="0.2">
      <c r="A74" s="28">
        <f t="shared" ref="A74:A105" si="27">VINMAX</f>
        <v>30</v>
      </c>
      <c r="B74" s="31">
        <f t="shared" ref="B74:B105" si="28">VINMAX*((ROW()-10)/104)</f>
        <v>18.461538461538463</v>
      </c>
      <c r="C74" s="29">
        <f t="shared" ref="C74:C105" si="29">IF(B74&gt;=$H$2,IF($D$2="CC", $G$2, B74/$G$2), 0)</f>
        <v>0</v>
      </c>
      <c r="D74" s="27">
        <f t="shared" ref="D74:D105" si="30">$B$2-B74*$J$2/($I$2*0.001)</f>
        <v>80.592105263157904</v>
      </c>
      <c r="E74" s="27">
        <f t="shared" si="8"/>
        <v>6.25</v>
      </c>
      <c r="F74" s="29">
        <f t="shared" ref="F74:F105" si="31">I_Cout_ss+C74</f>
        <v>0.64</v>
      </c>
      <c r="G74" s="27">
        <f t="shared" si="10"/>
        <v>6.25</v>
      </c>
      <c r="H74" s="29">
        <f t="shared" ref="H74:H105" si="32">G74-C74</f>
        <v>6.25</v>
      </c>
      <c r="I74" s="30">
        <f t="shared" si="26"/>
        <v>2.9538461538461709E-5</v>
      </c>
      <c r="J74" s="37">
        <f t="shared" si="14"/>
        <v>3.0327003985025978E-3</v>
      </c>
      <c r="K74" s="90">
        <f t="shared" si="12"/>
        <v>3.0327003985025978</v>
      </c>
      <c r="L74" s="68">
        <f t="shared" si="13"/>
        <v>1</v>
      </c>
      <c r="M74" s="28">
        <f t="shared" ref="M74:M105" si="33">1/COUTMAX*(E74/2-C74)*1000</f>
        <v>4.8828125</v>
      </c>
      <c r="N74" s="28">
        <f t="shared" si="16"/>
        <v>2.1301775147929114E-3</v>
      </c>
      <c r="O74" s="28">
        <f t="shared" si="15"/>
        <v>72.115384615384599</v>
      </c>
      <c r="P74" s="28">
        <f t="shared" ref="P74:P105" si="34">(A74-B74)*(I_Cout_ss*$Q$2+C74)</f>
        <v>11.748251748251745</v>
      </c>
      <c r="Q74" s="28">
        <f t="shared" ref="Q74:Q105" si="35">(A74-B74)*(I_Cout_ss*$R$2+C74)</f>
        <v>5.0349650349650341</v>
      </c>
    </row>
    <row r="75" spans="1:17" x14ac:dyDescent="0.2">
      <c r="A75" s="28">
        <f t="shared" si="27"/>
        <v>30</v>
      </c>
      <c r="B75" s="31">
        <f t="shared" si="28"/>
        <v>18.75</v>
      </c>
      <c r="C75" s="29">
        <f t="shared" si="29"/>
        <v>0</v>
      </c>
      <c r="D75" s="27">
        <f t="shared" si="30"/>
        <v>80.592105263157904</v>
      </c>
      <c r="E75" s="27">
        <f t="shared" ref="E75:E110" si="36">MIN(D75/(A75-B75),$C$2)</f>
        <v>6.25</v>
      </c>
      <c r="F75" s="29">
        <f t="shared" si="31"/>
        <v>0.64</v>
      </c>
      <c r="G75" s="27">
        <f t="shared" ref="G75:G110" si="37">IF($F$2="YES", F75, E75)</f>
        <v>6.25</v>
      </c>
      <c r="H75" s="29">
        <f t="shared" si="32"/>
        <v>6.25</v>
      </c>
      <c r="I75" s="30">
        <f t="shared" ref="I75:I106" si="38">(COUTMAX/1000000)*(B75-B74)/H75</f>
        <v>2.9538461538461347E-5</v>
      </c>
      <c r="J75" s="37">
        <f t="shared" si="14"/>
        <v>3.0622388600410593E-3</v>
      </c>
      <c r="K75" s="90">
        <f t="shared" ref="K75:K114" si="39">J75*1000</f>
        <v>3.0622388600410595</v>
      </c>
      <c r="L75" s="68">
        <f t="shared" ref="L75:L110" si="40">H75/G75</f>
        <v>1</v>
      </c>
      <c r="M75" s="28">
        <f t="shared" si="33"/>
        <v>4.8828125</v>
      </c>
      <c r="N75" s="28">
        <f t="shared" ref="N75:N110" si="41">I75*G75*(A75-B75)</f>
        <v>2.0769230769230635E-3</v>
      </c>
      <c r="O75" s="28">
        <f t="shared" ref="O75:O114" si="42">G75*(A75-B75)</f>
        <v>70.3125</v>
      </c>
      <c r="P75" s="28">
        <f t="shared" si="34"/>
        <v>11.454545454545453</v>
      </c>
      <c r="Q75" s="28">
        <f t="shared" si="35"/>
        <v>4.9090909090909092</v>
      </c>
    </row>
    <row r="76" spans="1:17" x14ac:dyDescent="0.2">
      <c r="A76" s="28">
        <f t="shared" si="27"/>
        <v>30</v>
      </c>
      <c r="B76" s="31">
        <f t="shared" si="28"/>
        <v>19.038461538461537</v>
      </c>
      <c r="C76" s="29">
        <f t="shared" si="29"/>
        <v>0</v>
      </c>
      <c r="D76" s="27">
        <f t="shared" si="30"/>
        <v>80.592105263157904</v>
      </c>
      <c r="E76" s="27">
        <f t="shared" si="36"/>
        <v>6.25</v>
      </c>
      <c r="F76" s="29">
        <f t="shared" si="31"/>
        <v>0.64</v>
      </c>
      <c r="G76" s="27">
        <f t="shared" si="37"/>
        <v>6.25</v>
      </c>
      <c r="H76" s="29">
        <f t="shared" si="32"/>
        <v>6.25</v>
      </c>
      <c r="I76" s="30">
        <f t="shared" si="38"/>
        <v>2.9538461538461347E-5</v>
      </c>
      <c r="J76" s="37">
        <f t="shared" ref="J76:J110" si="43">J75+I76</f>
        <v>3.0917773215795208E-3</v>
      </c>
      <c r="K76" s="90">
        <f t="shared" si="39"/>
        <v>3.0917773215795208</v>
      </c>
      <c r="L76" s="68">
        <f t="shared" si="40"/>
        <v>1</v>
      </c>
      <c r="M76" s="28">
        <f t="shared" si="33"/>
        <v>4.8828125</v>
      </c>
      <c r="N76" s="28">
        <f t="shared" si="41"/>
        <v>2.0236686390532415E-3</v>
      </c>
      <c r="O76" s="28">
        <f t="shared" si="42"/>
        <v>68.509615384615401</v>
      </c>
      <c r="P76" s="28">
        <f t="shared" si="34"/>
        <v>11.160839160839162</v>
      </c>
      <c r="Q76" s="28">
        <f t="shared" si="35"/>
        <v>4.7832167832167842</v>
      </c>
    </row>
    <row r="77" spans="1:17" x14ac:dyDescent="0.2">
      <c r="A77" s="28">
        <f t="shared" si="27"/>
        <v>30</v>
      </c>
      <c r="B77" s="31">
        <f t="shared" si="28"/>
        <v>19.326923076923077</v>
      </c>
      <c r="C77" s="29">
        <f t="shared" si="29"/>
        <v>0</v>
      </c>
      <c r="D77" s="27">
        <f t="shared" si="30"/>
        <v>80.592105263157904</v>
      </c>
      <c r="E77" s="27">
        <f t="shared" si="36"/>
        <v>6.25</v>
      </c>
      <c r="F77" s="29">
        <f t="shared" si="31"/>
        <v>0.64</v>
      </c>
      <c r="G77" s="27">
        <f t="shared" si="37"/>
        <v>6.25</v>
      </c>
      <c r="H77" s="29">
        <f t="shared" si="32"/>
        <v>6.25</v>
      </c>
      <c r="I77" s="30">
        <f t="shared" si="38"/>
        <v>2.9538461538461709E-5</v>
      </c>
      <c r="J77" s="37">
        <f t="shared" si="43"/>
        <v>3.1213157831179827E-3</v>
      </c>
      <c r="K77" s="90">
        <f t="shared" si="39"/>
        <v>3.1213157831179825</v>
      </c>
      <c r="L77" s="68">
        <f t="shared" si="40"/>
        <v>1</v>
      </c>
      <c r="M77" s="28">
        <f t="shared" si="33"/>
        <v>4.8828125</v>
      </c>
      <c r="N77" s="28">
        <f t="shared" si="41"/>
        <v>1.9704142011834434E-3</v>
      </c>
      <c r="O77" s="28">
        <f t="shared" si="42"/>
        <v>66.706730769230774</v>
      </c>
      <c r="P77" s="28">
        <f t="shared" si="34"/>
        <v>10.867132867132867</v>
      </c>
      <c r="Q77" s="28">
        <f t="shared" si="35"/>
        <v>4.6573426573426575</v>
      </c>
    </row>
    <row r="78" spans="1:17" x14ac:dyDescent="0.2">
      <c r="A78" s="28">
        <f t="shared" si="27"/>
        <v>30</v>
      </c>
      <c r="B78" s="31">
        <f t="shared" si="28"/>
        <v>19.615384615384617</v>
      </c>
      <c r="C78" s="29">
        <f t="shared" si="29"/>
        <v>0</v>
      </c>
      <c r="D78" s="27">
        <f t="shared" si="30"/>
        <v>80.592105263157904</v>
      </c>
      <c r="E78" s="27">
        <f t="shared" si="36"/>
        <v>6.25</v>
      </c>
      <c r="F78" s="29">
        <f t="shared" si="31"/>
        <v>0.64</v>
      </c>
      <c r="G78" s="27">
        <f t="shared" si="37"/>
        <v>6.25</v>
      </c>
      <c r="H78" s="29">
        <f t="shared" si="32"/>
        <v>6.25</v>
      </c>
      <c r="I78" s="30">
        <f t="shared" si="38"/>
        <v>2.9538461538461709E-5</v>
      </c>
      <c r="J78" s="37">
        <f t="shared" si="43"/>
        <v>3.1508542446564447E-3</v>
      </c>
      <c r="K78" s="90">
        <f t="shared" si="39"/>
        <v>3.1508542446564447</v>
      </c>
      <c r="L78" s="68">
        <f t="shared" si="40"/>
        <v>1</v>
      </c>
      <c r="M78" s="28">
        <f t="shared" si="33"/>
        <v>4.8828125</v>
      </c>
      <c r="N78" s="28">
        <f t="shared" si="41"/>
        <v>1.9171597633136203E-3</v>
      </c>
      <c r="O78" s="28">
        <f t="shared" si="42"/>
        <v>64.903846153846146</v>
      </c>
      <c r="P78" s="28">
        <f t="shared" si="34"/>
        <v>10.573426573426572</v>
      </c>
      <c r="Q78" s="28">
        <f t="shared" si="35"/>
        <v>4.5314685314685308</v>
      </c>
    </row>
    <row r="79" spans="1:17" x14ac:dyDescent="0.2">
      <c r="A79" s="28">
        <f t="shared" si="27"/>
        <v>30</v>
      </c>
      <c r="B79" s="31">
        <f t="shared" si="28"/>
        <v>19.903846153846153</v>
      </c>
      <c r="C79" s="29">
        <f t="shared" si="29"/>
        <v>0</v>
      </c>
      <c r="D79" s="27">
        <f t="shared" si="30"/>
        <v>80.592105263157904</v>
      </c>
      <c r="E79" s="27">
        <f t="shared" si="36"/>
        <v>6.25</v>
      </c>
      <c r="F79" s="29">
        <f t="shared" si="31"/>
        <v>0.64</v>
      </c>
      <c r="G79" s="27">
        <f t="shared" si="37"/>
        <v>6.25</v>
      </c>
      <c r="H79" s="29">
        <f t="shared" si="32"/>
        <v>6.25</v>
      </c>
      <c r="I79" s="30">
        <f t="shared" si="38"/>
        <v>2.9538461538461347E-5</v>
      </c>
      <c r="J79" s="37">
        <f t="shared" si="43"/>
        <v>3.1803927061949061E-3</v>
      </c>
      <c r="K79" s="90">
        <f t="shared" si="39"/>
        <v>3.180392706194906</v>
      </c>
      <c r="L79" s="68">
        <f t="shared" si="40"/>
        <v>1</v>
      </c>
      <c r="M79" s="28">
        <f t="shared" si="33"/>
        <v>4.8828125</v>
      </c>
      <c r="N79" s="28">
        <f t="shared" si="41"/>
        <v>1.8639053254437749E-3</v>
      </c>
      <c r="O79" s="28">
        <f t="shared" si="42"/>
        <v>63.10096153846154</v>
      </c>
      <c r="P79" s="28">
        <f t="shared" si="34"/>
        <v>10.27972027972028</v>
      </c>
      <c r="Q79" s="28">
        <f t="shared" si="35"/>
        <v>4.4055944055944058</v>
      </c>
    </row>
    <row r="80" spans="1:17" x14ac:dyDescent="0.2">
      <c r="A80" s="28">
        <f t="shared" si="27"/>
        <v>30</v>
      </c>
      <c r="B80" s="31">
        <f t="shared" si="28"/>
        <v>20.192307692307693</v>
      </c>
      <c r="C80" s="29">
        <f t="shared" si="29"/>
        <v>0</v>
      </c>
      <c r="D80" s="27">
        <f t="shared" si="30"/>
        <v>80.592105263157904</v>
      </c>
      <c r="E80" s="27">
        <f t="shared" si="36"/>
        <v>6.25</v>
      </c>
      <c r="F80" s="29">
        <f t="shared" si="31"/>
        <v>0.64</v>
      </c>
      <c r="G80" s="27">
        <f t="shared" si="37"/>
        <v>6.25</v>
      </c>
      <c r="H80" s="29">
        <f t="shared" si="32"/>
        <v>6.25</v>
      </c>
      <c r="I80" s="30">
        <f t="shared" si="38"/>
        <v>2.9538461538461709E-5</v>
      </c>
      <c r="J80" s="37">
        <f t="shared" si="43"/>
        <v>3.2099311677333681E-3</v>
      </c>
      <c r="K80" s="90">
        <f t="shared" si="39"/>
        <v>3.2099311677333682</v>
      </c>
      <c r="L80" s="68">
        <f t="shared" si="40"/>
        <v>1</v>
      </c>
      <c r="M80" s="28">
        <f t="shared" si="33"/>
        <v>4.8828125</v>
      </c>
      <c r="N80" s="28">
        <f t="shared" si="41"/>
        <v>1.8106508875739748E-3</v>
      </c>
      <c r="O80" s="28">
        <f t="shared" si="42"/>
        <v>61.29807692307692</v>
      </c>
      <c r="P80" s="28">
        <f t="shared" si="34"/>
        <v>9.9860139860139832</v>
      </c>
      <c r="Q80" s="28">
        <f t="shared" si="35"/>
        <v>4.2797202797202791</v>
      </c>
    </row>
    <row r="81" spans="1:17" x14ac:dyDescent="0.2">
      <c r="A81" s="28">
        <f t="shared" si="27"/>
        <v>30</v>
      </c>
      <c r="B81" s="31">
        <f t="shared" si="28"/>
        <v>20.48076923076923</v>
      </c>
      <c r="C81" s="29">
        <f t="shared" si="29"/>
        <v>0</v>
      </c>
      <c r="D81" s="27">
        <f t="shared" si="30"/>
        <v>80.592105263157904</v>
      </c>
      <c r="E81" s="27">
        <f t="shared" si="36"/>
        <v>6.25</v>
      </c>
      <c r="F81" s="29">
        <f t="shared" si="31"/>
        <v>0.64</v>
      </c>
      <c r="G81" s="27">
        <f t="shared" si="37"/>
        <v>6.25</v>
      </c>
      <c r="H81" s="29">
        <f t="shared" si="32"/>
        <v>6.25</v>
      </c>
      <c r="I81" s="30">
        <f t="shared" si="38"/>
        <v>2.9538461538461347E-5</v>
      </c>
      <c r="J81" s="37">
        <f t="shared" si="43"/>
        <v>3.2394696292718296E-3</v>
      </c>
      <c r="K81" s="90">
        <f t="shared" si="39"/>
        <v>3.2394696292718295</v>
      </c>
      <c r="L81" s="68">
        <f t="shared" si="40"/>
        <v>1</v>
      </c>
      <c r="M81" s="28">
        <f t="shared" si="33"/>
        <v>4.8828125</v>
      </c>
      <c r="N81" s="28">
        <f t="shared" si="41"/>
        <v>1.7573964497041307E-3</v>
      </c>
      <c r="O81" s="28">
        <f t="shared" si="42"/>
        <v>59.495192307692314</v>
      </c>
      <c r="P81" s="28">
        <f t="shared" si="34"/>
        <v>9.6923076923076916</v>
      </c>
      <c r="Q81" s="28">
        <f t="shared" si="35"/>
        <v>4.1538461538461542</v>
      </c>
    </row>
    <row r="82" spans="1:17" x14ac:dyDescent="0.2">
      <c r="A82" s="28">
        <f t="shared" si="27"/>
        <v>30</v>
      </c>
      <c r="B82" s="31">
        <f t="shared" si="28"/>
        <v>20.76923076923077</v>
      </c>
      <c r="C82" s="29">
        <f t="shared" si="29"/>
        <v>0</v>
      </c>
      <c r="D82" s="27">
        <f t="shared" si="30"/>
        <v>80.592105263157904</v>
      </c>
      <c r="E82" s="27">
        <f t="shared" si="36"/>
        <v>6.25</v>
      </c>
      <c r="F82" s="29">
        <f t="shared" si="31"/>
        <v>0.64</v>
      </c>
      <c r="G82" s="27">
        <f t="shared" si="37"/>
        <v>6.25</v>
      </c>
      <c r="H82" s="29">
        <f t="shared" si="32"/>
        <v>6.25</v>
      </c>
      <c r="I82" s="30">
        <f t="shared" si="38"/>
        <v>2.9538461538461709E-5</v>
      </c>
      <c r="J82" s="37">
        <f t="shared" si="43"/>
        <v>3.2690080908102915E-3</v>
      </c>
      <c r="K82" s="90">
        <f t="shared" si="39"/>
        <v>3.2690080908102916</v>
      </c>
      <c r="L82" s="68">
        <f t="shared" si="40"/>
        <v>1</v>
      </c>
      <c r="M82" s="28">
        <f t="shared" si="33"/>
        <v>4.8828125</v>
      </c>
      <c r="N82" s="28">
        <f t="shared" si="41"/>
        <v>1.7041420118343294E-3</v>
      </c>
      <c r="O82" s="28">
        <f t="shared" si="42"/>
        <v>57.692307692307686</v>
      </c>
      <c r="P82" s="28">
        <f t="shared" si="34"/>
        <v>9.3986013986013965</v>
      </c>
      <c r="Q82" s="28">
        <f t="shared" si="35"/>
        <v>4.0279720279720275</v>
      </c>
    </row>
    <row r="83" spans="1:17" x14ac:dyDescent="0.2">
      <c r="A83" s="28">
        <f t="shared" si="27"/>
        <v>30</v>
      </c>
      <c r="B83" s="31">
        <f t="shared" si="28"/>
        <v>21.057692307692307</v>
      </c>
      <c r="C83" s="29">
        <f t="shared" si="29"/>
        <v>0</v>
      </c>
      <c r="D83" s="27">
        <f t="shared" si="30"/>
        <v>80.592105263157904</v>
      </c>
      <c r="E83" s="27">
        <f t="shared" si="36"/>
        <v>6.25</v>
      </c>
      <c r="F83" s="29">
        <f t="shared" si="31"/>
        <v>0.64</v>
      </c>
      <c r="G83" s="27">
        <f t="shared" si="37"/>
        <v>6.25</v>
      </c>
      <c r="H83" s="29">
        <f t="shared" si="32"/>
        <v>6.25</v>
      </c>
      <c r="I83" s="30">
        <f t="shared" si="38"/>
        <v>2.9538461538461347E-5</v>
      </c>
      <c r="J83" s="37">
        <f t="shared" si="43"/>
        <v>3.298546552348753E-3</v>
      </c>
      <c r="K83" s="90">
        <f t="shared" si="39"/>
        <v>3.2985465523487529</v>
      </c>
      <c r="L83" s="68">
        <f t="shared" si="40"/>
        <v>1</v>
      </c>
      <c r="M83" s="28">
        <f t="shared" si="33"/>
        <v>4.8828125</v>
      </c>
      <c r="N83" s="28">
        <f t="shared" si="41"/>
        <v>1.6508875739644866E-3</v>
      </c>
      <c r="O83" s="28">
        <f t="shared" si="42"/>
        <v>55.88942307692308</v>
      </c>
      <c r="P83" s="28">
        <f t="shared" si="34"/>
        <v>9.104895104895105</v>
      </c>
      <c r="Q83" s="28">
        <f t="shared" si="35"/>
        <v>3.9020979020979025</v>
      </c>
    </row>
    <row r="84" spans="1:17" x14ac:dyDescent="0.2">
      <c r="A84" s="28">
        <f t="shared" si="27"/>
        <v>30</v>
      </c>
      <c r="B84" s="31">
        <f t="shared" si="28"/>
        <v>21.346153846153847</v>
      </c>
      <c r="C84" s="29">
        <f t="shared" si="29"/>
        <v>0</v>
      </c>
      <c r="D84" s="27">
        <f t="shared" si="30"/>
        <v>80.592105263157904</v>
      </c>
      <c r="E84" s="27">
        <f t="shared" si="36"/>
        <v>6.25</v>
      </c>
      <c r="F84" s="29">
        <f t="shared" si="31"/>
        <v>0.64</v>
      </c>
      <c r="G84" s="27">
        <f t="shared" si="37"/>
        <v>6.25</v>
      </c>
      <c r="H84" s="29">
        <f t="shared" si="32"/>
        <v>6.25</v>
      </c>
      <c r="I84" s="30">
        <f t="shared" si="38"/>
        <v>2.9538461538461709E-5</v>
      </c>
      <c r="J84" s="37">
        <f t="shared" si="43"/>
        <v>3.3280850138872149E-3</v>
      </c>
      <c r="K84" s="90">
        <f t="shared" si="39"/>
        <v>3.3280850138872147</v>
      </c>
      <c r="L84" s="68">
        <f t="shared" si="40"/>
        <v>1</v>
      </c>
      <c r="M84" s="28">
        <f t="shared" si="33"/>
        <v>4.8828125</v>
      </c>
      <c r="N84" s="28">
        <f t="shared" si="41"/>
        <v>1.5976331360946837E-3</v>
      </c>
      <c r="O84" s="28">
        <f t="shared" si="42"/>
        <v>54.08653846153846</v>
      </c>
      <c r="P84" s="28">
        <f t="shared" si="34"/>
        <v>8.8111888111888099</v>
      </c>
      <c r="Q84" s="28">
        <f t="shared" si="35"/>
        <v>3.7762237762237758</v>
      </c>
    </row>
    <row r="85" spans="1:17" x14ac:dyDescent="0.2">
      <c r="A85" s="28">
        <f t="shared" si="27"/>
        <v>30</v>
      </c>
      <c r="B85" s="31">
        <f t="shared" si="28"/>
        <v>21.634615384615383</v>
      </c>
      <c r="C85" s="29">
        <f t="shared" si="29"/>
        <v>0</v>
      </c>
      <c r="D85" s="27">
        <f t="shared" si="30"/>
        <v>80.592105263157904</v>
      </c>
      <c r="E85" s="27">
        <f t="shared" si="36"/>
        <v>6.25</v>
      </c>
      <c r="F85" s="29">
        <f t="shared" si="31"/>
        <v>0.64</v>
      </c>
      <c r="G85" s="27">
        <f t="shared" si="37"/>
        <v>6.25</v>
      </c>
      <c r="H85" s="29">
        <f t="shared" si="32"/>
        <v>6.25</v>
      </c>
      <c r="I85" s="30">
        <f t="shared" si="38"/>
        <v>2.9538461538461347E-5</v>
      </c>
      <c r="J85" s="37">
        <f t="shared" si="43"/>
        <v>3.3576234754256764E-3</v>
      </c>
      <c r="K85" s="90">
        <f t="shared" si="39"/>
        <v>3.3576234754256764</v>
      </c>
      <c r="L85" s="68">
        <f t="shared" si="40"/>
        <v>1</v>
      </c>
      <c r="M85" s="28">
        <f t="shared" si="33"/>
        <v>4.8828125</v>
      </c>
      <c r="N85" s="28">
        <f t="shared" si="41"/>
        <v>1.5443786982248422E-3</v>
      </c>
      <c r="O85" s="28">
        <f t="shared" si="42"/>
        <v>52.283653846153854</v>
      </c>
      <c r="P85" s="28">
        <f t="shared" si="34"/>
        <v>8.5174825174825184</v>
      </c>
      <c r="Q85" s="28">
        <f t="shared" si="35"/>
        <v>3.6503496503496509</v>
      </c>
    </row>
    <row r="86" spans="1:17" x14ac:dyDescent="0.2">
      <c r="A86" s="28">
        <f t="shared" si="27"/>
        <v>30</v>
      </c>
      <c r="B86" s="31">
        <f t="shared" si="28"/>
        <v>21.923076923076923</v>
      </c>
      <c r="C86" s="29">
        <f t="shared" si="29"/>
        <v>0</v>
      </c>
      <c r="D86" s="27">
        <f t="shared" si="30"/>
        <v>80.592105263157904</v>
      </c>
      <c r="E86" s="27">
        <f t="shared" si="36"/>
        <v>6.25</v>
      </c>
      <c r="F86" s="29">
        <f t="shared" si="31"/>
        <v>0.64</v>
      </c>
      <c r="G86" s="27">
        <f t="shared" si="37"/>
        <v>6.25</v>
      </c>
      <c r="H86" s="29">
        <f t="shared" si="32"/>
        <v>6.25</v>
      </c>
      <c r="I86" s="30">
        <f t="shared" si="38"/>
        <v>2.9538461538461709E-5</v>
      </c>
      <c r="J86" s="37">
        <f t="shared" si="43"/>
        <v>3.3871619369641383E-3</v>
      </c>
      <c r="K86" s="90">
        <f t="shared" si="39"/>
        <v>3.3871619369641381</v>
      </c>
      <c r="L86" s="68">
        <f t="shared" si="40"/>
        <v>1</v>
      </c>
      <c r="M86" s="28">
        <f t="shared" si="33"/>
        <v>4.8828125</v>
      </c>
      <c r="N86" s="28">
        <f t="shared" si="41"/>
        <v>1.4911242603550382E-3</v>
      </c>
      <c r="O86" s="28">
        <f t="shared" si="42"/>
        <v>50.480769230769226</v>
      </c>
      <c r="P86" s="28">
        <f t="shared" si="34"/>
        <v>8.2237762237762233</v>
      </c>
      <c r="Q86" s="28">
        <f t="shared" si="35"/>
        <v>3.5244755244755241</v>
      </c>
    </row>
    <row r="87" spans="1:17" x14ac:dyDescent="0.2">
      <c r="A87" s="28">
        <f t="shared" si="27"/>
        <v>30</v>
      </c>
      <c r="B87" s="31">
        <f t="shared" si="28"/>
        <v>22.211538461538463</v>
      </c>
      <c r="C87" s="29">
        <f t="shared" si="29"/>
        <v>0</v>
      </c>
      <c r="D87" s="27">
        <f t="shared" si="30"/>
        <v>80.592105263157904</v>
      </c>
      <c r="E87" s="27">
        <f t="shared" si="36"/>
        <v>6.25</v>
      </c>
      <c r="F87" s="29">
        <f t="shared" si="31"/>
        <v>0.64</v>
      </c>
      <c r="G87" s="27">
        <f t="shared" si="37"/>
        <v>6.25</v>
      </c>
      <c r="H87" s="29">
        <f t="shared" si="32"/>
        <v>6.25</v>
      </c>
      <c r="I87" s="30">
        <f t="shared" si="38"/>
        <v>2.9538461538461709E-5</v>
      </c>
      <c r="J87" s="37">
        <f t="shared" si="43"/>
        <v>3.4167003985026002E-3</v>
      </c>
      <c r="K87" s="90">
        <f t="shared" si="39"/>
        <v>3.4167003985026003</v>
      </c>
      <c r="L87" s="68">
        <f t="shared" si="40"/>
        <v>1</v>
      </c>
      <c r="M87" s="28">
        <f t="shared" si="33"/>
        <v>4.8828125</v>
      </c>
      <c r="N87" s="28">
        <f t="shared" si="41"/>
        <v>1.4378698224852152E-3</v>
      </c>
      <c r="O87" s="28">
        <f t="shared" si="42"/>
        <v>48.677884615384606</v>
      </c>
      <c r="P87" s="28">
        <f t="shared" si="34"/>
        <v>7.9300699300699273</v>
      </c>
      <c r="Q87" s="28">
        <f t="shared" si="35"/>
        <v>3.3986013986013974</v>
      </c>
    </row>
    <row r="88" spans="1:17" x14ac:dyDescent="0.2">
      <c r="A88" s="28">
        <f t="shared" si="27"/>
        <v>30</v>
      </c>
      <c r="B88" s="31">
        <f t="shared" si="28"/>
        <v>22.5</v>
      </c>
      <c r="C88" s="29">
        <f t="shared" si="29"/>
        <v>0</v>
      </c>
      <c r="D88" s="27">
        <f t="shared" si="30"/>
        <v>80.592105263157904</v>
      </c>
      <c r="E88" s="27">
        <f t="shared" si="36"/>
        <v>6.25</v>
      </c>
      <c r="F88" s="29">
        <f t="shared" si="31"/>
        <v>0.64</v>
      </c>
      <c r="G88" s="27">
        <f t="shared" si="37"/>
        <v>6.25</v>
      </c>
      <c r="H88" s="29">
        <f t="shared" si="32"/>
        <v>6.25</v>
      </c>
      <c r="I88" s="30">
        <f t="shared" si="38"/>
        <v>2.9538461538461347E-5</v>
      </c>
      <c r="J88" s="37">
        <f t="shared" si="43"/>
        <v>3.4462388600410617E-3</v>
      </c>
      <c r="K88" s="90">
        <f t="shared" si="39"/>
        <v>3.4462388600410616</v>
      </c>
      <c r="L88" s="68">
        <f t="shared" si="40"/>
        <v>1</v>
      </c>
      <c r="M88" s="28">
        <f t="shared" si="33"/>
        <v>4.8828125</v>
      </c>
      <c r="N88" s="28">
        <f t="shared" si="41"/>
        <v>1.3846153846153756E-3</v>
      </c>
      <c r="O88" s="28">
        <f t="shared" si="42"/>
        <v>46.875</v>
      </c>
      <c r="P88" s="28">
        <f t="shared" si="34"/>
        <v>7.6363636363636358</v>
      </c>
      <c r="Q88" s="28">
        <f t="shared" si="35"/>
        <v>3.2727272727272725</v>
      </c>
    </row>
    <row r="89" spans="1:17" x14ac:dyDescent="0.2">
      <c r="A89" s="28">
        <f t="shared" si="27"/>
        <v>30</v>
      </c>
      <c r="B89" s="31">
        <f t="shared" si="28"/>
        <v>22.788461538461537</v>
      </c>
      <c r="C89" s="29">
        <f t="shared" si="29"/>
        <v>0</v>
      </c>
      <c r="D89" s="27">
        <f t="shared" si="30"/>
        <v>80.592105263157904</v>
      </c>
      <c r="E89" s="27">
        <f t="shared" si="36"/>
        <v>6.25</v>
      </c>
      <c r="F89" s="29">
        <f t="shared" si="31"/>
        <v>0.64</v>
      </c>
      <c r="G89" s="27">
        <f t="shared" si="37"/>
        <v>6.25</v>
      </c>
      <c r="H89" s="29">
        <f t="shared" si="32"/>
        <v>6.25</v>
      </c>
      <c r="I89" s="30">
        <f t="shared" si="38"/>
        <v>2.9538461538461347E-5</v>
      </c>
      <c r="J89" s="37">
        <f t="shared" si="43"/>
        <v>3.4757773215795232E-3</v>
      </c>
      <c r="K89" s="90">
        <f t="shared" si="39"/>
        <v>3.4757773215795233</v>
      </c>
      <c r="L89" s="68">
        <f t="shared" si="40"/>
        <v>1</v>
      </c>
      <c r="M89" s="28">
        <f t="shared" si="33"/>
        <v>4.8828125</v>
      </c>
      <c r="N89" s="28">
        <f t="shared" si="41"/>
        <v>1.3313609467455539E-3</v>
      </c>
      <c r="O89" s="28">
        <f t="shared" si="42"/>
        <v>45.072115384615394</v>
      </c>
      <c r="P89" s="28">
        <f t="shared" si="34"/>
        <v>7.3426573426573443</v>
      </c>
      <c r="Q89" s="28">
        <f t="shared" si="35"/>
        <v>3.1468531468531475</v>
      </c>
    </row>
    <row r="90" spans="1:17" x14ac:dyDescent="0.2">
      <c r="A90" s="28">
        <f t="shared" si="27"/>
        <v>30</v>
      </c>
      <c r="B90" s="31">
        <f t="shared" si="28"/>
        <v>23.076923076923077</v>
      </c>
      <c r="C90" s="29">
        <f t="shared" si="29"/>
        <v>0</v>
      </c>
      <c r="D90" s="27">
        <f t="shared" si="30"/>
        <v>80.592105263157904</v>
      </c>
      <c r="E90" s="27">
        <f t="shared" si="36"/>
        <v>6.25</v>
      </c>
      <c r="F90" s="29">
        <f t="shared" si="31"/>
        <v>0.64</v>
      </c>
      <c r="G90" s="27">
        <f t="shared" si="37"/>
        <v>6.25</v>
      </c>
      <c r="H90" s="29">
        <f t="shared" si="32"/>
        <v>6.25</v>
      </c>
      <c r="I90" s="30">
        <f t="shared" si="38"/>
        <v>2.9538461538461709E-5</v>
      </c>
      <c r="J90" s="37">
        <f t="shared" si="43"/>
        <v>3.5053157831179851E-3</v>
      </c>
      <c r="K90" s="90">
        <f t="shared" si="39"/>
        <v>3.5053157831179851</v>
      </c>
      <c r="L90" s="68">
        <f t="shared" si="40"/>
        <v>1</v>
      </c>
      <c r="M90" s="28">
        <f t="shared" si="33"/>
        <v>4.8828125</v>
      </c>
      <c r="N90" s="28">
        <f t="shared" si="41"/>
        <v>1.2781065088757471E-3</v>
      </c>
      <c r="O90" s="28">
        <f t="shared" si="42"/>
        <v>43.269230769230774</v>
      </c>
      <c r="P90" s="28">
        <f t="shared" si="34"/>
        <v>7.0489510489510483</v>
      </c>
      <c r="Q90" s="28">
        <f t="shared" si="35"/>
        <v>3.0209790209790208</v>
      </c>
    </row>
    <row r="91" spans="1:17" x14ac:dyDescent="0.2">
      <c r="A91" s="28">
        <f t="shared" si="27"/>
        <v>30</v>
      </c>
      <c r="B91" s="31">
        <f t="shared" si="28"/>
        <v>23.365384615384617</v>
      </c>
      <c r="C91" s="29">
        <f t="shared" si="29"/>
        <v>0</v>
      </c>
      <c r="D91" s="27">
        <f t="shared" si="30"/>
        <v>80.592105263157904</v>
      </c>
      <c r="E91" s="27">
        <f t="shared" si="36"/>
        <v>6.25</v>
      </c>
      <c r="F91" s="29">
        <f t="shared" si="31"/>
        <v>0.64</v>
      </c>
      <c r="G91" s="27">
        <f t="shared" si="37"/>
        <v>6.25</v>
      </c>
      <c r="H91" s="29">
        <f t="shared" si="32"/>
        <v>6.25</v>
      </c>
      <c r="I91" s="30">
        <f t="shared" si="38"/>
        <v>2.9538461538461709E-5</v>
      </c>
      <c r="J91" s="37">
        <f t="shared" si="43"/>
        <v>3.534854244656447E-3</v>
      </c>
      <c r="K91" s="90">
        <f t="shared" si="39"/>
        <v>3.5348542446564473</v>
      </c>
      <c r="L91" s="68">
        <f t="shared" si="40"/>
        <v>1</v>
      </c>
      <c r="M91" s="28">
        <f t="shared" si="33"/>
        <v>4.8828125</v>
      </c>
      <c r="N91" s="28">
        <f t="shared" si="41"/>
        <v>1.224852071005924E-3</v>
      </c>
      <c r="O91" s="28">
        <f t="shared" si="42"/>
        <v>41.466346153846146</v>
      </c>
      <c r="P91" s="28">
        <f t="shared" si="34"/>
        <v>6.7552447552447532</v>
      </c>
      <c r="Q91" s="28">
        <f t="shared" si="35"/>
        <v>2.8951048951048945</v>
      </c>
    </row>
    <row r="92" spans="1:17" x14ac:dyDescent="0.2">
      <c r="A92" s="28">
        <f t="shared" si="27"/>
        <v>30</v>
      </c>
      <c r="B92" s="31">
        <f t="shared" si="28"/>
        <v>23.653846153846153</v>
      </c>
      <c r="C92" s="29">
        <f t="shared" si="29"/>
        <v>0</v>
      </c>
      <c r="D92" s="27">
        <f t="shared" si="30"/>
        <v>80.592105263157904</v>
      </c>
      <c r="E92" s="27">
        <f t="shared" si="36"/>
        <v>6.25</v>
      </c>
      <c r="F92" s="29">
        <f t="shared" si="31"/>
        <v>0.64</v>
      </c>
      <c r="G92" s="27">
        <f t="shared" si="37"/>
        <v>6.25</v>
      </c>
      <c r="H92" s="29">
        <f t="shared" si="32"/>
        <v>6.25</v>
      </c>
      <c r="I92" s="30">
        <f t="shared" si="38"/>
        <v>2.9538461538461347E-5</v>
      </c>
      <c r="J92" s="37">
        <f t="shared" si="43"/>
        <v>3.5643927061949085E-3</v>
      </c>
      <c r="K92" s="90">
        <f t="shared" si="39"/>
        <v>3.5643927061949086</v>
      </c>
      <c r="L92" s="68">
        <f t="shared" si="40"/>
        <v>1</v>
      </c>
      <c r="M92" s="28">
        <f t="shared" si="33"/>
        <v>4.8828125</v>
      </c>
      <c r="N92" s="28">
        <f t="shared" si="41"/>
        <v>1.1715976331360871E-3</v>
      </c>
      <c r="O92" s="28">
        <f t="shared" si="42"/>
        <v>39.66346153846154</v>
      </c>
      <c r="P92" s="28">
        <f t="shared" si="34"/>
        <v>6.4615384615384617</v>
      </c>
      <c r="Q92" s="28">
        <f t="shared" si="35"/>
        <v>2.7692307692307692</v>
      </c>
    </row>
    <row r="93" spans="1:17" x14ac:dyDescent="0.2">
      <c r="A93" s="28">
        <f t="shared" si="27"/>
        <v>30</v>
      </c>
      <c r="B93" s="31">
        <f t="shared" si="28"/>
        <v>23.942307692307693</v>
      </c>
      <c r="C93" s="29">
        <f t="shared" si="29"/>
        <v>0</v>
      </c>
      <c r="D93" s="27">
        <f t="shared" si="30"/>
        <v>80.592105263157904</v>
      </c>
      <c r="E93" s="27">
        <f t="shared" si="36"/>
        <v>6.25</v>
      </c>
      <c r="F93" s="29">
        <f t="shared" si="31"/>
        <v>0.64</v>
      </c>
      <c r="G93" s="27">
        <f t="shared" si="37"/>
        <v>6.25</v>
      </c>
      <c r="H93" s="29">
        <f t="shared" si="32"/>
        <v>6.25</v>
      </c>
      <c r="I93" s="30">
        <f t="shared" si="38"/>
        <v>2.9538461538461709E-5</v>
      </c>
      <c r="J93" s="37">
        <f t="shared" si="43"/>
        <v>3.5939311677333705E-3</v>
      </c>
      <c r="K93" s="90">
        <f t="shared" si="39"/>
        <v>3.5939311677333703</v>
      </c>
      <c r="L93" s="68">
        <f t="shared" si="40"/>
        <v>1</v>
      </c>
      <c r="M93" s="28">
        <f t="shared" si="33"/>
        <v>4.8828125</v>
      </c>
      <c r="N93" s="28">
        <f t="shared" si="41"/>
        <v>1.1183431952662786E-3</v>
      </c>
      <c r="O93" s="28">
        <f t="shared" si="42"/>
        <v>37.86057692307692</v>
      </c>
      <c r="P93" s="28">
        <f t="shared" si="34"/>
        <v>6.1678321678321657</v>
      </c>
      <c r="Q93" s="28">
        <f t="shared" si="35"/>
        <v>2.6433566433566429</v>
      </c>
    </row>
    <row r="94" spans="1:17" x14ac:dyDescent="0.2">
      <c r="A94" s="28">
        <f t="shared" si="27"/>
        <v>30</v>
      </c>
      <c r="B94" s="31">
        <f t="shared" si="28"/>
        <v>24.23076923076923</v>
      </c>
      <c r="C94" s="29">
        <f t="shared" si="29"/>
        <v>0</v>
      </c>
      <c r="D94" s="27">
        <f t="shared" si="30"/>
        <v>80.592105263157904</v>
      </c>
      <c r="E94" s="27">
        <f t="shared" si="36"/>
        <v>6.25</v>
      </c>
      <c r="F94" s="29">
        <f t="shared" si="31"/>
        <v>0.64</v>
      </c>
      <c r="G94" s="27">
        <f t="shared" si="37"/>
        <v>6.25</v>
      </c>
      <c r="H94" s="29">
        <f t="shared" si="32"/>
        <v>6.25</v>
      </c>
      <c r="I94" s="30">
        <f t="shared" si="38"/>
        <v>2.9538461538461347E-5</v>
      </c>
      <c r="J94" s="37">
        <f t="shared" si="43"/>
        <v>3.6234696292718319E-3</v>
      </c>
      <c r="K94" s="90">
        <f t="shared" si="39"/>
        <v>3.623469629271832</v>
      </c>
      <c r="L94" s="68">
        <f t="shared" si="40"/>
        <v>1</v>
      </c>
      <c r="M94" s="28">
        <f t="shared" si="33"/>
        <v>4.8828125</v>
      </c>
      <c r="N94" s="28">
        <f t="shared" si="41"/>
        <v>1.0650887573964429E-3</v>
      </c>
      <c r="O94" s="28">
        <f t="shared" si="42"/>
        <v>36.057692307692314</v>
      </c>
      <c r="P94" s="28">
        <f t="shared" si="34"/>
        <v>5.8741258741258742</v>
      </c>
      <c r="Q94" s="28">
        <f t="shared" si="35"/>
        <v>2.5174825174825175</v>
      </c>
    </row>
    <row r="95" spans="1:17" x14ac:dyDescent="0.2">
      <c r="A95" s="28">
        <f t="shared" si="27"/>
        <v>30</v>
      </c>
      <c r="B95" s="31">
        <f t="shared" si="28"/>
        <v>24.51923076923077</v>
      </c>
      <c r="C95" s="29">
        <f t="shared" si="29"/>
        <v>0</v>
      </c>
      <c r="D95" s="27">
        <f t="shared" si="30"/>
        <v>80.592105263157904</v>
      </c>
      <c r="E95" s="27">
        <f t="shared" si="36"/>
        <v>6.25</v>
      </c>
      <c r="F95" s="29">
        <f t="shared" si="31"/>
        <v>0.64</v>
      </c>
      <c r="G95" s="27">
        <f t="shared" si="37"/>
        <v>6.25</v>
      </c>
      <c r="H95" s="29">
        <f t="shared" si="32"/>
        <v>6.25</v>
      </c>
      <c r="I95" s="30">
        <f t="shared" si="38"/>
        <v>2.9538461538461709E-5</v>
      </c>
      <c r="J95" s="37">
        <f t="shared" si="43"/>
        <v>3.6530080908102939E-3</v>
      </c>
      <c r="K95" s="90">
        <f t="shared" si="39"/>
        <v>3.6530080908102938</v>
      </c>
      <c r="L95" s="68">
        <f t="shared" si="40"/>
        <v>1</v>
      </c>
      <c r="M95" s="28">
        <f t="shared" si="33"/>
        <v>4.8828125</v>
      </c>
      <c r="N95" s="28">
        <f t="shared" si="41"/>
        <v>1.0118343195266329E-3</v>
      </c>
      <c r="O95" s="28">
        <f t="shared" si="42"/>
        <v>34.254807692307686</v>
      </c>
      <c r="P95" s="28">
        <f t="shared" si="34"/>
        <v>5.5804195804195791</v>
      </c>
      <c r="Q95" s="28">
        <f t="shared" si="35"/>
        <v>2.3916083916083912</v>
      </c>
    </row>
    <row r="96" spans="1:17" x14ac:dyDescent="0.2">
      <c r="A96" s="28">
        <f t="shared" si="27"/>
        <v>30</v>
      </c>
      <c r="B96" s="31">
        <f t="shared" si="28"/>
        <v>24.807692307692307</v>
      </c>
      <c r="C96" s="29">
        <f t="shared" si="29"/>
        <v>0</v>
      </c>
      <c r="D96" s="27">
        <f t="shared" si="30"/>
        <v>80.592105263157904</v>
      </c>
      <c r="E96" s="27">
        <f t="shared" si="36"/>
        <v>6.25</v>
      </c>
      <c r="F96" s="29">
        <f t="shared" si="31"/>
        <v>0.64</v>
      </c>
      <c r="G96" s="27">
        <f t="shared" si="37"/>
        <v>6.25</v>
      </c>
      <c r="H96" s="29">
        <f t="shared" si="32"/>
        <v>6.25</v>
      </c>
      <c r="I96" s="30">
        <f t="shared" si="38"/>
        <v>2.9538461538461347E-5</v>
      </c>
      <c r="J96" s="37">
        <f t="shared" si="43"/>
        <v>3.6825465523487554E-3</v>
      </c>
      <c r="K96" s="90">
        <f t="shared" si="39"/>
        <v>3.6825465523487555</v>
      </c>
      <c r="L96" s="68">
        <f t="shared" si="40"/>
        <v>1</v>
      </c>
      <c r="M96" s="28">
        <f t="shared" si="33"/>
        <v>4.8828125</v>
      </c>
      <c r="N96" s="28">
        <f t="shared" si="41"/>
        <v>9.5857988165679866E-4</v>
      </c>
      <c r="O96" s="28">
        <f t="shared" si="42"/>
        <v>32.45192307692308</v>
      </c>
      <c r="P96" s="28">
        <f t="shared" si="34"/>
        <v>5.2867132867132876</v>
      </c>
      <c r="Q96" s="28">
        <f t="shared" si="35"/>
        <v>2.2657342657342663</v>
      </c>
    </row>
    <row r="97" spans="1:17" x14ac:dyDescent="0.2">
      <c r="A97" s="28">
        <f t="shared" si="27"/>
        <v>30</v>
      </c>
      <c r="B97" s="31">
        <f t="shared" si="28"/>
        <v>25.096153846153847</v>
      </c>
      <c r="C97" s="29">
        <f t="shared" si="29"/>
        <v>0</v>
      </c>
      <c r="D97" s="27">
        <f t="shared" si="30"/>
        <v>80.592105263157904</v>
      </c>
      <c r="E97" s="27">
        <f t="shared" si="36"/>
        <v>6.25</v>
      </c>
      <c r="F97" s="29">
        <f t="shared" si="31"/>
        <v>0.64</v>
      </c>
      <c r="G97" s="27">
        <f t="shared" si="37"/>
        <v>6.25</v>
      </c>
      <c r="H97" s="29">
        <f t="shared" si="32"/>
        <v>6.25</v>
      </c>
      <c r="I97" s="30">
        <f t="shared" si="38"/>
        <v>2.9538461538461709E-5</v>
      </c>
      <c r="J97" s="37">
        <f t="shared" si="43"/>
        <v>3.7120850138872173E-3</v>
      </c>
      <c r="K97" s="90">
        <f t="shared" si="39"/>
        <v>3.7120850138872172</v>
      </c>
      <c r="L97" s="68">
        <f t="shared" si="40"/>
        <v>1</v>
      </c>
      <c r="M97" s="28">
        <f t="shared" si="33"/>
        <v>4.8828125</v>
      </c>
      <c r="N97" s="28">
        <f t="shared" si="41"/>
        <v>9.0532544378698742E-4</v>
      </c>
      <c r="O97" s="28">
        <f t="shared" si="42"/>
        <v>30.64903846153846</v>
      </c>
      <c r="P97" s="28">
        <f t="shared" si="34"/>
        <v>4.9930069930069916</v>
      </c>
      <c r="Q97" s="28">
        <f t="shared" si="35"/>
        <v>2.1398601398601396</v>
      </c>
    </row>
    <row r="98" spans="1:17" x14ac:dyDescent="0.2">
      <c r="A98" s="28">
        <f t="shared" si="27"/>
        <v>30</v>
      </c>
      <c r="B98" s="31">
        <f t="shared" si="28"/>
        <v>25.384615384615383</v>
      </c>
      <c r="C98" s="29">
        <f t="shared" si="29"/>
        <v>0</v>
      </c>
      <c r="D98" s="27">
        <f t="shared" si="30"/>
        <v>80.592105263157904</v>
      </c>
      <c r="E98" s="27">
        <f t="shared" si="36"/>
        <v>6.25</v>
      </c>
      <c r="F98" s="29">
        <f t="shared" si="31"/>
        <v>0.64</v>
      </c>
      <c r="G98" s="27">
        <f t="shared" si="37"/>
        <v>6.25</v>
      </c>
      <c r="H98" s="29">
        <f t="shared" si="32"/>
        <v>6.25</v>
      </c>
      <c r="I98" s="30">
        <f t="shared" si="38"/>
        <v>2.9538461538461347E-5</v>
      </c>
      <c r="J98" s="37">
        <f t="shared" si="43"/>
        <v>3.7416234754256788E-3</v>
      </c>
      <c r="K98" s="90">
        <f t="shared" si="39"/>
        <v>3.741623475425679</v>
      </c>
      <c r="L98" s="68">
        <f t="shared" si="40"/>
        <v>1</v>
      </c>
      <c r="M98" s="28">
        <f t="shared" si="33"/>
        <v>4.8828125</v>
      </c>
      <c r="N98" s="28">
        <f t="shared" si="41"/>
        <v>8.520710059171545E-4</v>
      </c>
      <c r="O98" s="28">
        <f t="shared" si="42"/>
        <v>28.846153846153854</v>
      </c>
      <c r="P98" s="28">
        <f t="shared" si="34"/>
        <v>4.6993006993007</v>
      </c>
      <c r="Q98" s="28">
        <f t="shared" si="35"/>
        <v>2.0139860139860146</v>
      </c>
    </row>
    <row r="99" spans="1:17" x14ac:dyDescent="0.2">
      <c r="A99" s="28">
        <f t="shared" si="27"/>
        <v>30</v>
      </c>
      <c r="B99" s="31">
        <f t="shared" si="28"/>
        <v>25.673076923076923</v>
      </c>
      <c r="C99" s="29">
        <f t="shared" si="29"/>
        <v>0</v>
      </c>
      <c r="D99" s="27">
        <f t="shared" si="30"/>
        <v>80.592105263157904</v>
      </c>
      <c r="E99" s="27">
        <f t="shared" si="36"/>
        <v>6.25</v>
      </c>
      <c r="F99" s="29">
        <f t="shared" si="31"/>
        <v>0.64</v>
      </c>
      <c r="G99" s="27">
        <f t="shared" si="37"/>
        <v>6.25</v>
      </c>
      <c r="H99" s="29">
        <f t="shared" si="32"/>
        <v>6.25</v>
      </c>
      <c r="I99" s="30">
        <f t="shared" si="38"/>
        <v>2.9538461538461709E-5</v>
      </c>
      <c r="J99" s="37">
        <f t="shared" si="43"/>
        <v>3.7711619369641407E-3</v>
      </c>
      <c r="K99" s="90">
        <f t="shared" si="39"/>
        <v>3.7711619369641407</v>
      </c>
      <c r="L99" s="68">
        <f t="shared" si="40"/>
        <v>1</v>
      </c>
      <c r="M99" s="28">
        <f t="shared" si="33"/>
        <v>4.8828125</v>
      </c>
      <c r="N99" s="28">
        <f t="shared" si="41"/>
        <v>7.9881656804734185E-4</v>
      </c>
      <c r="O99" s="28">
        <f t="shared" si="42"/>
        <v>27.04326923076923</v>
      </c>
      <c r="P99" s="28">
        <f t="shared" si="34"/>
        <v>4.405594405594405</v>
      </c>
      <c r="Q99" s="28">
        <f t="shared" si="35"/>
        <v>1.8881118881118879</v>
      </c>
    </row>
    <row r="100" spans="1:17" x14ac:dyDescent="0.2">
      <c r="A100" s="28">
        <f t="shared" si="27"/>
        <v>30</v>
      </c>
      <c r="B100" s="31">
        <f t="shared" si="28"/>
        <v>25.961538461538463</v>
      </c>
      <c r="C100" s="29">
        <f t="shared" si="29"/>
        <v>0</v>
      </c>
      <c r="D100" s="27">
        <f t="shared" si="30"/>
        <v>80.592105263157904</v>
      </c>
      <c r="E100" s="27">
        <f t="shared" si="36"/>
        <v>6.25</v>
      </c>
      <c r="F100" s="29">
        <f t="shared" si="31"/>
        <v>0.64</v>
      </c>
      <c r="G100" s="27">
        <f t="shared" si="37"/>
        <v>6.25</v>
      </c>
      <c r="H100" s="29">
        <f t="shared" si="32"/>
        <v>6.25</v>
      </c>
      <c r="I100" s="30">
        <f t="shared" si="38"/>
        <v>2.9538461538461709E-5</v>
      </c>
      <c r="J100" s="37">
        <f t="shared" si="43"/>
        <v>3.8007003985026026E-3</v>
      </c>
      <c r="K100" s="90">
        <f t="shared" si="39"/>
        <v>3.8007003985026024</v>
      </c>
      <c r="L100" s="68">
        <f t="shared" si="40"/>
        <v>1</v>
      </c>
      <c r="M100" s="28">
        <f t="shared" si="33"/>
        <v>4.8828125</v>
      </c>
      <c r="N100" s="28">
        <f t="shared" si="41"/>
        <v>7.4556213017751879E-4</v>
      </c>
      <c r="O100" s="28">
        <f t="shared" si="42"/>
        <v>25.240384615384603</v>
      </c>
      <c r="P100" s="28">
        <f t="shared" si="34"/>
        <v>4.1118881118881099</v>
      </c>
      <c r="Q100" s="28">
        <f t="shared" si="35"/>
        <v>1.7622377622377614</v>
      </c>
    </row>
    <row r="101" spans="1:17" x14ac:dyDescent="0.2">
      <c r="A101" s="28">
        <f t="shared" si="27"/>
        <v>30</v>
      </c>
      <c r="B101" s="31">
        <f t="shared" si="28"/>
        <v>26.25</v>
      </c>
      <c r="C101" s="29">
        <f t="shared" si="29"/>
        <v>0</v>
      </c>
      <c r="D101" s="27">
        <f t="shared" si="30"/>
        <v>80.592105263157904</v>
      </c>
      <c r="E101" s="27">
        <f t="shared" si="36"/>
        <v>6.25</v>
      </c>
      <c r="F101" s="29">
        <f t="shared" si="31"/>
        <v>0.64</v>
      </c>
      <c r="G101" s="27">
        <f t="shared" si="37"/>
        <v>6.25</v>
      </c>
      <c r="H101" s="29">
        <f t="shared" si="32"/>
        <v>6.25</v>
      </c>
      <c r="I101" s="30">
        <f t="shared" si="38"/>
        <v>2.9538461538461347E-5</v>
      </c>
      <c r="J101" s="37">
        <f t="shared" si="43"/>
        <v>3.8302388600410641E-3</v>
      </c>
      <c r="K101" s="90">
        <f t="shared" si="39"/>
        <v>3.8302388600410642</v>
      </c>
      <c r="L101" s="68">
        <f t="shared" si="40"/>
        <v>1</v>
      </c>
      <c r="M101" s="28">
        <f t="shared" si="33"/>
        <v>4.8828125</v>
      </c>
      <c r="N101" s="28">
        <f t="shared" si="41"/>
        <v>6.9230769230768782E-4</v>
      </c>
      <c r="O101" s="28">
        <f t="shared" si="42"/>
        <v>23.4375</v>
      </c>
      <c r="P101" s="28">
        <f t="shared" si="34"/>
        <v>3.8181818181818179</v>
      </c>
      <c r="Q101" s="28">
        <f t="shared" si="35"/>
        <v>1.6363636363636362</v>
      </c>
    </row>
    <row r="102" spans="1:17" x14ac:dyDescent="0.2">
      <c r="A102" s="28">
        <f t="shared" si="27"/>
        <v>30</v>
      </c>
      <c r="B102" s="31">
        <f t="shared" si="28"/>
        <v>26.538461538461537</v>
      </c>
      <c r="C102" s="29">
        <f t="shared" si="29"/>
        <v>0</v>
      </c>
      <c r="D102" s="27">
        <f t="shared" si="30"/>
        <v>80.592105263157904</v>
      </c>
      <c r="E102" s="27">
        <f t="shared" si="36"/>
        <v>6.25</v>
      </c>
      <c r="F102" s="29">
        <f t="shared" si="31"/>
        <v>0.64</v>
      </c>
      <c r="G102" s="27">
        <f t="shared" si="37"/>
        <v>6.25</v>
      </c>
      <c r="H102" s="29">
        <f t="shared" si="32"/>
        <v>6.25</v>
      </c>
      <c r="I102" s="30">
        <f t="shared" si="38"/>
        <v>2.9538461538461347E-5</v>
      </c>
      <c r="J102" s="37">
        <f t="shared" si="43"/>
        <v>3.8597773215795256E-3</v>
      </c>
      <c r="K102" s="90">
        <f t="shared" si="39"/>
        <v>3.8597773215795255</v>
      </c>
      <c r="L102" s="68">
        <f t="shared" si="40"/>
        <v>1</v>
      </c>
      <c r="M102" s="28">
        <f t="shared" si="33"/>
        <v>4.8828125</v>
      </c>
      <c r="N102" s="28">
        <f t="shared" si="41"/>
        <v>6.3905325443786606E-4</v>
      </c>
      <c r="O102" s="28">
        <f t="shared" si="42"/>
        <v>21.634615384615397</v>
      </c>
      <c r="P102" s="28">
        <f t="shared" si="34"/>
        <v>3.5244755244755259</v>
      </c>
      <c r="Q102" s="28">
        <f t="shared" si="35"/>
        <v>1.5104895104895113</v>
      </c>
    </row>
    <row r="103" spans="1:17" x14ac:dyDescent="0.2">
      <c r="A103" s="28">
        <f t="shared" si="27"/>
        <v>30</v>
      </c>
      <c r="B103" s="31">
        <f t="shared" si="28"/>
        <v>26.826923076923077</v>
      </c>
      <c r="C103" s="29">
        <f t="shared" si="29"/>
        <v>0</v>
      </c>
      <c r="D103" s="27">
        <f t="shared" si="30"/>
        <v>80.592105263157904</v>
      </c>
      <c r="E103" s="27">
        <f t="shared" si="36"/>
        <v>6.25</v>
      </c>
      <c r="F103" s="29">
        <f t="shared" si="31"/>
        <v>0.64</v>
      </c>
      <c r="G103" s="27">
        <f t="shared" si="37"/>
        <v>6.25</v>
      </c>
      <c r="H103" s="29">
        <f t="shared" si="32"/>
        <v>6.25</v>
      </c>
      <c r="I103" s="30">
        <f t="shared" si="38"/>
        <v>2.9538461538461709E-5</v>
      </c>
      <c r="J103" s="37">
        <f t="shared" si="43"/>
        <v>3.8893157831179875E-3</v>
      </c>
      <c r="K103" s="90">
        <f t="shared" si="39"/>
        <v>3.8893157831179876</v>
      </c>
      <c r="L103" s="68">
        <f t="shared" si="40"/>
        <v>1</v>
      </c>
      <c r="M103" s="28">
        <f t="shared" si="33"/>
        <v>4.8828125</v>
      </c>
      <c r="N103" s="28">
        <f t="shared" si="41"/>
        <v>5.8579881656805081E-4</v>
      </c>
      <c r="O103" s="28">
        <f t="shared" si="42"/>
        <v>19.83173076923077</v>
      </c>
      <c r="P103" s="28">
        <f t="shared" si="34"/>
        <v>3.2307692307692308</v>
      </c>
      <c r="Q103" s="28">
        <f t="shared" si="35"/>
        <v>1.3846153846153846</v>
      </c>
    </row>
    <row r="104" spans="1:17" x14ac:dyDescent="0.2">
      <c r="A104" s="28">
        <f t="shared" si="27"/>
        <v>30</v>
      </c>
      <c r="B104" s="31">
        <f t="shared" si="28"/>
        <v>27.115384615384617</v>
      </c>
      <c r="C104" s="29">
        <f t="shared" si="29"/>
        <v>0</v>
      </c>
      <c r="D104" s="27">
        <f t="shared" si="30"/>
        <v>80.592105263157904</v>
      </c>
      <c r="E104" s="27">
        <f t="shared" si="36"/>
        <v>6.25</v>
      </c>
      <c r="F104" s="29">
        <f t="shared" si="31"/>
        <v>0.64</v>
      </c>
      <c r="G104" s="27">
        <f t="shared" si="37"/>
        <v>6.25</v>
      </c>
      <c r="H104" s="29">
        <f t="shared" si="32"/>
        <v>6.25</v>
      </c>
      <c r="I104" s="30">
        <f t="shared" si="38"/>
        <v>2.9538461538461709E-5</v>
      </c>
      <c r="J104" s="37">
        <f t="shared" si="43"/>
        <v>3.918854244656449E-3</v>
      </c>
      <c r="K104" s="90">
        <f t="shared" si="39"/>
        <v>3.9188542446564489</v>
      </c>
      <c r="L104" s="68">
        <f t="shared" si="40"/>
        <v>1</v>
      </c>
      <c r="M104" s="28">
        <f t="shared" si="33"/>
        <v>4.8828125</v>
      </c>
      <c r="N104" s="28">
        <f t="shared" si="41"/>
        <v>5.3254437869822765E-4</v>
      </c>
      <c r="O104" s="28">
        <f t="shared" si="42"/>
        <v>18.028846153846146</v>
      </c>
      <c r="P104" s="28">
        <f t="shared" si="34"/>
        <v>2.9370629370629353</v>
      </c>
      <c r="Q104" s="28">
        <f t="shared" si="35"/>
        <v>1.2587412587412581</v>
      </c>
    </row>
    <row r="105" spans="1:17" x14ac:dyDescent="0.2">
      <c r="A105" s="28">
        <f t="shared" si="27"/>
        <v>30</v>
      </c>
      <c r="B105" s="31">
        <f t="shared" si="28"/>
        <v>27.403846153846153</v>
      </c>
      <c r="C105" s="29">
        <f t="shared" si="29"/>
        <v>0</v>
      </c>
      <c r="D105" s="27">
        <f t="shared" si="30"/>
        <v>80.592105263157904</v>
      </c>
      <c r="E105" s="27">
        <f t="shared" si="36"/>
        <v>6.25</v>
      </c>
      <c r="F105" s="29">
        <f t="shared" si="31"/>
        <v>0.64</v>
      </c>
      <c r="G105" s="27">
        <f t="shared" si="37"/>
        <v>6.25</v>
      </c>
      <c r="H105" s="29">
        <f t="shared" si="32"/>
        <v>6.25</v>
      </c>
      <c r="I105" s="30">
        <f t="shared" si="38"/>
        <v>2.9538461538461347E-5</v>
      </c>
      <c r="J105" s="37">
        <f t="shared" si="43"/>
        <v>3.9483927061949101E-3</v>
      </c>
      <c r="K105" s="90">
        <f t="shared" si="39"/>
        <v>3.9483927061949102</v>
      </c>
      <c r="L105" s="68">
        <f t="shared" si="40"/>
        <v>1</v>
      </c>
      <c r="M105" s="28">
        <f t="shared" si="33"/>
        <v>4.8828125</v>
      </c>
      <c r="N105" s="28">
        <f t="shared" si="41"/>
        <v>4.7928994082839933E-4</v>
      </c>
      <c r="O105" s="28">
        <f t="shared" si="42"/>
        <v>16.22596153846154</v>
      </c>
      <c r="P105" s="28">
        <f t="shared" si="34"/>
        <v>2.6433566433566438</v>
      </c>
      <c r="Q105" s="28">
        <f t="shared" si="35"/>
        <v>1.1328671328671331</v>
      </c>
    </row>
    <row r="106" spans="1:17" x14ac:dyDescent="0.2">
      <c r="A106" s="28">
        <f t="shared" ref="A106:A114" si="44">VINMAX</f>
        <v>30</v>
      </c>
      <c r="B106" s="31">
        <f t="shared" ref="B106:B114" si="45">VINMAX*((ROW()-10)/104)</f>
        <v>27.692307692307693</v>
      </c>
      <c r="C106" s="29">
        <f t="shared" ref="C106:C114" si="46">IF(B106&gt;=$H$2,IF($D$2="CC", $G$2, B106/$G$2), 0)</f>
        <v>0</v>
      </c>
      <c r="D106" s="27">
        <f t="shared" ref="D106:D114" si="47">$B$2-B106*$J$2/($I$2*0.001)</f>
        <v>80.592105263157904</v>
      </c>
      <c r="E106" s="27">
        <f t="shared" si="36"/>
        <v>6.25</v>
      </c>
      <c r="F106" s="29">
        <f t="shared" ref="F106:F114" si="48">I_Cout_ss+C106</f>
        <v>0.64</v>
      </c>
      <c r="G106" s="27">
        <f t="shared" si="37"/>
        <v>6.25</v>
      </c>
      <c r="H106" s="29">
        <f t="shared" ref="H106:H114" si="49">G106-C106</f>
        <v>6.25</v>
      </c>
      <c r="I106" s="30">
        <f t="shared" si="38"/>
        <v>2.9538461538461709E-5</v>
      </c>
      <c r="J106" s="37">
        <f t="shared" si="43"/>
        <v>3.977931167733372E-3</v>
      </c>
      <c r="K106" s="90">
        <f t="shared" si="39"/>
        <v>3.977931167733372</v>
      </c>
      <c r="L106" s="68">
        <f t="shared" si="40"/>
        <v>1</v>
      </c>
      <c r="M106" s="28">
        <f t="shared" ref="M106:M114" si="50">1/COUTMAX*(E106/2-C106)*1000</f>
        <v>4.8828125</v>
      </c>
      <c r="N106" s="28">
        <f t="shared" si="41"/>
        <v>4.2603550295858218E-4</v>
      </c>
      <c r="O106" s="28">
        <f t="shared" si="42"/>
        <v>14.423076923076916</v>
      </c>
      <c r="P106" s="28">
        <f t="shared" ref="P106:P114" si="51">(A106-B106)*(I_Cout_ss*$Q$2+C106)</f>
        <v>2.3496503496503482</v>
      </c>
      <c r="Q106" s="28">
        <f t="shared" ref="Q106:Q114" si="52">(A106-B106)*(I_Cout_ss*$R$2+C106)</f>
        <v>1.0069930069930064</v>
      </c>
    </row>
    <row r="107" spans="1:17" x14ac:dyDescent="0.2">
      <c r="A107" s="28">
        <f t="shared" si="44"/>
        <v>30</v>
      </c>
      <c r="B107" s="31">
        <f t="shared" si="45"/>
        <v>27.98076923076923</v>
      </c>
      <c r="C107" s="29">
        <f t="shared" si="46"/>
        <v>0</v>
      </c>
      <c r="D107" s="27">
        <f t="shared" si="47"/>
        <v>80.592105263157904</v>
      </c>
      <c r="E107" s="27">
        <f t="shared" si="36"/>
        <v>6.25</v>
      </c>
      <c r="F107" s="29">
        <f t="shared" si="48"/>
        <v>0.64</v>
      </c>
      <c r="G107" s="27">
        <f t="shared" si="37"/>
        <v>6.25</v>
      </c>
      <c r="H107" s="29">
        <f t="shared" si="49"/>
        <v>6.25</v>
      </c>
      <c r="I107" s="30">
        <f t="shared" ref="I107:I114" si="53">(COUTMAX/1000000)*(B107-B106)/H107</f>
        <v>2.9538461538461347E-5</v>
      </c>
      <c r="J107" s="37">
        <f t="shared" si="43"/>
        <v>4.007469629271833E-3</v>
      </c>
      <c r="K107" s="90">
        <f t="shared" si="39"/>
        <v>4.0074696292718333</v>
      </c>
      <c r="L107" s="68">
        <f t="shared" si="40"/>
        <v>1</v>
      </c>
      <c r="M107" s="28">
        <f t="shared" si="50"/>
        <v>4.8828125</v>
      </c>
      <c r="N107" s="28">
        <f t="shared" si="41"/>
        <v>3.7278106508875511E-4</v>
      </c>
      <c r="O107" s="28">
        <f t="shared" si="42"/>
        <v>12.620192307692314</v>
      </c>
      <c r="P107" s="28">
        <f t="shared" si="51"/>
        <v>2.0559440559440567</v>
      </c>
      <c r="Q107" s="28">
        <f t="shared" si="52"/>
        <v>0.88111888111888148</v>
      </c>
    </row>
    <row r="108" spans="1:17" x14ac:dyDescent="0.2">
      <c r="A108" s="28">
        <f t="shared" si="44"/>
        <v>30</v>
      </c>
      <c r="B108" s="31">
        <f t="shared" si="45"/>
        <v>28.26923076923077</v>
      </c>
      <c r="C108" s="29">
        <f t="shared" si="46"/>
        <v>0</v>
      </c>
      <c r="D108" s="27">
        <f t="shared" si="47"/>
        <v>80.592105263157904</v>
      </c>
      <c r="E108" s="27">
        <f t="shared" si="36"/>
        <v>6.25</v>
      </c>
      <c r="F108" s="29">
        <f t="shared" si="48"/>
        <v>0.64</v>
      </c>
      <c r="G108" s="27">
        <f t="shared" si="37"/>
        <v>6.25</v>
      </c>
      <c r="H108" s="29">
        <f t="shared" si="49"/>
        <v>6.25</v>
      </c>
      <c r="I108" s="30">
        <f t="shared" si="53"/>
        <v>2.9538461538461709E-5</v>
      </c>
      <c r="J108" s="37">
        <f t="shared" si="43"/>
        <v>4.037008090810295E-3</v>
      </c>
      <c r="K108" s="90">
        <f t="shared" si="39"/>
        <v>4.0370080908102945</v>
      </c>
      <c r="L108" s="68">
        <f t="shared" si="40"/>
        <v>1</v>
      </c>
      <c r="M108" s="28">
        <f t="shared" si="50"/>
        <v>4.8828125</v>
      </c>
      <c r="N108" s="28">
        <f t="shared" si="41"/>
        <v>3.1952662721893661E-4</v>
      </c>
      <c r="O108" s="28">
        <f t="shared" si="42"/>
        <v>10.817307692307686</v>
      </c>
      <c r="P108" s="28">
        <f t="shared" si="51"/>
        <v>1.7622377622377612</v>
      </c>
      <c r="Q108" s="28">
        <f t="shared" si="52"/>
        <v>0.75524475524475487</v>
      </c>
    </row>
    <row r="109" spans="1:17" x14ac:dyDescent="0.2">
      <c r="A109" s="28">
        <f t="shared" si="44"/>
        <v>30</v>
      </c>
      <c r="B109" s="31">
        <f t="shared" si="45"/>
        <v>28.557692307692307</v>
      </c>
      <c r="C109" s="29">
        <f t="shared" si="46"/>
        <v>0</v>
      </c>
      <c r="D109" s="27">
        <f t="shared" si="47"/>
        <v>80.592105263157904</v>
      </c>
      <c r="E109" s="27">
        <f t="shared" si="36"/>
        <v>6.25</v>
      </c>
      <c r="F109" s="29">
        <f t="shared" si="48"/>
        <v>0.64</v>
      </c>
      <c r="G109" s="27">
        <f t="shared" si="37"/>
        <v>6.25</v>
      </c>
      <c r="H109" s="29">
        <f t="shared" si="49"/>
        <v>6.25</v>
      </c>
      <c r="I109" s="30">
        <f t="shared" si="53"/>
        <v>2.9538461538461347E-5</v>
      </c>
      <c r="J109" s="37">
        <f t="shared" si="43"/>
        <v>4.066546552348756E-3</v>
      </c>
      <c r="K109" s="90">
        <f t="shared" si="39"/>
        <v>4.0665465523487558</v>
      </c>
      <c r="L109" s="68">
        <f t="shared" si="40"/>
        <v>1</v>
      </c>
      <c r="M109" s="28">
        <f t="shared" si="50"/>
        <v>4.8828125</v>
      </c>
      <c r="N109" s="28">
        <f t="shared" si="41"/>
        <v>2.662721893491109E-4</v>
      </c>
      <c r="O109" s="28">
        <f t="shared" si="42"/>
        <v>9.0144230769230838</v>
      </c>
      <c r="P109" s="28">
        <f t="shared" si="51"/>
        <v>1.4685314685314694</v>
      </c>
      <c r="Q109" s="28">
        <f t="shared" si="52"/>
        <v>0.62937062937062982</v>
      </c>
    </row>
    <row r="110" spans="1:17" x14ac:dyDescent="0.2">
      <c r="A110" s="28">
        <f t="shared" si="44"/>
        <v>30</v>
      </c>
      <c r="B110" s="31">
        <f t="shared" si="45"/>
        <v>28.846153846153847</v>
      </c>
      <c r="C110" s="29">
        <f t="shared" si="46"/>
        <v>0</v>
      </c>
      <c r="D110" s="27">
        <f t="shared" si="47"/>
        <v>80.592105263157904</v>
      </c>
      <c r="E110" s="27">
        <f t="shared" si="36"/>
        <v>6.25</v>
      </c>
      <c r="F110" s="29">
        <f t="shared" si="48"/>
        <v>0.64</v>
      </c>
      <c r="G110" s="27">
        <f t="shared" si="37"/>
        <v>6.25</v>
      </c>
      <c r="H110" s="29">
        <f t="shared" si="49"/>
        <v>6.25</v>
      </c>
      <c r="I110" s="30">
        <f t="shared" si="53"/>
        <v>2.9538461538461709E-5</v>
      </c>
      <c r="J110" s="37">
        <f t="shared" si="43"/>
        <v>4.0960850138872179E-3</v>
      </c>
      <c r="K110" s="90">
        <f t="shared" si="39"/>
        <v>4.096085013887218</v>
      </c>
      <c r="L110" s="68">
        <f t="shared" si="40"/>
        <v>1</v>
      </c>
      <c r="M110" s="28">
        <f t="shared" si="50"/>
        <v>4.8828125</v>
      </c>
      <c r="N110" s="28">
        <f t="shared" si="41"/>
        <v>2.1301775147929109E-4</v>
      </c>
      <c r="O110" s="28">
        <f t="shared" si="42"/>
        <v>7.2115384615384581</v>
      </c>
      <c r="P110" s="28">
        <f t="shared" si="51"/>
        <v>1.1748251748251741</v>
      </c>
      <c r="Q110" s="28">
        <f t="shared" si="52"/>
        <v>0.50349650349650321</v>
      </c>
    </row>
    <row r="111" spans="1:17" x14ac:dyDescent="0.2">
      <c r="A111" s="28">
        <f t="shared" si="44"/>
        <v>30</v>
      </c>
      <c r="B111" s="31">
        <f t="shared" si="45"/>
        <v>29.134615384615383</v>
      </c>
      <c r="C111" s="29">
        <f t="shared" si="46"/>
        <v>0</v>
      </c>
      <c r="D111" s="27">
        <f t="shared" si="47"/>
        <v>80.592105263157904</v>
      </c>
      <c r="E111" s="27">
        <f>$C$2</f>
        <v>6.25</v>
      </c>
      <c r="F111" s="29">
        <f t="shared" si="48"/>
        <v>0.64</v>
      </c>
      <c r="G111" s="27">
        <f>IF($F$2="YES", F111, E111)</f>
        <v>6.25</v>
      </c>
      <c r="H111" s="29">
        <f t="shared" si="49"/>
        <v>6.25</v>
      </c>
      <c r="I111" s="30">
        <f t="shared" si="53"/>
        <v>2.9538461538461347E-5</v>
      </c>
      <c r="J111" s="37">
        <f>J110+I111</f>
        <v>4.125623475425679E-3</v>
      </c>
      <c r="K111" s="90">
        <f t="shared" si="39"/>
        <v>4.1256234754256793</v>
      </c>
      <c r="L111" s="68">
        <f>H111/G111</f>
        <v>1</v>
      </c>
      <c r="M111" s="28">
        <f t="shared" si="50"/>
        <v>4.8828125</v>
      </c>
      <c r="N111" s="28">
        <f>I111*G111*(A111-B111)</f>
        <v>1.5976331360946668E-4</v>
      </c>
      <c r="O111" s="28">
        <f t="shared" si="42"/>
        <v>5.4086538461538547</v>
      </c>
      <c r="P111" s="28">
        <f t="shared" si="51"/>
        <v>0.88111888111888237</v>
      </c>
      <c r="Q111" s="28">
        <f t="shared" si="52"/>
        <v>0.37762237762237821</v>
      </c>
    </row>
    <row r="112" spans="1:17" x14ac:dyDescent="0.2">
      <c r="A112" s="28">
        <f t="shared" si="44"/>
        <v>30</v>
      </c>
      <c r="B112" s="31">
        <f t="shared" si="45"/>
        <v>29.423076923076923</v>
      </c>
      <c r="C112" s="29">
        <f t="shared" si="46"/>
        <v>0</v>
      </c>
      <c r="D112" s="27">
        <f t="shared" si="47"/>
        <v>80.592105263157904</v>
      </c>
      <c r="E112" s="27">
        <f>$C$2</f>
        <v>6.25</v>
      </c>
      <c r="F112" s="29">
        <f t="shared" si="48"/>
        <v>0.64</v>
      </c>
      <c r="G112" s="27">
        <f>IF($F$2="YES", F112, E112)</f>
        <v>6.25</v>
      </c>
      <c r="H112" s="29">
        <f t="shared" si="49"/>
        <v>6.25</v>
      </c>
      <c r="I112" s="30">
        <f t="shared" si="53"/>
        <v>2.9538461538461709E-5</v>
      </c>
      <c r="J112" s="37">
        <f>J111+I112</f>
        <v>4.1551619369641409E-3</v>
      </c>
      <c r="K112" s="90">
        <f t="shared" si="39"/>
        <v>4.1551619369641406</v>
      </c>
      <c r="L112" s="68">
        <f>H112/G112</f>
        <v>1</v>
      </c>
      <c r="M112" s="28">
        <f t="shared" si="50"/>
        <v>4.8828125</v>
      </c>
      <c r="N112" s="28">
        <f>I112*G112*(A112-B112)</f>
        <v>1.0650887573964555E-4</v>
      </c>
      <c r="O112" s="28">
        <f t="shared" si="42"/>
        <v>3.6057692307692291</v>
      </c>
      <c r="P112" s="28">
        <f t="shared" si="51"/>
        <v>0.58741258741258706</v>
      </c>
      <c r="Q112" s="28">
        <f t="shared" si="52"/>
        <v>0.25174825174825161</v>
      </c>
    </row>
    <row r="113" spans="1:17" x14ac:dyDescent="0.2">
      <c r="A113" s="28">
        <f t="shared" si="44"/>
        <v>30</v>
      </c>
      <c r="B113" s="31">
        <f t="shared" si="45"/>
        <v>29.711538461538463</v>
      </c>
      <c r="C113" s="29">
        <f t="shared" si="46"/>
        <v>0</v>
      </c>
      <c r="D113" s="27">
        <f t="shared" si="47"/>
        <v>80.592105263157904</v>
      </c>
      <c r="E113" s="27">
        <f>$C$2</f>
        <v>6.25</v>
      </c>
      <c r="F113" s="29">
        <f t="shared" si="48"/>
        <v>0.64</v>
      </c>
      <c r="G113" s="27">
        <f>IF($F$2="YES", F113, E113)</f>
        <v>6.25</v>
      </c>
      <c r="H113" s="29">
        <f t="shared" si="49"/>
        <v>6.25</v>
      </c>
      <c r="I113" s="30">
        <f t="shared" si="53"/>
        <v>2.9538461538461709E-5</v>
      </c>
      <c r="J113" s="37">
        <f>J112+I113</f>
        <v>4.1847003985026028E-3</v>
      </c>
      <c r="K113" s="90">
        <f t="shared" si="39"/>
        <v>4.1847003985026028</v>
      </c>
      <c r="L113" s="68">
        <f>H113/G113</f>
        <v>1</v>
      </c>
      <c r="M113" s="28">
        <f t="shared" si="50"/>
        <v>4.8828125</v>
      </c>
      <c r="N113" s="28">
        <f>I113*G113*(A113-B113)</f>
        <v>5.3254437869822441E-5</v>
      </c>
      <c r="O113" s="28">
        <f t="shared" si="42"/>
        <v>1.8028846153846034</v>
      </c>
      <c r="P113" s="28">
        <f t="shared" si="51"/>
        <v>0.29370629370629175</v>
      </c>
      <c r="Q113" s="28">
        <f t="shared" si="52"/>
        <v>0.12587412587412503</v>
      </c>
    </row>
    <row r="114" spans="1:17" x14ac:dyDescent="0.2">
      <c r="A114" s="28">
        <f t="shared" si="44"/>
        <v>30</v>
      </c>
      <c r="B114" s="31">
        <f t="shared" si="45"/>
        <v>30</v>
      </c>
      <c r="C114" s="29">
        <f t="shared" si="46"/>
        <v>0</v>
      </c>
      <c r="D114" s="27">
        <f t="shared" si="47"/>
        <v>80.592105263157904</v>
      </c>
      <c r="E114" s="27">
        <f>$C$2</f>
        <v>6.25</v>
      </c>
      <c r="F114" s="29">
        <f t="shared" si="48"/>
        <v>0.64</v>
      </c>
      <c r="G114" s="27">
        <f>IF($F$2="YES", F114, E114)</f>
        <v>6.25</v>
      </c>
      <c r="H114" s="29">
        <f t="shared" si="49"/>
        <v>6.25</v>
      </c>
      <c r="I114" s="30">
        <f t="shared" si="53"/>
        <v>2.9538461538461347E-5</v>
      </c>
      <c r="J114" s="37">
        <f>J113+I114</f>
        <v>4.2142388600410639E-3</v>
      </c>
      <c r="K114" s="90">
        <f t="shared" si="39"/>
        <v>4.2142388600410641</v>
      </c>
      <c r="L114" s="68">
        <f>H114/G114</f>
        <v>1</v>
      </c>
      <c r="M114" s="28">
        <f t="shared" si="50"/>
        <v>4.8828125</v>
      </c>
      <c r="N114" s="28">
        <f>I114*G114*(A114-B114)</f>
        <v>0</v>
      </c>
      <c r="O114" s="28">
        <f t="shared" si="42"/>
        <v>0</v>
      </c>
      <c r="P114" s="28">
        <f t="shared" si="51"/>
        <v>0</v>
      </c>
      <c r="Q114" s="28">
        <f t="shared" si="52"/>
        <v>0</v>
      </c>
    </row>
    <row r="115" spans="1:17" x14ac:dyDescent="0.2">
      <c r="K115" s="91">
        <f>K114+0.5</f>
        <v>4.7142388600410641</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V70"/>
  <sheetViews>
    <sheetView topLeftCell="A14" zoomScale="85" zoomScaleNormal="85" workbookViewId="0">
      <selection activeCell="F39" sqref="F39"/>
    </sheetView>
  </sheetViews>
  <sheetFormatPr defaultRowHeight="12.75" x14ac:dyDescent="0.2"/>
  <cols>
    <col min="1" max="2" width="19.710937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A1" s="126"/>
      <c r="B1" s="126"/>
      <c r="C1" s="128"/>
      <c r="D1" s="128"/>
      <c r="E1" s="128"/>
      <c r="F1" s="128"/>
      <c r="G1" s="128"/>
      <c r="H1" s="126"/>
      <c r="I1" s="126"/>
      <c r="J1" s="126"/>
      <c r="K1" s="126"/>
      <c r="L1" s="126"/>
      <c r="M1" s="126"/>
      <c r="N1" s="126"/>
      <c r="O1" s="126"/>
      <c r="P1" s="126"/>
      <c r="Q1" s="126"/>
      <c r="R1" s="126"/>
      <c r="S1" s="126"/>
      <c r="T1" s="126"/>
      <c r="U1" s="126"/>
      <c r="V1" s="126"/>
    </row>
    <row r="2" spans="1:22" x14ac:dyDescent="0.2">
      <c r="A2" s="133"/>
      <c r="B2" s="148"/>
      <c r="C2" s="351" t="s">
        <v>121</v>
      </c>
      <c r="D2" s="352"/>
      <c r="E2" s="352"/>
      <c r="F2" s="136"/>
      <c r="G2" s="136"/>
      <c r="H2" s="130" t="s">
        <v>142</v>
      </c>
      <c r="I2" s="128"/>
      <c r="J2" s="128"/>
      <c r="K2" s="128"/>
      <c r="L2" s="128"/>
      <c r="M2" s="128"/>
      <c r="N2" s="128"/>
      <c r="O2" s="134"/>
      <c r="P2" s="134"/>
      <c r="Q2" s="134"/>
      <c r="R2" s="134"/>
      <c r="S2" s="134"/>
      <c r="T2" s="134"/>
      <c r="U2" s="128"/>
      <c r="V2" s="128"/>
    </row>
    <row r="3" spans="1:22" x14ac:dyDescent="0.2">
      <c r="A3" s="133"/>
      <c r="B3" s="135" t="s">
        <v>168</v>
      </c>
      <c r="C3" s="135" t="s">
        <v>122</v>
      </c>
      <c r="D3" s="135" t="s">
        <v>123</v>
      </c>
      <c r="E3" s="135" t="s">
        <v>124</v>
      </c>
      <c r="F3" s="149" t="s">
        <v>266</v>
      </c>
      <c r="G3" s="139"/>
      <c r="H3" s="130" t="s">
        <v>140</v>
      </c>
      <c r="I3" s="136"/>
      <c r="J3" s="136"/>
      <c r="K3" s="136"/>
      <c r="L3" s="136"/>
      <c r="M3" s="136"/>
      <c r="N3" s="128"/>
      <c r="O3" s="136"/>
      <c r="P3" s="136"/>
      <c r="Q3" s="137"/>
      <c r="R3" s="137"/>
      <c r="S3" s="137"/>
      <c r="T3" s="137"/>
      <c r="U3" s="128"/>
      <c r="V3" s="128"/>
    </row>
    <row r="4" spans="1:22" ht="21.6" customHeight="1" x14ac:dyDescent="0.2">
      <c r="A4" s="135" t="s">
        <v>125</v>
      </c>
      <c r="B4" s="133">
        <f>'Design Calculator'!AN55</f>
        <v>90</v>
      </c>
      <c r="C4" s="138">
        <f>'Design Calculator'!$AN$56</f>
        <v>7.5</v>
      </c>
      <c r="D4" s="138">
        <f>'Design Calculator'!$AN$57</f>
        <v>2</v>
      </c>
      <c r="E4" s="138">
        <f>IF('Design Calculator'!$AN$58 = "NA", F4, 'Design Calculator'!$AN$58)</f>
        <v>0.5</v>
      </c>
      <c r="F4" s="138">
        <f>'Design Calculator'!AN59</f>
        <v>0.5</v>
      </c>
      <c r="G4" s="142"/>
      <c r="H4" s="130" t="s">
        <v>141</v>
      </c>
      <c r="I4" s="136"/>
      <c r="J4" s="136"/>
      <c r="K4" s="136"/>
      <c r="L4" s="137"/>
      <c r="M4" s="137"/>
      <c r="N4" s="128"/>
      <c r="O4" s="136"/>
      <c r="P4" s="136"/>
      <c r="Q4" s="137"/>
      <c r="R4" s="137"/>
      <c r="S4" s="137"/>
      <c r="T4" s="137"/>
      <c r="U4" s="128"/>
      <c r="V4" s="128"/>
    </row>
    <row r="5" spans="1:22" x14ac:dyDescent="0.2">
      <c r="A5" s="128"/>
      <c r="B5" s="126"/>
      <c r="C5" s="136"/>
      <c r="D5" s="137"/>
      <c r="E5" s="137"/>
      <c r="F5" s="137"/>
      <c r="G5" s="137"/>
      <c r="H5" s="128"/>
      <c r="I5" s="136"/>
      <c r="J5" s="136"/>
      <c r="K5" s="136"/>
      <c r="L5" s="137"/>
      <c r="M5" s="137"/>
      <c r="N5" s="353"/>
      <c r="O5" s="353"/>
      <c r="P5" s="353"/>
      <c r="Q5" s="137"/>
      <c r="R5" s="354"/>
      <c r="S5" s="355"/>
      <c r="T5" s="355"/>
      <c r="U5" s="128"/>
      <c r="V5" s="128"/>
    </row>
    <row r="6" spans="1:22" x14ac:dyDescent="0.2">
      <c r="A6" s="128"/>
      <c r="B6" s="126"/>
      <c r="C6" s="136"/>
      <c r="D6" s="137"/>
      <c r="E6" s="137"/>
      <c r="F6" s="137"/>
      <c r="G6" s="137"/>
      <c r="H6" s="128"/>
      <c r="I6" s="136"/>
      <c r="J6" s="136"/>
      <c r="K6" s="136"/>
      <c r="L6" s="137"/>
      <c r="M6" s="137"/>
      <c r="N6" s="128"/>
      <c r="O6" s="139"/>
      <c r="P6" s="128"/>
      <c r="Q6" s="128"/>
      <c r="R6" s="128"/>
      <c r="S6" s="128"/>
      <c r="T6" s="128"/>
      <c r="U6" s="128"/>
      <c r="V6" s="128"/>
    </row>
    <row r="7" spans="1:22" ht="15" x14ac:dyDescent="0.25">
      <c r="A7" s="128"/>
      <c r="B7" s="140" t="s">
        <v>261</v>
      </c>
      <c r="C7" s="126"/>
      <c r="D7" s="126"/>
      <c r="E7" s="126"/>
      <c r="F7" s="126"/>
      <c r="G7" s="147" t="s">
        <v>248</v>
      </c>
      <c r="H7" s="128"/>
      <c r="I7" s="126"/>
      <c r="J7" s="146"/>
      <c r="K7" s="137"/>
      <c r="L7" s="128"/>
      <c r="M7" s="128"/>
      <c r="N7" s="139"/>
      <c r="O7" s="139"/>
      <c r="P7" s="139"/>
      <c r="Q7" s="128"/>
      <c r="R7" s="128"/>
      <c r="S7" s="128"/>
      <c r="T7" s="141"/>
      <c r="U7" s="136"/>
      <c r="V7" s="128"/>
    </row>
    <row r="8" spans="1:22" ht="15" x14ac:dyDescent="0.25">
      <c r="A8" s="128"/>
      <c r="B8" s="130" t="s">
        <v>126</v>
      </c>
      <c r="C8" s="126">
        <f>IF('Design Calculator'!F71="No", 'Design Calculator'!$F$77,'Design Calculator'!F90)</f>
        <v>1.6</v>
      </c>
      <c r="D8" s="130" t="s">
        <v>5</v>
      </c>
      <c r="E8" s="126"/>
      <c r="F8" s="126"/>
      <c r="G8" s="130" t="s">
        <v>126</v>
      </c>
      <c r="H8" s="126">
        <f>Equations!F70</f>
        <v>3.5391899529042377</v>
      </c>
      <c r="I8" s="126"/>
      <c r="J8" s="145"/>
      <c r="K8" s="137"/>
      <c r="L8" s="128"/>
      <c r="M8" s="128"/>
      <c r="N8" s="139"/>
      <c r="O8" s="128"/>
      <c r="P8" s="141"/>
      <c r="Q8" s="128"/>
      <c r="R8" s="128"/>
      <c r="S8" s="128"/>
      <c r="T8" s="141"/>
      <c r="U8" s="136"/>
      <c r="V8" s="128"/>
    </row>
    <row r="9" spans="1:22" ht="15" x14ac:dyDescent="0.25">
      <c r="A9" s="128"/>
      <c r="B9" s="130" t="s">
        <v>127</v>
      </c>
      <c r="C9" s="126">
        <f>VINMAX</f>
        <v>30</v>
      </c>
      <c r="D9" s="126" t="s">
        <v>50</v>
      </c>
      <c r="E9" s="126"/>
      <c r="F9" s="126"/>
      <c r="G9" s="130" t="s">
        <v>127</v>
      </c>
      <c r="H9" s="126">
        <f>VINMAX</f>
        <v>30</v>
      </c>
      <c r="I9" s="126"/>
      <c r="J9" s="126"/>
      <c r="K9" s="137"/>
      <c r="L9" s="128"/>
      <c r="M9" s="128"/>
      <c r="N9" s="139"/>
      <c r="O9" s="128"/>
      <c r="P9" s="141"/>
      <c r="Q9" s="128"/>
      <c r="R9" s="128"/>
      <c r="S9" s="128"/>
      <c r="T9" s="141"/>
      <c r="U9" s="128"/>
      <c r="V9" s="128"/>
    </row>
    <row r="10" spans="1:22" ht="15" x14ac:dyDescent="0.25">
      <c r="A10" s="128"/>
      <c r="B10" s="130" t="s">
        <v>128</v>
      </c>
      <c r="C10" s="126">
        <f>IF(C8&lt;10, IF(C8&lt;1, 0.1, 1), IF(C8&lt;100, 10, 100))</f>
        <v>1</v>
      </c>
      <c r="D10" s="130" t="s">
        <v>5</v>
      </c>
      <c r="E10" s="126"/>
      <c r="F10" s="126"/>
      <c r="G10" s="130" t="s">
        <v>128</v>
      </c>
      <c r="H10" s="126">
        <f>IF(H8&lt;10, IF(H8&lt;1, 0.1, 1), IF(H8&lt;100, 10, 100))</f>
        <v>1</v>
      </c>
      <c r="I10" s="126"/>
      <c r="J10" s="126"/>
      <c r="K10" s="137"/>
      <c r="L10" s="128"/>
      <c r="M10" s="128"/>
      <c r="N10" s="139"/>
      <c r="O10" s="128"/>
      <c r="P10" s="141"/>
      <c r="Q10" s="128"/>
      <c r="R10" s="128"/>
      <c r="S10" s="128"/>
      <c r="T10" s="141"/>
      <c r="U10" s="128"/>
      <c r="V10" s="128"/>
    </row>
    <row r="11" spans="1:22" ht="15" x14ac:dyDescent="0.25">
      <c r="A11" s="128"/>
      <c r="B11" s="130" t="s">
        <v>343</v>
      </c>
      <c r="C11" s="126">
        <f>IF('Design Calculator'!F58="NA", MIN(SOA!C10,1),SOA!C10)</f>
        <v>1</v>
      </c>
      <c r="D11" s="130"/>
      <c r="E11" s="126"/>
      <c r="F11" s="126"/>
      <c r="G11" s="130" t="s">
        <v>343</v>
      </c>
      <c r="H11" s="126">
        <f>IF('Design Calculator'!F58="NA", MIN(SOA!H10,1),SOA!H10)</f>
        <v>1</v>
      </c>
      <c r="I11" s="126"/>
      <c r="J11" s="126"/>
      <c r="K11" s="137"/>
      <c r="L11" s="128"/>
      <c r="M11" s="128"/>
      <c r="N11" s="128"/>
      <c r="O11" s="128"/>
      <c r="P11" s="141"/>
      <c r="Q11" s="128"/>
      <c r="R11" s="128"/>
      <c r="S11" s="128"/>
      <c r="T11" s="128"/>
      <c r="U11" s="128"/>
      <c r="V11" s="128"/>
    </row>
    <row r="12" spans="1:22" x14ac:dyDescent="0.2">
      <c r="A12" s="128"/>
      <c r="B12" s="130" t="s">
        <v>129</v>
      </c>
      <c r="C12" s="126">
        <f>C10*10</f>
        <v>10</v>
      </c>
      <c r="D12" s="130" t="s">
        <v>5</v>
      </c>
      <c r="E12" s="126"/>
      <c r="F12" s="126"/>
      <c r="G12" s="130" t="s">
        <v>344</v>
      </c>
      <c r="H12" s="126">
        <f>H10*10</f>
        <v>10</v>
      </c>
      <c r="I12" s="126"/>
      <c r="J12" s="126"/>
      <c r="K12" s="137"/>
      <c r="L12" s="128"/>
      <c r="M12" s="128"/>
      <c r="N12" s="128"/>
      <c r="O12" s="128"/>
      <c r="P12" s="128"/>
      <c r="Q12" s="128"/>
      <c r="R12" s="128"/>
      <c r="S12" s="128"/>
      <c r="T12" s="128"/>
      <c r="U12" s="128"/>
      <c r="V12" s="128"/>
    </row>
    <row r="13" spans="1:22" x14ac:dyDescent="0.2">
      <c r="A13" s="128"/>
      <c r="B13" s="130" t="s">
        <v>345</v>
      </c>
      <c r="C13" s="126">
        <f>IF('Design Calculator'!F59="NA", MIN(SOA!C12,10),SOA!C12)</f>
        <v>10</v>
      </c>
      <c r="D13" s="130"/>
      <c r="E13" s="126"/>
      <c r="F13" s="126"/>
      <c r="G13" s="130" t="s">
        <v>345</v>
      </c>
      <c r="H13" s="126">
        <f>IF('Design Calculator'!F59="NA", MIN(SOA!H12,10),SOA!H12)</f>
        <v>10</v>
      </c>
      <c r="I13" s="126"/>
      <c r="J13" s="126"/>
      <c r="K13" s="137"/>
      <c r="L13" s="128"/>
      <c r="M13" s="128"/>
      <c r="N13" s="128"/>
      <c r="O13" s="128"/>
      <c r="P13" s="128"/>
      <c r="Q13" s="128"/>
      <c r="R13" s="128"/>
      <c r="S13" s="128"/>
      <c r="T13" s="128"/>
      <c r="U13" s="128"/>
      <c r="V13" s="128"/>
    </row>
    <row r="14" spans="1:22" x14ac:dyDescent="0.2">
      <c r="A14" s="128"/>
      <c r="B14" s="130" t="s">
        <v>130</v>
      </c>
      <c r="C14" s="126">
        <f>IF(C11=0.1, B4, IF(C11=1, C4, IF(C11=10, D4, E4)))</f>
        <v>7.5</v>
      </c>
      <c r="D14" s="130" t="s">
        <v>17</v>
      </c>
      <c r="E14" s="126"/>
      <c r="F14" s="126"/>
      <c r="G14" s="130" t="s">
        <v>130</v>
      </c>
      <c r="H14" s="126">
        <f>IF(H11=0.1, B4, IF(H11=1, C4, IF(H11=10, D4, E4)))</f>
        <v>7.5</v>
      </c>
      <c r="I14" s="126"/>
      <c r="J14" s="126"/>
      <c r="K14" s="137"/>
      <c r="L14" s="128"/>
      <c r="M14" s="128"/>
      <c r="N14" s="128"/>
      <c r="O14" s="128"/>
      <c r="P14" s="128"/>
      <c r="Q14" s="128"/>
      <c r="R14" s="128"/>
      <c r="S14" s="128"/>
      <c r="T14" s="128"/>
      <c r="U14" s="128"/>
      <c r="V14" s="128"/>
    </row>
    <row r="15" spans="1:22" x14ac:dyDescent="0.2">
      <c r="A15" s="128"/>
      <c r="B15" s="130" t="s">
        <v>131</v>
      </c>
      <c r="C15" s="126">
        <f>IF(C13=1000, F4, IF(C13=1, C4, IF(C13=10, D4, E4)))</f>
        <v>2</v>
      </c>
      <c r="D15" s="130" t="s">
        <v>17</v>
      </c>
      <c r="E15" s="126"/>
      <c r="F15" s="126"/>
      <c r="G15" s="130" t="s">
        <v>131</v>
      </c>
      <c r="H15" s="126">
        <f>IF(H13=1000, F4, IF(H13=1, C4, IF(H13=10, D4, E4)))</f>
        <v>2</v>
      </c>
      <c r="I15" s="126"/>
      <c r="J15" s="126"/>
      <c r="K15" s="137"/>
      <c r="L15" s="128"/>
      <c r="M15" s="128"/>
      <c r="N15" s="128"/>
      <c r="O15" s="128"/>
      <c r="P15" s="128"/>
      <c r="Q15" s="128"/>
      <c r="R15" s="128"/>
      <c r="S15" s="128"/>
      <c r="T15" s="128"/>
      <c r="U15" s="128"/>
      <c r="V15" s="128"/>
    </row>
    <row r="16" spans="1:22" x14ac:dyDescent="0.2">
      <c r="A16" s="128"/>
      <c r="B16" s="126"/>
      <c r="C16" s="126"/>
      <c r="D16" s="126"/>
      <c r="E16" s="126"/>
      <c r="F16" s="126"/>
      <c r="G16" s="126"/>
      <c r="H16" s="126"/>
      <c r="I16" s="126"/>
      <c r="J16" s="126"/>
      <c r="K16" s="137"/>
      <c r="L16" s="128"/>
      <c r="M16" s="128"/>
      <c r="N16" s="128"/>
      <c r="O16" s="128"/>
      <c r="P16" s="128"/>
      <c r="Q16" s="128"/>
      <c r="R16" s="128"/>
      <c r="S16" s="128"/>
      <c r="T16" s="128"/>
      <c r="U16" s="128"/>
      <c r="V16" s="128"/>
    </row>
    <row r="17" spans="1:22" x14ac:dyDescent="0.2">
      <c r="A17" s="128"/>
      <c r="B17" s="130" t="s">
        <v>135</v>
      </c>
      <c r="C17" s="126"/>
      <c r="D17" s="126"/>
      <c r="E17" s="126"/>
      <c r="F17" s="126"/>
      <c r="G17" s="130" t="s">
        <v>135</v>
      </c>
      <c r="H17" s="126"/>
      <c r="I17" s="126"/>
      <c r="J17" s="126"/>
      <c r="K17" s="137"/>
      <c r="L17" s="128"/>
      <c r="M17" s="128"/>
      <c r="N17" s="128"/>
      <c r="O17" s="128"/>
      <c r="P17" s="128"/>
      <c r="Q17" s="128"/>
      <c r="R17" s="128"/>
      <c r="S17" s="128"/>
      <c r="T17" s="128"/>
      <c r="U17" s="128"/>
      <c r="V17" s="128"/>
    </row>
    <row r="18" spans="1:22" x14ac:dyDescent="0.2">
      <c r="A18" s="128"/>
      <c r="B18" s="130" t="s">
        <v>132</v>
      </c>
      <c r="C18" s="126">
        <f>C14/C11^C19</f>
        <v>7.5</v>
      </c>
      <c r="D18" s="126"/>
      <c r="E18" s="126"/>
      <c r="F18" s="130"/>
      <c r="G18" s="130" t="s">
        <v>132</v>
      </c>
      <c r="H18" s="126">
        <f>H14/H11^H19</f>
        <v>7.5</v>
      </c>
      <c r="I18" s="126"/>
      <c r="J18" s="126"/>
      <c r="K18" s="126"/>
      <c r="L18" s="126"/>
      <c r="M18" s="126"/>
      <c r="N18" s="126"/>
      <c r="O18" s="151"/>
      <c r="P18" s="151"/>
      <c r="Q18" s="128"/>
      <c r="R18" s="128"/>
      <c r="S18" s="128"/>
      <c r="T18" s="128"/>
      <c r="U18" s="128"/>
      <c r="V18" s="128"/>
    </row>
    <row r="19" spans="1:22" x14ac:dyDescent="0.2">
      <c r="A19" s="128"/>
      <c r="B19" s="130" t="s">
        <v>133</v>
      </c>
      <c r="C19" s="126">
        <f>LOG(C14/C15)/LOG(C11/C13)</f>
        <v>-0.57403126772771884</v>
      </c>
      <c r="D19" s="126"/>
      <c r="E19" s="126"/>
      <c r="F19" s="130"/>
      <c r="G19" s="130" t="s">
        <v>133</v>
      </c>
      <c r="H19" s="126">
        <f>IF(H14=H15,0.000000000001,LOG(H14/H15)/LOG(H11/H13))</f>
        <v>-0.57403126772771884</v>
      </c>
      <c r="I19" s="130" t="s">
        <v>351</v>
      </c>
      <c r="J19" s="126"/>
      <c r="K19" s="137"/>
      <c r="L19" s="128"/>
      <c r="M19" s="151"/>
      <c r="N19" s="151"/>
      <c r="O19" s="128"/>
      <c r="P19" s="128"/>
      <c r="Q19" s="128"/>
      <c r="R19" s="128"/>
      <c r="S19" s="128"/>
      <c r="T19" s="128"/>
      <c r="U19" s="128"/>
      <c r="V19" s="128"/>
    </row>
    <row r="20" spans="1:22" x14ac:dyDescent="0.2">
      <c r="A20" s="128"/>
      <c r="B20" s="130" t="s">
        <v>134</v>
      </c>
      <c r="C20" s="126">
        <f>C18*C8^C19</f>
        <v>5.726509835581842</v>
      </c>
      <c r="D20" s="130" t="s">
        <v>17</v>
      </c>
      <c r="E20" s="126"/>
      <c r="F20" s="126"/>
      <c r="G20" s="130" t="s">
        <v>134</v>
      </c>
      <c r="H20" s="126">
        <f>H18*H8^H19</f>
        <v>3.6305571509003554</v>
      </c>
      <c r="I20" s="126"/>
      <c r="J20" s="126"/>
      <c r="K20" s="137"/>
      <c r="L20" s="128"/>
      <c r="M20" s="139"/>
      <c r="N20" s="128"/>
      <c r="O20" s="128"/>
      <c r="P20" s="128"/>
      <c r="Q20" s="128"/>
      <c r="R20" s="128"/>
      <c r="S20" s="128"/>
      <c r="T20" s="128"/>
      <c r="U20" s="128"/>
      <c r="V20" s="128"/>
    </row>
    <row r="21" spans="1:22" x14ac:dyDescent="0.2">
      <c r="A21" s="128"/>
      <c r="B21" s="126"/>
      <c r="C21" s="126"/>
      <c r="D21" s="126"/>
      <c r="E21" s="126"/>
      <c r="F21" s="126"/>
      <c r="G21" s="126"/>
      <c r="H21" s="126"/>
      <c r="I21" s="126"/>
      <c r="J21" s="126"/>
      <c r="K21" s="137"/>
      <c r="L21" s="128"/>
      <c r="M21" s="128"/>
      <c r="N21" s="136"/>
      <c r="O21" s="128"/>
      <c r="P21" s="128"/>
      <c r="Q21" s="128"/>
      <c r="R21" s="128"/>
      <c r="S21" s="128"/>
      <c r="T21" s="128"/>
      <c r="U21" s="128"/>
      <c r="V21" s="128"/>
    </row>
    <row r="22" spans="1:22" x14ac:dyDescent="0.2">
      <c r="A22" s="128"/>
      <c r="B22" s="131" t="s">
        <v>137</v>
      </c>
      <c r="C22" s="126">
        <f xml:space="preserve"> C20*C9</f>
        <v>171.79529506745527</v>
      </c>
      <c r="D22" s="130"/>
      <c r="E22" s="126"/>
      <c r="F22" s="126"/>
      <c r="G22" s="131" t="s">
        <v>137</v>
      </c>
      <c r="H22" s="126">
        <f>IF(H8&lt;1, H14, H20)*H9</f>
        <v>108.91671452701065</v>
      </c>
      <c r="I22" s="126"/>
      <c r="J22" s="126"/>
      <c r="K22" s="137"/>
      <c r="L22" s="128"/>
      <c r="M22" s="128"/>
      <c r="N22" s="128"/>
      <c r="O22" s="128"/>
      <c r="P22" s="128"/>
      <c r="Q22" s="128"/>
      <c r="R22" s="128"/>
      <c r="S22" s="128"/>
      <c r="T22" s="128"/>
      <c r="U22" s="128"/>
      <c r="V22" s="128"/>
    </row>
    <row r="23" spans="1:22" x14ac:dyDescent="0.2">
      <c r="A23" s="128"/>
      <c r="B23" s="126"/>
      <c r="C23" s="126"/>
      <c r="D23" s="126"/>
      <c r="E23" s="126"/>
      <c r="F23" s="126"/>
      <c r="G23" s="126"/>
      <c r="H23" s="126"/>
      <c r="I23" s="126"/>
      <c r="J23" s="126"/>
      <c r="K23" s="137"/>
      <c r="L23" s="128"/>
      <c r="M23" s="128"/>
      <c r="N23" s="128"/>
      <c r="O23" s="128"/>
      <c r="P23" s="128"/>
      <c r="Q23" s="128"/>
      <c r="R23" s="128"/>
      <c r="S23" s="128"/>
      <c r="T23" s="128"/>
      <c r="U23" s="128"/>
      <c r="V23" s="128"/>
    </row>
    <row r="24" spans="1:22" x14ac:dyDescent="0.2">
      <c r="A24" s="128"/>
      <c r="B24" s="126"/>
      <c r="C24" s="126"/>
      <c r="D24" s="126"/>
      <c r="E24" s="126"/>
      <c r="F24" s="126"/>
      <c r="G24" s="130" t="s">
        <v>269</v>
      </c>
      <c r="H24" s="126" t="str">
        <f>'Design Calculator'!F79</f>
        <v>No</v>
      </c>
      <c r="I24" s="126"/>
      <c r="J24" s="126"/>
      <c r="K24" s="137"/>
      <c r="L24" s="128"/>
      <c r="M24" s="128"/>
      <c r="N24" s="128"/>
      <c r="O24" s="136"/>
      <c r="P24" s="128"/>
      <c r="Q24" s="128"/>
      <c r="R24" s="128"/>
      <c r="S24" s="128"/>
      <c r="T24" s="128"/>
      <c r="U24" s="128"/>
      <c r="V24" s="128"/>
    </row>
    <row r="25" spans="1:22" x14ac:dyDescent="0.2">
      <c r="A25" s="128"/>
      <c r="B25" s="145" t="s">
        <v>143</v>
      </c>
      <c r="C25" s="126">
        <f>(TJMAX-TJ)/(TJMAX-25)</f>
        <v>0.67589440000000001</v>
      </c>
      <c r="D25" s="137"/>
      <c r="E25" s="137"/>
      <c r="F25" s="137"/>
      <c r="G25" s="130" t="s">
        <v>268</v>
      </c>
      <c r="H25" s="126">
        <f>IF(H24="Yes", TJ,TAMB)</f>
        <v>70</v>
      </c>
      <c r="I25" s="126"/>
      <c r="J25" s="126"/>
      <c r="K25" s="137"/>
      <c r="L25" s="128"/>
      <c r="M25" s="128"/>
      <c r="N25" s="128"/>
      <c r="O25" s="136"/>
      <c r="P25" s="128"/>
      <c r="Q25" s="128"/>
      <c r="R25" s="128"/>
      <c r="S25" s="128"/>
      <c r="T25" s="128"/>
      <c r="U25" s="128"/>
      <c r="V25" s="128"/>
    </row>
    <row r="26" spans="1:22" x14ac:dyDescent="0.2">
      <c r="A26" s="128"/>
      <c r="B26" s="143" t="s">
        <v>138</v>
      </c>
      <c r="C26" s="126">
        <f>IF((C22*C25)&lt;0,0.000000001,C22*C25)</f>
        <v>116.11547788244064</v>
      </c>
      <c r="D26" s="144" t="s">
        <v>51</v>
      </c>
      <c r="E26" s="137"/>
      <c r="F26" s="137"/>
      <c r="G26" s="126"/>
      <c r="H26" s="126"/>
      <c r="I26" s="126"/>
      <c r="J26" s="126"/>
      <c r="K26" s="137"/>
      <c r="L26" s="128"/>
      <c r="M26" s="128"/>
      <c r="N26" s="128"/>
      <c r="O26" s="128"/>
      <c r="P26" s="128"/>
      <c r="Q26" s="128"/>
      <c r="R26" s="128"/>
      <c r="S26" s="128"/>
      <c r="T26" s="128"/>
      <c r="U26" s="128"/>
      <c r="V26" s="128"/>
    </row>
    <row r="27" spans="1:22" x14ac:dyDescent="0.2">
      <c r="A27" s="128"/>
      <c r="B27" s="136"/>
      <c r="C27" s="136"/>
      <c r="D27" s="137"/>
      <c r="E27" s="137"/>
      <c r="F27" s="137"/>
      <c r="G27" s="145" t="s">
        <v>143</v>
      </c>
      <c r="H27" s="126">
        <f>(TJMAX-H25)/(TJMAX-25)</f>
        <v>0.7</v>
      </c>
      <c r="I27" s="126"/>
      <c r="J27" s="126"/>
      <c r="K27" s="137"/>
      <c r="L27" s="128"/>
      <c r="M27" s="128"/>
      <c r="N27" s="128"/>
      <c r="O27" s="128"/>
      <c r="P27" s="128"/>
      <c r="Q27" s="128"/>
      <c r="R27" s="128"/>
      <c r="S27" s="128"/>
      <c r="T27" s="128"/>
      <c r="U27" s="128"/>
      <c r="V27" s="128"/>
    </row>
    <row r="28" spans="1:22" x14ac:dyDescent="0.2">
      <c r="A28" s="128"/>
      <c r="B28" s="136"/>
      <c r="C28" s="126"/>
      <c r="D28" s="137"/>
      <c r="E28" s="137"/>
      <c r="F28" s="137"/>
      <c r="G28" s="143" t="s">
        <v>138</v>
      </c>
      <c r="H28" s="126">
        <f>IF((H22*H27)&lt;0,0.000000001,H22*H27)</f>
        <v>76.241700168907457</v>
      </c>
      <c r="I28" s="126"/>
      <c r="J28" s="126"/>
      <c r="K28" s="137"/>
      <c r="L28" s="128"/>
      <c r="M28" s="128"/>
      <c r="N28" s="128"/>
      <c r="O28" s="128"/>
      <c r="P28" s="128"/>
      <c r="Q28" s="128"/>
      <c r="R28" s="128"/>
      <c r="S28" s="128"/>
      <c r="T28" s="128"/>
      <c r="U28" s="128"/>
      <c r="V28" s="128"/>
    </row>
    <row r="29" spans="1:22" x14ac:dyDescent="0.2">
      <c r="A29" s="128"/>
      <c r="B29" s="145" t="s">
        <v>300</v>
      </c>
      <c r="C29" s="126"/>
      <c r="D29" s="137"/>
      <c r="E29" s="137"/>
      <c r="F29" s="137"/>
      <c r="G29" s="126"/>
      <c r="H29" s="128"/>
      <c r="I29" s="142"/>
      <c r="J29" s="142"/>
      <c r="K29" s="142"/>
      <c r="L29" s="128"/>
      <c r="M29" s="128"/>
      <c r="N29" s="128"/>
      <c r="O29" s="128"/>
      <c r="P29" s="128"/>
      <c r="Q29" s="128"/>
      <c r="R29" s="128"/>
      <c r="S29" s="128"/>
      <c r="T29" s="128"/>
      <c r="U29" s="128"/>
      <c r="V29" s="128"/>
    </row>
    <row r="30" spans="1:22" x14ac:dyDescent="0.2">
      <c r="A30" s="128"/>
      <c r="B30" s="126"/>
      <c r="C30" s="140" t="s">
        <v>301</v>
      </c>
      <c r="D30" s="150" t="s">
        <v>302</v>
      </c>
      <c r="E30" s="150" t="s">
        <v>303</v>
      </c>
      <c r="F30" s="150" t="s">
        <v>304</v>
      </c>
      <c r="G30" s="137"/>
      <c r="H30" s="128"/>
      <c r="I30" s="142"/>
      <c r="J30" s="142"/>
      <c r="K30" s="142"/>
      <c r="L30" s="128"/>
      <c r="M30" s="128"/>
      <c r="N30" s="128"/>
      <c r="O30" s="128"/>
      <c r="P30" s="128"/>
      <c r="Q30" s="128"/>
      <c r="R30" s="128"/>
      <c r="S30" s="128"/>
      <c r="T30" s="128"/>
      <c r="U30" s="128"/>
      <c r="V30" s="128"/>
    </row>
    <row r="31" spans="1:22" x14ac:dyDescent="0.2">
      <c r="A31" s="126"/>
      <c r="B31" s="145" t="s">
        <v>305</v>
      </c>
      <c r="C31" s="132">
        <v>0.1</v>
      </c>
      <c r="D31" s="127">
        <v>1</v>
      </c>
      <c r="E31" s="137">
        <v>10</v>
      </c>
      <c r="F31" s="136">
        <v>100</v>
      </c>
      <c r="G31" s="147"/>
      <c r="H31" s="128"/>
      <c r="I31" s="128"/>
      <c r="J31" s="128"/>
      <c r="K31" s="128"/>
      <c r="L31" s="128"/>
      <c r="M31" s="128"/>
      <c r="N31" s="128"/>
      <c r="O31" s="128"/>
      <c r="P31" s="128"/>
      <c r="Q31" s="128"/>
      <c r="R31" s="128"/>
      <c r="S31" s="128"/>
      <c r="T31" s="128"/>
      <c r="U31" s="128"/>
      <c r="V31" s="128"/>
    </row>
    <row r="32" spans="1:22" x14ac:dyDescent="0.2">
      <c r="A32" s="126"/>
      <c r="B32" s="132" t="s">
        <v>306</v>
      </c>
      <c r="C32" s="127">
        <v>1</v>
      </c>
      <c r="D32" s="127">
        <v>10</v>
      </c>
      <c r="E32" s="137">
        <v>100</v>
      </c>
      <c r="F32" s="136">
        <v>1000</v>
      </c>
      <c r="G32" s="143"/>
      <c r="H32" s="128"/>
      <c r="I32" s="128"/>
      <c r="J32" s="128"/>
      <c r="K32" s="128"/>
      <c r="L32" s="128"/>
      <c r="M32" s="128"/>
      <c r="N32" s="128"/>
      <c r="O32" s="128"/>
      <c r="P32" s="128"/>
      <c r="Q32" s="128"/>
      <c r="R32" s="128"/>
      <c r="S32" s="128"/>
      <c r="T32" s="128"/>
      <c r="U32" s="128"/>
      <c r="V32" s="128"/>
    </row>
    <row r="33" spans="2:22" x14ac:dyDescent="0.2">
      <c r="B33" s="132" t="s">
        <v>132</v>
      </c>
      <c r="C33" s="127">
        <f>B4/(C31^C34)</f>
        <v>7.5</v>
      </c>
      <c r="D33" s="127">
        <f>C4/(D31^D34)</f>
        <v>7.5</v>
      </c>
      <c r="E33" s="127">
        <f>IF('Design Calculator'!F59="NA",D33,D4/(E31^E34))</f>
        <v>8.0000000000000018</v>
      </c>
      <c r="F33" s="127">
        <f>IF('Design Calculator'!F59="NA", E33, E4/(F31^F34))</f>
        <v>0.5</v>
      </c>
      <c r="G33" s="130"/>
      <c r="H33" s="128"/>
      <c r="I33" s="128"/>
      <c r="J33" s="128"/>
      <c r="K33" s="128"/>
      <c r="L33" s="128"/>
      <c r="M33" s="128"/>
      <c r="N33" s="128"/>
      <c r="O33" s="128"/>
      <c r="P33" s="128"/>
      <c r="Q33" s="128"/>
      <c r="R33" s="128"/>
      <c r="S33" s="128"/>
      <c r="T33" s="128"/>
      <c r="U33" s="128"/>
      <c r="V33" s="128"/>
    </row>
    <row r="34" spans="2:22" x14ac:dyDescent="0.2">
      <c r="B34" s="132" t="s">
        <v>133</v>
      </c>
      <c r="C34" s="129">
        <f>LOG(B4/C4)/LOG(C31/C32)</f>
        <v>-1.0791812460476249</v>
      </c>
      <c r="D34" s="129">
        <f>LOG(C4/D4)/LOG(D31/D32)</f>
        <v>-0.57403126772771884</v>
      </c>
      <c r="E34" s="129">
        <f>IF('Design Calculator'!F59="NA", D34, LOG(D4/E4)/LOG(E31/E32))</f>
        <v>-0.6020599913279624</v>
      </c>
      <c r="F34" s="129">
        <f>IF('Design Calculator'!F59="NA",E34,LOG(E4/F4)/LOG(F31/F32))</f>
        <v>0</v>
      </c>
      <c r="G34" s="130"/>
      <c r="H34" s="128"/>
      <c r="I34" s="128"/>
      <c r="J34" s="128"/>
      <c r="K34" s="128"/>
      <c r="L34" s="128"/>
      <c r="M34" s="128"/>
      <c r="N34" s="128"/>
      <c r="O34" s="128"/>
      <c r="P34" s="128"/>
      <c r="Q34" s="128"/>
      <c r="R34" s="128"/>
      <c r="S34" s="128"/>
      <c r="T34" s="128"/>
      <c r="U34" s="128"/>
      <c r="V34" s="128"/>
    </row>
    <row r="35" spans="2:22" x14ac:dyDescent="0.2">
      <c r="B35" s="126"/>
      <c r="C35" s="126"/>
      <c r="D35" s="126"/>
      <c r="E35" s="137"/>
      <c r="F35" s="128"/>
      <c r="G35" s="130"/>
      <c r="H35" s="128"/>
      <c r="I35" s="128"/>
      <c r="J35" s="128"/>
      <c r="K35" s="128"/>
      <c r="L35" s="128"/>
      <c r="M35" s="128"/>
      <c r="N35" s="128"/>
      <c r="O35" s="128"/>
      <c r="P35" s="128"/>
      <c r="Q35" s="128"/>
      <c r="R35" s="128"/>
      <c r="S35" s="128"/>
      <c r="T35" s="128"/>
      <c r="U35" s="128"/>
      <c r="V35" s="128"/>
    </row>
    <row r="36" spans="2:22" ht="13.5" thickBot="1" x14ac:dyDescent="0.25">
      <c r="B36" s="48" t="s">
        <v>352</v>
      </c>
      <c r="C36" s="49"/>
      <c r="D36" s="126"/>
      <c r="E36" s="137"/>
      <c r="F36" s="128"/>
      <c r="G36" s="130"/>
      <c r="H36" s="128"/>
      <c r="I36" s="128"/>
      <c r="J36" s="128"/>
      <c r="K36" s="128"/>
      <c r="L36" s="128"/>
      <c r="M36" s="128"/>
      <c r="N36" s="128"/>
      <c r="O36" s="128"/>
      <c r="P36" s="128"/>
      <c r="Q36" s="128"/>
      <c r="R36" s="128"/>
      <c r="S36" s="128"/>
      <c r="T36" s="128"/>
      <c r="U36" s="128"/>
      <c r="V36" s="128"/>
    </row>
    <row r="37" spans="2:22" ht="14.25" x14ac:dyDescent="0.25">
      <c r="B37" s="50" t="s">
        <v>22</v>
      </c>
      <c r="C37" s="51" t="s">
        <v>68</v>
      </c>
      <c r="D37" s="126"/>
      <c r="E37" s="137"/>
      <c r="F37" s="128"/>
      <c r="G37" s="130"/>
      <c r="H37" s="128"/>
      <c r="I37" s="128"/>
      <c r="J37" s="128"/>
      <c r="K37" s="128"/>
      <c r="L37" s="128"/>
      <c r="M37" s="128"/>
      <c r="N37" s="128"/>
      <c r="O37" s="128"/>
      <c r="P37" s="128"/>
      <c r="Q37" s="128"/>
      <c r="R37" s="128"/>
      <c r="S37" s="128"/>
      <c r="T37" s="128"/>
      <c r="U37" s="128"/>
      <c r="V37" s="128"/>
    </row>
    <row r="38" spans="2:22" x14ac:dyDescent="0.2">
      <c r="B38" s="52" t="s">
        <v>6</v>
      </c>
      <c r="C38" s="53" t="s">
        <v>7</v>
      </c>
      <c r="D38" s="126"/>
      <c r="E38" s="137"/>
      <c r="F38" s="128"/>
      <c r="G38" s="130"/>
      <c r="H38" s="128"/>
      <c r="I38" s="128"/>
      <c r="J38" s="128"/>
      <c r="K38" s="128"/>
      <c r="L38" s="128"/>
      <c r="M38" s="128"/>
      <c r="N38" s="128"/>
      <c r="O38" s="128"/>
      <c r="P38" s="128"/>
      <c r="Q38" s="128"/>
      <c r="R38" s="128"/>
      <c r="S38" s="128"/>
      <c r="T38" s="128"/>
      <c r="U38" s="128"/>
      <c r="V38" s="128"/>
    </row>
    <row r="39" spans="2:22" x14ac:dyDescent="0.2">
      <c r="B39" s="54">
        <v>1</v>
      </c>
      <c r="C39" s="55">
        <f>SOA!$C$26/B39</f>
        <v>116.11547788244064</v>
      </c>
      <c r="D39" s="126"/>
      <c r="E39" s="137"/>
      <c r="F39" s="128"/>
      <c r="G39" s="126"/>
      <c r="H39" s="128"/>
      <c r="I39" s="128"/>
      <c r="J39" s="128"/>
      <c r="K39" s="128"/>
      <c r="L39" s="128"/>
      <c r="M39" s="128"/>
      <c r="N39" s="128"/>
      <c r="O39" s="128"/>
      <c r="P39" s="128"/>
      <c r="Q39" s="128"/>
      <c r="R39" s="128"/>
      <c r="S39" s="128"/>
      <c r="T39" s="128"/>
      <c r="U39" s="128"/>
      <c r="V39" s="128"/>
    </row>
    <row r="40" spans="2:22" x14ac:dyDescent="0.2">
      <c r="B40" s="54">
        <v>1.2</v>
      </c>
      <c r="C40" s="55">
        <f>SOA!$C$26/B40</f>
        <v>96.762898235367203</v>
      </c>
      <c r="D40" s="126"/>
      <c r="E40" s="137"/>
      <c r="F40" s="128"/>
      <c r="G40" s="130"/>
      <c r="H40" s="128"/>
      <c r="I40" s="128"/>
      <c r="J40" s="128"/>
      <c r="K40" s="128"/>
      <c r="L40" s="128"/>
      <c r="M40" s="128"/>
      <c r="N40" s="128"/>
      <c r="O40" s="128"/>
      <c r="P40" s="128"/>
      <c r="Q40" s="128"/>
      <c r="R40" s="128"/>
      <c r="S40" s="128"/>
      <c r="T40" s="128"/>
      <c r="U40" s="128"/>
      <c r="V40" s="128"/>
    </row>
    <row r="41" spans="2:22" x14ac:dyDescent="0.2">
      <c r="B41" s="54">
        <v>30</v>
      </c>
      <c r="C41" s="55">
        <f>SOA!$C$26/B41</f>
        <v>3.870515929414688</v>
      </c>
      <c r="D41" s="126"/>
      <c r="E41" s="137"/>
      <c r="F41" s="128"/>
      <c r="G41" s="126"/>
      <c r="H41" s="128"/>
      <c r="I41" s="128"/>
      <c r="J41" s="128"/>
      <c r="K41" s="128"/>
      <c r="L41" s="128"/>
      <c r="M41" s="128"/>
      <c r="N41" s="128"/>
      <c r="O41" s="128"/>
      <c r="P41" s="128"/>
      <c r="Q41" s="128"/>
      <c r="R41" s="128"/>
      <c r="S41" s="128"/>
      <c r="T41" s="128"/>
      <c r="U41" s="128"/>
      <c r="V41" s="128"/>
    </row>
    <row r="42" spans="2:22" x14ac:dyDescent="0.2">
      <c r="B42" s="54"/>
      <c r="C42" s="55"/>
      <c r="D42" s="126"/>
      <c r="E42" s="137"/>
      <c r="F42" s="128"/>
      <c r="G42" s="130"/>
      <c r="H42" s="128"/>
      <c r="I42" s="128"/>
      <c r="J42" s="128"/>
      <c r="K42" s="128"/>
      <c r="L42" s="128"/>
      <c r="M42" s="128"/>
      <c r="N42" s="128"/>
      <c r="O42" s="128"/>
      <c r="P42" s="128"/>
      <c r="Q42" s="128"/>
      <c r="R42" s="128"/>
      <c r="S42" s="128"/>
      <c r="T42" s="128"/>
      <c r="U42" s="128"/>
      <c r="V42" s="128"/>
    </row>
    <row r="43" spans="2:22" ht="13.5" thickBot="1" x14ac:dyDescent="0.25">
      <c r="B43" s="56"/>
      <c r="C43" s="57"/>
      <c r="D43" s="126"/>
      <c r="E43" s="137"/>
      <c r="F43" s="128"/>
      <c r="G43" s="130"/>
      <c r="H43" s="128"/>
      <c r="I43" s="128"/>
      <c r="J43" s="128"/>
      <c r="K43" s="128"/>
      <c r="L43" s="128"/>
      <c r="M43" s="128"/>
      <c r="N43" s="128"/>
      <c r="O43" s="128"/>
      <c r="P43" s="128"/>
      <c r="Q43" s="128"/>
      <c r="R43" s="128"/>
      <c r="S43" s="128"/>
      <c r="T43" s="128"/>
      <c r="U43" s="128"/>
      <c r="V43" s="128"/>
    </row>
    <row r="44" spans="2:22" x14ac:dyDescent="0.2">
      <c r="B44" s="126"/>
      <c r="C44" s="126"/>
      <c r="D44" s="126"/>
      <c r="E44" s="137"/>
      <c r="F44" s="128"/>
      <c r="G44" s="130"/>
      <c r="H44" s="128"/>
      <c r="I44" s="128"/>
      <c r="J44" s="128"/>
      <c r="K44" s="128"/>
      <c r="L44" s="128"/>
      <c r="M44" s="128"/>
      <c r="N44" s="128"/>
      <c r="O44" s="128"/>
      <c r="P44" s="128"/>
      <c r="Q44" s="128"/>
      <c r="R44" s="128"/>
      <c r="S44" s="128"/>
      <c r="T44" s="128"/>
      <c r="U44" s="128"/>
      <c r="V44" s="128"/>
    </row>
    <row r="45" spans="2:22" x14ac:dyDescent="0.2">
      <c r="B45" s="126"/>
      <c r="C45" s="126"/>
      <c r="D45" s="126"/>
      <c r="E45" s="137"/>
      <c r="F45" s="128"/>
      <c r="G45" s="126"/>
      <c r="H45" s="128"/>
      <c r="I45" s="128"/>
      <c r="J45" s="128"/>
      <c r="K45" s="128"/>
      <c r="L45" s="128"/>
      <c r="M45" s="128"/>
      <c r="N45" s="128"/>
      <c r="O45" s="128"/>
      <c r="P45" s="128"/>
      <c r="Q45" s="128"/>
      <c r="R45" s="128"/>
      <c r="S45" s="128"/>
      <c r="T45" s="128"/>
      <c r="U45" s="128"/>
      <c r="V45" s="128"/>
    </row>
    <row r="46" spans="2:22" x14ac:dyDescent="0.2">
      <c r="B46" s="126"/>
      <c r="C46" s="126"/>
      <c r="D46" s="126"/>
      <c r="E46" s="137"/>
      <c r="F46" s="128"/>
      <c r="G46" s="131"/>
      <c r="H46" s="128"/>
      <c r="I46" s="128"/>
      <c r="J46" s="128"/>
      <c r="K46" s="128"/>
      <c r="L46" s="128"/>
      <c r="M46" s="128"/>
      <c r="N46" s="128"/>
      <c r="O46" s="128"/>
      <c r="P46" s="128"/>
      <c r="Q46" s="128"/>
      <c r="R46" s="128"/>
      <c r="S46" s="128"/>
      <c r="T46" s="128"/>
      <c r="U46" s="128"/>
      <c r="V46" s="128"/>
    </row>
    <row r="47" spans="2:22" x14ac:dyDescent="0.2">
      <c r="B47" s="126"/>
      <c r="C47" s="126"/>
      <c r="D47" s="126"/>
      <c r="E47" s="137"/>
      <c r="F47" s="128"/>
      <c r="G47" s="126"/>
      <c r="H47" s="128"/>
      <c r="I47" s="128"/>
      <c r="J47" s="128"/>
      <c r="K47" s="128"/>
      <c r="L47" s="128"/>
      <c r="M47" s="128"/>
      <c r="N47" s="128"/>
      <c r="O47" s="128"/>
      <c r="P47" s="128"/>
      <c r="Q47" s="128"/>
      <c r="R47" s="128"/>
      <c r="S47" s="128"/>
      <c r="T47" s="128"/>
      <c r="U47" s="128"/>
      <c r="V47" s="128"/>
    </row>
    <row r="48" spans="2:22" x14ac:dyDescent="0.2">
      <c r="B48" s="126"/>
      <c r="C48" s="126"/>
      <c r="D48" s="126"/>
      <c r="E48" s="137"/>
      <c r="F48" s="128"/>
      <c r="G48" s="126"/>
      <c r="H48" s="128"/>
      <c r="I48" s="128"/>
      <c r="J48" s="128"/>
      <c r="K48" s="128"/>
      <c r="L48" s="128"/>
      <c r="M48" s="128"/>
      <c r="N48" s="128"/>
      <c r="O48" s="128"/>
      <c r="P48" s="128"/>
      <c r="Q48" s="128"/>
      <c r="R48" s="128"/>
      <c r="S48" s="128"/>
      <c r="T48" s="128"/>
      <c r="U48" s="128"/>
      <c r="V48" s="128"/>
    </row>
    <row r="49" spans="1:22" x14ac:dyDescent="0.2">
      <c r="A49" s="126"/>
      <c r="B49" s="126"/>
      <c r="C49" s="126"/>
      <c r="D49" s="126"/>
      <c r="E49" s="137"/>
      <c r="F49" s="128"/>
      <c r="G49" s="145"/>
      <c r="H49" s="128"/>
      <c r="I49" s="128"/>
      <c r="J49" s="128"/>
      <c r="K49" s="128"/>
      <c r="L49" s="128"/>
      <c r="M49" s="128"/>
      <c r="N49" s="128"/>
      <c r="O49" s="128"/>
      <c r="P49" s="128"/>
      <c r="Q49" s="128"/>
      <c r="R49" s="128"/>
      <c r="S49" s="128"/>
      <c r="T49" s="128"/>
      <c r="U49" s="128"/>
      <c r="V49" s="128"/>
    </row>
    <row r="50" spans="1:22" x14ac:dyDescent="0.2">
      <c r="A50" s="126"/>
      <c r="B50" s="126"/>
      <c r="C50" s="126"/>
      <c r="D50" s="126"/>
      <c r="E50" s="137"/>
      <c r="F50" s="128"/>
      <c r="G50" s="143"/>
      <c r="H50" s="128"/>
      <c r="I50" s="128"/>
      <c r="J50" s="128"/>
      <c r="K50" s="128"/>
      <c r="L50" s="128"/>
      <c r="M50" s="128"/>
      <c r="N50" s="128"/>
      <c r="O50" s="128"/>
      <c r="P50" s="128"/>
      <c r="Q50" s="128"/>
      <c r="R50" s="128"/>
      <c r="S50" s="128"/>
      <c r="T50" s="128"/>
      <c r="U50" s="128"/>
      <c r="V50" s="128"/>
    </row>
    <row r="51" spans="1:22" x14ac:dyDescent="0.2">
      <c r="A51" s="126"/>
      <c r="B51" s="126"/>
      <c r="C51" s="126"/>
      <c r="D51" s="126"/>
      <c r="E51" s="137"/>
      <c r="F51" s="137"/>
      <c r="G51" s="137"/>
      <c r="H51" s="128"/>
      <c r="I51" s="128"/>
      <c r="J51" s="128"/>
      <c r="K51" s="128"/>
      <c r="L51" s="128"/>
      <c r="M51" s="128"/>
      <c r="N51" s="128"/>
      <c r="O51" s="128"/>
      <c r="P51" s="128"/>
      <c r="Q51" s="128"/>
      <c r="R51" s="128"/>
      <c r="S51" s="128"/>
      <c r="T51" s="128"/>
      <c r="U51" s="128"/>
      <c r="V51" s="128"/>
    </row>
    <row r="52" spans="1:22" x14ac:dyDescent="0.2">
      <c r="A52" s="126"/>
      <c r="B52" s="126"/>
      <c r="C52" s="126"/>
      <c r="D52" s="126"/>
      <c r="E52" s="137"/>
      <c r="F52" s="137"/>
      <c r="G52" s="137"/>
      <c r="H52" s="128"/>
      <c r="I52" s="128"/>
      <c r="J52" s="128"/>
      <c r="K52" s="128"/>
      <c r="L52" s="128"/>
      <c r="M52" s="128"/>
      <c r="N52" s="128"/>
      <c r="O52" s="128"/>
      <c r="P52" s="128"/>
      <c r="Q52" s="128"/>
      <c r="R52" s="128"/>
      <c r="S52" s="128"/>
      <c r="T52" s="128"/>
      <c r="U52" s="128"/>
      <c r="V52" s="128"/>
    </row>
    <row r="53" spans="1:22" x14ac:dyDescent="0.2">
      <c r="A53" s="128"/>
      <c r="B53" s="128"/>
      <c r="C53" s="136"/>
      <c r="D53" s="137"/>
      <c r="E53" s="137"/>
      <c r="F53" s="137"/>
      <c r="G53" s="137"/>
      <c r="H53" s="128"/>
      <c r="I53" s="128"/>
      <c r="J53" s="128"/>
      <c r="K53" s="128"/>
      <c r="L53" s="128"/>
      <c r="M53" s="128"/>
      <c r="N53" s="128"/>
      <c r="O53" s="128"/>
      <c r="P53" s="128"/>
      <c r="Q53" s="128"/>
      <c r="R53" s="128"/>
      <c r="S53" s="128"/>
      <c r="T53" s="128"/>
      <c r="U53" s="128"/>
      <c r="V53" s="128"/>
    </row>
    <row r="54" spans="1:22" x14ac:dyDescent="0.2">
      <c r="A54" s="128"/>
      <c r="B54" s="128"/>
      <c r="C54" s="136"/>
      <c r="D54" s="137"/>
      <c r="E54" s="137"/>
      <c r="F54" s="137"/>
      <c r="G54" s="137"/>
      <c r="H54" s="128"/>
      <c r="I54" s="128"/>
      <c r="J54" s="128"/>
      <c r="K54" s="128"/>
      <c r="L54" s="128"/>
      <c r="M54" s="128"/>
      <c r="N54" s="128"/>
      <c r="O54" s="128"/>
      <c r="P54" s="128"/>
      <c r="Q54" s="128"/>
      <c r="R54" s="128"/>
      <c r="S54" s="128"/>
      <c r="T54" s="128"/>
      <c r="U54" s="128"/>
      <c r="V54" s="128"/>
    </row>
    <row r="55" spans="1:22" x14ac:dyDescent="0.2">
      <c r="A55" s="128"/>
      <c r="B55" s="128"/>
      <c r="C55" s="136"/>
      <c r="D55" s="137"/>
      <c r="E55" s="137"/>
      <c r="F55" s="137"/>
      <c r="G55" s="137"/>
      <c r="H55" s="128"/>
      <c r="I55" s="128"/>
      <c r="J55" s="128"/>
      <c r="K55" s="128"/>
      <c r="L55" s="128"/>
      <c r="M55" s="128"/>
      <c r="N55" s="128"/>
      <c r="O55" s="128"/>
      <c r="P55" s="128"/>
      <c r="Q55" s="128"/>
      <c r="R55" s="128"/>
      <c r="S55" s="128"/>
      <c r="T55" s="128"/>
      <c r="U55" s="128"/>
      <c r="V55" s="128"/>
    </row>
    <row r="56" spans="1:22" x14ac:dyDescent="0.2">
      <c r="A56" s="128"/>
      <c r="B56" s="128"/>
      <c r="C56" s="136"/>
      <c r="D56" s="137"/>
      <c r="E56" s="137"/>
      <c r="F56" s="137"/>
      <c r="G56" s="137"/>
      <c r="H56" s="128"/>
      <c r="I56" s="126"/>
      <c r="J56" s="126"/>
      <c r="K56" s="126"/>
      <c r="L56" s="126"/>
      <c r="M56" s="126"/>
      <c r="N56" s="126"/>
      <c r="O56" s="126"/>
      <c r="P56" s="126"/>
      <c r="Q56" s="126"/>
      <c r="R56" s="126"/>
      <c r="S56" s="126"/>
      <c r="T56" s="126"/>
      <c r="U56" s="126"/>
      <c r="V56" s="126"/>
    </row>
    <row r="57" spans="1:22" x14ac:dyDescent="0.2">
      <c r="A57" s="128"/>
      <c r="B57" s="128"/>
      <c r="C57" s="136"/>
      <c r="D57" s="137"/>
      <c r="E57" s="137"/>
      <c r="F57" s="137"/>
      <c r="G57" s="137"/>
      <c r="H57" s="126"/>
      <c r="I57" s="126"/>
      <c r="J57" s="126"/>
      <c r="K57" s="126"/>
      <c r="L57" s="126"/>
      <c r="M57" s="126"/>
      <c r="N57" s="126"/>
      <c r="O57" s="126"/>
      <c r="P57" s="126"/>
      <c r="Q57" s="126"/>
      <c r="R57" s="126"/>
      <c r="S57" s="126"/>
      <c r="T57" s="126"/>
      <c r="U57" s="126"/>
      <c r="V57" s="126"/>
    </row>
    <row r="58" spans="1:22" x14ac:dyDescent="0.2">
      <c r="A58" s="128"/>
      <c r="B58" s="128"/>
      <c r="C58" s="136"/>
      <c r="D58" s="137"/>
      <c r="E58" s="137"/>
      <c r="F58" s="137"/>
      <c r="G58" s="137"/>
      <c r="H58" s="126"/>
      <c r="I58" s="126"/>
      <c r="J58" s="126"/>
      <c r="K58" s="126"/>
      <c r="L58" s="126"/>
      <c r="M58" s="126"/>
      <c r="N58" s="126"/>
      <c r="O58" s="126"/>
      <c r="P58" s="126"/>
      <c r="Q58" s="126"/>
      <c r="R58" s="126"/>
      <c r="S58" s="126"/>
      <c r="T58" s="126"/>
      <c r="U58" s="126"/>
      <c r="V58" s="126"/>
    </row>
    <row r="59" spans="1:22" x14ac:dyDescent="0.2">
      <c r="A59" s="128"/>
      <c r="B59" s="128"/>
      <c r="C59" s="136"/>
      <c r="D59" s="137"/>
      <c r="E59" s="137"/>
      <c r="F59" s="137"/>
      <c r="G59" s="137"/>
      <c r="H59" s="126"/>
      <c r="I59" s="126"/>
      <c r="J59" s="126"/>
      <c r="K59" s="126"/>
      <c r="L59" s="126"/>
      <c r="M59" s="126"/>
      <c r="N59" s="126"/>
      <c r="O59" s="126"/>
      <c r="P59" s="126"/>
      <c r="Q59" s="126"/>
      <c r="R59" s="126"/>
      <c r="S59" s="126"/>
      <c r="T59" s="126"/>
      <c r="U59" s="126"/>
      <c r="V59" s="126"/>
    </row>
    <row r="60" spans="1:22" x14ac:dyDescent="0.2">
      <c r="A60" s="128"/>
      <c r="B60" s="128"/>
      <c r="C60" s="136"/>
      <c r="D60" s="137"/>
      <c r="E60" s="137"/>
      <c r="F60" s="137"/>
      <c r="G60" s="137"/>
      <c r="H60" s="126"/>
      <c r="I60" s="126"/>
      <c r="J60" s="126"/>
      <c r="K60" s="126"/>
      <c r="L60" s="126"/>
      <c r="M60" s="126"/>
      <c r="N60" s="126"/>
      <c r="O60" s="126"/>
      <c r="P60" s="126"/>
      <c r="Q60" s="126"/>
      <c r="R60" s="126"/>
      <c r="S60" s="126"/>
      <c r="T60" s="126"/>
      <c r="U60" s="126"/>
      <c r="V60" s="126"/>
    </row>
    <row r="61" spans="1:22" x14ac:dyDescent="0.2">
      <c r="A61" s="128"/>
      <c r="B61" s="128"/>
      <c r="C61" s="136"/>
      <c r="D61" s="137"/>
      <c r="E61" s="137"/>
      <c r="F61" s="137"/>
      <c r="G61" s="137"/>
      <c r="H61" s="126"/>
      <c r="I61" s="126"/>
      <c r="J61" s="126"/>
      <c r="K61" s="126"/>
      <c r="L61" s="126"/>
      <c r="M61" s="126"/>
      <c r="N61" s="126"/>
      <c r="O61" s="126"/>
      <c r="P61" s="126"/>
      <c r="Q61" s="126"/>
      <c r="R61" s="126"/>
      <c r="S61" s="126"/>
      <c r="T61" s="126"/>
      <c r="U61" s="126"/>
      <c r="V61" s="126"/>
    </row>
    <row r="62" spans="1:22" x14ac:dyDescent="0.2">
      <c r="A62" s="128"/>
      <c r="B62" s="128"/>
      <c r="C62" s="136"/>
      <c r="D62" s="137"/>
      <c r="E62" s="137"/>
      <c r="F62" s="137"/>
      <c r="G62" s="137"/>
      <c r="H62" s="126"/>
      <c r="I62" s="126"/>
      <c r="J62" s="126"/>
      <c r="K62" s="126"/>
      <c r="L62" s="126"/>
      <c r="M62" s="126"/>
      <c r="N62" s="126"/>
      <c r="O62" s="126"/>
      <c r="P62" s="126"/>
      <c r="Q62" s="126"/>
      <c r="R62" s="126"/>
      <c r="S62" s="126"/>
      <c r="T62" s="126"/>
      <c r="U62" s="126"/>
      <c r="V62" s="126"/>
    </row>
    <row r="63" spans="1:22" x14ac:dyDescent="0.2">
      <c r="A63" s="128"/>
      <c r="B63" s="128"/>
      <c r="C63" s="136"/>
      <c r="D63" s="137"/>
      <c r="E63" s="137"/>
      <c r="F63" s="137"/>
      <c r="G63" s="137"/>
      <c r="H63" s="126"/>
      <c r="I63" s="126"/>
      <c r="J63" s="126"/>
      <c r="K63" s="126"/>
      <c r="L63" s="126"/>
      <c r="M63" s="126"/>
      <c r="N63" s="126"/>
      <c r="O63" s="126"/>
      <c r="P63" s="126"/>
      <c r="Q63" s="126"/>
      <c r="R63" s="126"/>
      <c r="S63" s="126"/>
      <c r="T63" s="126"/>
      <c r="U63" s="126"/>
      <c r="V63" s="126"/>
    </row>
    <row r="64" spans="1:22" x14ac:dyDescent="0.2">
      <c r="A64" s="128"/>
      <c r="B64" s="128"/>
      <c r="C64" s="136"/>
      <c r="D64" s="137"/>
      <c r="E64" s="137"/>
      <c r="F64" s="137"/>
      <c r="G64" s="137"/>
      <c r="H64" s="126"/>
      <c r="I64" s="126"/>
      <c r="J64" s="126"/>
      <c r="K64" s="126"/>
      <c r="L64" s="126"/>
      <c r="M64" s="126"/>
      <c r="N64" s="126"/>
      <c r="O64" s="126"/>
      <c r="P64" s="126"/>
      <c r="Q64" s="126"/>
      <c r="R64" s="126"/>
      <c r="S64" s="126"/>
      <c r="T64" s="126"/>
      <c r="U64" s="126"/>
      <c r="V64" s="126"/>
    </row>
    <row r="65" spans="1:7" x14ac:dyDescent="0.2">
      <c r="A65" s="128"/>
      <c r="B65" s="128"/>
      <c r="C65" s="136"/>
      <c r="D65" s="137"/>
      <c r="E65" s="137"/>
      <c r="F65" s="137"/>
      <c r="G65" s="137"/>
    </row>
    <row r="66" spans="1:7" x14ac:dyDescent="0.2">
      <c r="A66" s="128"/>
      <c r="B66" s="128"/>
      <c r="C66" s="136"/>
      <c r="D66" s="137"/>
      <c r="E66" s="137"/>
      <c r="F66" s="137"/>
      <c r="G66" s="137"/>
    </row>
    <row r="67" spans="1:7" x14ac:dyDescent="0.2">
      <c r="A67" s="128"/>
      <c r="B67" s="128"/>
      <c r="C67" s="136"/>
      <c r="D67" s="137"/>
      <c r="E67" s="137"/>
      <c r="F67" s="137"/>
      <c r="G67" s="137"/>
    </row>
    <row r="68" spans="1:7" x14ac:dyDescent="0.2">
      <c r="A68" s="128"/>
      <c r="B68" s="128"/>
      <c r="C68" s="136"/>
      <c r="D68" s="137"/>
      <c r="E68" s="137"/>
      <c r="F68" s="137"/>
      <c r="G68" s="137"/>
    </row>
    <row r="69" spans="1:7" x14ac:dyDescent="0.2">
      <c r="A69" s="128"/>
      <c r="B69" s="128"/>
      <c r="C69" s="136"/>
      <c r="D69" s="137"/>
      <c r="E69" s="137"/>
      <c r="F69" s="137"/>
      <c r="G69" s="137"/>
    </row>
    <row r="70" spans="1:7" x14ac:dyDescent="0.2">
      <c r="A70" s="128"/>
      <c r="B70" s="128"/>
      <c r="C70" s="126"/>
      <c r="D70" s="126"/>
      <c r="E70" s="126"/>
      <c r="F70" s="126"/>
      <c r="G70" s="126"/>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5:Y61"/>
  <sheetViews>
    <sheetView topLeftCell="A21" zoomScale="85" zoomScaleNormal="85" workbookViewId="0">
      <selection activeCell="M21" sqref="M21"/>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117" t="s">
        <v>279</v>
      </c>
      <c r="D5" s="114"/>
    </row>
    <row r="7" spans="3:4" x14ac:dyDescent="0.2">
      <c r="C7" s="117" t="s">
        <v>280</v>
      </c>
      <c r="D7" s="114"/>
    </row>
    <row r="8" spans="3:4" x14ac:dyDescent="0.2">
      <c r="C8" s="117" t="s">
        <v>281</v>
      </c>
      <c r="D8" s="114"/>
    </row>
    <row r="10" spans="3:4" x14ac:dyDescent="0.2">
      <c r="C10" s="117" t="s">
        <v>282</v>
      </c>
      <c r="D10" s="114"/>
    </row>
    <row r="11" spans="3:4" x14ac:dyDescent="0.2">
      <c r="C11" s="117" t="s">
        <v>348</v>
      </c>
      <c r="D11" s="114"/>
    </row>
    <row r="12" spans="3:4" x14ac:dyDescent="0.2">
      <c r="C12" s="117" t="s">
        <v>349</v>
      </c>
      <c r="D12" s="114"/>
    </row>
    <row r="13" spans="3:4" x14ac:dyDescent="0.2">
      <c r="C13" s="117" t="s">
        <v>350</v>
      </c>
      <c r="D13" s="114"/>
    </row>
    <row r="14" spans="3:4" x14ac:dyDescent="0.2">
      <c r="C14" s="117" t="s">
        <v>293</v>
      </c>
      <c r="D14" s="117" t="s">
        <v>294</v>
      </c>
    </row>
    <row r="15" spans="3:4" ht="12" customHeight="1" x14ac:dyDescent="0.2">
      <c r="C15" s="117"/>
      <c r="D15" s="117" t="s">
        <v>296</v>
      </c>
    </row>
    <row r="16" spans="3:4" ht="12" customHeight="1" x14ac:dyDescent="0.2">
      <c r="C16" s="117"/>
      <c r="D16" s="117"/>
    </row>
    <row r="17" spans="3:13" ht="12" customHeight="1" x14ac:dyDescent="0.2">
      <c r="C17" s="117"/>
      <c r="D17" s="117"/>
      <c r="E17" s="114"/>
      <c r="F17" s="114"/>
      <c r="G17" s="114"/>
      <c r="H17" s="114"/>
      <c r="I17" s="114"/>
      <c r="J17" s="114"/>
      <c r="K17" s="114"/>
      <c r="L17" s="114"/>
      <c r="M17" s="114"/>
    </row>
    <row r="18" spans="3:13" ht="12" customHeight="1" x14ac:dyDescent="0.2">
      <c r="C18" s="117"/>
      <c r="D18" s="121" t="s">
        <v>311</v>
      </c>
      <c r="E18" s="114"/>
      <c r="F18" s="114"/>
      <c r="G18" s="114"/>
      <c r="H18" s="114"/>
      <c r="I18" s="114"/>
      <c r="J18" s="114"/>
      <c r="K18" s="114"/>
      <c r="L18" s="114"/>
      <c r="M18" s="114"/>
    </row>
    <row r="19" spans="3:13" x14ac:dyDescent="0.2">
      <c r="C19" s="117"/>
      <c r="D19" s="117" t="s">
        <v>309</v>
      </c>
      <c r="E19" s="114">
        <f>SOA!H25</f>
        <v>70</v>
      </c>
      <c r="F19" s="114"/>
      <c r="G19" s="114"/>
      <c r="H19" s="114"/>
      <c r="I19" s="114"/>
      <c r="J19" s="114"/>
      <c r="K19" s="114"/>
      <c r="L19" s="114"/>
      <c r="M19" s="114"/>
    </row>
    <row r="20" spans="3:13" x14ac:dyDescent="0.2">
      <c r="C20" s="114"/>
      <c r="D20" s="117" t="s">
        <v>291</v>
      </c>
      <c r="E20" s="114">
        <v>1.3</v>
      </c>
      <c r="F20" s="114"/>
      <c r="G20" s="114"/>
      <c r="H20" s="114"/>
      <c r="I20" s="122" t="s">
        <v>300</v>
      </c>
      <c r="J20" s="114"/>
      <c r="K20" s="120"/>
      <c r="L20" s="120"/>
      <c r="M20" s="120"/>
    </row>
    <row r="21" spans="3:13" x14ac:dyDescent="0.2">
      <c r="C21" s="114"/>
      <c r="D21" s="117" t="s">
        <v>283</v>
      </c>
      <c r="E21" s="114">
        <f>1/2*COUTMAX*VINMAX^2*0.000001</f>
        <v>0.28799999999999998</v>
      </c>
      <c r="F21" s="114"/>
      <c r="G21" s="114"/>
      <c r="H21" s="114"/>
      <c r="I21" s="114"/>
      <c r="J21" s="121" t="s">
        <v>301</v>
      </c>
      <c r="K21" s="125" t="s">
        <v>302</v>
      </c>
      <c r="L21" s="125" t="s">
        <v>303</v>
      </c>
      <c r="M21" s="125" t="s">
        <v>304</v>
      </c>
    </row>
    <row r="22" spans="3:13" x14ac:dyDescent="0.2">
      <c r="C22" s="114"/>
      <c r="D22" s="117" t="s">
        <v>285</v>
      </c>
      <c r="E22" s="114">
        <f>MAX(Equations!F68-E21,0)</f>
        <v>0</v>
      </c>
      <c r="F22" s="114"/>
      <c r="G22" s="114"/>
      <c r="H22" s="114"/>
      <c r="I22" s="122" t="s">
        <v>305</v>
      </c>
      <c r="J22" s="118">
        <v>0.1</v>
      </c>
      <c r="K22" s="115">
        <v>1</v>
      </c>
      <c r="L22" s="120">
        <v>10</v>
      </c>
      <c r="M22" s="119">
        <v>100</v>
      </c>
    </row>
    <row r="23" spans="3:13" x14ac:dyDescent="0.2">
      <c r="C23" s="114"/>
      <c r="D23" s="117" t="s">
        <v>286</v>
      </c>
      <c r="E23" s="114">
        <f>Equations!F67</f>
        <v>30</v>
      </c>
      <c r="F23" s="114"/>
      <c r="G23" s="114"/>
      <c r="H23" s="114"/>
      <c r="I23" s="118" t="s">
        <v>306</v>
      </c>
      <c r="J23" s="115">
        <v>1</v>
      </c>
      <c r="K23" s="115">
        <v>10</v>
      </c>
      <c r="L23" s="120">
        <v>100</v>
      </c>
      <c r="M23" s="119">
        <v>1000</v>
      </c>
    </row>
    <row r="24" spans="3:13" x14ac:dyDescent="0.2">
      <c r="C24" s="114"/>
      <c r="D24" s="114"/>
      <c r="E24" s="114"/>
      <c r="F24" s="114"/>
      <c r="G24" s="114"/>
      <c r="H24" s="114"/>
      <c r="I24" s="118" t="s">
        <v>132</v>
      </c>
      <c r="J24" s="115">
        <f>SOA!C33</f>
        <v>7.5</v>
      </c>
      <c r="K24" s="115">
        <f>SOA!D33</f>
        <v>7.5</v>
      </c>
      <c r="L24" s="115">
        <f>SOA!E33</f>
        <v>8.0000000000000018</v>
      </c>
      <c r="M24" s="115">
        <f>SOA!F33</f>
        <v>0.5</v>
      </c>
    </row>
    <row r="25" spans="3:13" x14ac:dyDescent="0.2">
      <c r="C25" s="114"/>
      <c r="D25" s="114" t="s">
        <v>139</v>
      </c>
      <c r="E25" s="114">
        <f>'Design Calculator'!F68</f>
        <v>0</v>
      </c>
      <c r="F25" s="114"/>
      <c r="G25" s="114"/>
      <c r="H25" s="114"/>
      <c r="I25" s="118" t="s">
        <v>133</v>
      </c>
      <c r="J25" s="113">
        <f>SOA!C34</f>
        <v>-1.0791812460476249</v>
      </c>
      <c r="K25" s="113">
        <f>SOA!D34</f>
        <v>-0.57403126772771884</v>
      </c>
      <c r="L25" s="113">
        <f>SOA!E34</f>
        <v>-0.6020599913279624</v>
      </c>
      <c r="M25" s="113">
        <f>SOA!F34</f>
        <v>0</v>
      </c>
    </row>
    <row r="26" spans="3:13" x14ac:dyDescent="0.2">
      <c r="C26" s="114"/>
      <c r="D26" s="114" t="s">
        <v>85</v>
      </c>
      <c r="E26" s="114" t="str">
        <f>'Design Calculator'!F69</f>
        <v>Constant Current</v>
      </c>
      <c r="F26" s="114"/>
      <c r="G26" s="114"/>
      <c r="H26" s="114"/>
      <c r="I26" s="114"/>
      <c r="J26" s="114"/>
      <c r="K26" s="114"/>
      <c r="L26" s="114"/>
      <c r="M26" s="114"/>
    </row>
    <row r="27" spans="3:13" x14ac:dyDescent="0.2">
      <c r="C27" s="126"/>
      <c r="D27" s="114" t="s">
        <v>86</v>
      </c>
      <c r="E27" s="114">
        <f>'Design Calculator'!F70</f>
        <v>0</v>
      </c>
      <c r="F27" s="126"/>
      <c r="G27" s="126"/>
      <c r="H27" s="126"/>
      <c r="I27" s="126"/>
      <c r="J27" s="126"/>
      <c r="K27" s="126"/>
      <c r="L27" s="126"/>
      <c r="M27" s="126"/>
    </row>
    <row r="28" spans="3:13" x14ac:dyDescent="0.2">
      <c r="C28" s="114"/>
      <c r="F28" s="114"/>
      <c r="I28" s="114"/>
      <c r="J28" s="114"/>
      <c r="K28" s="123" t="s">
        <v>322</v>
      </c>
      <c r="L28" s="121" t="s">
        <v>99</v>
      </c>
      <c r="M28" s="114"/>
    </row>
    <row r="29" spans="3:13" x14ac:dyDescent="0.2">
      <c r="C29" s="114"/>
      <c r="D29" s="114" t="s">
        <v>373</v>
      </c>
      <c r="E29" s="114">
        <f>'Design Calculator'!F67/VINMAX/3</f>
        <v>0.89546783625731008</v>
      </c>
      <c r="F29" s="114"/>
      <c r="I29" s="114" t="s">
        <v>320</v>
      </c>
      <c r="J29" s="114"/>
      <c r="K29" s="116">
        <f>SUM(E60:X60)</f>
        <v>1.399168494152047</v>
      </c>
      <c r="L29" s="116">
        <f>IF(K29=0, "NA", K29/AVERAGE(1, E33))</f>
        <v>1.4961614828462699</v>
      </c>
      <c r="M29" s="114"/>
    </row>
    <row r="30" spans="3:13" x14ac:dyDescent="0.2">
      <c r="C30" s="114"/>
      <c r="D30" s="117" t="s">
        <v>346</v>
      </c>
      <c r="E30" s="114">
        <f>dv_dt_recommendations!E29/(0.001*COUTMAX)</f>
        <v>1.399168494152047</v>
      </c>
      <c r="F30" s="114"/>
      <c r="I30" s="114" t="s">
        <v>321</v>
      </c>
      <c r="J30" s="114"/>
      <c r="K30" s="116">
        <f>SUM(E61:X61)</f>
        <v>9.9999999999999992E-2</v>
      </c>
      <c r="L30" s="116">
        <f>IF(K30=0, "NA", K30*AVERAGE(1,E33))</f>
        <v>9.3517211223102387E-2</v>
      </c>
      <c r="M30" s="114"/>
    </row>
    <row r="31" spans="3:13" x14ac:dyDescent="0.2">
      <c r="C31" s="114"/>
      <c r="D31" s="117" t="s">
        <v>347</v>
      </c>
      <c r="E31" s="114">
        <v>0.1</v>
      </c>
      <c r="F31" s="114"/>
      <c r="G31" s="114"/>
      <c r="H31" s="114"/>
      <c r="I31" s="114"/>
      <c r="J31" s="114"/>
      <c r="K31" s="114"/>
      <c r="L31" s="114"/>
      <c r="M31" s="114"/>
    </row>
    <row r="32" spans="3:13" x14ac:dyDescent="0.2">
      <c r="C32" s="114"/>
      <c r="D32" s="117" t="s">
        <v>312</v>
      </c>
      <c r="E32" s="114">
        <v>20</v>
      </c>
      <c r="F32" s="114"/>
      <c r="G32" s="114"/>
      <c r="H32" s="114"/>
      <c r="I32" s="114"/>
      <c r="J32" s="114"/>
      <c r="K32" s="114"/>
      <c r="L32" s="114"/>
      <c r="M32" s="114"/>
    </row>
    <row r="33" spans="3:24" x14ac:dyDescent="0.2">
      <c r="C33" s="114"/>
      <c r="D33" s="117" t="s">
        <v>313</v>
      </c>
      <c r="E33" s="114">
        <f>(E31/E30)^(1/(E32-1))</f>
        <v>0.87034422446204784</v>
      </c>
      <c r="F33" s="114"/>
      <c r="G33" s="114"/>
      <c r="H33" s="114"/>
      <c r="I33" s="114"/>
      <c r="J33" s="114"/>
      <c r="K33" s="114"/>
      <c r="L33" s="114"/>
      <c r="M33" s="114"/>
    </row>
    <row r="34" spans="3:24" x14ac:dyDescent="0.2">
      <c r="C34" s="126"/>
      <c r="D34" s="130"/>
      <c r="E34" s="126"/>
      <c r="F34" s="126"/>
      <c r="G34" s="126"/>
      <c r="H34" s="126"/>
      <c r="I34" s="126"/>
      <c r="J34" s="126"/>
      <c r="K34" s="126"/>
      <c r="L34" s="126"/>
      <c r="M34" s="126"/>
    </row>
    <row r="35" spans="3:24" x14ac:dyDescent="0.2">
      <c r="D35" s="117" t="s">
        <v>372</v>
      </c>
      <c r="E35" s="114"/>
      <c r="F35" s="114"/>
      <c r="G35" s="114"/>
      <c r="H35" s="114"/>
      <c r="I35" s="114"/>
      <c r="J35" s="114"/>
      <c r="K35" s="114"/>
      <c r="L35" s="114"/>
      <c r="M35" s="114"/>
      <c r="N35" s="114"/>
      <c r="O35" s="114"/>
      <c r="P35" s="114"/>
      <c r="Q35" s="114"/>
      <c r="R35" s="114"/>
      <c r="S35" s="114"/>
      <c r="T35" s="114"/>
      <c r="U35" s="114"/>
      <c r="V35" s="114"/>
      <c r="W35" s="114"/>
      <c r="X35" s="114"/>
    </row>
    <row r="36" spans="3:24" x14ac:dyDescent="0.2">
      <c r="D36" s="114"/>
      <c r="E36" s="114">
        <v>1</v>
      </c>
      <c r="F36" s="114">
        <v>2</v>
      </c>
      <c r="G36" s="114">
        <v>3</v>
      </c>
      <c r="H36" s="114">
        <v>4</v>
      </c>
      <c r="I36" s="114">
        <v>5</v>
      </c>
      <c r="J36" s="114">
        <v>6</v>
      </c>
      <c r="K36" s="114">
        <v>7</v>
      </c>
      <c r="L36" s="114">
        <v>8</v>
      </c>
      <c r="M36" s="114">
        <v>9</v>
      </c>
      <c r="N36" s="114">
        <v>10</v>
      </c>
      <c r="O36" s="114">
        <v>11</v>
      </c>
      <c r="P36" s="114">
        <v>12</v>
      </c>
      <c r="Q36" s="114">
        <v>13</v>
      </c>
      <c r="R36" s="114">
        <v>14</v>
      </c>
      <c r="S36" s="114">
        <v>15</v>
      </c>
      <c r="T36" s="114">
        <v>16</v>
      </c>
      <c r="U36" s="114">
        <v>17</v>
      </c>
      <c r="V36" s="114">
        <v>18</v>
      </c>
      <c r="W36" s="114">
        <v>19</v>
      </c>
      <c r="X36" s="114">
        <v>20</v>
      </c>
    </row>
    <row r="37" spans="3:24" x14ac:dyDescent="0.2">
      <c r="D37" s="124" t="s">
        <v>284</v>
      </c>
      <c r="E37" s="124">
        <f>E30</f>
        <v>1.399168494152047</v>
      </c>
      <c r="F37" s="124">
        <f t="shared" ref="F37:X37" si="0">E37*$E$33</f>
        <v>1.2177582179344948</v>
      </c>
      <c r="G37" s="124">
        <f t="shared" si="0"/>
        <v>1.0598688317704834</v>
      </c>
      <c r="H37" s="124">
        <f t="shared" si="0"/>
        <v>0.92245071641877807</v>
      </c>
      <c r="I37" s="124">
        <f t="shared" si="0"/>
        <v>0.80284965338596181</v>
      </c>
      <c r="J37" s="124">
        <f t="shared" si="0"/>
        <v>0.69875555893582886</v>
      </c>
      <c r="K37" s="124">
        <f t="shared" si="0"/>
        <v>0.60815786503054869</v>
      </c>
      <c r="L37" s="124">
        <f t="shared" si="0"/>
        <v>0.52930668539050763</v>
      </c>
      <c r="M37" s="124">
        <f t="shared" si="0"/>
        <v>0.46067901659877852</v>
      </c>
      <c r="N37" s="124">
        <f t="shared" si="0"/>
        <v>0.40094932142760276</v>
      </c>
      <c r="O37" s="124">
        <f t="shared" si="0"/>
        <v>0.34896392620649125</v>
      </c>
      <c r="P37" s="124">
        <f t="shared" si="0"/>
        <v>0.30371873771941993</v>
      </c>
      <c r="Q37" s="124">
        <f t="shared" si="0"/>
        <v>0.26433984923500065</v>
      </c>
      <c r="R37" s="124">
        <f t="shared" si="0"/>
        <v>0.23006666107685128</v>
      </c>
      <c r="S37" s="124">
        <f t="shared" si="0"/>
        <v>0.20023718970950494</v>
      </c>
      <c r="T37" s="124">
        <f t="shared" si="0"/>
        <v>0.17427528158617903</v>
      </c>
      <c r="U37" s="124">
        <f t="shared" si="0"/>
        <v>0.15167948479502799</v>
      </c>
      <c r="V37" s="124">
        <f t="shared" si="0"/>
        <v>0.13201336356073162</v>
      </c>
      <c r="W37" s="124">
        <f t="shared" si="0"/>
        <v>0.11489706852689133</v>
      </c>
      <c r="X37" s="124">
        <f t="shared" si="0"/>
        <v>9.9999999999999992E-2</v>
      </c>
    </row>
    <row r="38" spans="3:24" x14ac:dyDescent="0.2">
      <c r="D38" s="117" t="s">
        <v>287</v>
      </c>
      <c r="E38" s="114">
        <f t="shared" ref="E38:X38" si="1">VINMAX/E37</f>
        <v>21.441306122448974</v>
      </c>
      <c r="F38" s="114">
        <f t="shared" si="1"/>
        <v>24.635432188570743</v>
      </c>
      <c r="G38" s="114">
        <f t="shared" si="1"/>
        <v>28.305389403597971</v>
      </c>
      <c r="H38" s="114">
        <f t="shared" si="1"/>
        <v>32.522062659855393</v>
      </c>
      <c r="I38" s="114">
        <f t="shared" si="1"/>
        <v>37.366896620652589</v>
      </c>
      <c r="J38" s="114">
        <f t="shared" si="1"/>
        <v>42.933468816603849</v>
      </c>
      <c r="K38" s="114">
        <f t="shared" si="1"/>
        <v>49.329297087184848</v>
      </c>
      <c r="L38" s="114">
        <f t="shared" si="1"/>
        <v>56.677916278096582</v>
      </c>
      <c r="M38" s="114">
        <f t="shared" si="1"/>
        <v>65.121264305658727</v>
      </c>
      <c r="N38" s="114">
        <f t="shared" si="1"/>
        <v>74.822423674850725</v>
      </c>
      <c r="O38" s="114">
        <f t="shared" si="1"/>
        <v>85.968771403174216</v>
      </c>
      <c r="P38" s="114">
        <f t="shared" si="1"/>
        <v>98.77559819083163</v>
      </c>
      <c r="Q38" s="114">
        <f t="shared" si="1"/>
        <v>113.49026674116665</v>
      </c>
      <c r="R38" s="114">
        <f t="shared" si="1"/>
        <v>130.39698954895002</v>
      </c>
      <c r="S38" s="114">
        <f t="shared" si="1"/>
        <v>149.82231843906041</v>
      </c>
      <c r="T38" s="114">
        <f t="shared" si="1"/>
        <v>172.14145188550458</v>
      </c>
      <c r="U38" s="114">
        <f t="shared" si="1"/>
        <v>197.78548193607386</v>
      </c>
      <c r="V38" s="114">
        <f t="shared" si="1"/>
        <v>227.24972071633306</v>
      </c>
      <c r="W38" s="114">
        <f t="shared" si="1"/>
        <v>261.10326733861433</v>
      </c>
      <c r="X38" s="114">
        <f t="shared" si="1"/>
        <v>300</v>
      </c>
    </row>
    <row r="39" spans="3:24" x14ac:dyDescent="0.2">
      <c r="D39" s="117" t="s">
        <v>288</v>
      </c>
      <c r="E39" s="114">
        <f t="shared" ref="E39:X39" si="2">E37*COUTMAX/1000</f>
        <v>0.89546783625731008</v>
      </c>
      <c r="F39" s="114">
        <f t="shared" si="2"/>
        <v>0.77936525947807678</v>
      </c>
      <c r="G39" s="114">
        <f t="shared" si="2"/>
        <v>0.67831605233310943</v>
      </c>
      <c r="H39" s="114">
        <f t="shared" si="2"/>
        <v>0.590368458508018</v>
      </c>
      <c r="I39" s="114">
        <f t="shared" si="2"/>
        <v>0.51382377816701552</v>
      </c>
      <c r="J39" s="114">
        <f t="shared" si="2"/>
        <v>0.4472035577189305</v>
      </c>
      <c r="K39" s="114">
        <f t="shared" si="2"/>
        <v>0.38922103361955118</v>
      </c>
      <c r="L39" s="114">
        <f t="shared" si="2"/>
        <v>0.33875627864992486</v>
      </c>
      <c r="M39" s="114">
        <f t="shared" si="2"/>
        <v>0.29483457062321827</v>
      </c>
      <c r="N39" s="114">
        <f t="shared" si="2"/>
        <v>0.25660756571366572</v>
      </c>
      <c r="O39" s="114">
        <f t="shared" si="2"/>
        <v>0.22333691277215439</v>
      </c>
      <c r="P39" s="114">
        <f t="shared" si="2"/>
        <v>0.19437999214042875</v>
      </c>
      <c r="Q39" s="114">
        <f t="shared" si="2"/>
        <v>0.16917750351040042</v>
      </c>
      <c r="R39" s="114">
        <f t="shared" si="2"/>
        <v>0.14724266308918482</v>
      </c>
      <c r="S39" s="114">
        <f t="shared" si="2"/>
        <v>0.12815180141408317</v>
      </c>
      <c r="T39" s="114">
        <f t="shared" si="2"/>
        <v>0.11153618021515457</v>
      </c>
      <c r="U39" s="114">
        <f t="shared" si="2"/>
        <v>9.707487026881792E-2</v>
      </c>
      <c r="V39" s="114">
        <f t="shared" si="2"/>
        <v>8.4488552678868248E-2</v>
      </c>
      <c r="W39" s="114">
        <f t="shared" si="2"/>
        <v>7.3534123857210448E-2</v>
      </c>
      <c r="X39" s="114">
        <f t="shared" si="2"/>
        <v>6.3999999999999987E-2</v>
      </c>
    </row>
    <row r="40" spans="3:24" x14ac:dyDescent="0.2">
      <c r="D40" s="117" t="s">
        <v>289</v>
      </c>
      <c r="E40" s="114">
        <f t="shared" ref="E40:X40" si="3">$E$21+$E$22*E38/$E$23</f>
        <v>0.28799999999999998</v>
      </c>
      <c r="F40" s="114">
        <f t="shared" si="3"/>
        <v>0.28799999999999998</v>
      </c>
      <c r="G40" s="114">
        <f t="shared" si="3"/>
        <v>0.28799999999999998</v>
      </c>
      <c r="H40" s="114">
        <f t="shared" si="3"/>
        <v>0.28799999999999998</v>
      </c>
      <c r="I40" s="114">
        <f t="shared" si="3"/>
        <v>0.28799999999999998</v>
      </c>
      <c r="J40" s="114">
        <f t="shared" si="3"/>
        <v>0.28799999999999998</v>
      </c>
      <c r="K40" s="114">
        <f t="shared" si="3"/>
        <v>0.28799999999999998</v>
      </c>
      <c r="L40" s="114">
        <f t="shared" si="3"/>
        <v>0.28799999999999998</v>
      </c>
      <c r="M40" s="114">
        <f t="shared" si="3"/>
        <v>0.28799999999999998</v>
      </c>
      <c r="N40" s="114">
        <f t="shared" si="3"/>
        <v>0.28799999999999998</v>
      </c>
      <c r="O40" s="114">
        <f t="shared" si="3"/>
        <v>0.28799999999999998</v>
      </c>
      <c r="P40" s="114">
        <f t="shared" si="3"/>
        <v>0.28799999999999998</v>
      </c>
      <c r="Q40" s="114">
        <f t="shared" si="3"/>
        <v>0.28799999999999998</v>
      </c>
      <c r="R40" s="114">
        <f t="shared" si="3"/>
        <v>0.28799999999999998</v>
      </c>
      <c r="S40" s="114">
        <f t="shared" si="3"/>
        <v>0.28799999999999998</v>
      </c>
      <c r="T40" s="114">
        <f t="shared" si="3"/>
        <v>0.28799999999999998</v>
      </c>
      <c r="U40" s="114">
        <f t="shared" si="3"/>
        <v>0.28799999999999998</v>
      </c>
      <c r="V40" s="114">
        <f t="shared" si="3"/>
        <v>0.28799999999999998</v>
      </c>
      <c r="W40" s="114">
        <f t="shared" si="3"/>
        <v>0.28799999999999998</v>
      </c>
      <c r="X40" s="114">
        <f t="shared" si="3"/>
        <v>0.28799999999999998</v>
      </c>
    </row>
    <row r="41" spans="3:24" x14ac:dyDescent="0.2">
      <c r="D41" s="117" t="s">
        <v>292</v>
      </c>
      <c r="E41" s="114">
        <f t="shared" ref="E41:X41" si="4">(E39+IF($E$26="Resistive",0,IF($E$25=0,$E$27,0)))*VINMAX</f>
        <v>26.864035087719301</v>
      </c>
      <c r="F41" s="114">
        <f t="shared" si="4"/>
        <v>23.380957784342304</v>
      </c>
      <c r="G41" s="114">
        <f t="shared" si="4"/>
        <v>20.349481569993284</v>
      </c>
      <c r="H41" s="114">
        <f t="shared" si="4"/>
        <v>17.711053755240542</v>
      </c>
      <c r="I41" s="114">
        <f t="shared" si="4"/>
        <v>15.414713345010465</v>
      </c>
      <c r="J41" s="114">
        <f t="shared" si="4"/>
        <v>13.416106731567915</v>
      </c>
      <c r="K41" s="114">
        <f t="shared" si="4"/>
        <v>11.676631008586536</v>
      </c>
      <c r="L41" s="114">
        <f t="shared" si="4"/>
        <v>10.162688359497746</v>
      </c>
      <c r="M41" s="114">
        <f t="shared" si="4"/>
        <v>8.8450371186965491</v>
      </c>
      <c r="N41" s="114">
        <f t="shared" si="4"/>
        <v>7.6982269714099711</v>
      </c>
      <c r="O41" s="114">
        <f t="shared" si="4"/>
        <v>6.7001073831646316</v>
      </c>
      <c r="P41" s="114">
        <f t="shared" si="4"/>
        <v>5.831399764212863</v>
      </c>
      <c r="Q41" s="114">
        <f t="shared" si="4"/>
        <v>5.0753251053120128</v>
      </c>
      <c r="R41" s="114">
        <f t="shared" si="4"/>
        <v>4.4172798926755448</v>
      </c>
      <c r="S41" s="114">
        <f t="shared" si="4"/>
        <v>3.8445540424224949</v>
      </c>
      <c r="T41" s="114">
        <f t="shared" si="4"/>
        <v>3.346085406454637</v>
      </c>
      <c r="U41" s="114">
        <f t="shared" si="4"/>
        <v>2.9122461080645374</v>
      </c>
      <c r="V41" s="114">
        <f t="shared" si="4"/>
        <v>2.5346565803660472</v>
      </c>
      <c r="W41" s="114">
        <f t="shared" si="4"/>
        <v>2.2060237157163134</v>
      </c>
      <c r="X41" s="114">
        <f t="shared" si="4"/>
        <v>1.9199999999999997</v>
      </c>
    </row>
    <row r="42" spans="3:24" x14ac:dyDescent="0.2">
      <c r="D42" s="117" t="s">
        <v>290</v>
      </c>
      <c r="E42" s="114">
        <f t="shared" ref="E42:X42" si="5">(E39+IF($E$26="Resistive", $E$25/$E$27,$E$27)) *(VINMAX-$E$25)</f>
        <v>26.864035087719301</v>
      </c>
      <c r="F42" s="114">
        <f t="shared" si="5"/>
        <v>23.380957784342304</v>
      </c>
      <c r="G42" s="114">
        <f t="shared" si="5"/>
        <v>20.349481569993284</v>
      </c>
      <c r="H42" s="114">
        <f t="shared" si="5"/>
        <v>17.711053755240542</v>
      </c>
      <c r="I42" s="114">
        <f t="shared" si="5"/>
        <v>15.414713345010465</v>
      </c>
      <c r="J42" s="114">
        <f t="shared" si="5"/>
        <v>13.416106731567915</v>
      </c>
      <c r="K42" s="114">
        <f t="shared" si="5"/>
        <v>11.676631008586536</v>
      </c>
      <c r="L42" s="114">
        <f t="shared" si="5"/>
        <v>10.162688359497746</v>
      </c>
      <c r="M42" s="114">
        <f t="shared" si="5"/>
        <v>8.8450371186965491</v>
      </c>
      <c r="N42" s="114">
        <f t="shared" si="5"/>
        <v>7.6982269714099711</v>
      </c>
      <c r="O42" s="114">
        <f t="shared" si="5"/>
        <v>6.7001073831646316</v>
      </c>
      <c r="P42" s="114">
        <f t="shared" si="5"/>
        <v>5.831399764212863</v>
      </c>
      <c r="Q42" s="114">
        <f t="shared" si="5"/>
        <v>5.0753251053120128</v>
      </c>
      <c r="R42" s="114">
        <f t="shared" si="5"/>
        <v>4.4172798926755448</v>
      </c>
      <c r="S42" s="114">
        <f t="shared" si="5"/>
        <v>3.8445540424224949</v>
      </c>
      <c r="T42" s="114">
        <f t="shared" si="5"/>
        <v>3.346085406454637</v>
      </c>
      <c r="U42" s="114">
        <f t="shared" si="5"/>
        <v>2.9122461080645374</v>
      </c>
      <c r="V42" s="114">
        <f t="shared" si="5"/>
        <v>2.5346565803660472</v>
      </c>
      <c r="W42" s="114">
        <f t="shared" si="5"/>
        <v>2.2060237157163134</v>
      </c>
      <c r="X42" s="114">
        <f t="shared" si="5"/>
        <v>1.9199999999999997</v>
      </c>
    </row>
    <row r="43" spans="3:24" x14ac:dyDescent="0.2">
      <c r="D43" s="117" t="s">
        <v>295</v>
      </c>
      <c r="E43" s="114">
        <f t="shared" ref="E43:X43" si="6">IF($E$26="Resistive", -$E$27*E39/2 + VINMAX/2, -1)</f>
        <v>-1</v>
      </c>
      <c r="F43" s="114">
        <f t="shared" si="6"/>
        <v>-1</v>
      </c>
      <c r="G43" s="114">
        <f t="shared" si="6"/>
        <v>-1</v>
      </c>
      <c r="H43" s="114">
        <f t="shared" si="6"/>
        <v>-1</v>
      </c>
      <c r="I43" s="114">
        <f t="shared" si="6"/>
        <v>-1</v>
      </c>
      <c r="J43" s="114">
        <f t="shared" si="6"/>
        <v>-1</v>
      </c>
      <c r="K43" s="114">
        <f t="shared" si="6"/>
        <v>-1</v>
      </c>
      <c r="L43" s="114">
        <f t="shared" si="6"/>
        <v>-1</v>
      </c>
      <c r="M43" s="114">
        <f t="shared" si="6"/>
        <v>-1</v>
      </c>
      <c r="N43" s="114">
        <f t="shared" si="6"/>
        <v>-1</v>
      </c>
      <c r="O43" s="114">
        <f t="shared" si="6"/>
        <v>-1</v>
      </c>
      <c r="P43" s="114">
        <f t="shared" si="6"/>
        <v>-1</v>
      </c>
      <c r="Q43" s="114">
        <f t="shared" si="6"/>
        <v>-1</v>
      </c>
      <c r="R43" s="114">
        <f t="shared" si="6"/>
        <v>-1</v>
      </c>
      <c r="S43" s="114">
        <f t="shared" si="6"/>
        <v>-1</v>
      </c>
      <c r="T43" s="114">
        <f t="shared" si="6"/>
        <v>-1</v>
      </c>
      <c r="U43" s="114">
        <f t="shared" si="6"/>
        <v>-1</v>
      </c>
      <c r="V43" s="114">
        <f t="shared" si="6"/>
        <v>-1</v>
      </c>
      <c r="W43" s="114">
        <f t="shared" si="6"/>
        <v>-1</v>
      </c>
      <c r="X43" s="114">
        <f t="shared" si="6"/>
        <v>-1</v>
      </c>
    </row>
    <row r="44" spans="3:24" x14ac:dyDescent="0.2">
      <c r="D44" s="117" t="s">
        <v>297</v>
      </c>
      <c r="E44" s="114">
        <f t="shared" ref="E44:X44" si="7">IF(AND(E43&lt;VINMAX, E43&gt;$E$25), (VINMAX-E43)*(E39+E43/$E$27), 0)</f>
        <v>0</v>
      </c>
      <c r="F44" s="114">
        <f t="shared" si="7"/>
        <v>0</v>
      </c>
      <c r="G44" s="114">
        <f t="shared" si="7"/>
        <v>0</v>
      </c>
      <c r="H44" s="114">
        <f t="shared" si="7"/>
        <v>0</v>
      </c>
      <c r="I44" s="114">
        <f t="shared" si="7"/>
        <v>0</v>
      </c>
      <c r="J44" s="114">
        <f t="shared" si="7"/>
        <v>0</v>
      </c>
      <c r="K44" s="114">
        <f t="shared" si="7"/>
        <v>0</v>
      </c>
      <c r="L44" s="114">
        <f t="shared" si="7"/>
        <v>0</v>
      </c>
      <c r="M44" s="114">
        <f t="shared" si="7"/>
        <v>0</v>
      </c>
      <c r="N44" s="114">
        <f t="shared" si="7"/>
        <v>0</v>
      </c>
      <c r="O44" s="114">
        <f t="shared" si="7"/>
        <v>0</v>
      </c>
      <c r="P44" s="114">
        <f t="shared" si="7"/>
        <v>0</v>
      </c>
      <c r="Q44" s="114">
        <f t="shared" si="7"/>
        <v>0</v>
      </c>
      <c r="R44" s="114">
        <f t="shared" si="7"/>
        <v>0</v>
      </c>
      <c r="S44" s="114">
        <f t="shared" si="7"/>
        <v>0</v>
      </c>
      <c r="T44" s="114">
        <f t="shared" si="7"/>
        <v>0</v>
      </c>
      <c r="U44" s="114">
        <f t="shared" si="7"/>
        <v>0</v>
      </c>
      <c r="V44" s="114">
        <f t="shared" si="7"/>
        <v>0</v>
      </c>
      <c r="W44" s="114">
        <f t="shared" si="7"/>
        <v>0</v>
      </c>
      <c r="X44" s="114">
        <f t="shared" si="7"/>
        <v>0</v>
      </c>
    </row>
    <row r="46" spans="3:24" x14ac:dyDescent="0.2">
      <c r="D46" s="117" t="s">
        <v>298</v>
      </c>
      <c r="E46" s="114">
        <f t="shared" ref="E46:X46" si="8">MAX(E41,E42,E44)</f>
        <v>26.864035087719301</v>
      </c>
      <c r="F46" s="114">
        <f t="shared" si="8"/>
        <v>23.380957784342304</v>
      </c>
      <c r="G46" s="114">
        <f t="shared" si="8"/>
        <v>20.349481569993284</v>
      </c>
      <c r="H46" s="114">
        <f t="shared" si="8"/>
        <v>17.711053755240542</v>
      </c>
      <c r="I46" s="114">
        <f t="shared" si="8"/>
        <v>15.414713345010465</v>
      </c>
      <c r="J46" s="114">
        <f t="shared" si="8"/>
        <v>13.416106731567915</v>
      </c>
      <c r="K46" s="114">
        <f t="shared" si="8"/>
        <v>11.676631008586536</v>
      </c>
      <c r="L46" s="114">
        <f t="shared" si="8"/>
        <v>10.162688359497746</v>
      </c>
      <c r="M46" s="114">
        <f t="shared" si="8"/>
        <v>8.8450371186965491</v>
      </c>
      <c r="N46" s="114">
        <f t="shared" si="8"/>
        <v>7.6982269714099711</v>
      </c>
      <c r="O46" s="114">
        <f t="shared" si="8"/>
        <v>6.7001073831646316</v>
      </c>
      <c r="P46" s="114">
        <f t="shared" si="8"/>
        <v>5.831399764212863</v>
      </c>
      <c r="Q46" s="114">
        <f t="shared" si="8"/>
        <v>5.0753251053120128</v>
      </c>
      <c r="R46" s="114">
        <f t="shared" si="8"/>
        <v>4.4172798926755448</v>
      </c>
      <c r="S46" s="114">
        <f t="shared" si="8"/>
        <v>3.8445540424224949</v>
      </c>
      <c r="T46" s="114">
        <f t="shared" si="8"/>
        <v>3.346085406454637</v>
      </c>
      <c r="U46" s="114">
        <f t="shared" si="8"/>
        <v>2.9122461080645374</v>
      </c>
      <c r="V46" s="114">
        <f t="shared" si="8"/>
        <v>2.5346565803660472</v>
      </c>
      <c r="W46" s="114">
        <f t="shared" si="8"/>
        <v>2.2060237157163134</v>
      </c>
      <c r="X46" s="114">
        <f t="shared" si="8"/>
        <v>1.9199999999999997</v>
      </c>
    </row>
    <row r="47" spans="3:24" x14ac:dyDescent="0.2">
      <c r="D47" s="117" t="s">
        <v>299</v>
      </c>
      <c r="E47" s="114">
        <f t="shared" ref="E47:X47" si="9">E40/E46*1000</f>
        <v>10.720653061224487</v>
      </c>
      <c r="F47" s="114">
        <f t="shared" si="9"/>
        <v>12.31771609428537</v>
      </c>
      <c r="G47" s="114">
        <f t="shared" si="9"/>
        <v>14.152694701798982</v>
      </c>
      <c r="H47" s="114">
        <f t="shared" si="9"/>
        <v>16.261031329927697</v>
      </c>
      <c r="I47" s="114">
        <f t="shared" si="9"/>
        <v>18.683448310326295</v>
      </c>
      <c r="J47" s="114">
        <f t="shared" si="9"/>
        <v>21.466734408301921</v>
      </c>
      <c r="K47" s="114">
        <f t="shared" si="9"/>
        <v>24.664648543592417</v>
      </c>
      <c r="L47" s="114">
        <f t="shared" si="9"/>
        <v>28.338958139048291</v>
      </c>
      <c r="M47" s="114">
        <f t="shared" si="9"/>
        <v>32.560632152829349</v>
      </c>
      <c r="N47" s="114">
        <f t="shared" si="9"/>
        <v>37.41121183742537</v>
      </c>
      <c r="O47" s="114">
        <f t="shared" si="9"/>
        <v>42.984385701587101</v>
      </c>
      <c r="P47" s="114">
        <f t="shared" si="9"/>
        <v>49.387799095415801</v>
      </c>
      <c r="Q47" s="114">
        <f t="shared" si="9"/>
        <v>56.745133370583318</v>
      </c>
      <c r="R47" s="114">
        <f t="shared" si="9"/>
        <v>65.198494774474995</v>
      </c>
      <c r="S47" s="114">
        <f t="shared" si="9"/>
        <v>74.911159219530205</v>
      </c>
      <c r="T47" s="114">
        <f t="shared" si="9"/>
        <v>86.07072594275229</v>
      </c>
      <c r="U47" s="114">
        <f t="shared" si="9"/>
        <v>98.892740968036918</v>
      </c>
      <c r="V47" s="114">
        <f t="shared" si="9"/>
        <v>113.62486035816652</v>
      </c>
      <c r="W47" s="114">
        <f t="shared" si="9"/>
        <v>130.55163366930717</v>
      </c>
      <c r="X47" s="114">
        <f t="shared" si="9"/>
        <v>150.00000000000003</v>
      </c>
    </row>
    <row r="49" spans="4:25" x14ac:dyDescent="0.2">
      <c r="D49" s="117" t="s">
        <v>132</v>
      </c>
      <c r="E49" s="114">
        <f t="shared" ref="E49:X49" si="10">IF(E47&lt;$J$23,$J$24,IF(E47&lt;$K$23,$K$24,IF(E47&lt;$L$23,$L$24,$M$24)))</f>
        <v>8.0000000000000018</v>
      </c>
      <c r="F49" s="114">
        <f t="shared" si="10"/>
        <v>8.0000000000000018</v>
      </c>
      <c r="G49" s="114">
        <f t="shared" si="10"/>
        <v>8.0000000000000018</v>
      </c>
      <c r="H49" s="114">
        <f t="shared" si="10"/>
        <v>8.0000000000000018</v>
      </c>
      <c r="I49" s="114">
        <f t="shared" si="10"/>
        <v>8.0000000000000018</v>
      </c>
      <c r="J49" s="114">
        <f t="shared" si="10"/>
        <v>8.0000000000000018</v>
      </c>
      <c r="K49" s="114">
        <f t="shared" si="10"/>
        <v>8.0000000000000018</v>
      </c>
      <c r="L49" s="114">
        <f t="shared" si="10"/>
        <v>8.0000000000000018</v>
      </c>
      <c r="M49" s="114">
        <f t="shared" si="10"/>
        <v>8.0000000000000018</v>
      </c>
      <c r="N49" s="114">
        <f t="shared" si="10"/>
        <v>8.0000000000000018</v>
      </c>
      <c r="O49" s="114">
        <f t="shared" si="10"/>
        <v>8.0000000000000018</v>
      </c>
      <c r="P49" s="114">
        <f t="shared" si="10"/>
        <v>8.0000000000000018</v>
      </c>
      <c r="Q49" s="114">
        <f t="shared" si="10"/>
        <v>8.0000000000000018</v>
      </c>
      <c r="R49" s="114">
        <f t="shared" si="10"/>
        <v>8.0000000000000018</v>
      </c>
      <c r="S49" s="114">
        <f t="shared" si="10"/>
        <v>8.0000000000000018</v>
      </c>
      <c r="T49" s="114">
        <f t="shared" si="10"/>
        <v>8.0000000000000018</v>
      </c>
      <c r="U49" s="114">
        <f t="shared" si="10"/>
        <v>8.0000000000000018</v>
      </c>
      <c r="V49" s="114">
        <f t="shared" si="10"/>
        <v>0.5</v>
      </c>
      <c r="W49" s="114">
        <f t="shared" si="10"/>
        <v>0.5</v>
      </c>
      <c r="X49" s="114">
        <f t="shared" si="10"/>
        <v>0.5</v>
      </c>
    </row>
    <row r="50" spans="4:25" x14ac:dyDescent="0.2">
      <c r="D50" s="117" t="s">
        <v>133</v>
      </c>
      <c r="E50" s="114">
        <f t="shared" ref="E50:X50" si="11">IF(E47&lt;$J$23,$J$25,IF(E47&lt;$K$23,$K$25,IF(E47&lt;$L$23,$L$25,$M$25)))</f>
        <v>-0.6020599913279624</v>
      </c>
      <c r="F50" s="114">
        <f t="shared" si="11"/>
        <v>-0.6020599913279624</v>
      </c>
      <c r="G50" s="114">
        <f t="shared" si="11"/>
        <v>-0.6020599913279624</v>
      </c>
      <c r="H50" s="114">
        <f t="shared" si="11"/>
        <v>-0.6020599913279624</v>
      </c>
      <c r="I50" s="114">
        <f t="shared" si="11"/>
        <v>-0.6020599913279624</v>
      </c>
      <c r="J50" s="114">
        <f t="shared" si="11"/>
        <v>-0.6020599913279624</v>
      </c>
      <c r="K50" s="114">
        <f t="shared" si="11"/>
        <v>-0.6020599913279624</v>
      </c>
      <c r="L50" s="114">
        <f t="shared" si="11"/>
        <v>-0.6020599913279624</v>
      </c>
      <c r="M50" s="114">
        <f t="shared" si="11"/>
        <v>-0.6020599913279624</v>
      </c>
      <c r="N50" s="114">
        <f t="shared" si="11"/>
        <v>-0.6020599913279624</v>
      </c>
      <c r="O50" s="114">
        <f t="shared" si="11"/>
        <v>-0.6020599913279624</v>
      </c>
      <c r="P50" s="114">
        <f t="shared" si="11"/>
        <v>-0.6020599913279624</v>
      </c>
      <c r="Q50" s="114">
        <f t="shared" si="11"/>
        <v>-0.6020599913279624</v>
      </c>
      <c r="R50" s="114">
        <f t="shared" si="11"/>
        <v>-0.6020599913279624</v>
      </c>
      <c r="S50" s="114">
        <f t="shared" si="11"/>
        <v>-0.6020599913279624</v>
      </c>
      <c r="T50" s="114">
        <f t="shared" si="11"/>
        <v>-0.6020599913279624</v>
      </c>
      <c r="U50" s="114">
        <f t="shared" si="11"/>
        <v>-0.6020599913279624</v>
      </c>
      <c r="V50" s="114">
        <f t="shared" si="11"/>
        <v>0</v>
      </c>
      <c r="W50" s="114">
        <f t="shared" si="11"/>
        <v>0</v>
      </c>
      <c r="X50" s="114">
        <f t="shared" si="11"/>
        <v>0</v>
      </c>
    </row>
    <row r="52" spans="4:25" x14ac:dyDescent="0.2">
      <c r="D52" s="117" t="s">
        <v>307</v>
      </c>
      <c r="E52" s="114">
        <f t="shared" ref="E52:X52" si="12">E49*E47^E50*VINMAX</f>
        <v>57.538197133863626</v>
      </c>
      <c r="F52" s="114">
        <f t="shared" si="12"/>
        <v>52.92326690863483</v>
      </c>
      <c r="G52" s="114">
        <f t="shared" si="12"/>
        <v>48.678483508378349</v>
      </c>
      <c r="H52" s="114">
        <f t="shared" si="12"/>
        <v>44.774158797986928</v>
      </c>
      <c r="I52" s="114">
        <f t="shared" si="12"/>
        <v>41.182985820055471</v>
      </c>
      <c r="J52" s="114">
        <f t="shared" si="12"/>
        <v>37.879847809248972</v>
      </c>
      <c r="K52" s="114">
        <f t="shared" si="12"/>
        <v>34.841642524935587</v>
      </c>
      <c r="L52" s="114">
        <f t="shared" si="12"/>
        <v>32.047120673462601</v>
      </c>
      <c r="M52" s="114">
        <f t="shared" si="12"/>
        <v>29.476737289995864</v>
      </c>
      <c r="N52" s="114">
        <f t="shared" si="12"/>
        <v>27.112515040483121</v>
      </c>
      <c r="O52" s="114">
        <f t="shared" si="12"/>
        <v>24.937918487671496</v>
      </c>
      <c r="P52" s="114">
        <f t="shared" si="12"/>
        <v>22.937738441791787</v>
      </c>
      <c r="Q52" s="114">
        <f t="shared" si="12"/>
        <v>21.09798558705528</v>
      </c>
      <c r="R52" s="114">
        <f t="shared" si="12"/>
        <v>19.405792639983623</v>
      </c>
      <c r="S52" s="114">
        <f t="shared" si="12"/>
        <v>17.849324355264365</v>
      </c>
      <c r="T52" s="114">
        <f t="shared" si="12"/>
        <v>16.417694749710702</v>
      </c>
      <c r="U52" s="114">
        <f t="shared" si="12"/>
        <v>15.10089096538726</v>
      </c>
      <c r="V52" s="114">
        <f t="shared" si="12"/>
        <v>15</v>
      </c>
      <c r="W52" s="114">
        <f t="shared" si="12"/>
        <v>15</v>
      </c>
      <c r="X52" s="114">
        <f t="shared" si="12"/>
        <v>15</v>
      </c>
      <c r="Y52" s="114"/>
    </row>
    <row r="53" spans="4:25" x14ac:dyDescent="0.2">
      <c r="D53" s="117" t="s">
        <v>308</v>
      </c>
      <c r="E53" s="114">
        <f t="shared" ref="E53:X53" si="13">E52*(TJMAX-$E$19)/(TJMAX - 25)</f>
        <v>40.276737993704536</v>
      </c>
      <c r="F53" s="114">
        <f t="shared" si="13"/>
        <v>37.046286836044381</v>
      </c>
      <c r="G53" s="114">
        <f t="shared" si="13"/>
        <v>34.074938455864846</v>
      </c>
      <c r="H53" s="114">
        <f t="shared" si="13"/>
        <v>31.341911158590847</v>
      </c>
      <c r="I53" s="114">
        <f t="shared" si="13"/>
        <v>28.828090074038826</v>
      </c>
      <c r="J53" s="114">
        <f t="shared" si="13"/>
        <v>26.515893466474282</v>
      </c>
      <c r="K53" s="114">
        <f t="shared" si="13"/>
        <v>24.38914976745491</v>
      </c>
      <c r="L53" s="114">
        <f t="shared" si="13"/>
        <v>22.432984471423822</v>
      </c>
      <c r="M53" s="114">
        <f t="shared" si="13"/>
        <v>20.633716102997106</v>
      </c>
      <c r="N53" s="114">
        <f t="shared" si="13"/>
        <v>18.978760528338185</v>
      </c>
      <c r="O53" s="114">
        <f t="shared" si="13"/>
        <v>17.456542941370046</v>
      </c>
      <c r="P53" s="114">
        <f t="shared" si="13"/>
        <v>16.056416909254253</v>
      </c>
      <c r="Q53" s="114">
        <f t="shared" si="13"/>
        <v>14.768589910938696</v>
      </c>
      <c r="R53" s="114">
        <f t="shared" si="13"/>
        <v>13.584054847988536</v>
      </c>
      <c r="S53" s="114">
        <f t="shared" si="13"/>
        <v>12.494527048685056</v>
      </c>
      <c r="T53" s="114">
        <f t="shared" si="13"/>
        <v>11.492386324797492</v>
      </c>
      <c r="U53" s="114">
        <f t="shared" si="13"/>
        <v>10.570623675771081</v>
      </c>
      <c r="V53" s="114">
        <f t="shared" si="13"/>
        <v>10.5</v>
      </c>
      <c r="W53" s="114">
        <f t="shared" si="13"/>
        <v>10.5</v>
      </c>
      <c r="X53" s="114">
        <f t="shared" si="13"/>
        <v>10.5</v>
      </c>
      <c r="Y53" s="114"/>
    </row>
    <row r="54" spans="4:25" x14ac:dyDescent="0.2">
      <c r="D54" s="117" t="s">
        <v>310</v>
      </c>
      <c r="E54" s="114">
        <f t="shared" ref="E54:X54" si="14">E53/E46</f>
        <v>1.4992810224595319</v>
      </c>
      <c r="F54" s="114">
        <f t="shared" si="14"/>
        <v>1.5844640402564447</v>
      </c>
      <c r="G54" s="114">
        <f t="shared" si="14"/>
        <v>1.6744868088487668</v>
      </c>
      <c r="H54" s="114">
        <f t="shared" si="14"/>
        <v>1.7696243030890839</v>
      </c>
      <c r="I54" s="114">
        <f t="shared" si="14"/>
        <v>1.8701671207768575</v>
      </c>
      <c r="J54" s="114">
        <f t="shared" si="14"/>
        <v>1.9764223702903876</v>
      </c>
      <c r="K54" s="114">
        <f t="shared" si="14"/>
        <v>2.0887146086503963</v>
      </c>
      <c r="L54" s="114">
        <f t="shared" si="14"/>
        <v>2.2073868328805557</v>
      </c>
      <c r="M54" s="114">
        <f t="shared" si="14"/>
        <v>2.3328015276930572</v>
      </c>
      <c r="N54" s="114">
        <f t="shared" si="14"/>
        <v>2.4653417726993991</v>
      </c>
      <c r="O54" s="114">
        <f t="shared" si="14"/>
        <v>2.6054124125283611</v>
      </c>
      <c r="P54" s="114">
        <f t="shared" si="14"/>
        <v>2.7534412934252996</v>
      </c>
      <c r="Q54" s="114">
        <f t="shared" si="14"/>
        <v>2.9098805701099568</v>
      </c>
      <c r="R54" s="114">
        <f t="shared" si="14"/>
        <v>3.0752080868845915</v>
      </c>
      <c r="S54" s="114">
        <f t="shared" si="14"/>
        <v>3.2499288372110176</v>
      </c>
      <c r="T54" s="114">
        <f t="shared" si="14"/>
        <v>3.4345765062148583</v>
      </c>
      <c r="U54" s="114">
        <f t="shared" si="14"/>
        <v>3.6297151008285695</v>
      </c>
      <c r="V54" s="114">
        <f t="shared" si="14"/>
        <v>4.1425730338914875</v>
      </c>
      <c r="W54" s="114">
        <f t="shared" si="14"/>
        <v>4.7596949775268245</v>
      </c>
      <c r="X54" s="114">
        <f t="shared" si="14"/>
        <v>5.4687500000000009</v>
      </c>
      <c r="Y54" s="114"/>
    </row>
    <row r="56" spans="4:25" x14ac:dyDescent="0.2">
      <c r="D56" s="117" t="s">
        <v>314</v>
      </c>
      <c r="E56" s="114" t="str">
        <f t="shared" ref="E56:X56" si="15">IF(E54&gt;$E$20, "Y", "N")</f>
        <v>Y</v>
      </c>
      <c r="F56" s="114" t="str">
        <f t="shared" si="15"/>
        <v>Y</v>
      </c>
      <c r="G56" s="114" t="str">
        <f t="shared" si="15"/>
        <v>Y</v>
      </c>
      <c r="H56" s="114" t="str">
        <f t="shared" si="15"/>
        <v>Y</v>
      </c>
      <c r="I56" s="114" t="str">
        <f t="shared" si="15"/>
        <v>Y</v>
      </c>
      <c r="J56" s="114" t="str">
        <f t="shared" si="15"/>
        <v>Y</v>
      </c>
      <c r="K56" s="114" t="str">
        <f t="shared" si="15"/>
        <v>Y</v>
      </c>
      <c r="L56" s="114" t="str">
        <f t="shared" si="15"/>
        <v>Y</v>
      </c>
      <c r="M56" s="114" t="str">
        <f t="shared" si="15"/>
        <v>Y</v>
      </c>
      <c r="N56" s="114" t="str">
        <f t="shared" si="15"/>
        <v>Y</v>
      </c>
      <c r="O56" s="114" t="str">
        <f t="shared" si="15"/>
        <v>Y</v>
      </c>
      <c r="P56" s="114" t="str">
        <f t="shared" si="15"/>
        <v>Y</v>
      </c>
      <c r="Q56" s="114" t="str">
        <f t="shared" si="15"/>
        <v>Y</v>
      </c>
      <c r="R56" s="114" t="str">
        <f t="shared" si="15"/>
        <v>Y</v>
      </c>
      <c r="S56" s="114" t="str">
        <f t="shared" si="15"/>
        <v>Y</v>
      </c>
      <c r="T56" s="114" t="str">
        <f t="shared" si="15"/>
        <v>Y</v>
      </c>
      <c r="U56" s="114" t="str">
        <f t="shared" si="15"/>
        <v>Y</v>
      </c>
      <c r="V56" s="114" t="str">
        <f t="shared" si="15"/>
        <v>Y</v>
      </c>
      <c r="W56" s="114" t="str">
        <f t="shared" si="15"/>
        <v>Y</v>
      </c>
      <c r="X56" s="114" t="str">
        <f t="shared" si="15"/>
        <v>Y</v>
      </c>
      <c r="Y56" s="114" t="s">
        <v>317</v>
      </c>
    </row>
    <row r="57" spans="4:25" x14ac:dyDescent="0.2">
      <c r="D57" s="117" t="s">
        <v>315</v>
      </c>
      <c r="E57" s="114">
        <f>IF(E56="Y", 1, 0)</f>
        <v>1</v>
      </c>
      <c r="F57" s="114">
        <f t="shared" ref="F57:X57" si="16">IF(AND(F56="Y", E56="N"),  1, 0)</f>
        <v>0</v>
      </c>
      <c r="G57" s="114">
        <f t="shared" si="16"/>
        <v>0</v>
      </c>
      <c r="H57" s="114">
        <f t="shared" si="16"/>
        <v>0</v>
      </c>
      <c r="I57" s="114">
        <f t="shared" si="16"/>
        <v>0</v>
      </c>
      <c r="J57" s="114">
        <f t="shared" si="16"/>
        <v>0</v>
      </c>
      <c r="K57" s="114">
        <f t="shared" si="16"/>
        <v>0</v>
      </c>
      <c r="L57" s="114">
        <f t="shared" si="16"/>
        <v>0</v>
      </c>
      <c r="M57" s="114">
        <f t="shared" si="16"/>
        <v>0</v>
      </c>
      <c r="N57" s="114">
        <f t="shared" si="16"/>
        <v>0</v>
      </c>
      <c r="O57" s="114">
        <f t="shared" si="16"/>
        <v>0</v>
      </c>
      <c r="P57" s="114">
        <f t="shared" si="16"/>
        <v>0</v>
      </c>
      <c r="Q57" s="114">
        <f t="shared" si="16"/>
        <v>0</v>
      </c>
      <c r="R57" s="114">
        <f t="shared" si="16"/>
        <v>0</v>
      </c>
      <c r="S57" s="114">
        <f t="shared" si="16"/>
        <v>0</v>
      </c>
      <c r="T57" s="114">
        <f t="shared" si="16"/>
        <v>0</v>
      </c>
      <c r="U57" s="114">
        <f t="shared" si="16"/>
        <v>0</v>
      </c>
      <c r="V57" s="114">
        <f t="shared" si="16"/>
        <v>0</v>
      </c>
      <c r="W57" s="114">
        <f t="shared" si="16"/>
        <v>0</v>
      </c>
      <c r="X57" s="114">
        <f t="shared" si="16"/>
        <v>0</v>
      </c>
      <c r="Y57" s="114"/>
    </row>
    <row r="58" spans="4:25" x14ac:dyDescent="0.2">
      <c r="D58" s="117" t="s">
        <v>316</v>
      </c>
      <c r="E58" s="114">
        <v>0</v>
      </c>
      <c r="F58" s="114">
        <f t="shared" ref="F58:X58" si="17">IF(AND(F56="Y", G56="N"),  1, 0)</f>
        <v>0</v>
      </c>
      <c r="G58" s="114">
        <f t="shared" si="17"/>
        <v>0</v>
      </c>
      <c r="H58" s="114">
        <f t="shared" si="17"/>
        <v>0</v>
      </c>
      <c r="I58" s="114">
        <f t="shared" si="17"/>
        <v>0</v>
      </c>
      <c r="J58" s="114">
        <f t="shared" si="17"/>
        <v>0</v>
      </c>
      <c r="K58" s="114">
        <f t="shared" si="17"/>
        <v>0</v>
      </c>
      <c r="L58" s="114">
        <f t="shared" si="17"/>
        <v>0</v>
      </c>
      <c r="M58" s="114">
        <f t="shared" si="17"/>
        <v>0</v>
      </c>
      <c r="N58" s="114">
        <f t="shared" si="17"/>
        <v>0</v>
      </c>
      <c r="O58" s="114">
        <f t="shared" si="17"/>
        <v>0</v>
      </c>
      <c r="P58" s="114">
        <f t="shared" si="17"/>
        <v>0</v>
      </c>
      <c r="Q58" s="114">
        <f t="shared" si="17"/>
        <v>0</v>
      </c>
      <c r="R58" s="114">
        <f t="shared" si="17"/>
        <v>0</v>
      </c>
      <c r="S58" s="114">
        <f t="shared" si="17"/>
        <v>0</v>
      </c>
      <c r="T58" s="114">
        <f t="shared" si="17"/>
        <v>0</v>
      </c>
      <c r="U58" s="114">
        <f t="shared" si="17"/>
        <v>0</v>
      </c>
      <c r="V58" s="114">
        <f t="shared" si="17"/>
        <v>0</v>
      </c>
      <c r="W58" s="114">
        <f t="shared" si="17"/>
        <v>0</v>
      </c>
      <c r="X58" s="114">
        <f t="shared" si="17"/>
        <v>1</v>
      </c>
      <c r="Y58" s="114"/>
    </row>
    <row r="60" spans="4:25" x14ac:dyDescent="0.2">
      <c r="D60" s="114" t="s">
        <v>318</v>
      </c>
      <c r="E60" s="114">
        <f t="shared" ref="E60:X60" si="18">E57*E37</f>
        <v>1.399168494152047</v>
      </c>
      <c r="F60" s="114">
        <f t="shared" si="18"/>
        <v>0</v>
      </c>
      <c r="G60" s="114">
        <f t="shared" si="18"/>
        <v>0</v>
      </c>
      <c r="H60" s="114">
        <f t="shared" si="18"/>
        <v>0</v>
      </c>
      <c r="I60" s="114">
        <f t="shared" si="18"/>
        <v>0</v>
      </c>
      <c r="J60" s="114">
        <f t="shared" si="18"/>
        <v>0</v>
      </c>
      <c r="K60" s="114">
        <f t="shared" si="18"/>
        <v>0</v>
      </c>
      <c r="L60" s="114">
        <f t="shared" si="18"/>
        <v>0</v>
      </c>
      <c r="M60" s="114">
        <f t="shared" si="18"/>
        <v>0</v>
      </c>
      <c r="N60" s="114">
        <f t="shared" si="18"/>
        <v>0</v>
      </c>
      <c r="O60" s="114">
        <f t="shared" si="18"/>
        <v>0</v>
      </c>
      <c r="P60" s="114">
        <f t="shared" si="18"/>
        <v>0</v>
      </c>
      <c r="Q60" s="114">
        <f t="shared" si="18"/>
        <v>0</v>
      </c>
      <c r="R60" s="114">
        <f t="shared" si="18"/>
        <v>0</v>
      </c>
      <c r="S60" s="114">
        <f t="shared" si="18"/>
        <v>0</v>
      </c>
      <c r="T60" s="114">
        <f t="shared" si="18"/>
        <v>0</v>
      </c>
      <c r="U60" s="114">
        <f t="shared" si="18"/>
        <v>0</v>
      </c>
      <c r="V60" s="114">
        <f t="shared" si="18"/>
        <v>0</v>
      </c>
      <c r="W60" s="114">
        <f t="shared" si="18"/>
        <v>0</v>
      </c>
      <c r="X60" s="114">
        <f t="shared" si="18"/>
        <v>0</v>
      </c>
      <c r="Y60" s="114"/>
    </row>
    <row r="61" spans="4:25" x14ac:dyDescent="0.2">
      <c r="D61" s="114" t="s">
        <v>319</v>
      </c>
      <c r="E61" s="114">
        <f t="shared" ref="E61:X61" si="19">E37*E58</f>
        <v>0</v>
      </c>
      <c r="F61" s="114">
        <f t="shared" si="19"/>
        <v>0</v>
      </c>
      <c r="G61" s="114">
        <f t="shared" si="19"/>
        <v>0</v>
      </c>
      <c r="H61" s="114">
        <f t="shared" si="19"/>
        <v>0</v>
      </c>
      <c r="I61" s="114">
        <f t="shared" si="19"/>
        <v>0</v>
      </c>
      <c r="J61" s="114">
        <f t="shared" si="19"/>
        <v>0</v>
      </c>
      <c r="K61" s="114">
        <f t="shared" si="19"/>
        <v>0</v>
      </c>
      <c r="L61" s="114">
        <f t="shared" si="19"/>
        <v>0</v>
      </c>
      <c r="M61" s="114">
        <f t="shared" si="19"/>
        <v>0</v>
      </c>
      <c r="N61" s="114">
        <f t="shared" si="19"/>
        <v>0</v>
      </c>
      <c r="O61" s="114">
        <f t="shared" si="19"/>
        <v>0</v>
      </c>
      <c r="P61" s="114">
        <f t="shared" si="19"/>
        <v>0</v>
      </c>
      <c r="Q61" s="114">
        <f t="shared" si="19"/>
        <v>0</v>
      </c>
      <c r="R61" s="114">
        <f t="shared" si="19"/>
        <v>0</v>
      </c>
      <c r="S61" s="114">
        <f t="shared" si="19"/>
        <v>0</v>
      </c>
      <c r="T61" s="114">
        <f t="shared" si="19"/>
        <v>0</v>
      </c>
      <c r="U61" s="114">
        <f t="shared" si="19"/>
        <v>0</v>
      </c>
      <c r="V61" s="114">
        <f t="shared" si="19"/>
        <v>0</v>
      </c>
      <c r="W61" s="114">
        <f t="shared" si="19"/>
        <v>0</v>
      </c>
      <c r="X61" s="114">
        <f t="shared" si="19"/>
        <v>9.9999999999999992E-2</v>
      </c>
      <c r="Y61" s="114"/>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0E7213C-EB81-44CF-9757-6BC109954BC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3B96B0A9-E706-44C7-A8F1-19DE24283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29</vt:i4>
      </vt:variant>
    </vt:vector>
  </HeadingPairs>
  <TitlesOfParts>
    <vt:vector size="36"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lpstr>yesno</vt:lpstr>
    </vt:vector>
  </TitlesOfParts>
  <Company>NSC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Dennis, Warren A [US] (MS)</cp:lastModifiedBy>
  <cp:lastPrinted>2013-08-26T22:42:43Z</cp:lastPrinted>
  <dcterms:created xsi:type="dcterms:W3CDTF">2009-04-21T16:00:33Z</dcterms:created>
  <dcterms:modified xsi:type="dcterms:W3CDTF">2025-01-22T19:56:29Z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