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SEPIC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40" i="4" l="1"/>
  <c r="H38" i="4"/>
  <c r="H37" i="4"/>
  <c r="H36" i="4"/>
  <c r="H32" i="4"/>
  <c r="H31" i="4"/>
  <c r="H21" i="4"/>
  <c r="H34" i="4"/>
  <c r="H7" i="4"/>
  <c r="H30" i="4" s="1"/>
  <c r="H11" i="4"/>
  <c r="H23" i="4"/>
  <c r="H26" i="4" s="1"/>
  <c r="H20" i="4"/>
  <c r="H19" i="4"/>
  <c r="H12" i="4"/>
  <c r="H16" i="4"/>
  <c r="H13" i="4" s="1"/>
  <c r="H5" i="4"/>
  <c r="H4" i="4"/>
  <c r="H28" i="4" s="1"/>
  <c r="H1" i="4"/>
  <c r="H5" i="1"/>
  <c r="H24" i="4" l="1"/>
  <c r="H15" i="4"/>
  <c r="H8" i="4"/>
  <c r="H7" i="1"/>
  <c r="H1" i="1"/>
  <c r="H4" i="1"/>
  <c r="H17" i="4" l="1"/>
  <c r="H27" i="4"/>
  <c r="H8" i="1"/>
  <c r="H10" i="1" s="1"/>
  <c r="H9" i="1"/>
</calcChain>
</file>

<file path=xl/sharedStrings.xml><?xml version="1.0" encoding="utf-8"?>
<sst xmlns="http://schemas.openxmlformats.org/spreadsheetml/2006/main" count="125" uniqueCount="68">
  <si>
    <t>Input Voltage</t>
  </si>
  <si>
    <t>Minimum</t>
  </si>
  <si>
    <t>Maximum</t>
  </si>
  <si>
    <t>V</t>
  </si>
  <si>
    <t>Output</t>
  </si>
  <si>
    <t>Voltage</t>
  </si>
  <si>
    <t>Current</t>
  </si>
  <si>
    <t>A</t>
  </si>
  <si>
    <t>Duty Cycle</t>
  </si>
  <si>
    <t>@Vmin</t>
  </si>
  <si>
    <t>@Vmax</t>
  </si>
  <si>
    <t>%</t>
  </si>
  <si>
    <t>Circuit Characteristics</t>
  </si>
  <si>
    <t>Catch Diode Voltage</t>
  </si>
  <si>
    <t>Output Power</t>
  </si>
  <si>
    <t>Inductor</t>
  </si>
  <si>
    <t>H</t>
  </si>
  <si>
    <t>Switching Frequency</t>
  </si>
  <si>
    <t>uH</t>
  </si>
  <si>
    <t>kHz</t>
  </si>
  <si>
    <t>Inductor Pk-Pk Ripple</t>
  </si>
  <si>
    <t>Ripple Current</t>
  </si>
  <si>
    <t>W</t>
  </si>
  <si>
    <t>Inductor RMS Current</t>
  </si>
  <si>
    <t>Arms</t>
  </si>
  <si>
    <t>Inductor Peak Current</t>
  </si>
  <si>
    <t>Inductor DCR</t>
  </si>
  <si>
    <t>Inductor Power Loss</t>
  </si>
  <si>
    <t>Ohms</t>
  </si>
  <si>
    <t>Max</t>
  </si>
  <si>
    <t>Min</t>
  </si>
  <si>
    <t>Inductor Ripple Current</t>
  </si>
  <si>
    <t>Ideal Inductor Value</t>
  </si>
  <si>
    <t>Inductor 1 Peak Current</t>
  </si>
  <si>
    <t>Inductor 2 Peak Current</t>
  </si>
  <si>
    <t>MOSFET Peak Current</t>
  </si>
  <si>
    <t>MOSFET RMS Current</t>
  </si>
  <si>
    <t>MOSFET Power Loss</t>
  </si>
  <si>
    <t>MOSFET Gate Charge</t>
  </si>
  <si>
    <t>MOSFET On Resistance</t>
  </si>
  <si>
    <t>C</t>
  </si>
  <si>
    <t>Gate Drive Current</t>
  </si>
  <si>
    <t>Output Diode Reverse Voltage &gt;</t>
  </si>
  <si>
    <t>Output Diode Current &gt;</t>
  </si>
  <si>
    <t>Coupling Capacitor RMS Current</t>
  </si>
  <si>
    <t>Coupling Capacitor Ripple</t>
  </si>
  <si>
    <t>Coupling Capacitor</t>
  </si>
  <si>
    <t>F</t>
  </si>
  <si>
    <t>Output Pk-Pk Ripple</t>
  </si>
  <si>
    <t>Output Capacitor RMS Current</t>
  </si>
  <si>
    <t>Output Capacitor ESR &lt;</t>
  </si>
  <si>
    <t>Output Capacitance &gt;</t>
  </si>
  <si>
    <t>Input Capacitor RMS current</t>
  </si>
  <si>
    <t>Oscillator Capacitor</t>
  </si>
  <si>
    <t>Oscillator Resistor</t>
  </si>
  <si>
    <t>pF</t>
  </si>
  <si>
    <t>k Ohms</t>
  </si>
  <si>
    <t>Output Diode Power Loss</t>
  </si>
  <si>
    <t>Input Capacitor ESR &lt;</t>
  </si>
  <si>
    <t>Input Capacitance &gt;</t>
  </si>
  <si>
    <t>Input Pk-Pk Ripple</t>
  </si>
  <si>
    <t>Current Sense Resistor (I lim) &lt;</t>
  </si>
  <si>
    <t>Current Sense Resistor (stability) &lt;</t>
  </si>
  <si>
    <t>?????? Taken from equation 19 TPS40210 Datasheet</t>
  </si>
  <si>
    <t>Current Sense Filter Resistor</t>
  </si>
  <si>
    <t>Current Sense Filter Capacitor</t>
  </si>
  <si>
    <t>Primary Feedback Resistor</t>
  </si>
  <si>
    <t>Secondary Feedback Resistor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</si>
</sst>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11" fontId="0" fillId="0" borderId="0" xfId="0" applyNumberFormat="1"/>
    <xf numFmtId="2" fontId="0" fillId="0" borderId="0" xfId="0" applyNumberFormat="1"/>
    <xf numFmtId="0" fontId="0" fillId="0" borderId="0" xfId="0" applyNumberFormat="1"/>
    <xf numFmtId="0" fontId="1" fillId="0" borderId="0" xfId="0" applyFont="1"/>
    <xf numFmtId="4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1" workbookViewId="0">
      <selection activeCell="I41" sqref="I41"/>
    </sheetView>
  </sheetViews>
  <sheetFormatPr defaultRowHeight="15" x14ac:dyDescent="0.25"/>
  <cols>
    <col min="1" max="1" width="26.7109375" bestFit="1" customWidth="1"/>
    <col min="2" max="2" width="7.28515625" bestFit="1" customWidth="1"/>
    <col min="7" max="7" width="31.140625" bestFit="1" customWidth="1"/>
    <col min="8" max="8" width="12" style="3" bestFit="1" customWidth="1"/>
    <col min="12" max="12" width="11" bestFit="1" customWidth="1"/>
  </cols>
  <sheetData>
    <row r="1" spans="1:9" x14ac:dyDescent="0.25">
      <c r="A1" s="5" t="s">
        <v>0</v>
      </c>
      <c r="G1" t="s">
        <v>14</v>
      </c>
      <c r="H1" s="3">
        <f>B6*B7</f>
        <v>15.84</v>
      </c>
      <c r="I1" t="s">
        <v>22</v>
      </c>
    </row>
    <row r="2" spans="1:9" x14ac:dyDescent="0.25">
      <c r="A2" t="s">
        <v>1</v>
      </c>
      <c r="B2">
        <v>14</v>
      </c>
      <c r="C2" t="s">
        <v>3</v>
      </c>
    </row>
    <row r="3" spans="1:9" x14ac:dyDescent="0.25">
      <c r="A3" t="s">
        <v>2</v>
      </c>
      <c r="B3">
        <v>160</v>
      </c>
      <c r="C3" t="s">
        <v>3</v>
      </c>
      <c r="G3" t="s">
        <v>8</v>
      </c>
    </row>
    <row r="4" spans="1:9" x14ac:dyDescent="0.25">
      <c r="G4" s="1" t="s">
        <v>29</v>
      </c>
      <c r="H4" s="3">
        <f>(B6+B10)/(B2+B6+B10)</f>
        <v>0.77600000000000002</v>
      </c>
    </row>
    <row r="5" spans="1:9" x14ac:dyDescent="0.25">
      <c r="A5" s="5" t="s">
        <v>4</v>
      </c>
      <c r="G5" s="1" t="s">
        <v>30</v>
      </c>
      <c r="H5" s="3">
        <f>(B6+B10)/(B3+B6+B10)</f>
        <v>0.23261390887290168</v>
      </c>
    </row>
    <row r="6" spans="1:9" x14ac:dyDescent="0.25">
      <c r="A6" t="s">
        <v>5</v>
      </c>
      <c r="B6">
        <v>48</v>
      </c>
      <c r="C6" t="s">
        <v>3</v>
      </c>
    </row>
    <row r="7" spans="1:9" x14ac:dyDescent="0.25">
      <c r="A7" t="s">
        <v>6</v>
      </c>
      <c r="B7">
        <v>0.33</v>
      </c>
      <c r="C7" t="s">
        <v>7</v>
      </c>
      <c r="G7" t="s">
        <v>31</v>
      </c>
      <c r="H7" s="3">
        <f>B7*(B6/B2)*B11/100</f>
        <v>0.33942857142857141</v>
      </c>
      <c r="I7" t="s">
        <v>7</v>
      </c>
    </row>
    <row r="8" spans="1:9" x14ac:dyDescent="0.25">
      <c r="G8" t="s">
        <v>32</v>
      </c>
      <c r="H8" s="6">
        <f>(B2/(H7*B13*1000))*H4</f>
        <v>5.3344556677890019E-5</v>
      </c>
      <c r="I8" t="s">
        <v>16</v>
      </c>
    </row>
    <row r="9" spans="1:9" x14ac:dyDescent="0.25">
      <c r="A9" s="5" t="s">
        <v>12</v>
      </c>
    </row>
    <row r="10" spans="1:9" x14ac:dyDescent="0.25">
      <c r="A10" t="s">
        <v>13</v>
      </c>
      <c r="B10">
        <v>0.5</v>
      </c>
      <c r="C10" t="s">
        <v>3</v>
      </c>
    </row>
    <row r="11" spans="1:9" x14ac:dyDescent="0.25">
      <c r="A11" t="s">
        <v>20</v>
      </c>
      <c r="B11">
        <v>30</v>
      </c>
      <c r="C11" t="s">
        <v>11</v>
      </c>
      <c r="G11" t="s">
        <v>33</v>
      </c>
      <c r="H11" s="3">
        <f>B7*((B6+B10)/B2)*(1+((B11/100)/2))</f>
        <v>1.3146964285714284</v>
      </c>
      <c r="I11" t="s">
        <v>7</v>
      </c>
    </row>
    <row r="12" spans="1:9" x14ac:dyDescent="0.25">
      <c r="A12" t="s">
        <v>26</v>
      </c>
      <c r="B12">
        <v>0.17399999999999999</v>
      </c>
      <c r="C12" t="s">
        <v>28</v>
      </c>
      <c r="G12" t="s">
        <v>34</v>
      </c>
      <c r="H12" s="3">
        <f>B7*(1+((B11/100)/2))</f>
        <v>0.3795</v>
      </c>
      <c r="I12" t="s">
        <v>7</v>
      </c>
    </row>
    <row r="13" spans="1:9" x14ac:dyDescent="0.25">
      <c r="A13" t="s">
        <v>17</v>
      </c>
      <c r="B13" s="4">
        <v>600</v>
      </c>
      <c r="C13" t="s">
        <v>19</v>
      </c>
      <c r="G13" t="s">
        <v>27</v>
      </c>
      <c r="H13" s="3">
        <f>H16*B12</f>
        <v>0.2258114868973585</v>
      </c>
      <c r="I13" t="s">
        <v>22</v>
      </c>
    </row>
    <row r="14" spans="1:9" x14ac:dyDescent="0.25">
      <c r="A14" t="s">
        <v>39</v>
      </c>
      <c r="B14" s="4">
        <v>8.0000000000000002E-3</v>
      </c>
      <c r="C14" t="s">
        <v>28</v>
      </c>
    </row>
    <row r="15" spans="1:9" x14ac:dyDescent="0.25">
      <c r="A15" t="s">
        <v>38</v>
      </c>
      <c r="B15" s="6">
        <v>1E-8</v>
      </c>
      <c r="C15" t="s">
        <v>40</v>
      </c>
      <c r="G15" t="s">
        <v>35</v>
      </c>
      <c r="H15" s="3">
        <f>H11+H12</f>
        <v>1.6941964285714284</v>
      </c>
      <c r="I15" t="s">
        <v>7</v>
      </c>
    </row>
    <row r="16" spans="1:9" x14ac:dyDescent="0.25">
      <c r="A16" t="s">
        <v>41</v>
      </c>
      <c r="B16" s="4">
        <v>0.4</v>
      </c>
      <c r="C16" t="s">
        <v>7</v>
      </c>
      <c r="G16" t="s">
        <v>36</v>
      </c>
      <c r="H16" s="3">
        <f>B7*(SQRT(((B6+B2+B10)*(B6+B10)/(B2*B2))))</f>
        <v>1.2977671660767731</v>
      </c>
      <c r="I16" t="s">
        <v>7</v>
      </c>
    </row>
    <row r="17" spans="1:9" x14ac:dyDescent="0.25">
      <c r="A17" t="s">
        <v>46</v>
      </c>
      <c r="B17" s="6">
        <v>1.0000000000000001E-5</v>
      </c>
      <c r="C17" t="s">
        <v>47</v>
      </c>
      <c r="G17" t="s">
        <v>37</v>
      </c>
      <c r="H17" s="3">
        <f>((H16^2)*B14*H4)+((B2+B6)*H15*((B15*B13*1000)/B16))</f>
        <v>1.5860581897959181</v>
      </c>
      <c r="I17" t="s">
        <v>22</v>
      </c>
    </row>
    <row r="18" spans="1:9" x14ac:dyDescent="0.25">
      <c r="A18" t="s">
        <v>48</v>
      </c>
      <c r="B18" s="4">
        <v>1</v>
      </c>
      <c r="C18" t="s">
        <v>11</v>
      </c>
    </row>
    <row r="19" spans="1:9" x14ac:dyDescent="0.25">
      <c r="A19" t="s">
        <v>53</v>
      </c>
      <c r="B19" s="4">
        <v>100</v>
      </c>
      <c r="C19" t="s">
        <v>55</v>
      </c>
      <c r="G19" t="s">
        <v>42</v>
      </c>
      <c r="H19" s="3">
        <f>B3+B6</f>
        <v>208</v>
      </c>
      <c r="I19" t="s">
        <v>3</v>
      </c>
    </row>
    <row r="20" spans="1:9" x14ac:dyDescent="0.25">
      <c r="A20" t="s">
        <v>60</v>
      </c>
      <c r="B20" s="4">
        <v>0.5</v>
      </c>
      <c r="C20" t="s">
        <v>11</v>
      </c>
      <c r="G20" t="s">
        <v>43</v>
      </c>
      <c r="H20" s="3">
        <f>B7</f>
        <v>0.33</v>
      </c>
      <c r="I20" t="s">
        <v>7</v>
      </c>
    </row>
    <row r="21" spans="1:9" x14ac:dyDescent="0.25">
      <c r="A21" t="s">
        <v>64</v>
      </c>
      <c r="B21" s="4">
        <v>1000</v>
      </c>
      <c r="C21" t="s">
        <v>28</v>
      </c>
      <c r="G21" t="s">
        <v>57</v>
      </c>
      <c r="H21" s="3">
        <f>H20*B10</f>
        <v>0.16500000000000001</v>
      </c>
      <c r="I21" t="s">
        <v>22</v>
      </c>
    </row>
    <row r="22" spans="1:9" x14ac:dyDescent="0.25">
      <c r="A22" t="s">
        <v>66</v>
      </c>
      <c r="B22" s="4">
        <v>68000</v>
      </c>
      <c r="C22" t="s">
        <v>28</v>
      </c>
    </row>
    <row r="23" spans="1:9" x14ac:dyDescent="0.25">
      <c r="G23" t="s">
        <v>44</v>
      </c>
      <c r="H23" s="3">
        <f>B7*(SQRT((B6+B10)/B2))</f>
        <v>0.61421552755178244</v>
      </c>
      <c r="I23" t="s">
        <v>7</v>
      </c>
    </row>
    <row r="24" spans="1:9" x14ac:dyDescent="0.25">
      <c r="G24" t="s">
        <v>45</v>
      </c>
      <c r="H24" s="3">
        <f>(B7*H4)/(B17*B13*1000)</f>
        <v>4.2680000000000003E-2</v>
      </c>
      <c r="I24" t="s">
        <v>3</v>
      </c>
    </row>
    <row r="26" spans="1:9" x14ac:dyDescent="0.25">
      <c r="G26" t="s">
        <v>49</v>
      </c>
      <c r="H26" s="3">
        <f>H23</f>
        <v>0.61421552755178244</v>
      </c>
      <c r="I26" t="s">
        <v>7</v>
      </c>
    </row>
    <row r="27" spans="1:9" x14ac:dyDescent="0.25">
      <c r="G27" t="s">
        <v>50</v>
      </c>
      <c r="H27" s="6">
        <f>((B6*B18/100)*0.5)/(H15)</f>
        <v>0.14166007905138342</v>
      </c>
      <c r="I27" t="s">
        <v>28</v>
      </c>
    </row>
    <row r="28" spans="1:9" x14ac:dyDescent="0.25">
      <c r="G28" t="s">
        <v>51</v>
      </c>
      <c r="H28" s="6">
        <f>(B7*H4)/(B18*B6*0.5*B13*0.01*1000)</f>
        <v>1.7783333333333336E-6</v>
      </c>
      <c r="I28" t="s">
        <v>47</v>
      </c>
    </row>
    <row r="30" spans="1:9" x14ac:dyDescent="0.25">
      <c r="G30" t="s">
        <v>52</v>
      </c>
      <c r="H30" s="3">
        <f>H7/SQRT(12)</f>
        <v>9.7984588542467915E-2</v>
      </c>
      <c r="I30" t="s">
        <v>7</v>
      </c>
    </row>
    <row r="31" spans="1:9" x14ac:dyDescent="0.25">
      <c r="G31" t="s">
        <v>58</v>
      </c>
      <c r="H31" s="3">
        <f>(B2*B20/100)/(2*H7)</f>
        <v>0.10311447811447813</v>
      </c>
      <c r="I31" t="s">
        <v>28</v>
      </c>
    </row>
    <row r="32" spans="1:9" x14ac:dyDescent="0.25">
      <c r="G32" t="s">
        <v>59</v>
      </c>
      <c r="H32" s="2">
        <f>H7/(4*B2*B20*B13*10)</f>
        <v>2.0204081632653062E-6</v>
      </c>
      <c r="I32" t="s">
        <v>47</v>
      </c>
    </row>
    <row r="34" spans="7:12" x14ac:dyDescent="0.25">
      <c r="G34" t="s">
        <v>54</v>
      </c>
      <c r="H34" s="3">
        <f>1/(((5.8*10^-8)*B13*B19)+(8*10^-10*B13*B13)+(1.4*10^-7*B13)-(1.5*10^-4)+(1.7*10^-6*B19)-(4*10^-9*B19*B19))</f>
        <v>260.96033402922757</v>
      </c>
      <c r="I34" t="s">
        <v>56</v>
      </c>
      <c r="L34" s="2"/>
    </row>
    <row r="36" spans="7:12" x14ac:dyDescent="0.25">
      <c r="G36" t="s">
        <v>61</v>
      </c>
      <c r="H36" s="3">
        <f>0.12/(1.1*(H15+B16))</f>
        <v>5.2092013720664326E-2</v>
      </c>
      <c r="I36" t="s">
        <v>28</v>
      </c>
    </row>
    <row r="37" spans="7:12" x14ac:dyDescent="0.25">
      <c r="G37" t="s">
        <v>62</v>
      </c>
      <c r="H37" s="3">
        <f>(B3*H8*B13*1000)/(60*(B6+B10-B3))</f>
        <v>-0.76548242766478958</v>
      </c>
      <c r="I37" t="s">
        <v>28</v>
      </c>
      <c r="J37" t="s">
        <v>63</v>
      </c>
    </row>
    <row r="38" spans="7:12" x14ac:dyDescent="0.25">
      <c r="G38" t="s">
        <v>65</v>
      </c>
      <c r="H38" s="6">
        <f>(0.1*(H5/(B13*1000)))/B21</f>
        <v>3.8768984812150283E-11</v>
      </c>
      <c r="I38" t="s">
        <v>47</v>
      </c>
    </row>
    <row r="40" spans="7:12" x14ac:dyDescent="0.25">
      <c r="G40" t="s">
        <v>67</v>
      </c>
      <c r="H40" s="3">
        <f>(0.7*B22)/(48-0.7)</f>
        <v>1006.3424947145878</v>
      </c>
      <c r="I40" t="s">
        <v>28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4" sqref="H4"/>
    </sheetView>
  </sheetViews>
  <sheetFormatPr defaultRowHeight="15" x14ac:dyDescent="0.25"/>
  <cols>
    <col min="1" max="1" width="20.28515625" bestFit="1" customWidth="1"/>
    <col min="2" max="2" width="9.5703125" bestFit="1" customWidth="1"/>
    <col min="7" max="7" width="20.140625" bestFit="1" customWidth="1"/>
  </cols>
  <sheetData>
    <row r="1" spans="1:9" x14ac:dyDescent="0.25">
      <c r="A1" t="s">
        <v>0</v>
      </c>
      <c r="G1" t="s">
        <v>14</v>
      </c>
      <c r="H1">
        <f>B6*B7</f>
        <v>15.84</v>
      </c>
      <c r="I1" t="s">
        <v>22</v>
      </c>
    </row>
    <row r="2" spans="1:9" x14ac:dyDescent="0.25">
      <c r="A2" t="s">
        <v>1</v>
      </c>
      <c r="B2">
        <v>14</v>
      </c>
      <c r="C2" t="s">
        <v>3</v>
      </c>
    </row>
    <row r="3" spans="1:9" x14ac:dyDescent="0.25">
      <c r="A3" t="s">
        <v>2</v>
      </c>
      <c r="B3">
        <v>160</v>
      </c>
      <c r="C3" t="s">
        <v>3</v>
      </c>
      <c r="G3" t="s">
        <v>8</v>
      </c>
    </row>
    <row r="4" spans="1:9" x14ac:dyDescent="0.25">
      <c r="G4" s="1" t="s">
        <v>9</v>
      </c>
      <c r="H4">
        <f>(1-(B2/(B6+B10)))</f>
        <v>0.71134020618556704</v>
      </c>
    </row>
    <row r="5" spans="1:9" x14ac:dyDescent="0.25">
      <c r="A5" t="s">
        <v>4</v>
      </c>
      <c r="G5" s="1" t="s">
        <v>10</v>
      </c>
      <c r="H5">
        <f>(2*(B6+B10)*B7*B11*0.000001*B14*1000)/B3^2</f>
        <v>1.1753671874999998E-2</v>
      </c>
    </row>
    <row r="6" spans="1:9" x14ac:dyDescent="0.25">
      <c r="A6" t="s">
        <v>5</v>
      </c>
      <c r="B6">
        <v>48</v>
      </c>
      <c r="C6" t="s">
        <v>3</v>
      </c>
    </row>
    <row r="7" spans="1:9" x14ac:dyDescent="0.25">
      <c r="A7" t="s">
        <v>6</v>
      </c>
      <c r="B7">
        <v>0.33</v>
      </c>
      <c r="C7" t="s">
        <v>7</v>
      </c>
      <c r="G7" t="s">
        <v>21</v>
      </c>
      <c r="H7">
        <f>(B12/100)*(B7/(1-H5))</f>
        <v>0.10017745291078664</v>
      </c>
      <c r="I7" t="s">
        <v>7</v>
      </c>
    </row>
    <row r="8" spans="1:9" x14ac:dyDescent="0.25">
      <c r="G8" t="s">
        <v>23</v>
      </c>
      <c r="H8">
        <f>SQRT(((B7/(1-H4))^2)+((H7/12)^2))</f>
        <v>1.1432447656502622</v>
      </c>
      <c r="I8" t="s">
        <v>24</v>
      </c>
    </row>
    <row r="9" spans="1:9" x14ac:dyDescent="0.25">
      <c r="A9" t="s">
        <v>12</v>
      </c>
      <c r="G9" t="s">
        <v>25</v>
      </c>
      <c r="H9">
        <f>(B7/(1-H4))+(H7/2)</f>
        <v>1.1933030121696793</v>
      </c>
      <c r="I9" t="s">
        <v>7</v>
      </c>
    </row>
    <row r="10" spans="1:9" x14ac:dyDescent="0.25">
      <c r="A10" t="s">
        <v>13</v>
      </c>
      <c r="B10">
        <v>0.5</v>
      </c>
      <c r="C10" t="s">
        <v>3</v>
      </c>
      <c r="G10" t="s">
        <v>27</v>
      </c>
      <c r="H10">
        <f>H8*H8*B13</f>
        <v>1.46384962548913</v>
      </c>
      <c r="I10" t="s">
        <v>22</v>
      </c>
    </row>
    <row r="11" spans="1:9" x14ac:dyDescent="0.25">
      <c r="A11" t="s">
        <v>15</v>
      </c>
      <c r="B11">
        <v>47</v>
      </c>
      <c r="C11" t="s">
        <v>18</v>
      </c>
    </row>
    <row r="12" spans="1:9" x14ac:dyDescent="0.25">
      <c r="A12" t="s">
        <v>20</v>
      </c>
      <c r="B12">
        <v>30</v>
      </c>
      <c r="C12" t="s">
        <v>11</v>
      </c>
    </row>
    <row r="13" spans="1:9" x14ac:dyDescent="0.25">
      <c r="A13" t="s">
        <v>26</v>
      </c>
      <c r="B13">
        <v>1.1200000000000001</v>
      </c>
      <c r="C13" t="s">
        <v>28</v>
      </c>
    </row>
    <row r="14" spans="1:9" x14ac:dyDescent="0.25">
      <c r="A14" t="s">
        <v>17</v>
      </c>
      <c r="B14" s="4">
        <v>200</v>
      </c>
      <c r="C1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SEPIC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Harper MEng (Hons)</dc:creator>
  <cp:lastModifiedBy>Mark Harper MEng (Hons)</cp:lastModifiedBy>
  <dcterms:created xsi:type="dcterms:W3CDTF">2020-02-12T09:25:34Z</dcterms:created>
  <dcterms:modified xsi:type="dcterms:W3CDTF">2020-02-12T16:18:19Z</dcterms:modified>
</cp:coreProperties>
</file>