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llabonte\Desktop\SQRLi\"/>
    </mc:Choice>
  </mc:AlternateContent>
  <xr:revisionPtr revIDLastSave="0" documentId="8_{CD481D1B-8651-47D0-B86C-DE6860ABDB58}" xr6:coauthVersionLast="46" xr6:coauthVersionMax="46" xr10:uidLastSave="{00000000-0000-0000-0000-000000000000}"/>
  <bookViews>
    <workbookView xWindow="-28920" yWindow="10995" windowWidth="29040" windowHeight="15840" xr2:uid="{00000000-000D-0000-FFFF-FFFF00000000}"/>
  </bookViews>
  <sheets>
    <sheet name="TPS50601A-SP Calculator" sheetId="3" r:id="rId1"/>
    <sheet name="RevHisto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3" l="1"/>
  <c r="T6" i="3" l="1"/>
  <c r="T9" i="3"/>
  <c r="T8" i="3"/>
  <c r="T13" i="3"/>
  <c r="B43" i="3" l="1"/>
  <c r="D20" i="3" l="1"/>
  <c r="T5" i="3" s="1"/>
  <c r="B94" i="3"/>
  <c r="B95" i="3" s="1"/>
  <c r="D88" i="3"/>
  <c r="D87" i="3"/>
  <c r="D90" i="3"/>
  <c r="D89" i="3"/>
  <c r="B86" i="3"/>
  <c r="B62" i="3"/>
  <c r="B16" i="3"/>
  <c r="B49" i="3" s="1"/>
  <c r="B96" i="3" l="1"/>
  <c r="D96" i="3" s="1"/>
  <c r="D94" i="3"/>
  <c r="T14" i="3" s="1"/>
  <c r="B47" i="3" l="1"/>
  <c r="D47" i="3" s="1"/>
  <c r="B44" i="3"/>
  <c r="B81" i="3"/>
  <c r="B93" i="3" s="1"/>
  <c r="B74" i="3"/>
  <c r="B57" i="3"/>
  <c r="B58" i="3"/>
  <c r="B56" i="3"/>
  <c r="B41" i="3"/>
  <c r="B25" i="3"/>
  <c r="B17" i="3"/>
  <c r="B21" i="3" s="1"/>
  <c r="D21" i="3" s="1"/>
  <c r="B77" i="3" l="1"/>
  <c r="D77" i="3" s="1"/>
  <c r="T7" i="3" s="1"/>
  <c r="D95" i="3"/>
  <c r="T15" i="3" s="1"/>
  <c r="B68" i="3"/>
  <c r="B67" i="3"/>
  <c r="D67" i="3" s="1"/>
  <c r="B48" i="3"/>
  <c r="D48" i="3" s="1"/>
  <c r="D93" i="3"/>
  <c r="T16" i="3" s="1"/>
  <c r="B30" i="3"/>
  <c r="D30" i="3" s="1"/>
  <c r="B32" i="3"/>
  <c r="D32" i="3" s="1"/>
  <c r="B66" i="3"/>
  <c r="D66" i="3" s="1"/>
  <c r="B52" i="3"/>
  <c r="D52" i="3" s="1"/>
  <c r="D49" i="3"/>
  <c r="B29" i="3"/>
  <c r="B51" i="3" s="1"/>
  <c r="D51" i="3" s="1"/>
  <c r="D29" i="3" l="1"/>
  <c r="D28" i="3"/>
  <c r="B69" i="3"/>
  <c r="D69" i="3" s="1"/>
  <c r="T11" i="3" s="1"/>
  <c r="D68" i="3"/>
  <c r="T10" i="3" s="1"/>
  <c r="B70" i="3"/>
  <c r="D70" i="3" s="1"/>
  <c r="T12" i="3" s="1"/>
  <c r="B31" i="3"/>
  <c r="D31" i="3" s="1"/>
  <c r="B50" i="3"/>
  <c r="D50" i="3" s="1"/>
</calcChain>
</file>

<file path=xl/sharedStrings.xml><?xml version="1.0" encoding="utf-8"?>
<sst xmlns="http://schemas.openxmlformats.org/spreadsheetml/2006/main" count="244" uniqueCount="130">
  <si>
    <t>Equation</t>
  </si>
  <si>
    <t>Value</t>
  </si>
  <si>
    <t>Units</t>
  </si>
  <si>
    <t>Description</t>
  </si>
  <si>
    <t>V</t>
  </si>
  <si>
    <t>A</t>
  </si>
  <si>
    <t>µH</t>
  </si>
  <si>
    <t>mV</t>
  </si>
  <si>
    <t>µF</t>
  </si>
  <si>
    <t>µA</t>
  </si>
  <si>
    <t>nF</t>
  </si>
  <si>
    <t>kΩ</t>
  </si>
  <si>
    <t>Component</t>
  </si>
  <si>
    <t>ms</t>
  </si>
  <si>
    <t>%</t>
  </si>
  <si>
    <t>pF</t>
  </si>
  <si>
    <t>kHz</t>
  </si>
  <si>
    <t>Revision</t>
  </si>
  <si>
    <t>Date</t>
  </si>
  <si>
    <t>Comment</t>
  </si>
  <si>
    <t>Initial release</t>
  </si>
  <si>
    <t>REFCAP</t>
  </si>
  <si>
    <t>CIN</t>
  </si>
  <si>
    <t>RT</t>
  </si>
  <si>
    <t>Output voltage of converter</t>
  </si>
  <si>
    <t>Output current of converter</t>
  </si>
  <si>
    <t>RT (Freqeuency set resistor)</t>
  </si>
  <si>
    <t>LOUT (Output Inductance)</t>
  </si>
  <si>
    <t>Inductor Ripple Current</t>
  </si>
  <si>
    <t>RMS Inductor Current</t>
  </si>
  <si>
    <t>Peak Inductor Current</t>
  </si>
  <si>
    <t xml:space="preserve">Input capacitance into converter </t>
  </si>
  <si>
    <t>Largest expected output current step applied to converter</t>
  </si>
  <si>
    <t>Largest allowable voltage change during transient</t>
  </si>
  <si>
    <t>Output voltage ripple allowed in design</t>
  </si>
  <si>
    <t>Input Ripple Current</t>
  </si>
  <si>
    <t>Input Voltage Ripple</t>
  </si>
  <si>
    <t>Minimum output capacitance to meet current step</t>
  </si>
  <si>
    <t>Minimum output capacitance to meet voltage ripple</t>
  </si>
  <si>
    <t>Output Capacitance RMS Current</t>
  </si>
  <si>
    <t>User defined output capacitor parasitic resistance</t>
  </si>
  <si>
    <t>Modulator Pole</t>
  </si>
  <si>
    <t>ESR Zero</t>
  </si>
  <si>
    <t>RCOMP</t>
  </si>
  <si>
    <t>CCOMP</t>
  </si>
  <si>
    <t>CHF (optional)</t>
  </si>
  <si>
    <t>Adjustable UVLO turn on voltage</t>
  </si>
  <si>
    <t>Adjustable UVLO turn off votlage</t>
  </si>
  <si>
    <t>INPUT Parameter</t>
  </si>
  <si>
    <t>CALCULATED Solution</t>
  </si>
  <si>
    <t>us</t>
  </si>
  <si>
    <t>VIN (MIN)</t>
  </si>
  <si>
    <t>VIN (MAX)</t>
  </si>
  <si>
    <t>VOUT</t>
  </si>
  <si>
    <t>IOUT</t>
  </si>
  <si>
    <t>FSW</t>
  </si>
  <si>
    <r>
      <t>Current Ripple (K</t>
    </r>
    <r>
      <rPr>
        <vertAlign val="subscript"/>
        <sz val="11"/>
        <color theme="1"/>
        <rFont val="Calibri"/>
        <family val="2"/>
        <scheme val="minor"/>
      </rPr>
      <t>IND</t>
    </r>
    <r>
      <rPr>
        <sz val="11"/>
        <color theme="1"/>
        <rFont val="Calibri"/>
        <family val="2"/>
        <scheme val="minor"/>
      </rPr>
      <t>)</t>
    </r>
  </si>
  <si>
    <t>mV pk-pk</t>
  </si>
  <si>
    <t>ΔIOUT</t>
  </si>
  <si>
    <t>ΔVOUT</t>
  </si>
  <si>
    <r>
      <t>V</t>
    </r>
    <r>
      <rPr>
        <sz val="8"/>
        <color theme="1"/>
        <rFont val="Calibri"/>
        <family val="2"/>
        <scheme val="minor"/>
      </rPr>
      <t>OUTRIPPLE</t>
    </r>
  </si>
  <si>
    <t xml:space="preserve"> mΩ</t>
  </si>
  <si>
    <t>FCO (Cross-Over Frequency)</t>
  </si>
  <si>
    <t>Error Amplifier Transconductance (gmea)</t>
  </si>
  <si>
    <t>µS</t>
  </si>
  <si>
    <t>S</t>
  </si>
  <si>
    <t>COMP to Iswitch gm (gmps)</t>
  </si>
  <si>
    <t>TSS</t>
  </si>
  <si>
    <t>VSTART</t>
  </si>
  <si>
    <t>VSTOP</t>
  </si>
  <si>
    <t>ISS</t>
  </si>
  <si>
    <t>Targeted current ripple of inductor typically in 10% to 40% range. Lower current ripple equates to lower voltage ripple but higher inductance values.</t>
  </si>
  <si>
    <t>Green fields are calculation results.</t>
  </si>
  <si>
    <t>DATASHEET Parameter</t>
  </si>
  <si>
    <t>Switching frequency of converter (max bounded by duty cycle and minimum on time of Phase node)</t>
  </si>
  <si>
    <t>Chosen LOUT (Output Inductance)</t>
  </si>
  <si>
    <t>Inductance chosen by user after seeing calculated inductance for chosen current ripple.</t>
  </si>
  <si>
    <t>Minimum input voltage</t>
  </si>
  <si>
    <t>Maximum input voltage</t>
  </si>
  <si>
    <t>RESR of Chosen Output Capacitance</t>
  </si>
  <si>
    <t>Internal voltage reference</t>
  </si>
  <si>
    <t>Typical value in datasheet.</t>
  </si>
  <si>
    <r>
      <t>R</t>
    </r>
    <r>
      <rPr>
        <vertAlign val="subscript"/>
        <sz val="11"/>
        <color theme="1"/>
        <rFont val="Calibri"/>
        <family val="2"/>
        <scheme val="minor"/>
      </rPr>
      <t>TOP</t>
    </r>
    <r>
      <rPr>
        <sz val="11"/>
        <color theme="1"/>
        <rFont val="Calibri"/>
        <family val="2"/>
        <scheme val="minor"/>
      </rPr>
      <t xml:space="preserve"> VSENSE Feedback Resistor</t>
    </r>
  </si>
  <si>
    <r>
      <t>R</t>
    </r>
    <r>
      <rPr>
        <vertAlign val="subscript"/>
        <sz val="11"/>
        <color theme="1"/>
        <rFont val="Calibri"/>
        <family val="2"/>
        <scheme val="minor"/>
      </rPr>
      <t>BOTTOM</t>
    </r>
    <r>
      <rPr>
        <sz val="11"/>
        <color theme="1"/>
        <rFont val="Calibri"/>
        <family val="2"/>
        <scheme val="minor"/>
      </rPr>
      <t xml:space="preserve"> VSENSE Feedback Resistor</t>
    </r>
  </si>
  <si>
    <t>Desired soft start time.</t>
  </si>
  <si>
    <t>VENRISING</t>
  </si>
  <si>
    <t>VENFALLING</t>
  </si>
  <si>
    <t>High-side switch current limit threshold</t>
  </si>
  <si>
    <t>Current Ripple (Kind) for Chosen Inductor</t>
  </si>
  <si>
    <t>Blue fields are electrical specifications in datasheet.</t>
  </si>
  <si>
    <t>A field turns RED if input or calculation exceeds ROC of device.</t>
  </si>
  <si>
    <t>Yellow fields are inputs provided by user.</t>
  </si>
  <si>
    <t>STEP 1.  Input design requirements to calculate RT and LOUT values needed.</t>
  </si>
  <si>
    <t>Steady State Enable Level</t>
  </si>
  <si>
    <t>Enable pin Input Current (Ip)</t>
  </si>
  <si>
    <t>Enable pin Hysteresis Current (Ih)</t>
  </si>
  <si>
    <t>Chosen Output Capacitance (COUT)</t>
  </si>
  <si>
    <t>Top  VSENSE feedback resistor. Default EVM configuration uses 10kΩ.</t>
  </si>
  <si>
    <t>Summary of Component Selection</t>
  </si>
  <si>
    <t>COUT</t>
  </si>
  <si>
    <t>CHF</t>
  </si>
  <si>
    <t>LOUT</t>
  </si>
  <si>
    <t>RTOP</t>
  </si>
  <si>
    <t>RBOTTOM</t>
  </si>
  <si>
    <t>RENU</t>
  </si>
  <si>
    <t>RENL</t>
  </si>
  <si>
    <r>
      <t>k</t>
    </r>
    <r>
      <rPr>
        <sz val="11"/>
        <color theme="1"/>
        <rFont val="Calibri"/>
        <family val="2"/>
      </rPr>
      <t>Ω</t>
    </r>
  </si>
  <si>
    <t>CSS</t>
  </si>
  <si>
    <t>Soft Start Capacitor (CSS)</t>
  </si>
  <si>
    <t>Upper Enable Resistor (RENU)</t>
  </si>
  <si>
    <t>Lower Enable Resistor (RENL)</t>
  </si>
  <si>
    <t>STEP 2.  Input "LOUT (Output Inductance)" to calculated value above, or, to some other value to see affect of deviation.</t>
  </si>
  <si>
    <t>Maxium Output Capacitance Parasitic Resistance</t>
  </si>
  <si>
    <t>On Time (not including efficiency)</t>
  </si>
  <si>
    <t>TPS50601A-SP Buck Converter Calculator</t>
  </si>
  <si>
    <t>Starting at Step 1 (Row 10) move down the page providing converter requirements in the yellow fields.  Where applicable, datasheet specifications needed for subsequent calculations are provided in blue fields.  Default values of spreadsheet (or real values very near) represent the configuration of the evaluation module available on ti.com (TPS50601AEVM-CVAL).</t>
  </si>
  <si>
    <t>STEP 3.  Input input-capacitance, transient step description, and voltage ripple targets.</t>
  </si>
  <si>
    <t>STEP 4.  Input output-capacitance and desired loop bandwidth to calculate compensation circuit.</t>
  </si>
  <si>
    <r>
      <t>STEP 5.  Input upper resistor value of voltage divider to VSENSE feedback pin to calculate lower resistor value for desired V</t>
    </r>
    <r>
      <rPr>
        <b/>
        <vertAlign val="subscript"/>
        <sz val="11"/>
        <color theme="1"/>
        <rFont val="Calibri"/>
        <family val="2"/>
        <scheme val="minor"/>
      </rPr>
      <t>OUT</t>
    </r>
    <r>
      <rPr>
        <b/>
        <sz val="11"/>
        <color theme="1"/>
        <rFont val="Calibri"/>
        <family val="2"/>
        <scheme val="minor"/>
      </rPr>
      <t>.</t>
    </r>
  </si>
  <si>
    <t>STEP 6.  Input desired soft start time and under voltage lock out (UVLO) thresholds to calculate component values required.</t>
  </si>
  <si>
    <t>Typical TPS50601A-SP converter design.</t>
  </si>
  <si>
    <t xml:space="preserve">User defined output capacitance-can set to value calculated above to meet ΔVOUT transient requirement or other value.  The device was tested using COUT=2x330 µF = 660 uF for SEE radiation testing. </t>
  </si>
  <si>
    <t>Target crossover frequency for design. A rule of thumb crossover frequency is 1/10 the switching frequency as a starting point. Measurements showed 1/10 cross-over as optimal point for EVM.</t>
  </si>
  <si>
    <t>Updated current limit to match datasheet typical.</t>
  </si>
  <si>
    <t>v1.0</t>
  </si>
  <si>
    <t>v0.1</t>
  </si>
  <si>
    <t>Updated LOUT calcuation in cell B21 to use VIN_MAX value and not VIN_MIN value.</t>
  </si>
  <si>
    <t>Updated max Cout ESR (B60) to use Output Current Ripple (B29) instead of input current ripple (B56)</t>
  </si>
  <si>
    <t>Updated Min Cout (B58) to use absolute voltage shift for delta Vout and not just %voltage shift</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</si>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</sst>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vertAlign val="subscript"/>
      <sz val="11"/>
      <color theme="1"/>
      <name val="Calibri"/>
      <family val="2"/>
      <scheme val="minor"/>
    </font>
    <font>
      <b/>
      <sz val="12"/>
      <color theme="1"/>
      <name val="Calibri"/>
      <family val="2"/>
      <scheme val="minor"/>
    </font>
    <font>
      <sz val="12"/>
      <color theme="1"/>
      <name val="Calibri"/>
      <family val="2"/>
      <scheme val="minor"/>
    </font>
    <font>
      <b/>
      <vertAlign val="subscript"/>
      <sz val="11"/>
      <color theme="1"/>
      <name val="Calibri"/>
      <family val="2"/>
      <scheme val="minor"/>
    </font>
    <font>
      <sz val="11"/>
      <color theme="1"/>
      <name val="Calibri"/>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167">
    <xf numFmtId="0" fontId="0" fillId="0" borderId="0" xfId="0"/>
    <xf numFmtId="0" fontId="0" fillId="0" borderId="0" xfId="0" applyAlignment="1">
      <alignment vertical="center"/>
    </xf>
    <xf numFmtId="0" fontId="0" fillId="0" borderId="1" xfId="0" applyBorder="1"/>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right"/>
    </xf>
    <xf numFmtId="0" fontId="0" fillId="0" borderId="0" xfId="0" applyAlignment="1">
      <alignment horizontal="right"/>
    </xf>
    <xf numFmtId="0" fontId="0" fillId="2" borderId="1" xfId="0" applyFill="1" applyBorder="1" applyAlignment="1">
      <alignment vertical="center"/>
    </xf>
    <xf numFmtId="0" fontId="0" fillId="2" borderId="1" xfId="0" applyFill="1" applyBorder="1" applyAlignment="1">
      <alignment horizontal="right" vertical="center"/>
    </xf>
    <xf numFmtId="0" fontId="0" fillId="0" borderId="0" xfId="0" applyFill="1"/>
    <xf numFmtId="0" fontId="0" fillId="0" borderId="0" xfId="0" applyAlignment="1">
      <alignment horizontal="right" vertical="center" wrapText="1"/>
    </xf>
    <xf numFmtId="0" fontId="0" fillId="4" borderId="1" xfId="0" applyFill="1" applyBorder="1" applyAlignment="1">
      <alignment horizontal="right"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ill="1" applyBorder="1" applyAlignment="1">
      <alignment horizontal="right" vertical="center"/>
    </xf>
    <xf numFmtId="0" fontId="0" fillId="5" borderId="1" xfId="0" applyFill="1" applyBorder="1" applyAlignment="1">
      <alignment horizontal="center" vertical="center"/>
    </xf>
    <xf numFmtId="0" fontId="0" fillId="5" borderId="1" xfId="0" applyFill="1" applyBorder="1" applyAlignment="1">
      <alignment vertical="center"/>
    </xf>
    <xf numFmtId="0" fontId="0" fillId="5" borderId="1" xfId="0" applyFill="1" applyBorder="1"/>
    <xf numFmtId="0" fontId="0" fillId="5" borderId="1" xfId="0" applyFill="1" applyBorder="1" applyAlignment="1">
      <alignment horizontal="right"/>
    </xf>
    <xf numFmtId="0" fontId="0" fillId="0" borderId="0" xfId="0"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righ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horizontal="right"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0" borderId="11" xfId="0" applyBorder="1" applyAlignment="1">
      <alignment vertical="center"/>
    </xf>
    <xf numFmtId="0" fontId="0" fillId="2" borderId="12" xfId="0" applyFill="1" applyBorder="1" applyAlignment="1">
      <alignment vertical="center"/>
    </xf>
    <xf numFmtId="0" fontId="0" fillId="0" borderId="13" xfId="0" applyBorder="1" applyAlignment="1">
      <alignment vertical="center"/>
    </xf>
    <xf numFmtId="0" fontId="0" fillId="2" borderId="14" xfId="0" applyFill="1" applyBorder="1" applyAlignment="1">
      <alignment vertical="center"/>
    </xf>
    <xf numFmtId="0" fontId="0" fillId="2" borderId="15" xfId="0" applyFill="1" applyBorder="1" applyAlignment="1">
      <alignment horizontal="righ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0" fillId="0" borderId="16" xfId="0" applyBorder="1" applyAlignment="1">
      <alignment vertical="center" wrapText="1"/>
    </xf>
    <xf numFmtId="0" fontId="0" fillId="4" borderId="5" xfId="0" applyFill="1" applyBorder="1" applyAlignment="1">
      <alignment horizontal="right" vertical="center"/>
    </xf>
    <xf numFmtId="0" fontId="0" fillId="4" borderId="5" xfId="0" applyFill="1" applyBorder="1" applyAlignment="1">
      <alignment horizontal="center" vertical="center"/>
    </xf>
    <xf numFmtId="0" fontId="1" fillId="0" borderId="8" xfId="0" applyFont="1" applyFill="1" applyBorder="1"/>
    <xf numFmtId="0" fontId="0" fillId="4" borderId="9" xfId="0" applyFill="1" applyBorder="1" applyAlignment="1">
      <alignment horizontal="left" vertical="center"/>
    </xf>
    <xf numFmtId="0" fontId="0" fillId="4" borderId="10" xfId="0" applyFill="1" applyBorder="1" applyAlignment="1">
      <alignment horizontal="right" vertical="center"/>
    </xf>
    <xf numFmtId="0" fontId="0" fillId="4" borderId="10" xfId="0" applyFill="1" applyBorder="1" applyAlignment="1">
      <alignment vertical="center"/>
    </xf>
    <xf numFmtId="0" fontId="0" fillId="4" borderId="10" xfId="0" applyFill="1" applyBorder="1" applyAlignment="1">
      <alignment horizontal="center" vertical="center"/>
    </xf>
    <xf numFmtId="0" fontId="0" fillId="0" borderId="11" xfId="0" applyBorder="1"/>
    <xf numFmtId="0" fontId="0" fillId="4" borderId="14" xfId="0" applyFill="1" applyBorder="1" applyAlignment="1">
      <alignment horizontal="left" vertical="center"/>
    </xf>
    <xf numFmtId="0" fontId="0" fillId="4" borderId="15" xfId="0" applyFill="1" applyBorder="1" applyAlignment="1">
      <alignment horizontal="right" vertical="center"/>
    </xf>
    <xf numFmtId="0" fontId="0" fillId="4" borderId="15" xfId="0" applyFill="1" applyBorder="1" applyAlignment="1">
      <alignment vertical="center"/>
    </xf>
    <xf numFmtId="0" fontId="0" fillId="4" borderId="15" xfId="0" applyFill="1" applyBorder="1" applyAlignment="1">
      <alignment horizontal="center" vertical="center"/>
    </xf>
    <xf numFmtId="0" fontId="0" fillId="0" borderId="16" xfId="0" applyBorder="1"/>
    <xf numFmtId="0" fontId="0" fillId="2" borderId="17" xfId="0" applyFill="1" applyBorder="1" applyAlignment="1">
      <alignment vertical="center"/>
    </xf>
    <xf numFmtId="0" fontId="0" fillId="2" borderId="18" xfId="0" applyFill="1" applyBorder="1" applyAlignment="1">
      <alignment horizontal="right"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0" borderId="19" xfId="0" applyBorder="1" applyAlignment="1">
      <alignment wrapText="1"/>
    </xf>
    <xf numFmtId="0" fontId="0" fillId="4" borderId="12" xfId="0" applyFill="1" applyBorder="1" applyAlignment="1">
      <alignment horizontal="left" vertical="center"/>
    </xf>
    <xf numFmtId="0" fontId="0" fillId="0" borderId="13" xfId="0" applyBorder="1"/>
    <xf numFmtId="0" fontId="0" fillId="4" borderId="12" xfId="0" applyFont="1" applyFill="1" applyBorder="1" applyAlignment="1">
      <alignment horizontal="left" vertical="center"/>
    </xf>
    <xf numFmtId="0" fontId="0" fillId="2" borderId="6" xfId="0" applyFill="1" applyBorder="1" applyAlignment="1">
      <alignment vertical="center"/>
    </xf>
    <xf numFmtId="0" fontId="0" fillId="2" borderId="7" xfId="0" applyFill="1" applyBorder="1" applyAlignment="1">
      <alignment horizontal="right" vertical="center"/>
    </xf>
    <xf numFmtId="0" fontId="0" fillId="2" borderId="7" xfId="0" applyFill="1" applyBorder="1" applyAlignment="1">
      <alignment vertical="center"/>
    </xf>
    <xf numFmtId="0" fontId="0" fillId="2" borderId="7" xfId="0" applyFill="1" applyBorder="1" applyAlignment="1">
      <alignment horizontal="center" vertical="center"/>
    </xf>
    <xf numFmtId="0" fontId="0" fillId="4" borderId="9" xfId="0" applyFont="1" applyFill="1" applyBorder="1" applyAlignment="1">
      <alignment horizontal="left" vertical="center"/>
    </xf>
    <xf numFmtId="0" fontId="0" fillId="4" borderId="12" xfId="0" applyFill="1" applyBorder="1" applyAlignment="1">
      <alignment horizontal="left" vertical="center" wrapText="1"/>
    </xf>
    <xf numFmtId="0" fontId="0" fillId="2" borderId="9" xfId="0" applyFill="1" applyBorder="1" applyAlignment="1">
      <alignment horizontal="left" vertical="center"/>
    </xf>
    <xf numFmtId="0" fontId="0" fillId="0" borderId="11" xfId="0" applyBorder="1" applyAlignment="1">
      <alignment wrapText="1"/>
    </xf>
    <xf numFmtId="0" fontId="0" fillId="2" borderId="12" xfId="0" applyFill="1" applyBorder="1" applyAlignment="1">
      <alignment horizontal="left" vertical="center"/>
    </xf>
    <xf numFmtId="0" fontId="0" fillId="2" borderId="14" xfId="0" applyFill="1" applyBorder="1" applyAlignment="1">
      <alignment horizontal="left" vertical="center"/>
    </xf>
    <xf numFmtId="0" fontId="0" fillId="5" borderId="9" xfId="0" applyFill="1" applyBorder="1"/>
    <xf numFmtId="0" fontId="0" fillId="5" borderId="10" xfId="0" applyFill="1" applyBorder="1" applyAlignment="1">
      <alignment horizontal="right"/>
    </xf>
    <xf numFmtId="0" fontId="0" fillId="5" borderId="10" xfId="0" applyFill="1" applyBorder="1"/>
    <xf numFmtId="0" fontId="0" fillId="5" borderId="10" xfId="0" applyFill="1" applyBorder="1" applyAlignment="1">
      <alignment horizontal="center"/>
    </xf>
    <xf numFmtId="0" fontId="0" fillId="5" borderId="14" xfId="0" applyFill="1" applyBorder="1"/>
    <xf numFmtId="0" fontId="0" fillId="5" borderId="15" xfId="0" applyFill="1" applyBorder="1" applyAlignment="1">
      <alignment horizontal="right"/>
    </xf>
    <xf numFmtId="0" fontId="0" fillId="5" borderId="15" xfId="0" applyFill="1" applyBorder="1"/>
    <xf numFmtId="0" fontId="0" fillId="5" borderId="15" xfId="0" applyFill="1" applyBorder="1" applyAlignment="1">
      <alignment horizontal="center" vertical="center"/>
    </xf>
    <xf numFmtId="0" fontId="0" fillId="0" borderId="8" xfId="0" applyBorder="1"/>
    <xf numFmtId="0" fontId="0" fillId="4" borderId="6" xfId="0" applyFill="1" applyBorder="1" applyAlignment="1">
      <alignment horizontal="left" vertical="center"/>
    </xf>
    <xf numFmtId="0" fontId="0" fillId="4" borderId="7" xfId="0" applyFill="1" applyBorder="1" applyAlignment="1">
      <alignment horizontal="right" vertical="center"/>
    </xf>
    <xf numFmtId="0" fontId="0" fillId="4" borderId="7" xfId="0" applyFill="1" applyBorder="1" applyAlignment="1">
      <alignment vertical="center"/>
    </xf>
    <xf numFmtId="0" fontId="0" fillId="4" borderId="7" xfId="0" applyFill="1" applyBorder="1" applyAlignment="1">
      <alignment horizontal="center" vertical="center"/>
    </xf>
    <xf numFmtId="0" fontId="0" fillId="0" borderId="16" xfId="0" applyFill="1" applyBorder="1"/>
    <xf numFmtId="0" fontId="0" fillId="0" borderId="16" xfId="0" applyBorder="1" applyAlignment="1">
      <alignment vertical="center"/>
    </xf>
    <xf numFmtId="164" fontId="0" fillId="2" borderId="1" xfId="0" applyNumberFormat="1" applyFill="1" applyBorder="1" applyAlignment="1">
      <alignment horizontal="right" vertical="center"/>
    </xf>
    <xf numFmtId="2" fontId="0" fillId="2" borderId="10" xfId="0" applyNumberFormat="1" applyFill="1" applyBorder="1" applyAlignment="1">
      <alignment horizontal="right" vertical="center"/>
    </xf>
    <xf numFmtId="2" fontId="0" fillId="2" borderId="1" xfId="0" applyNumberFormat="1" applyFill="1" applyBorder="1" applyAlignment="1">
      <alignment horizontal="right" vertical="center"/>
    </xf>
    <xf numFmtId="0" fontId="0" fillId="0" borderId="13" xfId="0" applyBorder="1" applyAlignment="1">
      <alignment horizontal="left" vertical="center" wrapText="1"/>
    </xf>
    <xf numFmtId="0" fontId="1" fillId="0" borderId="7" xfId="0" applyFont="1" applyFill="1" applyBorder="1" applyAlignment="1">
      <alignment horizontal="right"/>
    </xf>
    <xf numFmtId="0" fontId="1" fillId="0" borderId="7" xfId="0" applyFont="1" applyFill="1" applyBorder="1"/>
    <xf numFmtId="0" fontId="1" fillId="0" borderId="22" xfId="0" applyFont="1" applyFill="1" applyBorder="1" applyAlignment="1">
      <alignment vertical="center"/>
    </xf>
    <xf numFmtId="0" fontId="1" fillId="0" borderId="23" xfId="0" applyFont="1" applyFill="1" applyBorder="1" applyAlignment="1">
      <alignment horizontal="right" vertical="center"/>
    </xf>
    <xf numFmtId="0" fontId="1" fillId="0" borderId="23" xfId="0" applyFont="1" applyFill="1" applyBorder="1" applyAlignment="1">
      <alignment vertical="center"/>
    </xf>
    <xf numFmtId="0" fontId="1" fillId="0" borderId="23" xfId="0" applyFont="1" applyFill="1" applyBorder="1" applyAlignment="1">
      <alignment horizontal="center" vertical="center"/>
    </xf>
    <xf numFmtId="0" fontId="0" fillId="0" borderId="16" xfId="0" applyBorder="1" applyAlignment="1">
      <alignment wrapText="1"/>
    </xf>
    <xf numFmtId="0" fontId="0" fillId="5" borderId="12" xfId="0" applyFill="1" applyBorder="1"/>
    <xf numFmtId="0" fontId="1" fillId="0" borderId="8" xfId="0" applyFont="1" applyFill="1" applyBorder="1" applyAlignment="1">
      <alignment horizontal="center" vertical="center"/>
    </xf>
    <xf numFmtId="0" fontId="1" fillId="0" borderId="8" xfId="0" applyFont="1" applyFill="1" applyBorder="1" applyAlignment="1">
      <alignment horizontal="center"/>
    </xf>
    <xf numFmtId="0" fontId="1" fillId="0" borderId="0" xfId="0" applyFont="1" applyFill="1"/>
    <xf numFmtId="0" fontId="0" fillId="0" borderId="0" xfId="0" applyFont="1"/>
    <xf numFmtId="0" fontId="1" fillId="0" borderId="24" xfId="0" applyFont="1" applyFill="1" applyBorder="1" applyAlignment="1">
      <alignment horizontal="center" vertical="center"/>
    </xf>
    <xf numFmtId="10" fontId="0" fillId="4" borderId="10" xfId="0" applyNumberFormat="1" applyFill="1" applyBorder="1" applyAlignment="1">
      <alignment horizontal="right" vertical="center"/>
    </xf>
    <xf numFmtId="0" fontId="0" fillId="4" borderId="20" xfId="0" applyFill="1" applyBorder="1" applyAlignment="1">
      <alignment horizontal="left" vertical="center"/>
    </xf>
    <xf numFmtId="0" fontId="0" fillId="0" borderId="21" xfId="0" applyBorder="1"/>
    <xf numFmtId="0" fontId="0" fillId="0" borderId="0" xfId="0" applyAlignment="1">
      <alignment horizontal="left"/>
    </xf>
    <xf numFmtId="11" fontId="0" fillId="5" borderId="1" xfId="0" applyNumberFormat="1" applyFill="1" applyBorder="1" applyAlignment="1">
      <alignment horizontal="right" vertical="center"/>
    </xf>
    <xf numFmtId="164" fontId="0" fillId="5" borderId="1" xfId="0" applyNumberFormat="1" applyFill="1" applyBorder="1" applyAlignment="1">
      <alignment horizontal="right" vertical="center"/>
    </xf>
    <xf numFmtId="2" fontId="0" fillId="5" borderId="1" xfId="0" applyNumberFormat="1" applyFill="1" applyBorder="1" applyAlignment="1">
      <alignment horizontal="right" vertical="center"/>
    </xf>
    <xf numFmtId="11" fontId="0" fillId="4" borderId="1" xfId="0" applyNumberFormat="1" applyFill="1" applyBorder="1" applyAlignment="1">
      <alignment horizontal="right" vertical="center"/>
    </xf>
    <xf numFmtId="11" fontId="0" fillId="4" borderId="15" xfId="0" applyNumberFormat="1" applyFill="1" applyBorder="1" applyAlignment="1">
      <alignment horizontal="right" vertical="center"/>
    </xf>
    <xf numFmtId="2" fontId="0" fillId="4" borderId="15" xfId="0" applyNumberFormat="1" applyFill="1" applyBorder="1" applyAlignment="1">
      <alignment horizontal="right" vertical="center"/>
    </xf>
    <xf numFmtId="0" fontId="1" fillId="0" borderId="0" xfId="0" applyFont="1"/>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2" fillId="0" borderId="0" xfId="0" applyFont="1" applyAlignment="1">
      <alignment horizontal="center"/>
    </xf>
    <xf numFmtId="0" fontId="0" fillId="0" borderId="0" xfId="0" applyBorder="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0" fillId="0" borderId="8" xfId="0" applyBorder="1" applyAlignment="1">
      <alignment vertical="center" wrapText="1"/>
    </xf>
    <xf numFmtId="0" fontId="0" fillId="5" borderId="6" xfId="0" applyFill="1" applyBorder="1"/>
    <xf numFmtId="0" fontId="0" fillId="5" borderId="7" xfId="0" applyFill="1" applyBorder="1" applyAlignment="1">
      <alignment horizontal="right"/>
    </xf>
    <xf numFmtId="0" fontId="0" fillId="5" borderId="7" xfId="0" applyFill="1" applyBorder="1"/>
    <xf numFmtId="0" fontId="0" fillId="5" borderId="7" xfId="0" applyFill="1" applyBorder="1" applyAlignment="1">
      <alignment horizontal="center"/>
    </xf>
    <xf numFmtId="0" fontId="0" fillId="4" borderId="14" xfId="0" applyFont="1" applyFill="1" applyBorder="1" applyAlignment="1">
      <alignment horizontal="left" vertical="center"/>
    </xf>
    <xf numFmtId="0" fontId="0" fillId="4" borderId="15" xfId="0" applyFont="1" applyFill="1" applyBorder="1" applyAlignment="1">
      <alignment horizontal="center" vertical="center"/>
    </xf>
    <xf numFmtId="0" fontId="0" fillId="4" borderId="12" xfId="0" applyFont="1" applyFill="1" applyBorder="1" applyAlignment="1">
      <alignment horizontal="left" vertical="center"/>
    </xf>
    <xf numFmtId="2"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9" xfId="0" applyFont="1" applyFill="1" applyBorder="1" applyAlignment="1">
      <alignment horizontal="left" vertical="center"/>
    </xf>
    <xf numFmtId="0" fontId="0" fillId="4" borderId="11" xfId="0"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2" fontId="0" fillId="4" borderId="10"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8" fillId="4" borderId="16" xfId="0" applyFont="1" applyFill="1" applyBorder="1" applyAlignment="1">
      <alignment horizontal="center" vertical="center"/>
    </xf>
    <xf numFmtId="0" fontId="0" fillId="0" borderId="1" xfId="0" applyFill="1" applyBorder="1"/>
    <xf numFmtId="0" fontId="1" fillId="0" borderId="26" xfId="0" applyFont="1" applyBorder="1" applyAlignment="1">
      <alignment horizontal="center"/>
    </xf>
    <xf numFmtId="164" fontId="0" fillId="0" borderId="27" xfId="0" applyNumberFormat="1" applyBorder="1" applyAlignment="1">
      <alignment horizontal="center"/>
    </xf>
    <xf numFmtId="0" fontId="0" fillId="0" borderId="27" xfId="0" applyBorder="1" applyAlignment="1">
      <alignment horizontal="center"/>
    </xf>
    <xf numFmtId="0" fontId="0" fillId="0" borderId="0" xfId="0" applyBorder="1"/>
    <xf numFmtId="0" fontId="1" fillId="0" borderId="0" xfId="0" applyFont="1" applyBorder="1" applyAlignment="1">
      <alignment horizontal="center"/>
    </xf>
    <xf numFmtId="164" fontId="0" fillId="0" borderId="0" xfId="0" applyNumberFormat="1" applyBorder="1" applyAlignment="1">
      <alignment horizontal="center"/>
    </xf>
    <xf numFmtId="14" fontId="0" fillId="0" borderId="12" xfId="0" applyNumberFormat="1" applyBorder="1" applyAlignment="1">
      <alignment horizontal="center"/>
    </xf>
    <xf numFmtId="14" fontId="0" fillId="0" borderId="12" xfId="0" applyNumberFormat="1" applyBorder="1"/>
    <xf numFmtId="14" fontId="0" fillId="0" borderId="14" xfId="0" applyNumberFormat="1" applyBorder="1"/>
    <xf numFmtId="0" fontId="0" fillId="0" borderId="15" xfId="0" applyFill="1" applyBorder="1"/>
    <xf numFmtId="14" fontId="0" fillId="0" borderId="20" xfId="0" applyNumberFormat="1" applyBorder="1" applyAlignment="1">
      <alignment horizontal="center"/>
    </xf>
    <xf numFmtId="0" fontId="0" fillId="0" borderId="5" xfId="0"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25"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left" vertical="center" wrapText="1"/>
    </xf>
  </cellXfs>
  <cellStyles count="1">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128588</xdr:colOff>
      <xdr:row>19</xdr:row>
      <xdr:rowOff>422934</xdr:rowOff>
    </xdr:from>
    <xdr:ext cx="2711823" cy="359522"/>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967163" y="3780497"/>
              <a:ext cx="2711823" cy="359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   </a:t>
              </a:r>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𝐿</m:t>
                      </m:r>
                    </m:e>
                    <m:sub>
                      <m:r>
                        <a:rPr lang="en-US" sz="1100" b="0" i="1">
                          <a:latin typeface="Cambria Math"/>
                        </a:rPr>
                        <m:t>𝑂𝑈𝑇</m:t>
                      </m:r>
                    </m:sub>
                  </m:sSub>
                  <m:r>
                    <a:rPr lang="en-US" sz="1100" b="0" i="1">
                      <a:latin typeface="Cambria Math"/>
                    </a:rPr>
                    <m:t>=</m:t>
                  </m:r>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a:rPr>
                            <m:t>𝑉</m:t>
                          </m:r>
                        </m:e>
                        <m:sub>
                          <m:r>
                            <a:rPr lang="en-US" sz="1100" b="0" i="1">
                              <a:latin typeface="Cambria Math"/>
                            </a:rPr>
                            <m:t>𝐼𝑁𝑀𝐴𝑋</m:t>
                          </m:r>
                        </m:sub>
                      </m:sSub>
                      <m:r>
                        <a:rPr lang="en-US" sz="1100" b="0" i="1">
                          <a:latin typeface="Cambria Math"/>
                        </a:rPr>
                        <m:t> −</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𝑂𝑈𝑇</m:t>
                          </m:r>
                        </m:sub>
                      </m:sSub>
                      <m:r>
                        <a:rPr lang="en-US" sz="1100" b="0" i="1">
                          <a:latin typeface="Cambria Math"/>
                        </a:rPr>
                        <m:t> ∗</m:t>
                      </m:r>
                      <m:sSub>
                        <m:sSubPr>
                          <m:ctrlPr>
                            <a:rPr lang="en-US" sz="1100" b="0" i="1">
                              <a:latin typeface="Cambria Math" panose="02040503050406030204" pitchFamily="18" charset="0"/>
                            </a:rPr>
                          </m:ctrlPr>
                        </m:sSubPr>
                        <m:e>
                          <m:r>
                            <a:rPr lang="en-US" sz="1100" b="0" i="1">
                              <a:latin typeface="Cambria Math"/>
                            </a:rPr>
                            <m:t>𝐾</m:t>
                          </m:r>
                        </m:e>
                        <m:sub>
                          <m:r>
                            <a:rPr lang="en-US" sz="1100" b="0" i="1">
                              <a:latin typeface="Cambria Math"/>
                            </a:rPr>
                            <m:t>𝐼𝑁𝐷</m:t>
                          </m:r>
                        </m:sub>
                      </m:sSub>
                    </m:den>
                  </m:f>
                  <m:r>
                    <a:rPr lang="en-US" sz="1100" b="0" i="1">
                      <a:latin typeface="Cambria Math"/>
                    </a:rPr>
                    <m:t>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𝐼𝑁𝑀𝐴𝑋</m:t>
                          </m:r>
                        </m:sub>
                      </m:sSub>
                      <m:r>
                        <a:rPr lang="en-US" sz="1100" b="0" i="1">
                          <a:latin typeface="Cambria Math"/>
                        </a:rPr>
                        <m:t> ∗</m:t>
                      </m:r>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𝑆𝑊</m:t>
                          </m:r>
                        </m:sub>
                      </m:sSub>
                    </m:den>
                  </m:f>
                </m:oMath>
              </a14:m>
              <a:endParaRPr lang="en-US" sz="1100"/>
            </a:p>
          </xdr:txBody>
        </xdr:sp>
      </mc:Choice>
      <mc:Fallback xmlns="">
        <xdr:sp macro="" textlink="">
          <xdr:nvSpPr>
            <xdr:cNvPr id="3" name="TextBox 2"/>
            <xdr:cNvSpPr txBox="1"/>
          </xdr:nvSpPr>
          <xdr:spPr>
            <a:xfrm>
              <a:off x="3967163" y="3780497"/>
              <a:ext cx="2711823" cy="359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   </a:t>
              </a:r>
              <a:r>
                <a:rPr lang="en-US" sz="1100" b="0" i="0">
                  <a:latin typeface="Cambria Math"/>
                </a:rPr>
                <a:t>𝐿_𝑂𝑈𝑇=</a:t>
              </a:r>
              <a:r>
                <a:rPr lang="en-US" sz="1100" i="0">
                  <a:latin typeface="Cambria Math"/>
                </a:rPr>
                <a:t>(</a:t>
              </a:r>
              <a:r>
                <a:rPr lang="en-US" sz="1100" b="0" i="0">
                  <a:latin typeface="Cambria Math"/>
                </a:rPr>
                <a:t>𝑉_𝐼𝑁𝑀𝐴𝑋  −𝑉_𝑂𝑈𝑇)/(𝐼_𝑂𝑈𝑇  ∗𝐾_𝐼𝑁𝐷 )  ∗  𝑉_𝑂𝑈𝑇/(𝑉_𝐼𝑁𝑀𝐴𝑋  ∗𝐹_𝑆𝑊 )</a:t>
              </a:r>
              <a:endParaRPr lang="en-US" sz="1100"/>
            </a:p>
          </xdr:txBody>
        </xdr:sp>
      </mc:Fallback>
    </mc:AlternateContent>
    <xdr:clientData/>
  </xdr:oneCellAnchor>
  <xdr:oneCellAnchor>
    <xdr:from>
      <xdr:col>5</xdr:col>
      <xdr:colOff>195263</xdr:colOff>
      <xdr:row>28</xdr:row>
      <xdr:rowOff>16212</xdr:rowOff>
    </xdr:from>
    <xdr:ext cx="2711823" cy="35381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14813" y="5835987"/>
              <a:ext cx="2711823" cy="35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 </a:t>
              </a:r>
              <a14:m>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𝑅𝐼𝑃𝑃𝐿𝐸</m:t>
                      </m:r>
                    </m:sub>
                  </m:sSub>
                  <m:r>
                    <a:rPr lang="en-US" sz="1100" b="0" i="1">
                      <a:latin typeface="Cambria Math"/>
                    </a:rPr>
                    <m:t>=</m:t>
                  </m:r>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a:rPr>
                            <m:t>𝑉</m:t>
                          </m:r>
                        </m:e>
                        <m:sub>
                          <m:r>
                            <a:rPr lang="en-US" sz="1100" b="0" i="1">
                              <a:latin typeface="Cambria Math"/>
                            </a:rPr>
                            <m:t>𝐼𝑁𝑀𝐴𝑋</m:t>
                          </m:r>
                        </m:sub>
                      </m:sSub>
                      <m:r>
                        <a:rPr lang="en-US" sz="1100" b="0" i="1">
                          <a:latin typeface="Cambria Math"/>
                        </a:rPr>
                        <m:t> −</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𝐿</m:t>
                          </m:r>
                        </m:e>
                        <m:sub>
                          <m:r>
                            <a:rPr lang="en-US" sz="1100" b="0" i="1">
                              <a:latin typeface="Cambria Math"/>
                            </a:rPr>
                            <m:t>𝑂𝑈𝑇</m:t>
                          </m:r>
                        </m:sub>
                      </m:sSub>
                    </m:den>
                  </m:f>
                  <m:r>
                    <a:rPr lang="en-US" sz="1100" b="0" i="1">
                      <a:latin typeface="Cambria Math"/>
                    </a:rPr>
                    <m:t>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num>
                    <m:den>
                      <m:r>
                        <a:rPr lang="en-US" sz="1100" b="0" i="1">
                          <a:latin typeface="Cambria Math"/>
                        </a:rPr>
                        <m:t>𝑉𝑖𝑛𝑚𝑎𝑥</m:t>
                      </m:r>
                      <m:r>
                        <a:rPr lang="en-US" sz="1100" b="0" i="1">
                          <a:latin typeface="Cambria Math"/>
                        </a:rPr>
                        <m:t> ∗</m:t>
                      </m:r>
                      <m:r>
                        <a:rPr lang="en-US" sz="1100" b="0" i="1">
                          <a:latin typeface="Cambria Math"/>
                        </a:rPr>
                        <m:t>𝑓𝑠𝑤</m:t>
                      </m:r>
                    </m:den>
                  </m:f>
                </m:oMath>
              </a14:m>
              <a:endParaRPr lang="en-US" sz="1100"/>
            </a:p>
          </xdr:txBody>
        </xdr:sp>
      </mc:Choice>
      <mc:Fallback xmlns="">
        <xdr:sp macro="" textlink="">
          <xdr:nvSpPr>
            <xdr:cNvPr id="4" name="TextBox 3"/>
            <xdr:cNvSpPr txBox="1"/>
          </xdr:nvSpPr>
          <xdr:spPr>
            <a:xfrm>
              <a:off x="4214813" y="5835987"/>
              <a:ext cx="2711823" cy="35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 </a:t>
              </a:r>
              <a:r>
                <a:rPr lang="en-US" sz="1100" b="0" i="0">
                  <a:latin typeface="Cambria Math"/>
                </a:rPr>
                <a:t>𝐼_𝑅𝐼𝑃𝑃𝐿𝐸=</a:t>
              </a:r>
              <a:r>
                <a:rPr lang="en-US" sz="1100" i="0">
                  <a:latin typeface="Cambria Math"/>
                </a:rPr>
                <a:t>(</a:t>
              </a:r>
              <a:r>
                <a:rPr lang="en-US" sz="1100" b="0" i="0">
                  <a:latin typeface="Cambria Math"/>
                </a:rPr>
                <a:t>𝑉_𝐼𝑁𝑀𝐴𝑋  −𝑉_𝑂𝑈𝑇)/𝐿_𝑂𝑈𝑇   ∗  𝑉_𝑂𝑈𝑇/(𝑉𝑖𝑛𝑚𝑎𝑥 ∗𝑓𝑠𝑤)</a:t>
              </a:r>
              <a:endParaRPr lang="en-US" sz="1100"/>
            </a:p>
          </xdr:txBody>
        </xdr:sp>
      </mc:Fallback>
    </mc:AlternateContent>
    <xdr:clientData/>
  </xdr:oneCellAnchor>
  <xdr:oneCellAnchor>
    <xdr:from>
      <xdr:col>5</xdr:col>
      <xdr:colOff>328618</xdr:colOff>
      <xdr:row>28</xdr:row>
      <xdr:rowOff>238124</xdr:rowOff>
    </xdr:from>
    <xdr:ext cx="3204235" cy="66324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348168" y="6057899"/>
              <a:ext cx="3204235" cy="66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200">
                  <a:latin typeface="Cambria Math" panose="02040503050406030204" pitchFamily="18" charset="0"/>
                  <a:ea typeface="Cambria Math" panose="02040503050406030204" pitchFamily="18" charset="0"/>
                </a:rPr>
                <a:t>  </a:t>
              </a:r>
              <a14:m>
                <m:oMath xmlns:m="http://schemas.openxmlformats.org/officeDocument/2006/math">
                  <m:sSub>
                    <m:sSubPr>
                      <m:ctrlPr>
                        <a:rPr lang="en-US" sz="120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𝐼</m:t>
                      </m:r>
                    </m:e>
                    <m:sub>
                      <m:r>
                        <a:rPr lang="en-US" sz="1200" b="0" i="1">
                          <a:latin typeface="Cambria Math"/>
                          <a:ea typeface="Cambria Math" panose="02040503050406030204" pitchFamily="18" charset="0"/>
                        </a:rPr>
                        <m:t>𝑅𝑀𝑆</m:t>
                      </m:r>
                    </m:sub>
                  </m:sSub>
                  <m:r>
                    <a:rPr lang="en-US" sz="1200" b="0" i="1">
                      <a:latin typeface="Cambria Math"/>
                      <a:ea typeface="Cambria Math" panose="02040503050406030204" pitchFamily="18" charset="0"/>
                    </a:rPr>
                    <m:t>=</m:t>
                  </m:r>
                  <m:rad>
                    <m:radPr>
                      <m:degHide m:val="on"/>
                      <m:ctrlPr>
                        <a:rPr lang="en-US" sz="1200" i="1">
                          <a:latin typeface="Cambria Math" panose="02040503050406030204" pitchFamily="18" charset="0"/>
                          <a:ea typeface="Cambria Math" panose="02040503050406030204" pitchFamily="18" charset="0"/>
                        </a:rPr>
                      </m:ctrlPr>
                    </m:radPr>
                    <m:deg/>
                    <m:e>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𝐼</m:t>
                              </m:r>
                            </m:e>
                            <m:sub>
                              <m:r>
                                <a:rPr lang="en-US" sz="1100" b="0" i="1">
                                  <a:solidFill>
                                    <a:schemeClr val="tx1"/>
                                  </a:solidFill>
                                  <a:effectLst/>
                                  <a:latin typeface="Cambria Math"/>
                                  <a:ea typeface="+mn-ea"/>
                                  <a:cs typeface="+mn-cs"/>
                                </a:rPr>
                                <m:t>𝑂𝑈𝑇</m:t>
                              </m:r>
                            </m:sub>
                          </m:sSub>
                        </m:e>
                        <m:sup>
                          <m:r>
                            <a:rPr lang="en-US" sz="1100" b="0" i="1">
                              <a:solidFill>
                                <a:schemeClr val="tx1"/>
                              </a:solidFill>
                              <a:effectLst/>
                              <a:latin typeface="Cambria Math"/>
                              <a:ea typeface="+mn-ea"/>
                              <a:cs typeface="+mn-cs"/>
                            </a:rPr>
                            <m:t>2</m:t>
                          </m:r>
                        </m:sup>
                      </m:sSup>
                      <m:r>
                        <a:rPr lang="en-US" sz="1200" b="0" i="1">
                          <a:latin typeface="Cambria Math" panose="02040503050406030204" pitchFamily="18" charset="0"/>
                          <a:ea typeface="Cambria Math" panose="02040503050406030204" pitchFamily="18" charset="0"/>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r>
                            <a:rPr lang="en-US" sz="1200" b="0" i="1">
                              <a:latin typeface="Cambria Math" panose="02040503050406030204" pitchFamily="18" charset="0"/>
                              <a:ea typeface="Cambria Math" panose="02040503050406030204" pitchFamily="18" charset="0"/>
                            </a:rPr>
                            <m:t>12</m:t>
                          </m:r>
                        </m:den>
                      </m:f>
                      <m:sSup>
                        <m:sSupPr>
                          <m:ctrlPr>
                            <a:rPr lang="en-US" sz="1200" b="0" i="1">
                              <a:latin typeface="Cambria Math" panose="02040503050406030204" pitchFamily="18" charset="0"/>
                              <a:ea typeface="Cambria Math" panose="02040503050406030204" pitchFamily="18" charset="0"/>
                            </a:rPr>
                          </m:ctrlPr>
                        </m:sSupPr>
                        <m:e>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𝑉</m:t>
                                  </m:r>
                                </m:e>
                                <m:sub>
                                  <m:r>
                                    <a:rPr lang="en-US" sz="1200" b="0" i="1">
                                      <a:latin typeface="Cambria Math"/>
                                      <a:ea typeface="Cambria Math" panose="02040503050406030204" pitchFamily="18" charset="0"/>
                                    </a:rPr>
                                    <m:t>𝑂𝑈𝑇</m:t>
                                  </m:r>
                                </m:sub>
                              </m:sSub>
                              <m:r>
                                <a:rPr lang="en-US" sz="1200" b="0" i="1">
                                  <a:latin typeface="Cambria Math" panose="02040503050406030204" pitchFamily="18" charset="0"/>
                                  <a:ea typeface="Cambria Math" panose="02040503050406030204" pitchFamily="18" charset="0"/>
                                </a:rPr>
                                <m:t> ∗</m:t>
                              </m:r>
                              <m:d>
                                <m:dPr>
                                  <m:ctrlPr>
                                    <a:rPr lang="en-US" sz="1200" b="0" i="1">
                                      <a:latin typeface="Cambria Math" panose="02040503050406030204" pitchFamily="18" charset="0"/>
                                      <a:ea typeface="Cambria Math" panose="02040503050406030204" pitchFamily="18" charset="0"/>
                                    </a:rPr>
                                  </m:ctrlPr>
                                </m:dPr>
                                <m:e>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𝑉</m:t>
                                      </m:r>
                                    </m:e>
                                    <m:sub>
                                      <m:r>
                                        <a:rPr lang="en-US" sz="1200" b="0" i="1">
                                          <a:latin typeface="Cambria Math"/>
                                          <a:ea typeface="Cambria Math" panose="02040503050406030204" pitchFamily="18" charset="0"/>
                                        </a:rPr>
                                        <m:t>𝐼𝑁𝑀𝐴𝑋</m:t>
                                      </m:r>
                                    </m:sub>
                                  </m:sSub>
                                  <m:r>
                                    <a:rPr lang="en-US" sz="1200" b="0" i="1">
                                      <a:latin typeface="Cambria Math" panose="02040503050406030204" pitchFamily="18" charset="0"/>
                                      <a:ea typeface="Cambria Math" panose="02040503050406030204" pitchFamily="18" charset="0"/>
                                    </a:rPr>
                                    <m:t> −</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𝑉</m:t>
                                      </m:r>
                                    </m:e>
                                    <m:sub>
                                      <m:r>
                                        <a:rPr lang="en-US" sz="1200" b="0" i="1">
                                          <a:latin typeface="Cambria Math"/>
                                          <a:ea typeface="Cambria Math" panose="02040503050406030204" pitchFamily="18" charset="0"/>
                                        </a:rPr>
                                        <m:t>𝑂𝑈𝑇</m:t>
                                      </m:r>
                                    </m:sub>
                                  </m:sSub>
                                </m:e>
                              </m:d>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𝑉</m:t>
                                  </m:r>
                                </m:e>
                                <m:sub>
                                  <m:r>
                                    <a:rPr lang="en-US" sz="1200" b="0" i="1">
                                      <a:latin typeface="Cambria Math"/>
                                      <a:ea typeface="Cambria Math" panose="02040503050406030204" pitchFamily="18" charset="0"/>
                                    </a:rPr>
                                    <m:t>𝐼𝑁𝑀𝐴𝑋</m:t>
                                  </m:r>
                                </m:sub>
                              </m:sSub>
                              <m:r>
                                <a:rPr lang="en-US" sz="1200" b="0" i="1">
                                  <a:latin typeface="Cambria Math" panose="02040503050406030204" pitchFamily="18" charset="0"/>
                                  <a:ea typeface="Cambria Math" panose="02040503050406030204" pitchFamily="18" charset="0"/>
                                </a:rPr>
                                <m:t> ∗</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𝐿</m:t>
                                  </m:r>
                                </m:e>
                                <m:sub>
                                  <m:r>
                                    <a:rPr lang="en-US" sz="1200" b="0" i="1">
                                      <a:latin typeface="Cambria Math"/>
                                      <a:ea typeface="Cambria Math" panose="02040503050406030204" pitchFamily="18" charset="0"/>
                                    </a:rPr>
                                    <m:t>𝑂𝑈𝑇</m:t>
                                  </m:r>
                                </m:sub>
                              </m:sSub>
                              <m:r>
                                <a:rPr lang="en-US" sz="1200" b="0" i="1">
                                  <a:latin typeface="Cambria Math" panose="02040503050406030204" pitchFamily="18" charset="0"/>
                                  <a:ea typeface="Cambria Math" panose="02040503050406030204" pitchFamily="18" charset="0"/>
                                </a:rPr>
                                <m:t> ∗</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a:ea typeface="Cambria Math" panose="02040503050406030204" pitchFamily="18" charset="0"/>
                                    </a:rPr>
                                    <m:t>𝐹</m:t>
                                  </m:r>
                                </m:e>
                                <m:sub>
                                  <m:r>
                                    <a:rPr lang="en-US" sz="1200" b="0" i="1">
                                      <a:latin typeface="Cambria Math"/>
                                      <a:ea typeface="Cambria Math" panose="02040503050406030204" pitchFamily="18" charset="0"/>
                                    </a:rPr>
                                    <m:t>𝑆𝑊</m:t>
                                  </m:r>
                                </m:sub>
                              </m:sSub>
                            </m:den>
                          </m:f>
                          <m:r>
                            <a:rPr lang="en-US" sz="1200" b="0" i="1">
                              <a:latin typeface="Cambria Math" panose="02040503050406030204" pitchFamily="18" charset="0"/>
                              <a:ea typeface="Cambria Math" panose="02040503050406030204" pitchFamily="18" charset="0"/>
                            </a:rPr>
                            <m:t>)</m:t>
                          </m:r>
                        </m:e>
                        <m:sup>
                          <m:r>
                            <a:rPr lang="en-US" sz="1200" b="0" i="1">
                              <a:latin typeface="Cambria Math" panose="02040503050406030204" pitchFamily="18" charset="0"/>
                              <a:ea typeface="Cambria Math" panose="02040503050406030204" pitchFamily="18" charset="0"/>
                            </a:rPr>
                            <m:t>2</m:t>
                          </m:r>
                        </m:sup>
                      </m:sSup>
                    </m:e>
                  </m:rad>
                </m:oMath>
              </a14:m>
              <a:endParaRPr lang="en-US" sz="1200">
                <a:latin typeface="Cambria Math" panose="02040503050406030204" pitchFamily="18" charset="0"/>
                <a:ea typeface="Cambria Math" panose="02040503050406030204" pitchFamily="18" charset="0"/>
              </a:endParaRPr>
            </a:p>
          </xdr:txBody>
        </xdr:sp>
      </mc:Choice>
      <mc:Fallback xmlns="">
        <xdr:sp macro="" textlink="">
          <xdr:nvSpPr>
            <xdr:cNvPr id="5" name="TextBox 4"/>
            <xdr:cNvSpPr txBox="1"/>
          </xdr:nvSpPr>
          <xdr:spPr>
            <a:xfrm>
              <a:off x="4348168" y="6057899"/>
              <a:ext cx="3204235" cy="66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200">
                  <a:latin typeface="Cambria Math" panose="02040503050406030204" pitchFamily="18" charset="0"/>
                  <a:ea typeface="Cambria Math" panose="02040503050406030204" pitchFamily="18" charset="0"/>
                </a:rPr>
                <a:t>  </a:t>
              </a:r>
              <a:r>
                <a:rPr lang="en-US" sz="1200" b="0" i="0">
                  <a:latin typeface="Cambria Math"/>
                  <a:ea typeface="Cambria Math" panose="02040503050406030204" pitchFamily="18" charset="0"/>
                </a:rPr>
                <a:t>𝐼_𝑅𝑀𝑆=</a:t>
              </a:r>
              <a:r>
                <a:rPr lang="en-US" sz="1200" i="0">
                  <a:latin typeface="Cambria Math"/>
                  <a:ea typeface="Cambria Math" panose="02040503050406030204" pitchFamily="18" charset="0"/>
                </a:rPr>
                <a:t>√(</a:t>
              </a:r>
              <a:r>
                <a:rPr lang="en-US" sz="1100" i="0">
                  <a:solidFill>
                    <a:schemeClr val="tx1"/>
                  </a:solidFill>
                  <a:effectLst/>
                  <a:latin typeface="+mn-lt"/>
                  <a:ea typeface="+mn-ea"/>
                  <a:cs typeface="+mn-cs"/>
                </a:rPr>
                <a:t>〖</a:t>
              </a:r>
              <a:r>
                <a:rPr lang="en-US" sz="1100" b="0" i="0">
                  <a:solidFill>
                    <a:schemeClr val="tx1"/>
                  </a:solidFill>
                  <a:effectLst/>
                  <a:latin typeface="+mn-lt"/>
                  <a:ea typeface="+mn-ea"/>
                  <a:cs typeface="+mn-cs"/>
                </a:rPr>
                <a:t>𝐼_𝑂𝑈𝑇〗^2</a:t>
              </a:r>
              <a:r>
                <a:rPr lang="en-US" sz="1200" b="0" i="0">
                  <a:latin typeface="Cambria Math" panose="02040503050406030204" pitchFamily="18" charset="0"/>
                  <a:ea typeface="Cambria Math" panose="02040503050406030204" pitchFamily="18" charset="0"/>
                </a:rPr>
                <a:t>+ 1</a:t>
              </a:r>
              <a:r>
                <a:rPr lang="en-US" sz="1200" b="0" i="0">
                  <a:latin typeface="Cambria Math"/>
                  <a:ea typeface="Cambria Math" panose="02040503050406030204" pitchFamily="18" charset="0"/>
                </a:rPr>
                <a:t>/</a:t>
              </a:r>
              <a:r>
                <a:rPr lang="en-US" sz="1200" b="0" i="0">
                  <a:latin typeface="Cambria Math" panose="02040503050406030204" pitchFamily="18" charset="0"/>
                  <a:ea typeface="Cambria Math" panose="02040503050406030204" pitchFamily="18" charset="0"/>
                </a:rPr>
                <a:t>12</a:t>
              </a:r>
              <a:r>
                <a:rPr lang="en-US" sz="1200" b="0" i="0">
                  <a:latin typeface="Cambria Math"/>
                  <a:ea typeface="Cambria Math" panose="02040503050406030204" pitchFamily="18" charset="0"/>
                </a:rPr>
                <a:t> 〖</a:t>
              </a:r>
              <a:r>
                <a:rPr lang="en-US" sz="1200" b="0" i="0">
                  <a:latin typeface="Cambria Math" panose="02040503050406030204" pitchFamily="18" charset="0"/>
                  <a:ea typeface="Cambria Math" panose="02040503050406030204" pitchFamily="18" charset="0"/>
                </a:rPr>
                <a:t>(</a:t>
              </a:r>
              <a:r>
                <a:rPr lang="en-US" sz="1200" b="0" i="0">
                  <a:latin typeface="Cambria Math"/>
                  <a:ea typeface="Cambria Math" panose="02040503050406030204" pitchFamily="18" charset="0"/>
                </a:rPr>
                <a:t>(𝑉_𝑂𝑈𝑇</a:t>
              </a:r>
              <a:r>
                <a:rPr lang="en-US" sz="1200" b="0" i="0">
                  <a:latin typeface="Cambria Math" panose="02040503050406030204" pitchFamily="18" charset="0"/>
                  <a:ea typeface="Cambria Math" panose="02040503050406030204" pitchFamily="18" charset="0"/>
                </a:rPr>
                <a:t>  ∗</a:t>
              </a:r>
              <a:r>
                <a:rPr lang="en-US" sz="1200" b="0" i="0">
                  <a:latin typeface="Cambria Math"/>
                  <a:ea typeface="Cambria Math" panose="02040503050406030204" pitchFamily="18" charset="0"/>
                </a:rPr>
                <a:t>(𝑉_𝐼𝑁𝑀𝐴𝑋</a:t>
              </a:r>
              <a:r>
                <a:rPr lang="en-US" sz="1200" b="0" i="0">
                  <a:latin typeface="Cambria Math" panose="02040503050406030204" pitchFamily="18" charset="0"/>
                  <a:ea typeface="Cambria Math" panose="02040503050406030204" pitchFamily="18" charset="0"/>
                </a:rPr>
                <a:t>  −</a:t>
              </a:r>
              <a:r>
                <a:rPr lang="en-US" sz="1200" b="0" i="0">
                  <a:latin typeface="Cambria Math"/>
                  <a:ea typeface="Cambria Math" panose="02040503050406030204" pitchFamily="18" charset="0"/>
                </a:rPr>
                <a:t>𝑉_𝑂𝑈𝑇 ))/(𝑉_𝐼𝑁𝑀𝐴𝑋</a:t>
              </a:r>
              <a:r>
                <a:rPr lang="en-US" sz="1200" b="0" i="0">
                  <a:latin typeface="Cambria Math" panose="02040503050406030204" pitchFamily="18" charset="0"/>
                  <a:ea typeface="Cambria Math" panose="02040503050406030204" pitchFamily="18" charset="0"/>
                </a:rPr>
                <a:t>  ∗</a:t>
              </a:r>
              <a:r>
                <a:rPr lang="en-US" sz="1200" b="0" i="0">
                  <a:latin typeface="Cambria Math"/>
                  <a:ea typeface="Cambria Math" panose="02040503050406030204" pitchFamily="18" charset="0"/>
                </a:rPr>
                <a:t>𝐿_𝑂𝑈𝑇</a:t>
              </a:r>
              <a:r>
                <a:rPr lang="en-US" sz="1200" b="0" i="0">
                  <a:latin typeface="Cambria Math" panose="02040503050406030204" pitchFamily="18" charset="0"/>
                  <a:ea typeface="Cambria Math" panose="02040503050406030204" pitchFamily="18" charset="0"/>
                </a:rPr>
                <a:t>  ∗</a:t>
              </a:r>
              <a:r>
                <a:rPr lang="en-US" sz="1200" b="0" i="0">
                  <a:latin typeface="Cambria Math"/>
                  <a:ea typeface="Cambria Math" panose="02040503050406030204" pitchFamily="18" charset="0"/>
                </a:rPr>
                <a:t>𝐹_𝑆𝑊 )</a:t>
              </a:r>
              <a:r>
                <a:rPr lang="en-US" sz="1200" b="0" i="0">
                  <a:latin typeface="Cambria Math" panose="02040503050406030204" pitchFamily="18" charset="0"/>
                  <a:ea typeface="Cambria Math" panose="02040503050406030204" pitchFamily="18" charset="0"/>
                </a:rPr>
                <a:t>)</a:t>
              </a:r>
              <a:r>
                <a:rPr lang="en-US" sz="1200" b="0" i="0">
                  <a:latin typeface="Cambria Math"/>
                  <a:ea typeface="Cambria Math" panose="02040503050406030204" pitchFamily="18" charset="0"/>
                </a:rPr>
                <a:t>〗^</a:t>
              </a:r>
              <a:r>
                <a:rPr lang="en-US" sz="1200" b="0" i="0">
                  <a:latin typeface="Cambria Math" panose="02040503050406030204" pitchFamily="18" charset="0"/>
                  <a:ea typeface="Cambria Math" panose="02040503050406030204" pitchFamily="18" charset="0"/>
                </a:rPr>
                <a:t>2</a:t>
              </a:r>
              <a:r>
                <a:rPr lang="en-US" sz="1200" b="0" i="0">
                  <a:latin typeface="Cambria Math"/>
                  <a:ea typeface="Cambria Math" panose="02040503050406030204" pitchFamily="18" charset="0"/>
                </a:rPr>
                <a:t> )</a:t>
              </a:r>
              <a:endParaRPr lang="en-US" sz="1200">
                <a:latin typeface="Cambria Math" panose="02040503050406030204" pitchFamily="18" charset="0"/>
                <a:ea typeface="Cambria Math" panose="02040503050406030204" pitchFamily="18" charset="0"/>
              </a:endParaRPr>
            </a:p>
          </xdr:txBody>
        </xdr:sp>
      </mc:Fallback>
    </mc:AlternateContent>
    <xdr:clientData/>
  </xdr:oneCellAnchor>
  <xdr:oneCellAnchor>
    <xdr:from>
      <xdr:col>5</xdr:col>
      <xdr:colOff>161867</xdr:colOff>
      <xdr:row>29</xdr:row>
      <xdr:rowOff>385762</xdr:rowOff>
    </xdr:from>
    <xdr:ext cx="2185989" cy="44823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181417" y="6586537"/>
              <a:ext cx="2185989"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𝑃𝐸𝐴𝐾</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𝑂𝑈𝑇</m:t>
                        </m:r>
                      </m:sub>
                    </m:sSub>
                    <m:r>
                      <a:rPr lang="en-US" sz="1100" b="0" i="1">
                        <a:latin typeface="Cambria Math"/>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𝑅𝐼𝑃𝑃𝐿𝐸</m:t>
                            </m:r>
                          </m:sub>
                        </m:sSub>
                      </m:num>
                      <m:den>
                        <m:r>
                          <a:rPr lang="en-US" sz="1100" b="0" i="1">
                            <a:latin typeface="Cambria Math"/>
                          </a:rPr>
                          <m:t>2</m:t>
                        </m:r>
                      </m:den>
                    </m:f>
                  </m:oMath>
                </m:oMathPara>
              </a14:m>
              <a:endParaRPr lang="en-US" sz="1100"/>
            </a:p>
          </xdr:txBody>
        </xdr:sp>
      </mc:Choice>
      <mc:Fallback xmlns="">
        <xdr:sp macro="" textlink="">
          <xdr:nvSpPr>
            <xdr:cNvPr id="6" name="TextBox 5"/>
            <xdr:cNvSpPr txBox="1"/>
          </xdr:nvSpPr>
          <xdr:spPr>
            <a:xfrm>
              <a:off x="4181417" y="6586537"/>
              <a:ext cx="2185989"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US" sz="1100" b="0" i="0">
                  <a:latin typeface="Cambria Math"/>
                </a:rPr>
                <a:t>𝐼_𝑃𝐸𝐴𝐾=𝐼_𝑂𝑈𝑇+  𝐼_𝑅𝐼𝑃𝑃𝐿𝐸/2</a:t>
              </a:r>
              <a:endParaRPr lang="en-US" sz="1100"/>
            </a:p>
          </xdr:txBody>
        </xdr:sp>
      </mc:Fallback>
    </mc:AlternateContent>
    <xdr:clientData/>
  </xdr:oneCellAnchor>
  <xdr:oneCellAnchor>
    <xdr:from>
      <xdr:col>5</xdr:col>
      <xdr:colOff>91052</xdr:colOff>
      <xdr:row>30</xdr:row>
      <xdr:rowOff>390525</xdr:rowOff>
    </xdr:from>
    <xdr:ext cx="2384612" cy="453714"/>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366097" y="6962776"/>
              <a:ext cx="2384612" cy="453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𝑂𝑁</m:t>
                        </m:r>
                      </m:sub>
                    </m:sSub>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1</m:t>
                        </m:r>
                      </m:num>
                      <m:den>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𝑆𝑊</m:t>
                            </m:r>
                          </m:sub>
                        </m:sSub>
                      </m:den>
                    </m:f>
                    <m:r>
                      <a:rPr lang="en-US" sz="1100" b="0" i="1">
                        <a:latin typeface="Cambria Math"/>
                      </a:rPr>
                      <m:t>∗</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𝑉</m:t>
                            </m:r>
                          </m:e>
                          <m:sub>
                            <m:r>
                              <a:rPr lang="en-US" sz="1100" b="0" i="1">
                                <a:latin typeface="Cambria Math"/>
                                <a:ea typeface="Cambria Math"/>
                              </a:rPr>
                              <m:t>𝑂𝑈𝑇</m:t>
                            </m:r>
                          </m:sub>
                        </m:sSub>
                      </m:num>
                      <m:den>
                        <m:sSub>
                          <m:sSubPr>
                            <m:ctrlPr>
                              <a:rPr lang="en-US" sz="1100" b="0" i="1">
                                <a:latin typeface="Cambria Math" panose="02040503050406030204" pitchFamily="18" charset="0"/>
                                <a:ea typeface="Cambria Math"/>
                              </a:rPr>
                            </m:ctrlPr>
                          </m:sSubPr>
                          <m:e>
                            <m:r>
                              <a:rPr lang="en-US" sz="1100" b="0" i="1">
                                <a:latin typeface="Cambria Math"/>
                                <a:ea typeface="Cambria Math"/>
                              </a:rPr>
                              <m:t>𝑉</m:t>
                            </m:r>
                          </m:e>
                          <m:sub>
                            <m:r>
                              <a:rPr lang="en-US" sz="1100" b="0" i="1">
                                <a:latin typeface="Cambria Math"/>
                                <a:ea typeface="Cambria Math"/>
                              </a:rPr>
                              <m:t>𝐼𝑁𝑀𝐴𝑋</m:t>
                            </m:r>
                          </m:sub>
                        </m:sSub>
                      </m:den>
                    </m:f>
                  </m:oMath>
                </m:oMathPara>
              </a14:m>
              <a:endParaRPr lang="en-US" sz="1100"/>
            </a:p>
          </xdr:txBody>
        </xdr:sp>
      </mc:Choice>
      <mc:Fallback xmlns="">
        <xdr:sp macro="" textlink="">
          <xdr:nvSpPr>
            <xdr:cNvPr id="7" name="TextBox 6"/>
            <xdr:cNvSpPr txBox="1"/>
          </xdr:nvSpPr>
          <xdr:spPr>
            <a:xfrm>
              <a:off x="4366097" y="6962776"/>
              <a:ext cx="2384612" cy="453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0" i="0">
                  <a:solidFill>
                    <a:schemeClr val="tx1"/>
                  </a:solidFill>
                  <a:effectLst/>
                  <a:latin typeface="Cambria Math"/>
                  <a:ea typeface="+mn-ea"/>
                  <a:cs typeface="+mn-cs"/>
                </a:rPr>
                <a:t>𝑡_𝑂𝑁</a:t>
              </a:r>
              <a:r>
                <a:rPr lang="en-US" sz="1100" b="0" i="0">
                  <a:latin typeface="Cambria Math"/>
                </a:rPr>
                <a:t>=1/𝐹_𝑆𝑊 ∗</a:t>
              </a:r>
              <a:r>
                <a:rPr lang="en-US" sz="1100" b="0" i="0">
                  <a:latin typeface="Cambria Math"/>
                  <a:ea typeface="Cambria Math"/>
                </a:rPr>
                <a:t>𝑉_𝑂𝑈𝑇/𝑉_𝐼𝑁𝑀𝐴𝑋 </a:t>
              </a:r>
              <a:endParaRPr lang="en-US" sz="1100"/>
            </a:p>
          </xdr:txBody>
        </xdr:sp>
      </mc:Fallback>
    </mc:AlternateContent>
    <xdr:clientData/>
  </xdr:oneCellAnchor>
  <xdr:oneCellAnchor>
    <xdr:from>
      <xdr:col>5</xdr:col>
      <xdr:colOff>95247</xdr:colOff>
      <xdr:row>45</xdr:row>
      <xdr:rowOff>171444</xdr:rowOff>
    </xdr:from>
    <xdr:ext cx="3639671" cy="59247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181472" y="12558707"/>
              <a:ext cx="363967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𝐼𝑁𝑅𝑀𝑆</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𝑂𝑈𝑇</m:t>
                        </m:r>
                      </m:sub>
                    </m:sSub>
                    <m:r>
                      <a:rPr lang="en-US" sz="1100" b="0" i="1">
                        <a:latin typeface="Cambria Math"/>
                      </a:rPr>
                      <m:t>∗</m:t>
                    </m:r>
                    <m:rad>
                      <m:radPr>
                        <m:degHide m:val="on"/>
                        <m:ctrlPr>
                          <a:rPr lang="en-US" sz="1100" b="0" i="1">
                            <a:latin typeface="Cambria Math" panose="02040503050406030204" pitchFamily="18" charset="0"/>
                          </a:rPr>
                        </m:ctrlPr>
                      </m:radPr>
                      <m:deg/>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𝐼𝑁𝑀𝐼𝑁</m:t>
                                </m:r>
                              </m:sub>
                            </m:sSub>
                          </m:den>
                        </m:f>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𝐼𝑁𝑀𝐼𝑁</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𝐼𝑁𝑀𝐼𝑁</m:t>
                                </m:r>
                              </m:sub>
                            </m:sSub>
                          </m:den>
                        </m:f>
                      </m:e>
                    </m:rad>
                  </m:oMath>
                </m:oMathPara>
              </a14:m>
              <a:endParaRPr lang="en-US" sz="1100"/>
            </a:p>
          </xdr:txBody>
        </xdr:sp>
      </mc:Choice>
      <mc:Fallback xmlns="">
        <xdr:sp macro="" textlink="">
          <xdr:nvSpPr>
            <xdr:cNvPr id="13" name="TextBox 12"/>
            <xdr:cNvSpPr txBox="1"/>
          </xdr:nvSpPr>
          <xdr:spPr>
            <a:xfrm>
              <a:off x="4181472" y="12558707"/>
              <a:ext cx="363967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𝐼_𝐼𝑁𝑅𝑀𝑆=𝐼_𝑂𝑈𝑇∗√(𝑉_𝑂𝑈𝑇/𝑉_𝐼𝑁𝑀𝐼𝑁 ∗(𝑉_𝐼𝑁𝑀𝐼𝑁−𝑉_𝑂𝑈𝑇)/𝑉_𝐼𝑁𝑀𝐼𝑁</a:t>
              </a:r>
              <a:r>
                <a:rPr lang="en-US" sz="1100" b="0" i="0">
                  <a:solidFill>
                    <a:schemeClr val="tx1"/>
                  </a:solidFill>
                  <a:effectLst/>
                  <a:latin typeface="Cambria Math"/>
                  <a:ea typeface="+mn-ea"/>
                  <a:cs typeface="+mn-cs"/>
                </a:rPr>
                <a:t> )</a:t>
              </a:r>
              <a:endParaRPr lang="en-US" sz="1100"/>
            </a:p>
          </xdr:txBody>
        </xdr:sp>
      </mc:Fallback>
    </mc:AlternateContent>
    <xdr:clientData/>
  </xdr:oneCellAnchor>
  <xdr:oneCellAnchor>
    <xdr:from>
      <xdr:col>5</xdr:col>
      <xdr:colOff>380969</xdr:colOff>
      <xdr:row>46</xdr:row>
      <xdr:rowOff>547686</xdr:rowOff>
    </xdr:from>
    <xdr:ext cx="2357718" cy="454612"/>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467194" y="13115924"/>
              <a:ext cx="2357718" cy="454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𝑉</m:t>
                        </m:r>
                      </m:e>
                      <m:sub>
                        <m:r>
                          <a:rPr lang="en-US" sz="1100" b="0" i="1">
                            <a:latin typeface="Cambria Math"/>
                            <a:ea typeface="Cambria Math"/>
                          </a:rPr>
                          <m:t>𝐼𝑁</m:t>
                        </m:r>
                      </m:sub>
                    </m:sSub>
                    <m:r>
                      <a:rPr lang="en-US" sz="1100" b="0" i="1">
                        <a:latin typeface="Cambria Math"/>
                        <a:ea typeface="Cambria Math"/>
                      </a:rPr>
                      <m:t>=</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𝐼</m:t>
                            </m:r>
                          </m:e>
                          <m:sub>
                            <m:r>
                              <a:rPr lang="en-US" sz="1100" b="0" i="1">
                                <a:latin typeface="Cambria Math"/>
                                <a:ea typeface="Cambria Math"/>
                              </a:rPr>
                              <m:t>𝑂𝑈𝑇</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𝐷</m:t>
                        </m:r>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𝐷</m:t>
                        </m:r>
                        <m:r>
                          <a:rPr lang="en-US" sz="1100" b="0" i="1">
                            <a:solidFill>
                              <a:schemeClr val="tx1"/>
                            </a:solidFill>
                            <a:effectLst/>
                            <a:latin typeface="Cambria Math"/>
                            <a:ea typeface="+mn-ea"/>
                            <a:cs typeface="+mn-cs"/>
                          </a:rPr>
                          <m:t>)</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𝐶</m:t>
                            </m:r>
                          </m:e>
                          <m:sub>
                            <m:r>
                              <a:rPr lang="en-US" sz="1100" b="0" i="1">
                                <a:solidFill>
                                  <a:schemeClr val="tx1"/>
                                </a:solidFill>
                                <a:effectLst/>
                                <a:latin typeface="Cambria Math"/>
                                <a:ea typeface="+mn-ea"/>
                                <a:cs typeface="+mn-cs"/>
                              </a:rPr>
                              <m:t>𝐼𝑁</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𝐹</m:t>
                            </m:r>
                          </m:e>
                          <m:sub>
                            <m:r>
                              <a:rPr lang="en-US" sz="1100" b="0" i="1">
                                <a:latin typeface="Cambria Math"/>
                                <a:ea typeface="Cambria Math"/>
                              </a:rPr>
                              <m:t>𝑆𝑊</m:t>
                            </m:r>
                          </m:sub>
                        </m:sSub>
                      </m:den>
                    </m:f>
                  </m:oMath>
                </m:oMathPara>
              </a14:m>
              <a:endParaRPr lang="en-US" sz="1100"/>
            </a:p>
          </xdr:txBody>
        </xdr:sp>
      </mc:Choice>
      <mc:Fallback xmlns="">
        <xdr:sp macro="" textlink="">
          <xdr:nvSpPr>
            <xdr:cNvPr id="16" name="TextBox 15"/>
            <xdr:cNvSpPr txBox="1"/>
          </xdr:nvSpPr>
          <xdr:spPr>
            <a:xfrm>
              <a:off x="4467194" y="13115924"/>
              <a:ext cx="2357718" cy="454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a:t>
              </a:r>
              <a:r>
                <a:rPr lang="en-US" sz="1100" b="0" i="0">
                  <a:latin typeface="Cambria Math"/>
                  <a:ea typeface="Cambria Math"/>
                </a:rPr>
                <a:t>𝑉_𝐼𝑁=(𝐼_𝑂𝑈𝑇</a:t>
              </a:r>
              <a:r>
                <a:rPr lang="en-US" sz="1100" b="0" i="0">
                  <a:solidFill>
                    <a:schemeClr val="tx1"/>
                  </a:solidFill>
                  <a:effectLst/>
                  <a:latin typeface="Cambria Math"/>
                  <a:ea typeface="+mn-ea"/>
                  <a:cs typeface="+mn-cs"/>
                </a:rPr>
                <a:t>∗𝐷∗(1−𝐷)</a:t>
              </a:r>
              <a:r>
                <a:rPr lang="en-US" sz="1100" b="0" i="0">
                  <a:solidFill>
                    <a:schemeClr val="tx1"/>
                  </a:solidFill>
                  <a:effectLst/>
                  <a:latin typeface="Cambria Math"/>
                  <a:ea typeface="Cambria Math"/>
                  <a:cs typeface="+mn-cs"/>
                </a:rPr>
                <a:t>)/(</a:t>
              </a:r>
              <a:r>
                <a:rPr lang="en-US" sz="1100" b="0" i="0">
                  <a:solidFill>
                    <a:schemeClr val="tx1"/>
                  </a:solidFill>
                  <a:effectLst/>
                  <a:latin typeface="Cambria Math"/>
                  <a:ea typeface="+mn-ea"/>
                  <a:cs typeface="+mn-cs"/>
                </a:rPr>
                <a:t>𝐶_𝐼𝑁</a:t>
              </a:r>
              <a:r>
                <a:rPr lang="en-US" sz="1100" b="0" i="0">
                  <a:latin typeface="Cambria Math"/>
                  <a:ea typeface="Cambria Math"/>
                </a:rPr>
                <a:t>∗𝐹_𝑆𝑊 )</a:t>
              </a:r>
              <a:endParaRPr lang="en-US" sz="1100"/>
            </a:p>
          </xdr:txBody>
        </xdr:sp>
      </mc:Fallback>
    </mc:AlternateContent>
    <xdr:clientData/>
  </xdr:oneCellAnchor>
  <xdr:oneCellAnchor>
    <xdr:from>
      <xdr:col>5</xdr:col>
      <xdr:colOff>333367</xdr:colOff>
      <xdr:row>47</xdr:row>
      <xdr:rowOff>396273</xdr:rowOff>
    </xdr:from>
    <xdr:ext cx="2156012" cy="43800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4419592" y="13540773"/>
              <a:ext cx="2156012"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𝑂𝑈𝑇</m:t>
                        </m:r>
                      </m:sub>
                    </m:sSub>
                    <m:r>
                      <a:rPr lang="en-US" sz="1100" b="0" i="1">
                        <a:latin typeface="Cambria Math"/>
                      </a:rPr>
                      <m:t>&gt; </m:t>
                    </m:r>
                    <m:f>
                      <m:fPr>
                        <m:ctrlPr>
                          <a:rPr lang="en-US" sz="1100" b="0" i="1">
                            <a:latin typeface="Cambria Math" panose="02040503050406030204" pitchFamily="18" charset="0"/>
                          </a:rPr>
                        </m:ctrlPr>
                      </m:fPr>
                      <m:num>
                        <m:r>
                          <a:rPr lang="en-US" sz="1100" b="0" i="1">
                            <a:latin typeface="Cambria Math"/>
                          </a:rPr>
                          <m:t>2∗</m:t>
                        </m:r>
                        <m:r>
                          <m:rPr>
                            <m:sty m:val="p"/>
                          </m:rPr>
                          <a:rPr lang="el-GR" sz="1100" b="0" i="1">
                            <a:latin typeface="Cambria Math"/>
                          </a:rPr>
                          <m:t>Δ</m:t>
                        </m:r>
                        <m:sSub>
                          <m:sSubPr>
                            <m:ctrlPr>
                              <a:rPr lang="el-GR" sz="1100" b="0" i="1">
                                <a:latin typeface="Cambria Math" panose="02040503050406030204" pitchFamily="18" charset="0"/>
                              </a:rPr>
                            </m:ctrlPr>
                          </m:sSubPr>
                          <m:e>
                            <m:r>
                              <a:rPr lang="en-US" sz="1100" b="0" i="1">
                                <a:latin typeface="Cambria Math"/>
                              </a:rPr>
                              <m:t>𝐼</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𝑆𝑊</m:t>
                            </m:r>
                          </m:sub>
                        </m:sSub>
                        <m:r>
                          <a:rPr lang="en-US" sz="1100" b="0" i="1">
                            <a:latin typeface="Cambria Math"/>
                          </a:rPr>
                          <m:t>∗</m:t>
                        </m:r>
                        <m:r>
                          <m:rPr>
                            <m:sty m:val="p"/>
                          </m:rPr>
                          <a:rPr lang="el-GR" sz="1100" b="0" i="1">
                            <a:latin typeface="Cambria Math"/>
                          </a:rPr>
                          <m:t>Δ</m:t>
                        </m:r>
                        <m:sSub>
                          <m:sSubPr>
                            <m:ctrlPr>
                              <a:rPr lang="el-GR"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den>
                    </m:f>
                  </m:oMath>
                </m:oMathPara>
              </a14:m>
              <a:endParaRPr lang="en-US" sz="1100"/>
            </a:p>
          </xdr:txBody>
        </xdr:sp>
      </mc:Choice>
      <mc:Fallback xmlns="">
        <xdr:sp macro="" textlink="">
          <xdr:nvSpPr>
            <xdr:cNvPr id="17" name="TextBox 16"/>
            <xdr:cNvSpPr txBox="1"/>
          </xdr:nvSpPr>
          <xdr:spPr>
            <a:xfrm>
              <a:off x="4419592" y="13540773"/>
              <a:ext cx="2156012"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𝐶_𝑂𝑈𝑇&gt;  (2∗</a:t>
              </a:r>
              <a:r>
                <a:rPr lang="el-GR" sz="1100" b="0" i="0">
                  <a:latin typeface="Cambria Math"/>
                </a:rPr>
                <a:t>Δ</a:t>
              </a:r>
              <a:r>
                <a:rPr lang="en-US" sz="1100" b="0" i="0">
                  <a:latin typeface="Cambria Math"/>
                </a:rPr>
                <a:t>𝐼</a:t>
              </a:r>
              <a:r>
                <a:rPr lang="el-GR" sz="1100" b="0" i="0">
                  <a:latin typeface="Cambria Math"/>
                </a:rPr>
                <a:t>_</a:t>
              </a:r>
              <a:r>
                <a:rPr lang="en-US" sz="1100" b="0" i="0">
                  <a:latin typeface="Cambria Math"/>
                </a:rPr>
                <a:t>𝑂𝑈𝑇)/(𝐹_𝑆𝑊∗</a:t>
              </a:r>
              <a:r>
                <a:rPr lang="el-GR" sz="1100" b="0" i="0">
                  <a:latin typeface="Cambria Math"/>
                </a:rPr>
                <a:t>Δ</a:t>
              </a:r>
              <a:r>
                <a:rPr lang="en-US" sz="1100" b="0" i="0">
                  <a:latin typeface="Cambria Math"/>
                </a:rPr>
                <a:t>𝑉</a:t>
              </a:r>
              <a:r>
                <a:rPr lang="el-GR" sz="1100" b="0" i="0">
                  <a:latin typeface="Cambria Math"/>
                </a:rPr>
                <a:t>_</a:t>
              </a:r>
              <a:r>
                <a:rPr lang="en-US" sz="1100" b="0" i="0">
                  <a:latin typeface="Cambria Math"/>
                </a:rPr>
                <a:t>𝑂𝑈𝑇 )</a:t>
              </a:r>
              <a:endParaRPr lang="en-US" sz="1100"/>
            </a:p>
          </xdr:txBody>
        </xdr:sp>
      </mc:Fallback>
    </mc:AlternateContent>
    <xdr:clientData/>
  </xdr:oneCellAnchor>
  <xdr:oneCellAnchor>
    <xdr:from>
      <xdr:col>5</xdr:col>
      <xdr:colOff>590530</xdr:colOff>
      <xdr:row>48</xdr:row>
      <xdr:rowOff>376238</xdr:rowOff>
    </xdr:from>
    <xdr:ext cx="2156012" cy="454612"/>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4676755" y="13939838"/>
              <a:ext cx="2156012" cy="454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𝑂𝑈𝑇</m:t>
                        </m:r>
                      </m:sub>
                    </m:sSub>
                    <m:r>
                      <a:rPr lang="en-US" sz="1100" b="0" i="1">
                        <a:latin typeface="Cambria Math"/>
                      </a:rPr>
                      <m:t>&gt; </m:t>
                    </m:r>
                    <m:f>
                      <m:fPr>
                        <m:ctrlPr>
                          <a:rPr lang="en-US" sz="1100" b="0" i="1">
                            <a:latin typeface="Cambria Math" panose="02040503050406030204" pitchFamily="18" charset="0"/>
                          </a:rPr>
                        </m:ctrlPr>
                      </m:fPr>
                      <m:num>
                        <m:r>
                          <a:rPr lang="en-US" sz="1100" b="0" i="1">
                            <a:latin typeface="Cambria Math"/>
                          </a:rPr>
                          <m:t>1</m:t>
                        </m:r>
                      </m:num>
                      <m:den>
                        <m:r>
                          <a:rPr lang="en-US" sz="1100" b="0" i="1">
                            <a:latin typeface="Cambria Math"/>
                          </a:rPr>
                          <m:t>8∗</m:t>
                        </m:r>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𝑆𝑊</m:t>
                            </m:r>
                          </m:sub>
                        </m:sSub>
                      </m:den>
                    </m:f>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𝑅𝐼𝑃𝑃𝐿𝐸</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𝑂𝑈𝑇𝑅𝐼𝑃𝑃𝐿𝐸</m:t>
                            </m:r>
                          </m:sub>
                        </m:sSub>
                      </m:den>
                    </m:f>
                  </m:oMath>
                </m:oMathPara>
              </a14:m>
              <a:endParaRPr lang="en-US" sz="1100"/>
            </a:p>
          </xdr:txBody>
        </xdr:sp>
      </mc:Choice>
      <mc:Fallback xmlns="">
        <xdr:sp macro="" textlink="">
          <xdr:nvSpPr>
            <xdr:cNvPr id="19" name="TextBox 18"/>
            <xdr:cNvSpPr txBox="1"/>
          </xdr:nvSpPr>
          <xdr:spPr>
            <a:xfrm>
              <a:off x="4676755" y="13939838"/>
              <a:ext cx="2156012" cy="454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𝐶_𝑂𝑈𝑇&gt;  1/(8∗𝐹_𝑆𝑊 )∗𝐼_𝑅𝐼𝑃𝑃𝐿𝐸/𝑉_𝑂𝑈𝑇𝑅𝐼𝑃𝑃𝐿𝐸 </a:t>
              </a:r>
              <a:endParaRPr lang="en-US" sz="1100"/>
            </a:p>
          </xdr:txBody>
        </xdr:sp>
      </mc:Fallback>
    </mc:AlternateContent>
    <xdr:clientData/>
  </xdr:oneCellAnchor>
  <xdr:oneCellAnchor>
    <xdr:from>
      <xdr:col>5</xdr:col>
      <xdr:colOff>166686</xdr:colOff>
      <xdr:row>49</xdr:row>
      <xdr:rowOff>338137</xdr:rowOff>
    </xdr:from>
    <xdr:ext cx="2469776" cy="475128"/>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252911" y="14330362"/>
              <a:ext cx="2469776" cy="475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𝐸𝑆𝑅</m:t>
                        </m:r>
                      </m:sub>
                    </m:sSub>
                    <m:r>
                      <a:rPr lang="en-US" sz="1100" b="0" i="1">
                        <a:latin typeface="Cambria Math"/>
                      </a:rPr>
                      <m:t>&lt;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𝑂𝑈𝑇𝑅𝐼𝑃𝑃𝐿𝐸</m:t>
                            </m:r>
                          </m:sub>
                        </m:sSub>
                      </m:num>
                      <m:den>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𝑅𝐼𝑃𝑃𝐿𝐸</m:t>
                            </m:r>
                          </m:sub>
                        </m:sSub>
                      </m:den>
                    </m:f>
                  </m:oMath>
                </m:oMathPara>
              </a14:m>
              <a:endParaRPr lang="en-US" sz="1100"/>
            </a:p>
          </xdr:txBody>
        </xdr:sp>
      </mc:Choice>
      <mc:Fallback xmlns="">
        <xdr:sp macro="" textlink="">
          <xdr:nvSpPr>
            <xdr:cNvPr id="20" name="TextBox 19"/>
            <xdr:cNvSpPr txBox="1"/>
          </xdr:nvSpPr>
          <xdr:spPr>
            <a:xfrm>
              <a:off x="4252911" y="14330362"/>
              <a:ext cx="2469776" cy="475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US" sz="1100" b="0" i="0">
                  <a:latin typeface="Cambria Math"/>
                </a:rPr>
                <a:t>𝑅_𝐸𝑆𝑅&lt;  𝑉_𝑂𝑈𝑇𝑅𝐼𝑃𝑃𝐿𝐸/𝐼_𝑅𝐼𝑃𝑃𝐿𝐸 </a:t>
              </a:r>
              <a:endParaRPr lang="en-US" sz="1100"/>
            </a:p>
          </xdr:txBody>
        </xdr:sp>
      </mc:Fallback>
    </mc:AlternateContent>
    <xdr:clientData/>
  </xdr:oneCellAnchor>
  <xdr:oneCellAnchor>
    <xdr:from>
      <xdr:col>5</xdr:col>
      <xdr:colOff>442959</xdr:colOff>
      <xdr:row>50</xdr:row>
      <xdr:rowOff>414001</xdr:rowOff>
    </xdr:from>
    <xdr:ext cx="2658036" cy="47622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4529184" y="14768176"/>
              <a:ext cx="2658036" cy="476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𝑂𝑈𝑇</m:t>
                        </m:r>
                      </m:sub>
                    </m:sSub>
                    <m:r>
                      <a:rPr lang="en-US" sz="1100" b="0" i="1">
                        <a:latin typeface="Cambria Math"/>
                      </a:rPr>
                      <m:t>𝑅𝑀𝑆</m:t>
                    </m:r>
                    <m:r>
                      <a:rPr lang="en-US" sz="1100" b="0" i="1">
                        <a:latin typeface="Cambria Math"/>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𝐼𝑁𝑀𝐴𝑋</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r>
                          <a:rPr lang="en-US" sz="1100" b="0" i="1">
                            <a:latin typeface="Cambria Math"/>
                          </a:rPr>
                          <m:t>)</m:t>
                        </m:r>
                      </m:num>
                      <m:den>
                        <m:rad>
                          <m:radPr>
                            <m:degHide m:val="on"/>
                            <m:ctrlPr>
                              <a:rPr lang="en-US" sz="1100" b="0" i="1">
                                <a:latin typeface="Cambria Math" panose="02040503050406030204" pitchFamily="18" charset="0"/>
                              </a:rPr>
                            </m:ctrlPr>
                          </m:radPr>
                          <m:deg/>
                          <m:e>
                            <m:r>
                              <a:rPr lang="en-US" sz="1100" b="0" i="1">
                                <a:latin typeface="Cambria Math"/>
                              </a:rPr>
                              <m:t>12</m:t>
                            </m:r>
                          </m:e>
                        </m:rad>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𝐼𝑁𝑀𝐴𝑋</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𝐿</m:t>
                            </m:r>
                          </m:e>
                          <m:sub>
                            <m:r>
                              <a:rPr lang="en-US" sz="1100" b="0" i="1">
                                <a:latin typeface="Cambria Math"/>
                              </a:rPr>
                              <m:t>𝑂𝑈𝑇</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𝑆𝑊</m:t>
                            </m:r>
                          </m:sub>
                        </m:sSub>
                      </m:den>
                    </m:f>
                  </m:oMath>
                </m:oMathPara>
              </a14:m>
              <a:endParaRPr lang="en-US" sz="1100"/>
            </a:p>
          </xdr:txBody>
        </xdr:sp>
      </mc:Choice>
      <mc:Fallback xmlns="">
        <xdr:sp macro="" textlink="">
          <xdr:nvSpPr>
            <xdr:cNvPr id="21" name="TextBox 20"/>
            <xdr:cNvSpPr txBox="1"/>
          </xdr:nvSpPr>
          <xdr:spPr>
            <a:xfrm>
              <a:off x="4529184" y="14768176"/>
              <a:ext cx="2658036" cy="476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𝐶_𝑂𝑈𝑇 𝑅𝑀𝑆=  (𝑉_𝑂𝑈𝑇∗(𝑉_𝐼𝑁𝑀𝐴𝑋−𝑉_𝑂𝑈𝑇))/(√12∗𝑉_𝐼𝑁𝑀𝐴𝑋∗𝐿_𝑂𝑈𝑇∗𝐹_𝑆𝑊 )</a:t>
              </a:r>
              <a:endParaRPr lang="en-US" sz="1100"/>
            </a:p>
          </xdr:txBody>
        </xdr:sp>
      </mc:Fallback>
    </mc:AlternateContent>
    <xdr:clientData/>
  </xdr:oneCellAnchor>
  <xdr:oneCellAnchor>
    <xdr:from>
      <xdr:col>5</xdr:col>
      <xdr:colOff>438137</xdr:colOff>
      <xdr:row>75</xdr:row>
      <xdr:rowOff>157156</xdr:rowOff>
    </xdr:from>
    <xdr:ext cx="2811569" cy="438005"/>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5985049" y="24574774"/>
              <a:ext cx="2811569"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𝐵𝑂𝑇𝑇𝑂𝑀</m:t>
                        </m:r>
                      </m:sub>
                    </m:sSub>
                    <m:r>
                      <a:rPr lang="en-US" sz="1100" b="0" i="1">
                        <a:latin typeface="Cambria Math"/>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𝑅𝐸𝐹</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𝑅𝐸𝐹</m:t>
                            </m:r>
                          </m:sub>
                        </m:sSub>
                      </m:den>
                    </m:f>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𝑇𝑂𝑃</m:t>
                        </m:r>
                      </m:sub>
                    </m:sSub>
                  </m:oMath>
                </m:oMathPara>
              </a14:m>
              <a:endParaRPr lang="en-US" sz="1100"/>
            </a:p>
          </xdr:txBody>
        </xdr:sp>
      </mc:Choice>
      <mc:Fallback xmlns="">
        <xdr:sp macro="" textlink="">
          <xdr:nvSpPr>
            <xdr:cNvPr id="22" name="TextBox 21"/>
            <xdr:cNvSpPr txBox="1"/>
          </xdr:nvSpPr>
          <xdr:spPr>
            <a:xfrm>
              <a:off x="5985049" y="24574774"/>
              <a:ext cx="2811569"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𝑅_𝐵𝑂𝑇𝑇𝑂𝑀=  𝑉_𝑅𝐸𝐹/(𝑉_𝑂𝑈𝑇−𝑉_𝑅𝐸𝐹 )∗𝑅_𝑇𝑂𝑃</a:t>
              </a:r>
              <a:endParaRPr lang="en-US" sz="1100"/>
            </a:p>
          </xdr:txBody>
        </xdr:sp>
      </mc:Fallback>
    </mc:AlternateContent>
    <xdr:clientData/>
  </xdr:oneCellAnchor>
  <xdr:oneCellAnchor>
    <xdr:from>
      <xdr:col>5</xdr:col>
      <xdr:colOff>0</xdr:colOff>
      <xdr:row>64</xdr:row>
      <xdr:rowOff>174435</xdr:rowOff>
    </xdr:from>
    <xdr:ext cx="2483225" cy="436914"/>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086225" y="18648173"/>
              <a:ext cx="2483225"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𝑃𝑀𝑂𝐷</m:t>
                        </m:r>
                      </m:sub>
                    </m:sSub>
                    <m:r>
                      <a:rPr lang="en-US" sz="1100" b="0" i="1">
                        <a:latin typeface="Cambria Math"/>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𝑂𝑈𝑇</m:t>
                            </m:r>
                          </m:sub>
                        </m:sSub>
                      </m:num>
                      <m:den>
                        <m:r>
                          <a:rPr lang="en-US" sz="1100" b="0" i="1">
                            <a:latin typeface="Cambria Math"/>
                          </a:rPr>
                          <m:t>2</m:t>
                        </m:r>
                        <m:r>
                          <m:rPr>
                            <m:sty m:val="p"/>
                          </m:rPr>
                          <a:rPr lang="el-GR" sz="1100" b="0" i="1">
                            <a:latin typeface="Cambria Math"/>
                          </a:rPr>
                          <m:t>π</m:t>
                        </m:r>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𝑂𝑈𝑇</m:t>
                            </m:r>
                          </m:sub>
                        </m:sSub>
                      </m:den>
                    </m:f>
                  </m:oMath>
                </m:oMathPara>
              </a14:m>
              <a:endParaRPr lang="en-US" sz="1100"/>
            </a:p>
          </xdr:txBody>
        </xdr:sp>
      </mc:Choice>
      <mc:Fallback xmlns="">
        <xdr:sp macro="" textlink="">
          <xdr:nvSpPr>
            <xdr:cNvPr id="23" name="TextBox 22"/>
            <xdr:cNvSpPr txBox="1"/>
          </xdr:nvSpPr>
          <xdr:spPr>
            <a:xfrm>
              <a:off x="4086225" y="18648173"/>
              <a:ext cx="2483225"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𝐹_𝑃𝑀𝑂𝐷=  𝐼_𝑂𝑈𝑇/(2</a:t>
              </a:r>
              <a:r>
                <a:rPr lang="el-GR" sz="1100" b="0" i="0">
                  <a:latin typeface="Cambria Math"/>
                </a:rPr>
                <a:t>π</a:t>
              </a:r>
              <a:r>
                <a:rPr lang="en-US" sz="1100" b="0" i="0">
                  <a:latin typeface="Cambria Math"/>
                </a:rPr>
                <a:t>∗𝑉_𝑂𝑈𝑇∗𝐶_𝑂𝑈𝑇 )</a:t>
              </a:r>
              <a:endParaRPr lang="en-US" sz="1100"/>
            </a:p>
          </xdr:txBody>
        </xdr:sp>
      </mc:Fallback>
    </mc:AlternateContent>
    <xdr:clientData/>
  </xdr:oneCellAnchor>
  <xdr:oneCellAnchor>
    <xdr:from>
      <xdr:col>5</xdr:col>
      <xdr:colOff>0</xdr:colOff>
      <xdr:row>65</xdr:row>
      <xdr:rowOff>426300</xdr:rowOff>
    </xdr:from>
    <xdr:ext cx="2483225" cy="438005"/>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4086225" y="19081013"/>
              <a:ext cx="248322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𝐹</m:t>
                        </m:r>
                      </m:e>
                      <m:sub>
                        <m:r>
                          <a:rPr lang="en-US" sz="1100" b="0" i="1">
                            <a:latin typeface="Cambria Math"/>
                          </a:rPr>
                          <m:t>𝑍𝐸𝑆𝑅</m:t>
                        </m:r>
                      </m:sub>
                    </m:sSub>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1</m:t>
                        </m:r>
                      </m:num>
                      <m:den>
                        <m:r>
                          <a:rPr lang="en-US" sz="1100" b="0" i="1">
                            <a:latin typeface="Cambria Math"/>
                          </a:rPr>
                          <m:t>2</m:t>
                        </m:r>
                        <m:r>
                          <m:rPr>
                            <m:sty m:val="p"/>
                          </m:rPr>
                          <a:rPr lang="el-GR" sz="1100" b="0" i="1">
                            <a:latin typeface="Cambria Math"/>
                          </a:rPr>
                          <m:t>π</m:t>
                        </m:r>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𝐸𝑆𝑅</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𝑂𝑈𝑇</m:t>
                            </m:r>
                          </m:sub>
                        </m:sSub>
                      </m:den>
                    </m:f>
                  </m:oMath>
                </m:oMathPara>
              </a14:m>
              <a:endParaRPr lang="en-US" sz="1100"/>
            </a:p>
          </xdr:txBody>
        </xdr:sp>
      </mc:Choice>
      <mc:Fallback xmlns="">
        <xdr:sp macro="" textlink="">
          <xdr:nvSpPr>
            <xdr:cNvPr id="24" name="TextBox 23"/>
            <xdr:cNvSpPr txBox="1"/>
          </xdr:nvSpPr>
          <xdr:spPr>
            <a:xfrm>
              <a:off x="4086225" y="19081013"/>
              <a:ext cx="248322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𝐹_𝑍𝐸𝑆𝑅=  1/(2</a:t>
              </a:r>
              <a:r>
                <a:rPr lang="el-GR" sz="1100" b="0" i="0">
                  <a:latin typeface="Cambria Math"/>
                </a:rPr>
                <a:t>π</a:t>
              </a:r>
              <a:r>
                <a:rPr lang="en-US" sz="1100" b="0" i="0">
                  <a:latin typeface="Cambria Math"/>
                </a:rPr>
                <a:t>∗𝑅_𝐸𝑆𝑅∗𝐶_𝑂𝑈𝑇 )</a:t>
              </a:r>
              <a:endParaRPr lang="en-US" sz="1100"/>
            </a:p>
          </xdr:txBody>
        </xdr:sp>
      </mc:Fallback>
    </mc:AlternateContent>
    <xdr:clientData/>
  </xdr:oneCellAnchor>
  <xdr:oneCellAnchor>
    <xdr:from>
      <xdr:col>5</xdr:col>
      <xdr:colOff>85731</xdr:colOff>
      <xdr:row>67</xdr:row>
      <xdr:rowOff>51764</xdr:rowOff>
    </xdr:from>
    <xdr:ext cx="2554942" cy="47211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171956" y="19558964"/>
              <a:ext cx="2554942" cy="472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𝐶𝑂𝑀𝑃</m:t>
                        </m:r>
                      </m:sub>
                    </m:sSub>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2</m:t>
                        </m:r>
                        <m:r>
                          <a:rPr lang="en-US" sz="1100" b="0" i="1">
                            <a:latin typeface="Cambria Math"/>
                            <a:ea typeface="Cambria Math"/>
                          </a:rPr>
                          <m:t>𝜋</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𝑓</m:t>
                            </m:r>
                          </m:e>
                          <m:sub>
                            <m:r>
                              <a:rPr lang="en-US" sz="1100" b="0" i="1">
                                <a:latin typeface="Cambria Math"/>
                                <a:ea typeface="Cambria Math"/>
                              </a:rPr>
                              <m:t>𝐶𝑂</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𝑉</m:t>
                            </m:r>
                          </m:e>
                          <m:sub>
                            <m:r>
                              <a:rPr lang="en-US" sz="1100" b="0" i="1">
                                <a:latin typeface="Cambria Math"/>
                                <a:ea typeface="Cambria Math"/>
                              </a:rPr>
                              <m:t>𝑂𝑈𝑇</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𝐶</m:t>
                            </m:r>
                          </m:e>
                          <m:sub>
                            <m:r>
                              <a:rPr lang="en-US" sz="1100" b="0" i="1">
                                <a:latin typeface="Cambria Math"/>
                                <a:ea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𝑔𝑚</m:t>
                            </m:r>
                          </m:e>
                          <m:sub>
                            <m:r>
                              <a:rPr lang="en-US" sz="1100" b="0" i="1">
                                <a:latin typeface="Cambria Math"/>
                              </a:rPr>
                              <m:t>𝑒𝑎</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𝑅𝐸𝐹</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𝑔𝑚</m:t>
                            </m:r>
                          </m:e>
                          <m:sub>
                            <m:r>
                              <a:rPr lang="en-US" sz="1100" b="0" i="1">
                                <a:latin typeface="Cambria Math"/>
                              </a:rPr>
                              <m:t>𝑝𝑠</m:t>
                            </m:r>
                          </m:sub>
                        </m:sSub>
                      </m:den>
                    </m:f>
                  </m:oMath>
                </m:oMathPara>
              </a14:m>
              <a:endParaRPr lang="en-US" sz="1100"/>
            </a:p>
          </xdr:txBody>
        </xdr:sp>
      </mc:Choice>
      <mc:Fallback xmlns="">
        <xdr:sp macro="" textlink="">
          <xdr:nvSpPr>
            <xdr:cNvPr id="25" name="TextBox 24"/>
            <xdr:cNvSpPr txBox="1"/>
          </xdr:nvSpPr>
          <xdr:spPr>
            <a:xfrm>
              <a:off x="4171956" y="19558964"/>
              <a:ext cx="2554942" cy="472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𝑅_𝐶𝑂𝑀𝑃=  (2</a:t>
              </a:r>
              <a:r>
                <a:rPr lang="en-US" sz="1100" b="0" i="0">
                  <a:latin typeface="Cambria Math"/>
                  <a:ea typeface="Cambria Math"/>
                </a:rPr>
                <a:t>𝜋∗𝑓_𝐶𝑂∗𝑉_𝑂𝑈𝑇∗𝐶_𝑂𝑈𝑇)/(〖</a:t>
              </a:r>
              <a:r>
                <a:rPr lang="en-US" sz="1100" b="0" i="0">
                  <a:latin typeface="Cambria Math"/>
                </a:rPr>
                <a:t>𝑔𝑚〗_𝑒𝑎∗𝑉_𝑅𝐸𝐹∗〖𝑔𝑚〗_𝑝𝑠 )</a:t>
              </a:r>
              <a:endParaRPr lang="en-US" sz="1100"/>
            </a:p>
          </xdr:txBody>
        </xdr:sp>
      </mc:Fallback>
    </mc:AlternateContent>
    <xdr:clientData/>
  </xdr:oneCellAnchor>
  <xdr:oneCellAnchor>
    <xdr:from>
      <xdr:col>5</xdr:col>
      <xdr:colOff>57156</xdr:colOff>
      <xdr:row>67</xdr:row>
      <xdr:rowOff>495769</xdr:rowOff>
    </xdr:from>
    <xdr:ext cx="2061883" cy="438005"/>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4143381" y="20002969"/>
              <a:ext cx="2061883"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𝐶𝑂𝑀𝑃</m:t>
                        </m:r>
                      </m:sub>
                    </m:sSub>
                    <m:r>
                      <a:rPr lang="en-US" sz="1100" b="0" i="1">
                        <a:latin typeface="Cambria Math"/>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𝑂𝑈𝑇</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𝑂𝑈𝑇</m:t>
                            </m:r>
                          </m:sub>
                        </m:sSub>
                      </m:num>
                      <m:den>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𝑂𝑈𝑇</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𝐶𝑂𝑀𝑃</m:t>
                            </m:r>
                          </m:sub>
                        </m:sSub>
                      </m:den>
                    </m:f>
                  </m:oMath>
                </m:oMathPara>
              </a14:m>
              <a:endParaRPr lang="en-US" sz="1100"/>
            </a:p>
          </xdr:txBody>
        </xdr:sp>
      </mc:Choice>
      <mc:Fallback xmlns="">
        <xdr:sp macro="" textlink="">
          <xdr:nvSpPr>
            <xdr:cNvPr id="26" name="TextBox 25"/>
            <xdr:cNvSpPr txBox="1"/>
          </xdr:nvSpPr>
          <xdr:spPr>
            <a:xfrm>
              <a:off x="4143381" y="20002969"/>
              <a:ext cx="2061883"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𝐶_𝐶𝑂𝑀𝑃=  (𝑉_𝑂𝑈𝑇∗𝐶_𝑂𝑈𝑇)/(𝐼_𝑂𝑈𝑇∗𝑅_𝐶𝑂𝑀𝑃 )</a:t>
              </a:r>
              <a:endParaRPr lang="en-US" sz="1100"/>
            </a:p>
          </xdr:txBody>
        </xdr:sp>
      </mc:Fallback>
    </mc:AlternateContent>
    <xdr:clientData/>
  </xdr:oneCellAnchor>
  <xdr:oneCellAnchor>
    <xdr:from>
      <xdr:col>5</xdr:col>
      <xdr:colOff>423889</xdr:colOff>
      <xdr:row>68</xdr:row>
      <xdr:rowOff>398650</xdr:rowOff>
    </xdr:from>
    <xdr:ext cx="1909484" cy="438005"/>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4698934" y="20378738"/>
              <a:ext cx="1909484"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m:t>
                    </m:r>
                    <m:r>
                      <a:rPr lang="en-US" sz="1100" b="0" i="1">
                        <a:latin typeface="Cambria Math"/>
                      </a:rPr>
                      <m:t>2= </m:t>
                    </m:r>
                    <m:f>
                      <m:fPr>
                        <m:ctrlPr>
                          <a:rPr lang="en-US" sz="1100" i="1">
                            <a:latin typeface="Cambria Math" panose="02040503050406030204" pitchFamily="18" charset="0"/>
                          </a:rPr>
                        </m:ctrlPr>
                      </m:fPr>
                      <m:num>
                        <m:r>
                          <a:rPr lang="en-US" sz="1100" b="0" i="1">
                            <a:latin typeface="Cambria Math"/>
                          </a:rPr>
                          <m:t>1</m:t>
                        </m:r>
                      </m:num>
                      <m:den>
                        <m:r>
                          <a:rPr lang="en-US" sz="1100" b="0" i="1">
                            <a:latin typeface="Cambria Math"/>
                          </a:rPr>
                          <m:t>2</m:t>
                        </m:r>
                        <m:r>
                          <a:rPr lang="en-US" sz="1100" b="0" i="1">
                            <a:latin typeface="Cambria Math"/>
                            <a:ea typeface="Cambria Math"/>
                          </a:rPr>
                          <m:t>𝜋</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𝑅</m:t>
                            </m:r>
                          </m:e>
                          <m:sub>
                            <m:r>
                              <a:rPr lang="en-US" sz="1100" b="0" i="1">
                                <a:latin typeface="Cambria Math"/>
                                <a:ea typeface="Cambria Math"/>
                              </a:rPr>
                              <m:t>𝐶𝑂𝑀𝑃</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𝐹</m:t>
                            </m:r>
                          </m:e>
                          <m:sub>
                            <m:r>
                              <a:rPr lang="en-US" sz="1100" b="0" i="1">
                                <a:latin typeface="Cambria Math"/>
                                <a:ea typeface="Cambria Math"/>
                              </a:rPr>
                              <m:t>𝑍𝐸𝑆𝑅</m:t>
                            </m:r>
                          </m:sub>
                        </m:sSub>
                      </m:den>
                    </m:f>
                  </m:oMath>
                </m:oMathPara>
              </a14:m>
              <a:endParaRPr lang="en-US" sz="1100"/>
            </a:p>
          </xdr:txBody>
        </xdr:sp>
      </mc:Choice>
      <mc:Fallback xmlns="">
        <xdr:sp macro="" textlink="">
          <xdr:nvSpPr>
            <xdr:cNvPr id="27" name="TextBox 26"/>
            <xdr:cNvSpPr txBox="1"/>
          </xdr:nvSpPr>
          <xdr:spPr>
            <a:xfrm>
              <a:off x="4698934" y="20378738"/>
              <a:ext cx="1909484"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𝐶2=  1/(2</a:t>
              </a:r>
              <a:r>
                <a:rPr lang="en-US" sz="1100" b="0" i="0">
                  <a:latin typeface="Cambria Math"/>
                  <a:ea typeface="Cambria Math"/>
                </a:rPr>
                <a:t>𝜋∗𝑅_𝐶𝑂𝑀𝑃∗𝐹_𝑍𝐸𝑆𝑅 )</a:t>
              </a:r>
              <a:endParaRPr lang="en-US" sz="1100"/>
            </a:p>
          </xdr:txBody>
        </xdr:sp>
      </mc:Fallback>
    </mc:AlternateContent>
    <xdr:clientData/>
  </xdr:oneCellAnchor>
  <xdr:oneCellAnchor>
    <xdr:from>
      <xdr:col>5</xdr:col>
      <xdr:colOff>392209</xdr:colOff>
      <xdr:row>92</xdr:row>
      <xdr:rowOff>997</xdr:rowOff>
    </xdr:from>
    <xdr:ext cx="1782696" cy="436914"/>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4667254" y="24861248"/>
              <a:ext cx="1782696"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14:m>
                <m:oMathPara xmlns:m="http://schemas.openxmlformats.org/officeDocument/2006/math">
                  <m:oMathParaPr>
                    <m:jc m:val="center"/>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𝑆𝑆</m:t>
                        </m:r>
                      </m:sub>
                    </m:sSub>
                    <m:r>
                      <a:rPr lang="en-US" sz="1100" b="0" i="1">
                        <a:latin typeface="Cambria Math"/>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𝑆𝑆</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𝑆𝑆</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𝑅𝐸𝐹</m:t>
                            </m:r>
                          </m:sub>
                        </m:sSub>
                        <m:r>
                          <a:rPr lang="en-US" sz="1100" b="0" i="1">
                            <a:latin typeface="Cambria Math"/>
                          </a:rPr>
                          <m:t>∗0.8</m:t>
                        </m:r>
                      </m:den>
                    </m:f>
                  </m:oMath>
                </m:oMathPara>
              </a14:m>
              <a:endParaRPr lang="en-US" sz="1100"/>
            </a:p>
          </xdr:txBody>
        </xdr:sp>
      </mc:Choice>
      <mc:Fallback xmlns="">
        <xdr:sp macro="" textlink="">
          <xdr:nvSpPr>
            <xdr:cNvPr id="29" name="TextBox 28"/>
            <xdr:cNvSpPr txBox="1"/>
          </xdr:nvSpPr>
          <xdr:spPr>
            <a:xfrm>
              <a:off x="4667254" y="24861248"/>
              <a:ext cx="1782696" cy="43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r>
                <a:rPr lang="en-US" sz="1100" b="0" i="0">
                  <a:latin typeface="Cambria Math"/>
                </a:rPr>
                <a:t>𝐶_𝑆𝑆=  (𝑇_𝑆𝑆∗𝐼_𝑆𝑆)/(𝑉_𝑅𝐸𝐹∗0.8)</a:t>
              </a:r>
              <a:endParaRPr lang="en-US" sz="1100"/>
            </a:p>
          </xdr:txBody>
        </xdr:sp>
      </mc:Fallback>
    </mc:AlternateContent>
    <xdr:clientData/>
  </xdr:oneCellAnchor>
  <xdr:oneCellAnchor>
    <xdr:from>
      <xdr:col>5</xdr:col>
      <xdr:colOff>273706</xdr:colOff>
      <xdr:row>93</xdr:row>
      <xdr:rowOff>0</xdr:rowOff>
    </xdr:from>
    <xdr:ext cx="2913529" cy="718466"/>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4548751" y="25319692"/>
              <a:ext cx="2913529"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𝐸𝑁𝑈</m:t>
                        </m:r>
                      </m:sub>
                    </m:sSub>
                    <m:r>
                      <a:rPr lang="en-US" sz="1100" b="0" i="1">
                        <a:latin typeface="Cambria Math"/>
                      </a:rPr>
                      <m:t>= </m:t>
                    </m:r>
                    <m:f>
                      <m:fPr>
                        <m:ctrlPr>
                          <a:rPr lang="en-US" sz="110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𝑆𝑇𝐴𝑅𝑇</m:t>
                            </m:r>
                          </m:sub>
                        </m:sSub>
                        <m:r>
                          <a:rPr lang="en-US" sz="1100" b="0" i="1">
                            <a:latin typeface="Cambria Math"/>
                          </a:rPr>
                          <m:t> </m:t>
                        </m:r>
                        <m:d>
                          <m:dPr>
                            <m:ctrlPr>
                              <a:rPr lang="en-US" sz="11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𝑉</m:t>
                                    </m:r>
                                  </m:e>
                                  <m:sub>
                                    <m:r>
                                      <a:rPr lang="en-US" sz="1100" b="0" i="1">
                                        <a:solidFill>
                                          <a:schemeClr val="tx1"/>
                                        </a:solidFill>
                                        <a:effectLst/>
                                        <a:latin typeface="Cambria Math"/>
                                        <a:ea typeface="+mn-ea"/>
                                        <a:cs typeface="+mn-cs"/>
                                      </a:rPr>
                                      <m:t>𝐸𝑁𝐹𝐴𝐿𝐿𝐼𝑁𝐺</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𝑉</m:t>
                                    </m:r>
                                  </m:e>
                                  <m:sub>
                                    <m:r>
                                      <a:rPr lang="en-US" sz="1100" b="0" i="1">
                                        <a:solidFill>
                                          <a:schemeClr val="tx1"/>
                                        </a:solidFill>
                                        <a:effectLst/>
                                        <a:latin typeface="Cambria Math"/>
                                        <a:ea typeface="+mn-ea"/>
                                        <a:cs typeface="+mn-cs"/>
                                      </a:rPr>
                                      <m:t>𝐸𝑁𝑅𝐼𝑆𝐼𝑁𝐺</m:t>
                                    </m:r>
                                  </m:sub>
                                </m:sSub>
                              </m:den>
                            </m:f>
                          </m:e>
                        </m:d>
                        <m:r>
                          <a:rPr lang="en-US" sz="1100" b="0" i="1">
                            <a:latin typeface="Cambria Math"/>
                          </a:rPr>
                          <m:t> − </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𝑆𝑇𝑂𝑃</m:t>
                            </m:r>
                          </m:sub>
                        </m:sSub>
                      </m:num>
                      <m:den>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𝑝</m:t>
                            </m:r>
                          </m:sub>
                        </m:sSub>
                        <m:d>
                          <m:dPr>
                            <m:ctrlPr>
                              <a:rPr lang="en-US" sz="1100" b="0" i="1">
                                <a:latin typeface="Cambria Math" panose="02040503050406030204" pitchFamily="18" charset="0"/>
                              </a:rPr>
                            </m:ctrlPr>
                          </m:dPr>
                          <m:e>
                            <m:r>
                              <a:rPr lang="en-US" sz="1100" b="0" i="1">
                                <a:latin typeface="Cambria Math"/>
                              </a:rPr>
                              <m:t>1 −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𝐸𝑁𝐹𝐴𝐿𝐿𝐼𝑁𝐺</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𝐸𝑁𝑅𝐼𝑆𝐼𝑁𝐺</m:t>
                                    </m:r>
                                  </m:sub>
                                </m:sSub>
                              </m:den>
                            </m:f>
                          </m:e>
                        </m:d>
                        <m:r>
                          <a:rPr lang="en-US" sz="1100" b="0" i="1">
                            <a:latin typeface="Cambria Math"/>
                          </a:rPr>
                          <m:t>+ </m:t>
                        </m:r>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h</m:t>
                            </m:r>
                          </m:sub>
                        </m:sSub>
                      </m:den>
                    </m:f>
                  </m:oMath>
                </m:oMathPara>
              </a14:m>
              <a:endParaRPr lang="en-US" sz="1100"/>
            </a:p>
          </xdr:txBody>
        </xdr:sp>
      </mc:Choice>
      <mc:Fallback xmlns="">
        <xdr:sp macro="" textlink="">
          <xdr:nvSpPr>
            <xdr:cNvPr id="31" name="TextBox 30"/>
            <xdr:cNvSpPr txBox="1"/>
          </xdr:nvSpPr>
          <xdr:spPr>
            <a:xfrm>
              <a:off x="4548751" y="25319692"/>
              <a:ext cx="2913529"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𝑅_𝐸𝑁𝑈=  (𝑉_𝑆𝑇𝐴𝑅𝑇  (</a:t>
              </a:r>
              <a:r>
                <a:rPr lang="en-US" sz="1100" b="0" i="0">
                  <a:solidFill>
                    <a:schemeClr val="tx1"/>
                  </a:solidFill>
                  <a:effectLst/>
                  <a:latin typeface="Cambria Math"/>
                  <a:ea typeface="+mn-ea"/>
                  <a:cs typeface="+mn-cs"/>
                </a:rPr>
                <a:t>𝑉_𝐸𝑁𝐹𝐴𝐿𝐿𝐼𝑁𝐺/𝑉_𝐸𝑁𝑅𝐼𝑆𝐼𝑁𝐺 ) </a:t>
              </a:r>
              <a:r>
                <a:rPr lang="en-US" sz="1100" b="0" i="0">
                  <a:latin typeface="Cambria Math"/>
                </a:rPr>
                <a:t> − 𝑉_𝑆𝑇𝑂𝑃)/(𝐼_𝑝 (1 − 𝑉_𝐸𝑁𝐹𝐴𝐿𝐿𝐼𝑁𝐺/𝑉_𝐸𝑁𝑅𝐼𝑆𝐼𝑁𝐺 )+ 𝐼_ℎ )</a:t>
              </a:r>
              <a:endParaRPr lang="en-US" sz="1100"/>
            </a:p>
          </xdr:txBody>
        </xdr:sp>
      </mc:Fallback>
    </mc:AlternateContent>
    <xdr:clientData/>
  </xdr:oneCellAnchor>
  <xdr:oneCellAnchor>
    <xdr:from>
      <xdr:col>5</xdr:col>
      <xdr:colOff>497824</xdr:colOff>
      <xdr:row>93</xdr:row>
      <xdr:rowOff>716896</xdr:rowOff>
    </xdr:from>
    <xdr:ext cx="2913529" cy="485454"/>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4772869" y="26036588"/>
              <a:ext cx="2913529"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𝐸𝑁𝐿</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𝐸𝑁𝑈</m:t>
                            </m:r>
                          </m:sub>
                        </m:sSub>
                        <m:r>
                          <a:rPr lang="en-US" sz="1100" b="0" i="1">
                            <a:solidFill>
                              <a:schemeClr val="tx1"/>
                            </a:solidFill>
                            <a:effectLst/>
                            <a:latin typeface="Cambria Math"/>
                            <a:ea typeface="+mn-ea"/>
                            <a:cs typeface="+mn-cs"/>
                          </a:rPr>
                          <m:t> ×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𝑉</m:t>
                            </m:r>
                          </m:e>
                          <m:sub>
                            <m:r>
                              <a:rPr lang="en-US" sz="1100" b="0" i="1">
                                <a:solidFill>
                                  <a:schemeClr val="tx1"/>
                                </a:solidFill>
                                <a:effectLst/>
                                <a:latin typeface="Cambria Math"/>
                                <a:ea typeface="+mn-ea"/>
                                <a:cs typeface="+mn-cs"/>
                              </a:rPr>
                              <m:t>𝐸𝑁𝐹𝐴𝐿𝐿𝐼𝑁𝐺</m:t>
                            </m:r>
                          </m:sub>
                        </m:sSub>
                      </m:num>
                      <m:den>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𝑆𝑇𝑂𝑃</m:t>
                            </m:r>
                          </m:sub>
                        </m:sSub>
                        <m:r>
                          <a:rPr lang="en-US" sz="1100" b="0" i="1">
                            <a:latin typeface="Cambria Math"/>
                          </a:rPr>
                          <m:t> − </m:t>
                        </m:r>
                        <m:sSub>
                          <m:sSubPr>
                            <m:ctrlPr>
                              <a:rPr lang="en-US" sz="1100" b="0" i="1">
                                <a:latin typeface="Cambria Math" panose="02040503050406030204" pitchFamily="18" charset="0"/>
                              </a:rPr>
                            </m:ctrlPr>
                          </m:sSubPr>
                          <m:e>
                            <m:r>
                              <a:rPr lang="en-US" sz="1100" b="0" i="1">
                                <a:latin typeface="Cambria Math"/>
                              </a:rPr>
                              <m:t>𝑉</m:t>
                            </m:r>
                          </m:e>
                          <m:sub>
                            <m:r>
                              <a:rPr lang="en-US" sz="1100" b="0" i="1">
                                <a:latin typeface="Cambria Math"/>
                              </a:rPr>
                              <m:t>𝐸𝑁𝐹𝐴𝐿𝐿𝐼𝑁𝐺</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𝑅</m:t>
                            </m:r>
                          </m:e>
                          <m:sub>
                            <m:r>
                              <a:rPr lang="en-US" sz="1100" b="0" i="1">
                                <a:latin typeface="Cambria Math"/>
                              </a:rPr>
                              <m:t>𝐸𝑁𝑈</m:t>
                            </m:r>
                          </m:sub>
                        </m:sSub>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𝑝</m:t>
                                </m:r>
                              </m:sub>
                            </m:sSub>
                            <m:r>
                              <a:rPr lang="en-US" sz="1100" b="0" i="1">
                                <a:latin typeface="Cambria Math"/>
                              </a:rPr>
                              <m:t>+ </m:t>
                            </m:r>
                            <m:sSub>
                              <m:sSubPr>
                                <m:ctrlPr>
                                  <a:rPr lang="en-US" sz="1100" b="0" i="1">
                                    <a:latin typeface="Cambria Math" panose="02040503050406030204" pitchFamily="18" charset="0"/>
                                  </a:rPr>
                                </m:ctrlPr>
                              </m:sSubPr>
                              <m:e>
                                <m:r>
                                  <a:rPr lang="en-US" sz="1100" b="0" i="1">
                                    <a:latin typeface="Cambria Math"/>
                                  </a:rPr>
                                  <m:t>𝐼</m:t>
                                </m:r>
                              </m:e>
                              <m:sub>
                                <m:r>
                                  <a:rPr lang="en-US" sz="1100" b="0" i="1">
                                    <a:latin typeface="Cambria Math"/>
                                  </a:rPr>
                                  <m:t>h</m:t>
                                </m:r>
                              </m:sub>
                            </m:sSub>
                          </m:e>
                        </m:d>
                      </m:den>
                    </m:f>
                  </m:oMath>
                </m:oMathPara>
              </a14:m>
              <a:endParaRPr lang="en-US" sz="1100"/>
            </a:p>
          </xdr:txBody>
        </xdr:sp>
      </mc:Choice>
      <mc:Fallback xmlns="">
        <xdr:sp macro="" textlink="">
          <xdr:nvSpPr>
            <xdr:cNvPr id="32" name="TextBox 31"/>
            <xdr:cNvSpPr txBox="1"/>
          </xdr:nvSpPr>
          <xdr:spPr>
            <a:xfrm>
              <a:off x="4772869" y="26036588"/>
              <a:ext cx="2913529"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𝑅_𝐸𝑁𝐿=(𝑅_𝐸𝑁𝑈</a:t>
              </a:r>
              <a:r>
                <a:rPr lang="en-US" sz="1100" b="0" i="0">
                  <a:solidFill>
                    <a:schemeClr val="tx1"/>
                  </a:solidFill>
                  <a:effectLst/>
                  <a:latin typeface="Cambria Math"/>
                  <a:ea typeface="+mn-ea"/>
                  <a:cs typeface="+mn-cs"/>
                </a:rPr>
                <a:t>  × 𝑉_𝐸𝑁𝐹𝐴𝐿𝐿𝐼𝑁𝐺)/(</a:t>
              </a:r>
              <a:r>
                <a:rPr lang="en-US" sz="1100" b="0" i="0">
                  <a:latin typeface="Cambria Math"/>
                </a:rPr>
                <a:t>𝑉_𝑆𝑇𝑂𝑃  − 𝑉_𝐸𝑁𝐹𝐴𝐿𝐿𝐼𝑁𝐺+𝑅_𝐸𝑁𝑈 (𝐼_𝑝+ 𝐼_ℎ ) )</a:t>
              </a:r>
              <a:endParaRPr lang="en-US" sz="1100"/>
            </a:p>
          </xdr:txBody>
        </xdr:sp>
      </mc:Fallback>
    </mc:AlternateContent>
    <xdr:clientData/>
  </xdr:oneCellAnchor>
  <xdr:oneCellAnchor>
    <xdr:from>
      <xdr:col>5</xdr:col>
      <xdr:colOff>509648</xdr:colOff>
      <xdr:row>19</xdr:row>
      <xdr:rowOff>70045</xdr:rowOff>
    </xdr:from>
    <xdr:ext cx="2616793" cy="290401"/>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678236" y="5146310"/>
              <a:ext cx="2616793" cy="290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𝑅</m:t>
                        </m:r>
                      </m:e>
                      <m:sub>
                        <m:r>
                          <a:rPr lang="en-US" sz="1100" b="0" i="1">
                            <a:solidFill>
                              <a:schemeClr val="tx1"/>
                            </a:solidFill>
                            <a:effectLst/>
                            <a:latin typeface="Cambria Math"/>
                            <a:ea typeface="+mn-ea"/>
                            <a:cs typeface="+mn-cs"/>
                          </a:rPr>
                          <m:t>𝑇</m:t>
                        </m:r>
                      </m:sub>
                    </m:sSub>
                    <m:r>
                      <a:rPr lang="fr-BE" sz="1100" i="1">
                        <a:latin typeface="Cambria Math"/>
                      </a:rPr>
                      <m:t>=</m:t>
                    </m:r>
                    <m:r>
                      <a:rPr lang="en-US" sz="1100" b="0" i="1">
                        <a:latin typeface="Cambria Math"/>
                      </a:rPr>
                      <m:t>60079∗</m:t>
                    </m:r>
                    <m:sSup>
                      <m:sSupPr>
                        <m:ctrlPr>
                          <a:rPr lang="fr-BE" sz="1100" i="1">
                            <a:latin typeface="Cambria Math" panose="02040503050406030204" pitchFamily="18" charset="0"/>
                          </a:rPr>
                        </m:ctrlPr>
                      </m:sSup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𝐹</m:t>
                            </m:r>
                          </m:e>
                          <m:sub>
                            <m:r>
                              <a:rPr lang="en-US" sz="1100" b="0" i="1">
                                <a:solidFill>
                                  <a:schemeClr val="tx1"/>
                                </a:solidFill>
                                <a:effectLst/>
                                <a:latin typeface="Cambria Math"/>
                                <a:ea typeface="+mn-ea"/>
                                <a:cs typeface="+mn-cs"/>
                              </a:rPr>
                              <m:t>𝑆𝑊</m:t>
                            </m:r>
                          </m:sub>
                        </m:sSub>
                      </m:e>
                      <m:sup>
                        <m:r>
                          <a:rPr lang="en-US" sz="1100" b="0" i="1">
                            <a:latin typeface="Cambria Math"/>
                          </a:rPr>
                          <m:t>(−1.0549)</m:t>
                        </m:r>
                      </m:sup>
                    </m:sSup>
                  </m:oMath>
                </m:oMathPara>
              </a14:m>
              <a:endParaRPr lang="fr-BE" sz="1100"/>
            </a:p>
          </xdr:txBody>
        </xdr:sp>
      </mc:Choice>
      <mc:Fallback xmlns="">
        <xdr:sp macro="" textlink="">
          <xdr:nvSpPr>
            <xdr:cNvPr id="14" name="TextBox 13"/>
            <xdr:cNvSpPr txBox="1"/>
          </xdr:nvSpPr>
          <xdr:spPr>
            <a:xfrm>
              <a:off x="4678236" y="5146310"/>
              <a:ext cx="2616793" cy="290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𝑅_𝑇</a:t>
              </a:r>
              <a:r>
                <a:rPr lang="fr-BE" sz="1100" i="0">
                  <a:latin typeface="Cambria Math"/>
                </a:rPr>
                <a:t>=</a:t>
              </a:r>
              <a:r>
                <a:rPr lang="en-US" sz="1100" b="0" i="0">
                  <a:latin typeface="Cambria Math"/>
                </a:rPr>
                <a:t>60079∗</a:t>
              </a:r>
              <a:r>
                <a:rPr lang="fr-BE" sz="1100" i="0">
                  <a:latin typeface="Cambria Math"/>
                </a:rPr>
                <a:t>〖</a:t>
              </a:r>
              <a:r>
                <a:rPr lang="en-US" sz="1100" b="0" i="0">
                  <a:solidFill>
                    <a:schemeClr val="tx1"/>
                  </a:solidFill>
                  <a:effectLst/>
                  <a:latin typeface="Cambria Math"/>
                  <a:ea typeface="+mn-ea"/>
                  <a:cs typeface="+mn-cs"/>
                </a:rPr>
                <a:t>𝐹_𝑆𝑊</a:t>
              </a:r>
              <a:r>
                <a:rPr lang="fr-BE" sz="1100" b="0" i="0">
                  <a:solidFill>
                    <a:schemeClr val="tx1"/>
                  </a:solidFill>
                  <a:effectLst/>
                  <a:latin typeface="Cambria Math"/>
                  <a:ea typeface="+mn-ea"/>
                  <a:cs typeface="+mn-cs"/>
                </a:rPr>
                <a:t>〗^(</a:t>
              </a:r>
              <a:r>
                <a:rPr lang="en-US" sz="1100" b="0" i="0">
                  <a:latin typeface="Cambria Math"/>
                </a:rPr>
                <a:t>(−1.0549)</a:t>
              </a:r>
              <a:r>
                <a:rPr lang="fr-BE" sz="1100" b="0" i="0">
                  <a:latin typeface="Cambria Math"/>
                </a:rPr>
                <a:t>)</a:t>
              </a:r>
              <a:endParaRPr lang="fr-BE" sz="1100"/>
            </a:p>
          </xdr:txBody>
        </xdr:sp>
      </mc:Fallback>
    </mc:AlternateContent>
    <xdr:clientData/>
  </xdr:oneCellAnchor>
  <xdr:oneCellAnchor>
    <xdr:from>
      <xdr:col>5</xdr:col>
      <xdr:colOff>195263</xdr:colOff>
      <xdr:row>27</xdr:row>
      <xdr:rowOff>12653</xdr:rowOff>
    </xdr:from>
    <xdr:ext cx="2711823" cy="360933"/>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5742175" y="7184418"/>
              <a:ext cx="2711823" cy="360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 </a:t>
              </a:r>
              <a14:m>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𝐾</m:t>
                      </m:r>
                    </m:e>
                    <m:sub>
                      <m:r>
                        <a:rPr lang="en-US" sz="1100" b="0" i="1">
                          <a:latin typeface="Cambria Math"/>
                        </a:rPr>
                        <m:t>𝐼𝑁𝐷</m:t>
                      </m:r>
                    </m:sub>
                  </m:sSub>
                  <m:r>
                    <a:rPr lang="en-US" sz="1100" b="0" i="1">
                      <a:latin typeface="Cambria Math"/>
                    </a:rPr>
                    <m:t>=</m:t>
                  </m:r>
                  <m:f>
                    <m:fPr>
                      <m:ctrlPr>
                        <a:rPr lang="en-US" sz="1100" i="1">
                          <a:latin typeface="Cambria Math" panose="02040503050406030204" pitchFamily="18" charset="0"/>
                        </a:rPr>
                      </m:ctrlPr>
                    </m:fPr>
                    <m:num>
                      <m:r>
                        <m:rPr>
                          <m:nor/>
                        </m:rPr>
                        <a:rPr lang="en-US" sz="1100">
                          <a:solidFill>
                            <a:schemeClr val="tx1"/>
                          </a:solidFill>
                          <a:effectLst/>
                          <a:latin typeface="+mn-lt"/>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𝐼</m:t>
                          </m:r>
                        </m:e>
                        <m:sub>
                          <m:r>
                            <a:rPr lang="en-US" sz="1100" b="0" i="1">
                              <a:solidFill>
                                <a:schemeClr val="tx1"/>
                              </a:solidFill>
                              <a:effectLst/>
                              <a:latin typeface="Cambria Math"/>
                              <a:ea typeface="+mn-ea"/>
                              <a:cs typeface="+mn-cs"/>
                            </a:rPr>
                            <m:t>𝑅𝐼𝑃𝑃𝐿𝐸</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𝐼</m:t>
                          </m:r>
                        </m:e>
                        <m:sub>
                          <m:r>
                            <a:rPr lang="en-US" sz="1100" b="0" i="1">
                              <a:solidFill>
                                <a:schemeClr val="tx1"/>
                              </a:solidFill>
                              <a:effectLst/>
                              <a:latin typeface="Cambria Math"/>
                              <a:ea typeface="+mn-ea"/>
                              <a:cs typeface="+mn-cs"/>
                            </a:rPr>
                            <m:t>𝑅𝑀𝑆</m:t>
                          </m:r>
                        </m:sub>
                      </m:sSub>
                    </m:den>
                  </m:f>
                  <m:r>
                    <a:rPr lang="en-US" sz="1100" b="0" i="1">
                      <a:latin typeface="Cambria Math"/>
                    </a:rPr>
                    <m:t> </m:t>
                  </m:r>
                </m:oMath>
              </a14:m>
              <a:endParaRPr lang="en-US" sz="1100"/>
            </a:p>
          </xdr:txBody>
        </xdr:sp>
      </mc:Choice>
      <mc:Fallback xmlns="">
        <xdr:sp macro="" textlink="">
          <xdr:nvSpPr>
            <xdr:cNvPr id="35" name="TextBox 34"/>
            <xdr:cNvSpPr txBox="1"/>
          </xdr:nvSpPr>
          <xdr:spPr>
            <a:xfrm>
              <a:off x="5742175" y="7184418"/>
              <a:ext cx="2711823" cy="360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t> </a:t>
              </a:r>
              <a:r>
                <a:rPr lang="en-US" sz="1100" b="0" i="0">
                  <a:latin typeface="Cambria Math"/>
                </a:rPr>
                <a:t>𝐾_𝐼𝑁𝐷=</a:t>
              </a:r>
              <a:r>
                <a:rPr lang="en-US" sz="1100" i="0">
                  <a:latin typeface="Cambria Math"/>
                </a:rPr>
                <a:t>(</a:t>
              </a:r>
              <a:r>
                <a:rPr lang="en-US" sz="1100" i="0">
                  <a:solidFill>
                    <a:schemeClr val="tx1"/>
                  </a:solidFill>
                  <a:effectLst/>
                  <a:latin typeface="+mn-lt"/>
                  <a:ea typeface="+mn-ea"/>
                  <a:cs typeface="+mn-cs"/>
                </a:rPr>
                <a:t>"</a:t>
              </a:r>
              <a:r>
                <a:rPr lang="en-US" sz="1100" i="0">
                  <a:solidFill>
                    <a:schemeClr val="tx1"/>
                  </a:solidFill>
                  <a:effectLst/>
                  <a:latin typeface="+mn-lt"/>
                  <a:ea typeface="+mn-ea"/>
                  <a:cs typeface="+mn-cs"/>
                </a:rPr>
                <a:t> </a:t>
              </a:r>
              <a:r>
                <a:rPr lang="en-US" sz="1100" b="0" i="0">
                  <a:solidFill>
                    <a:schemeClr val="tx1"/>
                  </a:solidFill>
                  <a:effectLst/>
                  <a:latin typeface="+mn-lt"/>
                  <a:ea typeface="+mn-ea"/>
                  <a:cs typeface="+mn-cs"/>
                </a:rPr>
                <a:t>" 𝐼_𝑅𝐼𝑃𝑃𝐿𝐸</a:t>
              </a: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𝐼_𝑅𝑀𝑆</a:t>
              </a:r>
              <a:r>
                <a:rPr lang="en-US" sz="1100" b="0" i="0">
                  <a:solidFill>
                    <a:schemeClr val="tx1"/>
                  </a:solidFill>
                  <a:effectLst/>
                  <a:latin typeface="Cambria Math"/>
                  <a:ea typeface="+mn-ea"/>
                  <a:cs typeface="+mn-cs"/>
                </a:rPr>
                <a:t>  </a:t>
              </a:r>
              <a:r>
                <a:rPr lang="en-US" sz="1100" b="0" i="0">
                  <a:latin typeface="Cambria Math"/>
                </a:rPr>
                <a:t> </a:t>
              </a:r>
              <a:endParaRPr lang="en-US" sz="1100"/>
            </a:p>
          </xdr:txBody>
        </xdr:sp>
      </mc:Fallback>
    </mc:AlternateContent>
    <xdr:clientData/>
  </xdr:oneCellAnchor>
  <xdr:oneCellAnchor>
    <xdr:from>
      <xdr:col>5</xdr:col>
      <xdr:colOff>228600</xdr:colOff>
      <xdr:row>95</xdr:row>
      <xdr:rowOff>28575</xdr:rowOff>
    </xdr:from>
    <xdr:ext cx="2342029" cy="353815"/>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5774267" y="31312908"/>
              <a:ext cx="2342029" cy="35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𝑉</m:t>
                      </m:r>
                    </m:e>
                    <m:sub>
                      <m:r>
                        <a:rPr lang="en-US" sz="1100" b="0" i="1">
                          <a:solidFill>
                            <a:schemeClr val="tx1"/>
                          </a:solidFill>
                          <a:effectLst/>
                          <a:latin typeface="Cambria Math"/>
                          <a:ea typeface="+mn-ea"/>
                          <a:cs typeface="+mn-cs"/>
                        </a:rPr>
                        <m:t>𝐸𝑁</m:t>
                      </m:r>
                      <m:r>
                        <a:rPr lang="en-US" sz="1100" b="0" i="1">
                          <a:solidFill>
                            <a:schemeClr val="tx1"/>
                          </a:solidFill>
                          <a:effectLst/>
                          <a:latin typeface="Cambria Math"/>
                          <a:ea typeface="+mn-ea"/>
                          <a:cs typeface="+mn-cs"/>
                        </a:rPr>
                        <m:t>_</m:t>
                      </m:r>
                      <m:r>
                        <a:rPr lang="en-US" sz="1100" b="0" i="1">
                          <a:solidFill>
                            <a:schemeClr val="tx1"/>
                          </a:solidFill>
                          <a:effectLst/>
                          <a:latin typeface="Cambria Math"/>
                          <a:ea typeface="+mn-ea"/>
                          <a:cs typeface="+mn-cs"/>
                        </a:rPr>
                        <m:t>𝑆𝑆</m:t>
                      </m:r>
                    </m:sub>
                  </m:sSub>
                  <m:r>
                    <a:rPr lang="en-US" sz="1100" b="0" i="1">
                      <a:latin typeface="Cambria Math"/>
                    </a:rPr>
                    <m:t>= </m:t>
                  </m:r>
                  <m:f>
                    <m:fPr>
                      <m:ctrlPr>
                        <a:rPr lang="en-US" sz="110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𝑅</m:t>
                          </m:r>
                        </m:e>
                        <m:sub>
                          <m:r>
                            <a:rPr lang="en-US" sz="1100" b="0" i="1">
                              <a:solidFill>
                                <a:schemeClr val="tx1"/>
                              </a:solidFill>
                              <a:effectLst/>
                              <a:latin typeface="Cambria Math"/>
                              <a:ea typeface="+mn-ea"/>
                              <a:cs typeface="+mn-cs"/>
                            </a:rPr>
                            <m:t>𝐸𝑁𝐿</m:t>
                          </m:r>
                        </m:sub>
                      </m:sSub>
                      <m:r>
                        <a:rPr lang="en-US" sz="1100" b="0" i="1">
                          <a:latin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𝑉𝐼𝑁</m:t>
                          </m:r>
                        </m:e>
                        <m:sub>
                          <m:r>
                            <a:rPr lang="en-US" sz="1100" b="0" i="1">
                              <a:solidFill>
                                <a:schemeClr val="tx1"/>
                              </a:solidFill>
                              <a:effectLst/>
                              <a:latin typeface="Cambria Math"/>
                              <a:ea typeface="+mn-ea"/>
                              <a:cs typeface="+mn-cs"/>
                            </a:rPr>
                            <m:t>𝑀𝐼𝑁</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𝑅</m:t>
                          </m:r>
                        </m:e>
                        <m:sub>
                          <m:r>
                            <a:rPr lang="en-US" sz="1100" b="0" i="1">
                              <a:solidFill>
                                <a:schemeClr val="tx1"/>
                              </a:solidFill>
                              <a:effectLst/>
                              <a:latin typeface="Cambria Math"/>
                              <a:ea typeface="+mn-ea"/>
                              <a:cs typeface="+mn-cs"/>
                            </a:rPr>
                            <m:t>𝐸𝑁𝐿</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𝑅</m:t>
                          </m:r>
                        </m:e>
                        <m:sub>
                          <m:r>
                            <a:rPr lang="en-US" sz="1100" b="0" i="1">
                              <a:solidFill>
                                <a:schemeClr val="tx1"/>
                              </a:solidFill>
                              <a:effectLst/>
                              <a:latin typeface="Cambria Math"/>
                              <a:ea typeface="+mn-ea"/>
                              <a:cs typeface="+mn-cs"/>
                            </a:rPr>
                            <m:t>𝐸𝑁𝑈</m:t>
                          </m:r>
                        </m:sub>
                      </m:sSub>
                    </m:den>
                  </m:f>
                </m:oMath>
              </a14:m>
              <a:r>
                <a:rPr lang="en-US" sz="1100"/>
                <a:t> +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𝐼</m:t>
                      </m:r>
                    </m:e>
                    <m:sub>
                      <m:r>
                        <a:rPr lang="en-US" sz="1100" b="0" i="1">
                          <a:solidFill>
                            <a:schemeClr val="tx1"/>
                          </a:solidFill>
                          <a:effectLst/>
                          <a:latin typeface="Cambria Math"/>
                          <a:ea typeface="+mn-ea"/>
                          <a:cs typeface="+mn-cs"/>
                        </a:rPr>
                        <m:t>𝑝</m:t>
                      </m:r>
                    </m:sub>
                  </m:sSub>
                </m:oMath>
              </a14:m>
              <a:r>
                <a:rPr lang="en-US" sz="1100"/>
                <a:t>*</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𝑅</m:t>
                      </m:r>
                    </m:e>
                    <m:sub>
                      <m:r>
                        <a:rPr lang="en-US" sz="1100" b="0" i="1">
                          <a:solidFill>
                            <a:schemeClr val="tx1"/>
                          </a:solidFill>
                          <a:effectLst/>
                          <a:latin typeface="Cambria Math"/>
                          <a:ea typeface="+mn-ea"/>
                          <a:cs typeface="+mn-cs"/>
                        </a:rPr>
                        <m:t>𝐸𝑁𝐿</m:t>
                      </m:r>
                    </m:sub>
                  </m:sSub>
                </m:oMath>
              </a14:m>
              <a:r>
                <a:rPr lang="en-US" sz="1100"/>
                <a:t>)</a:t>
              </a:r>
            </a:p>
          </xdr:txBody>
        </xdr:sp>
      </mc:Choice>
      <mc:Fallback xmlns="">
        <xdr:sp macro="" textlink="">
          <xdr:nvSpPr>
            <xdr:cNvPr id="38" name="TextBox 37"/>
            <xdr:cNvSpPr txBox="1"/>
          </xdr:nvSpPr>
          <xdr:spPr>
            <a:xfrm>
              <a:off x="5774267" y="31312908"/>
              <a:ext cx="2342029" cy="353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𝑉_(𝐸𝑁_𝑆𝑆)</a:t>
              </a:r>
              <a:r>
                <a:rPr lang="en-US" sz="1100" b="0" i="0">
                  <a:latin typeface="Cambria Math"/>
                </a:rPr>
                <a:t>= </a:t>
              </a:r>
              <a:r>
                <a:rPr lang="en-US" sz="1100" b="0" i="0">
                  <a:solidFill>
                    <a:schemeClr val="tx1"/>
                  </a:solidFill>
                  <a:effectLst/>
                  <a:latin typeface="Cambria Math"/>
                  <a:ea typeface="+mn-ea"/>
                  <a:cs typeface="+mn-cs"/>
                </a:rPr>
                <a:t> (𝑅_𝐸𝑁𝐿 </a:t>
              </a:r>
              <a:r>
                <a:rPr lang="en-US" sz="1100" b="0" i="0">
                  <a:latin typeface="Cambria Math"/>
                </a:rPr>
                <a:t> ∗</a:t>
              </a:r>
              <a:r>
                <a:rPr lang="en-US" sz="1100" b="0" i="0">
                  <a:solidFill>
                    <a:schemeClr val="tx1"/>
                  </a:solidFill>
                  <a:effectLst/>
                  <a:latin typeface="Cambria Math"/>
                  <a:ea typeface="+mn-ea"/>
                  <a:cs typeface="+mn-cs"/>
                </a:rPr>
                <a:t>〖𝑉𝐼𝑁〗_𝑀𝐼𝑁)/(𝑅_𝐸𝑁𝐿+𝑅_𝐸𝑁𝑈 )</a:t>
              </a:r>
              <a:r>
                <a:rPr lang="en-US" sz="1100"/>
                <a:t> + (</a:t>
              </a:r>
              <a:r>
                <a:rPr lang="en-US" sz="1100" b="0" i="0">
                  <a:solidFill>
                    <a:schemeClr val="tx1"/>
                  </a:solidFill>
                  <a:effectLst/>
                  <a:latin typeface="+mn-lt"/>
                  <a:ea typeface="+mn-ea"/>
                  <a:cs typeface="+mn-cs"/>
                </a:rPr>
                <a:t>𝐼_𝑝</a:t>
              </a:r>
              <a:r>
                <a:rPr lang="en-US" sz="1100"/>
                <a:t>*</a:t>
              </a:r>
              <a:r>
                <a:rPr lang="en-US" sz="1100" b="0" i="0">
                  <a:solidFill>
                    <a:schemeClr val="tx1"/>
                  </a:solidFill>
                  <a:effectLst/>
                  <a:latin typeface="+mn-lt"/>
                  <a:ea typeface="+mn-ea"/>
                  <a:cs typeface="+mn-cs"/>
                </a:rPr>
                <a:t>𝑅_𝐸𝑁𝐿</a:t>
              </a:r>
              <a:r>
                <a:rPr lang="en-US" sz="1100"/>
                <a:t>)</a:t>
              </a:r>
            </a:p>
          </xdr:txBody>
        </xdr:sp>
      </mc:Fallback>
    </mc:AlternateContent>
    <xdr:clientData/>
  </xdr:oneCellAnchor>
  <mc:AlternateContent xmlns:mc="http://schemas.openxmlformats.org/markup-compatibility/2006">
    <mc:Choice xmlns:a14="http://schemas.microsoft.com/office/drawing/2010/main" Requires="a14">
      <xdr:twoCellAnchor editAs="oneCell">
        <xdr:from>
          <xdr:col>7</xdr:col>
          <xdr:colOff>66675</xdr:colOff>
          <xdr:row>2</xdr:row>
          <xdr:rowOff>600075</xdr:rowOff>
        </xdr:from>
        <xdr:to>
          <xdr:col>16</xdr:col>
          <xdr:colOff>581025</xdr:colOff>
          <xdr:row>23</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1.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6"/>
  <sheetViews>
    <sheetView tabSelected="1" zoomScale="85" zoomScaleNormal="85" workbookViewId="0">
      <selection activeCell="D32" sqref="D32"/>
    </sheetView>
  </sheetViews>
  <sheetFormatPr defaultRowHeight="15" x14ac:dyDescent="0.25"/>
  <cols>
    <col min="1" max="1" width="39.7109375" customWidth="1"/>
    <col min="2" max="2" width="11.5703125" style="7" hidden="1" customWidth="1"/>
    <col min="3" max="3" width="9" hidden="1" customWidth="1"/>
    <col min="4" max="4" width="11.42578125" style="7" customWidth="1"/>
    <col min="5" max="5" width="11.42578125" style="5" customWidth="1"/>
    <col min="6" max="6" width="64.140625" customWidth="1"/>
    <col min="10" max="10" width="12.28515625" bestFit="1" customWidth="1"/>
    <col min="19" max="19" width="11.42578125" bestFit="1" customWidth="1"/>
  </cols>
  <sheetData>
    <row r="1" spans="1:21" ht="23.25" x14ac:dyDescent="0.35">
      <c r="A1" s="165" t="s">
        <v>114</v>
      </c>
      <c r="B1" s="165"/>
      <c r="C1" s="165"/>
      <c r="D1" s="165"/>
      <c r="E1" s="165"/>
      <c r="F1" s="165"/>
    </row>
    <row r="2" spans="1:21" ht="14.25" customHeight="1" thickBot="1" x14ac:dyDescent="0.4">
      <c r="A2" s="117"/>
      <c r="B2" s="6"/>
      <c r="C2" s="117"/>
      <c r="D2" s="6"/>
      <c r="E2" s="117"/>
      <c r="F2" s="117"/>
      <c r="H2" s="110" t="s">
        <v>120</v>
      </c>
    </row>
    <row r="3" spans="1:21" ht="48.75" customHeight="1" thickBot="1" x14ac:dyDescent="0.3">
      <c r="A3" s="166" t="s">
        <v>115</v>
      </c>
      <c r="B3" s="166"/>
      <c r="C3" s="166"/>
      <c r="D3" s="166"/>
      <c r="E3" s="166"/>
      <c r="F3" s="166"/>
      <c r="S3" s="163" t="s">
        <v>98</v>
      </c>
      <c r="T3" s="164"/>
      <c r="U3" s="164"/>
    </row>
    <row r="4" spans="1:21" ht="19.5" customHeight="1" thickBot="1" x14ac:dyDescent="0.3">
      <c r="A4" s="4"/>
      <c r="B4" s="4"/>
      <c r="C4" s="4"/>
      <c r="D4" s="4"/>
      <c r="E4" s="4"/>
      <c r="F4" s="4"/>
      <c r="S4" s="141" t="s">
        <v>12</v>
      </c>
      <c r="T4" s="142" t="s">
        <v>1</v>
      </c>
      <c r="U4" s="142" t="s">
        <v>2</v>
      </c>
    </row>
    <row r="5" spans="1:21" ht="16.5" customHeight="1" thickBot="1" x14ac:dyDescent="0.3">
      <c r="A5" s="119" t="s">
        <v>91</v>
      </c>
      <c r="B5" s="120"/>
      <c r="C5" s="120"/>
      <c r="D5" s="120"/>
      <c r="E5" s="121"/>
      <c r="F5" s="20"/>
      <c r="S5" s="136" t="s">
        <v>23</v>
      </c>
      <c r="T5" s="143">
        <f>D20</f>
        <v>432</v>
      </c>
      <c r="U5" s="137" t="s">
        <v>106</v>
      </c>
    </row>
    <row r="6" spans="1:21" ht="16.5" thickBot="1" x14ac:dyDescent="0.3">
      <c r="A6" s="122" t="s">
        <v>72</v>
      </c>
      <c r="B6" s="123"/>
      <c r="C6" s="123"/>
      <c r="D6" s="123"/>
      <c r="E6" s="124"/>
      <c r="F6" s="4"/>
      <c r="S6" s="132" t="s">
        <v>102</v>
      </c>
      <c r="T6" s="133">
        <f>D74</f>
        <v>10</v>
      </c>
      <c r="U6" s="135" t="s">
        <v>106</v>
      </c>
    </row>
    <row r="7" spans="1:21" ht="16.5" thickBot="1" x14ac:dyDescent="0.3">
      <c r="A7" s="114" t="s">
        <v>89</v>
      </c>
      <c r="B7" s="115"/>
      <c r="C7" s="115"/>
      <c r="D7" s="115"/>
      <c r="E7" s="116"/>
      <c r="F7" s="4"/>
      <c r="S7" s="132" t="s">
        <v>103</v>
      </c>
      <c r="T7" s="133">
        <f>D77</f>
        <v>6.2</v>
      </c>
      <c r="U7" s="135" t="s">
        <v>106</v>
      </c>
    </row>
    <row r="8" spans="1:21" ht="16.5" thickBot="1" x14ac:dyDescent="0.3">
      <c r="A8" s="111" t="s">
        <v>90</v>
      </c>
      <c r="B8" s="112"/>
      <c r="C8" s="112"/>
      <c r="D8" s="112"/>
      <c r="E8" s="113"/>
      <c r="F8" s="4"/>
      <c r="S8" s="132" t="s">
        <v>99</v>
      </c>
      <c r="T8" s="134">
        <f>D56</f>
        <v>680</v>
      </c>
      <c r="U8" s="144" t="s">
        <v>8</v>
      </c>
    </row>
    <row r="9" spans="1:21" ht="41.65" customHeight="1" x14ac:dyDescent="0.25">
      <c r="A9" s="4"/>
      <c r="B9" s="4"/>
      <c r="C9" s="4"/>
      <c r="D9" s="11"/>
      <c r="E9" s="4"/>
      <c r="F9" s="4"/>
      <c r="J9" s="103"/>
      <c r="S9" s="132" t="s">
        <v>101</v>
      </c>
      <c r="T9" s="133">
        <f>D25</f>
        <v>15</v>
      </c>
      <c r="U9" s="144" t="s">
        <v>6</v>
      </c>
    </row>
    <row r="10" spans="1:21" ht="27" customHeight="1" thickBot="1" x14ac:dyDescent="0.3">
      <c r="A10" s="162" t="s">
        <v>92</v>
      </c>
      <c r="B10" s="162"/>
      <c r="C10" s="162"/>
      <c r="D10" s="162"/>
      <c r="E10" s="162"/>
      <c r="F10" s="162"/>
      <c r="S10" s="132" t="s">
        <v>43</v>
      </c>
      <c r="T10" s="133">
        <f>D68</f>
        <v>3.62</v>
      </c>
      <c r="U10" s="135" t="s">
        <v>106</v>
      </c>
    </row>
    <row r="11" spans="1:21" s="10" customFormat="1" ht="15.75" thickBot="1" x14ac:dyDescent="0.3">
      <c r="A11" s="21" t="s">
        <v>48</v>
      </c>
      <c r="B11" s="22"/>
      <c r="C11" s="23"/>
      <c r="D11" s="22" t="s">
        <v>1</v>
      </c>
      <c r="E11" s="24" t="s">
        <v>2</v>
      </c>
      <c r="F11" s="95" t="s">
        <v>3</v>
      </c>
      <c r="S11" s="132" t="s">
        <v>44</v>
      </c>
      <c r="T11" s="133">
        <f>D69</f>
        <v>131.37</v>
      </c>
      <c r="U11" s="144" t="s">
        <v>10</v>
      </c>
    </row>
    <row r="12" spans="1:21" x14ac:dyDescent="0.25">
      <c r="A12" s="25" t="s">
        <v>51</v>
      </c>
      <c r="B12" s="26"/>
      <c r="C12" s="27"/>
      <c r="D12" s="84">
        <v>3.125</v>
      </c>
      <c r="E12" s="28" t="s">
        <v>4</v>
      </c>
      <c r="F12" s="29" t="s">
        <v>77</v>
      </c>
      <c r="S12" s="132" t="s">
        <v>100</v>
      </c>
      <c r="T12" s="133">
        <f>D70</f>
        <v>4316.54</v>
      </c>
      <c r="U12" s="144" t="s">
        <v>15</v>
      </c>
    </row>
    <row r="13" spans="1:21" x14ac:dyDescent="0.25">
      <c r="A13" s="30" t="s">
        <v>52</v>
      </c>
      <c r="B13" s="9"/>
      <c r="C13" s="8"/>
      <c r="D13" s="85">
        <v>3.4750000000000001</v>
      </c>
      <c r="E13" s="3" t="s">
        <v>4</v>
      </c>
      <c r="F13" s="31" t="s">
        <v>78</v>
      </c>
      <c r="S13" s="132" t="s">
        <v>22</v>
      </c>
      <c r="T13" s="134">
        <f>D41</f>
        <v>197.6</v>
      </c>
      <c r="U13" s="144" t="s">
        <v>8</v>
      </c>
    </row>
    <row r="14" spans="1:21" x14ac:dyDescent="0.25">
      <c r="A14" s="30" t="s">
        <v>53</v>
      </c>
      <c r="B14" s="9"/>
      <c r="C14" s="8"/>
      <c r="D14" s="85">
        <v>2.1</v>
      </c>
      <c r="E14" s="3" t="s">
        <v>4</v>
      </c>
      <c r="F14" s="31" t="s">
        <v>24</v>
      </c>
      <c r="S14" s="132" t="s">
        <v>104</v>
      </c>
      <c r="T14" s="133">
        <f>D94</f>
        <v>38.299999999999997</v>
      </c>
      <c r="U14" s="135" t="s">
        <v>106</v>
      </c>
    </row>
    <row r="15" spans="1:21" x14ac:dyDescent="0.25">
      <c r="A15" s="30" t="s">
        <v>54</v>
      </c>
      <c r="B15" s="9"/>
      <c r="C15" s="8"/>
      <c r="D15" s="83">
        <v>3</v>
      </c>
      <c r="E15" s="3" t="s">
        <v>5</v>
      </c>
      <c r="F15" s="31" t="s">
        <v>25</v>
      </c>
      <c r="I15" s="1"/>
      <c r="S15" s="132" t="s">
        <v>105</v>
      </c>
      <c r="T15" s="133">
        <f>D95</f>
        <v>20.86</v>
      </c>
      <c r="U15" s="135" t="s">
        <v>106</v>
      </c>
    </row>
    <row r="16" spans="1:21" ht="30" x14ac:dyDescent="0.25">
      <c r="A16" s="30" t="s">
        <v>55</v>
      </c>
      <c r="B16" s="9">
        <f>D16*1000</f>
        <v>119300</v>
      </c>
      <c r="C16" s="8"/>
      <c r="D16" s="85">
        <v>119.3</v>
      </c>
      <c r="E16" s="3" t="s">
        <v>16</v>
      </c>
      <c r="F16" s="86" t="s">
        <v>74</v>
      </c>
      <c r="S16" s="132" t="s">
        <v>107</v>
      </c>
      <c r="T16" s="133">
        <f>D93</f>
        <v>15.55</v>
      </c>
      <c r="U16" s="144" t="s">
        <v>10</v>
      </c>
    </row>
    <row r="17" spans="1:21" ht="45.75" thickBot="1" x14ac:dyDescent="0.3">
      <c r="A17" s="32" t="s">
        <v>56</v>
      </c>
      <c r="B17" s="33">
        <f>D17/100</f>
        <v>0.15460000000000002</v>
      </c>
      <c r="C17" s="34"/>
      <c r="D17" s="33">
        <v>15.46</v>
      </c>
      <c r="E17" s="35" t="s">
        <v>14</v>
      </c>
      <c r="F17" s="36" t="s">
        <v>71</v>
      </c>
      <c r="J17" s="1"/>
      <c r="S17" s="130" t="s">
        <v>21</v>
      </c>
      <c r="T17" s="131">
        <v>470</v>
      </c>
      <c r="U17" s="145" t="s">
        <v>10</v>
      </c>
    </row>
    <row r="18" spans="1:21" ht="27" customHeight="1" thickBot="1" x14ac:dyDescent="0.3">
      <c r="A18" s="4"/>
      <c r="B18" s="4"/>
      <c r="C18" s="4"/>
      <c r="D18" s="4"/>
      <c r="E18" s="4"/>
      <c r="F18" s="4"/>
      <c r="S18" s="140"/>
      <c r="T18" s="138"/>
      <c r="U18" s="139"/>
    </row>
    <row r="19" spans="1:21" ht="15.75" thickBot="1" x14ac:dyDescent="0.3">
      <c r="A19" s="21" t="s">
        <v>49</v>
      </c>
      <c r="B19" s="87"/>
      <c r="C19" s="88"/>
      <c r="D19" s="22" t="s">
        <v>1</v>
      </c>
      <c r="E19" s="24" t="s">
        <v>2</v>
      </c>
      <c r="F19" s="96" t="s">
        <v>0</v>
      </c>
    </row>
    <row r="20" spans="1:21" ht="34.5" customHeight="1" x14ac:dyDescent="0.25">
      <c r="A20" s="40" t="s">
        <v>26</v>
      </c>
      <c r="B20" s="41">
        <f>67009*D16^(-1.0549)</f>
        <v>432.00137868453061</v>
      </c>
      <c r="C20" s="42"/>
      <c r="D20" s="41">
        <f>ROUND(B20,1)</f>
        <v>432</v>
      </c>
      <c r="E20" s="43" t="s">
        <v>11</v>
      </c>
      <c r="F20" s="44"/>
    </row>
    <row r="21" spans="1:21" ht="30" customHeight="1" thickBot="1" x14ac:dyDescent="0.3">
      <c r="A21" s="45" t="s">
        <v>27</v>
      </c>
      <c r="B21" s="46">
        <f>(D13-D14)/D15/B17*D14/D13/B16</f>
        <v>1.5017443130756658E-5</v>
      </c>
      <c r="C21" s="47"/>
      <c r="D21" s="46">
        <f>ROUND(B21*10^6,2)</f>
        <v>15.02</v>
      </c>
      <c r="E21" s="48" t="s">
        <v>6</v>
      </c>
      <c r="F21" s="49"/>
    </row>
    <row r="22" spans="1:21" ht="35.25" customHeight="1" x14ac:dyDescent="0.25">
      <c r="A22" s="118"/>
      <c r="B22" s="118"/>
      <c r="C22" s="118"/>
      <c r="D22" s="118"/>
      <c r="E22" s="118"/>
      <c r="F22" s="118"/>
      <c r="S22" s="10"/>
      <c r="T22" s="10"/>
      <c r="U22" s="10"/>
    </row>
    <row r="23" spans="1:21" ht="15.75" customHeight="1" thickBot="1" x14ac:dyDescent="0.3">
      <c r="A23" s="162" t="s">
        <v>111</v>
      </c>
      <c r="B23" s="162"/>
      <c r="C23" s="162"/>
      <c r="D23" s="162"/>
      <c r="E23" s="162"/>
      <c r="F23" s="162"/>
    </row>
    <row r="24" spans="1:21" s="10" customFormat="1" ht="15.75" thickBot="1" x14ac:dyDescent="0.3">
      <c r="A24" s="21" t="s">
        <v>48</v>
      </c>
      <c r="B24" s="22"/>
      <c r="C24" s="23"/>
      <c r="D24" s="22" t="s">
        <v>1</v>
      </c>
      <c r="E24" s="24" t="s">
        <v>2</v>
      </c>
      <c r="F24" s="95" t="s">
        <v>3</v>
      </c>
      <c r="S24"/>
      <c r="T24"/>
      <c r="U24"/>
    </row>
    <row r="25" spans="1:21" ht="30.75" thickBot="1" x14ac:dyDescent="0.3">
      <c r="A25" s="50" t="s">
        <v>75</v>
      </c>
      <c r="B25" s="51">
        <f>D25*10^-6</f>
        <v>1.4999999999999999E-5</v>
      </c>
      <c r="C25" s="52"/>
      <c r="D25" s="51">
        <v>15</v>
      </c>
      <c r="E25" s="53" t="s">
        <v>6</v>
      </c>
      <c r="F25" s="54" t="s">
        <v>76</v>
      </c>
    </row>
    <row r="26" spans="1:21" ht="15.75" thickBot="1" x14ac:dyDescent="0.3">
      <c r="A26" s="4"/>
      <c r="B26" s="4"/>
      <c r="C26" s="4"/>
      <c r="D26" s="4"/>
      <c r="E26" s="4"/>
      <c r="F26" s="4"/>
    </row>
    <row r="27" spans="1:21" ht="15.75" thickBot="1" x14ac:dyDescent="0.3">
      <c r="A27" s="21" t="s">
        <v>49</v>
      </c>
      <c r="B27" s="87"/>
      <c r="C27" s="88"/>
      <c r="D27" s="22" t="s">
        <v>1</v>
      </c>
      <c r="E27" s="24" t="s">
        <v>2</v>
      </c>
      <c r="F27" s="96" t="s">
        <v>0</v>
      </c>
    </row>
    <row r="28" spans="1:21" ht="30" customHeight="1" x14ac:dyDescent="0.25">
      <c r="A28" s="40" t="s">
        <v>88</v>
      </c>
      <c r="B28" s="41"/>
      <c r="C28" s="43"/>
      <c r="D28" s="100">
        <f>B29/B30</f>
        <v>0.15462551043344783</v>
      </c>
      <c r="E28" s="43" t="s">
        <v>5</v>
      </c>
      <c r="F28" s="44"/>
    </row>
    <row r="29" spans="1:21" ht="30" customHeight="1" x14ac:dyDescent="0.25">
      <c r="A29" s="101" t="s">
        <v>28</v>
      </c>
      <c r="B29" s="37">
        <f>(D13-D14)/B25*D14/D13/B16</f>
        <v>0.46433934160299595</v>
      </c>
      <c r="C29" s="38"/>
      <c r="D29" s="37">
        <f>ROUND(B29,3)</f>
        <v>0.46400000000000002</v>
      </c>
      <c r="E29" s="38" t="s">
        <v>5</v>
      </c>
      <c r="F29" s="102"/>
    </row>
    <row r="30" spans="1:21" ht="31.15" customHeight="1" x14ac:dyDescent="0.25">
      <c r="A30" s="55" t="s">
        <v>29</v>
      </c>
      <c r="B30" s="12">
        <f>SQRT(D15^2+1/12*((D14*(D13-D14)/D13/B25/B16))^2)</f>
        <v>3.0029931044454119</v>
      </c>
      <c r="C30" s="14"/>
      <c r="D30" s="12">
        <f>ROUND(B30,3)</f>
        <v>3.0030000000000001</v>
      </c>
      <c r="E30" s="14" t="s">
        <v>5</v>
      </c>
      <c r="F30" s="56"/>
    </row>
    <row r="31" spans="1:21" ht="32.25" customHeight="1" x14ac:dyDescent="0.25">
      <c r="A31" s="57" t="s">
        <v>30</v>
      </c>
      <c r="B31" s="12">
        <f>D15+B29/2</f>
        <v>3.2321696708014978</v>
      </c>
      <c r="C31" s="14"/>
      <c r="D31" s="12">
        <f>ROUND(B31,3)</f>
        <v>3.2320000000000002</v>
      </c>
      <c r="E31" s="14" t="s">
        <v>5</v>
      </c>
      <c r="F31" s="56"/>
    </row>
    <row r="32" spans="1:21" ht="33" customHeight="1" x14ac:dyDescent="0.25">
      <c r="A32" s="57" t="s">
        <v>113</v>
      </c>
      <c r="B32" s="12">
        <f>1/B16*D14/D13</f>
        <v>5.0655200902145008E-6</v>
      </c>
      <c r="C32" s="14"/>
      <c r="D32" s="12">
        <f>ROUND(B32*10^6,3)</f>
        <v>5.0659999999999998</v>
      </c>
      <c r="E32" s="14" t="s">
        <v>50</v>
      </c>
      <c r="F32" s="56"/>
    </row>
    <row r="33" spans="1:21" ht="25.5" customHeight="1" x14ac:dyDescent="0.25">
      <c r="S33" s="10"/>
      <c r="T33" s="10"/>
      <c r="U33" s="10"/>
    </row>
    <row r="34" spans="1:21" ht="15.75" thickBot="1" x14ac:dyDescent="0.3">
      <c r="A34" s="4"/>
      <c r="B34" s="4"/>
      <c r="C34" s="4"/>
      <c r="D34" s="4"/>
      <c r="E34" s="4"/>
      <c r="F34" s="4"/>
    </row>
    <row r="35" spans="1:21" ht="15.75" thickBot="1" x14ac:dyDescent="0.3">
      <c r="A35" s="89" t="s">
        <v>73</v>
      </c>
      <c r="B35" s="90"/>
      <c r="C35" s="91"/>
      <c r="D35" s="90" t="s">
        <v>1</v>
      </c>
      <c r="E35" s="92" t="s">
        <v>2</v>
      </c>
      <c r="F35" s="99" t="s">
        <v>3</v>
      </c>
    </row>
    <row r="36" spans="1:21" ht="15.75" thickBot="1" x14ac:dyDescent="0.3">
      <c r="A36" s="126" t="s">
        <v>87</v>
      </c>
      <c r="B36" s="127"/>
      <c r="C36" s="128"/>
      <c r="D36" s="127">
        <v>11</v>
      </c>
      <c r="E36" s="129" t="s">
        <v>5</v>
      </c>
      <c r="F36" s="76" t="s">
        <v>81</v>
      </c>
    </row>
    <row r="37" spans="1:21" x14ac:dyDescent="0.25">
      <c r="A37" s="4"/>
      <c r="B37" s="4"/>
      <c r="C37" s="4"/>
      <c r="D37" s="4"/>
      <c r="E37" s="4"/>
      <c r="F37" s="4"/>
    </row>
    <row r="38" spans="1:21" ht="29.65" customHeight="1" x14ac:dyDescent="0.25">
      <c r="S38" s="10"/>
      <c r="T38" s="10"/>
      <c r="U38" s="10"/>
    </row>
    <row r="39" spans="1:21" ht="15.75" customHeight="1" thickBot="1" x14ac:dyDescent="0.3">
      <c r="A39" s="162" t="s">
        <v>116</v>
      </c>
      <c r="B39" s="162"/>
      <c r="C39" s="162"/>
      <c r="D39" s="162"/>
      <c r="E39" s="162"/>
      <c r="F39" s="162"/>
    </row>
    <row r="40" spans="1:21" s="10" customFormat="1" ht="15.75" thickBot="1" x14ac:dyDescent="0.3">
      <c r="A40" s="21" t="s">
        <v>48</v>
      </c>
      <c r="B40" s="22"/>
      <c r="C40" s="23"/>
      <c r="D40" s="22" t="s">
        <v>1</v>
      </c>
      <c r="E40" s="24" t="s">
        <v>2</v>
      </c>
      <c r="F40" s="95" t="s">
        <v>3</v>
      </c>
      <c r="S40"/>
      <c r="T40"/>
      <c r="U40"/>
    </row>
    <row r="41" spans="1:21" x14ac:dyDescent="0.25">
      <c r="A41" s="25" t="s">
        <v>22</v>
      </c>
      <c r="B41" s="26">
        <f>D41/10^6</f>
        <v>1.9760000000000001E-4</v>
      </c>
      <c r="C41" s="27"/>
      <c r="D41" s="26">
        <v>197.6</v>
      </c>
      <c r="E41" s="28" t="s">
        <v>8</v>
      </c>
      <c r="F41" s="44" t="s">
        <v>31</v>
      </c>
    </row>
    <row r="42" spans="1:21" x14ac:dyDescent="0.25">
      <c r="A42" s="30" t="s">
        <v>58</v>
      </c>
      <c r="B42" s="9"/>
      <c r="C42" s="8"/>
      <c r="D42" s="9">
        <v>3</v>
      </c>
      <c r="E42" s="3" t="s">
        <v>5</v>
      </c>
      <c r="F42" s="56" t="s">
        <v>32</v>
      </c>
    </row>
    <row r="43" spans="1:21" x14ac:dyDescent="0.25">
      <c r="A43" s="30" t="s">
        <v>59</v>
      </c>
      <c r="B43" s="9">
        <f>D43/100</f>
        <v>0.04</v>
      </c>
      <c r="C43" s="8"/>
      <c r="D43" s="9">
        <v>4</v>
      </c>
      <c r="E43" s="3" t="s">
        <v>14</v>
      </c>
      <c r="F43" s="56" t="s">
        <v>33</v>
      </c>
    </row>
    <row r="44" spans="1:21" ht="15.75" thickBot="1" x14ac:dyDescent="0.3">
      <c r="A44" s="32" t="s">
        <v>60</v>
      </c>
      <c r="B44" s="33">
        <f>D44/1000</f>
        <v>0.01</v>
      </c>
      <c r="C44" s="34"/>
      <c r="D44" s="33">
        <v>10</v>
      </c>
      <c r="E44" s="35" t="s">
        <v>57</v>
      </c>
      <c r="F44" s="49" t="s">
        <v>34</v>
      </c>
    </row>
    <row r="45" spans="1:21" ht="15.75" thickBot="1" x14ac:dyDescent="0.3">
      <c r="A45" s="4"/>
      <c r="B45" s="4"/>
      <c r="C45" s="4"/>
      <c r="D45" s="4"/>
      <c r="E45" s="4"/>
      <c r="F45" s="4"/>
    </row>
    <row r="46" spans="1:21" ht="15.75" thickBot="1" x14ac:dyDescent="0.3">
      <c r="A46" s="21" t="s">
        <v>49</v>
      </c>
      <c r="B46" s="87"/>
      <c r="C46" s="88"/>
      <c r="D46" s="22" t="s">
        <v>1</v>
      </c>
      <c r="E46" s="24" t="s">
        <v>2</v>
      </c>
      <c r="F46" s="96" t="s">
        <v>0</v>
      </c>
    </row>
    <row r="47" spans="1:21" ht="45.4" customHeight="1" x14ac:dyDescent="0.25">
      <c r="A47" s="62" t="s">
        <v>35</v>
      </c>
      <c r="B47" s="41">
        <f>D15*SQRT(D14/D12*(D12-D14)/D12)</f>
        <v>1.4084544721076362</v>
      </c>
      <c r="C47" s="42"/>
      <c r="D47" s="41">
        <f>ROUND(B47,2)</f>
        <v>1.41</v>
      </c>
      <c r="E47" s="43" t="s">
        <v>5</v>
      </c>
      <c r="F47" s="44"/>
    </row>
    <row r="48" spans="1:21" ht="33" customHeight="1" x14ac:dyDescent="0.25">
      <c r="A48" s="55" t="s">
        <v>36</v>
      </c>
      <c r="B48" s="12">
        <f>D15*D14/D12*(1-D14/D12)/B41/B16</f>
        <v>2.8050266229116539E-2</v>
      </c>
      <c r="C48" s="13"/>
      <c r="D48" s="12">
        <f>ROUND(B48*10^3,3)</f>
        <v>28.05</v>
      </c>
      <c r="E48" s="14" t="s">
        <v>7</v>
      </c>
      <c r="F48" s="56"/>
    </row>
    <row r="49" spans="1:21" ht="33.75" customHeight="1" x14ac:dyDescent="0.25">
      <c r="A49" s="63" t="s">
        <v>37</v>
      </c>
      <c r="B49" s="12">
        <f>2*D42/B16/(B43*D14)</f>
        <v>5.9873069093521725E-4</v>
      </c>
      <c r="C49" s="13"/>
      <c r="D49" s="12">
        <f>ROUND(B49*10^6,2)</f>
        <v>598.73</v>
      </c>
      <c r="E49" s="14" t="s">
        <v>8</v>
      </c>
      <c r="F49" s="56"/>
    </row>
    <row r="50" spans="1:21" ht="30" x14ac:dyDescent="0.25">
      <c r="A50" s="63" t="s">
        <v>38</v>
      </c>
      <c r="B50" s="12">
        <f>1/8/B16*B29/B44</f>
        <v>4.8652487594613985E-5</v>
      </c>
      <c r="C50" s="13"/>
      <c r="D50" s="12">
        <f>ROUND(B50*10^6,2)</f>
        <v>48.65</v>
      </c>
      <c r="E50" s="14" t="s">
        <v>8</v>
      </c>
      <c r="F50" s="56"/>
    </row>
    <row r="51" spans="1:21" ht="33.75" customHeight="1" x14ac:dyDescent="0.25">
      <c r="A51" s="63" t="s">
        <v>112</v>
      </c>
      <c r="B51" s="12">
        <f>B44/B29</f>
        <v>2.1535974025974024E-2</v>
      </c>
      <c r="C51" s="13"/>
      <c r="D51" s="12">
        <f>ROUND(B51*10^3,2)</f>
        <v>21.54</v>
      </c>
      <c r="E51" s="14" t="s">
        <v>61</v>
      </c>
      <c r="F51" s="56"/>
    </row>
    <row r="52" spans="1:21" ht="36" customHeight="1" thickBot="1" x14ac:dyDescent="0.3">
      <c r="A52" s="45" t="s">
        <v>39</v>
      </c>
      <c r="B52" s="46">
        <f>D14*(D13-D14)/SQRT(12)/D13/B25/B16</f>
        <v>0.13404322193491167</v>
      </c>
      <c r="C52" s="47"/>
      <c r="D52" s="46">
        <f>ROUND(B52,3)</f>
        <v>0.13400000000000001</v>
      </c>
      <c r="E52" s="48" t="s">
        <v>5</v>
      </c>
      <c r="F52" s="49"/>
      <c r="J52" s="1"/>
    </row>
    <row r="53" spans="1:21" ht="29.65" customHeight="1" x14ac:dyDescent="0.25">
      <c r="S53" s="10"/>
      <c r="T53" s="10"/>
      <c r="U53" s="10"/>
    </row>
    <row r="54" spans="1:21" ht="15.75" customHeight="1" thickBot="1" x14ac:dyDescent="0.3">
      <c r="A54" s="162" t="s">
        <v>117</v>
      </c>
      <c r="B54" s="162"/>
      <c r="C54" s="162"/>
      <c r="D54" s="162"/>
      <c r="E54" s="162"/>
      <c r="F54" s="162"/>
    </row>
    <row r="55" spans="1:21" s="10" customFormat="1" ht="15.75" thickBot="1" x14ac:dyDescent="0.3">
      <c r="A55" s="21" t="s">
        <v>48</v>
      </c>
      <c r="B55" s="22"/>
      <c r="C55" s="23"/>
      <c r="D55" s="22" t="s">
        <v>1</v>
      </c>
      <c r="E55" s="24" t="s">
        <v>2</v>
      </c>
      <c r="F55" s="95" t="s">
        <v>3</v>
      </c>
      <c r="S55"/>
      <c r="T55"/>
      <c r="U55"/>
    </row>
    <row r="56" spans="1:21" ht="45" x14ac:dyDescent="0.25">
      <c r="A56" s="64" t="s">
        <v>96</v>
      </c>
      <c r="B56" s="26">
        <f>D56/10^6</f>
        <v>6.8000000000000005E-4</v>
      </c>
      <c r="C56" s="27"/>
      <c r="D56" s="26">
        <v>680</v>
      </c>
      <c r="E56" s="28" t="s">
        <v>8</v>
      </c>
      <c r="F56" s="65" t="s">
        <v>121</v>
      </c>
    </row>
    <row r="57" spans="1:21" x14ac:dyDescent="0.25">
      <c r="A57" s="66" t="s">
        <v>79</v>
      </c>
      <c r="B57" s="9">
        <f>D57/10^3</f>
        <v>2.3E-2</v>
      </c>
      <c r="C57" s="8"/>
      <c r="D57" s="9">
        <v>23</v>
      </c>
      <c r="E57" s="3" t="s">
        <v>61</v>
      </c>
      <c r="F57" s="56" t="s">
        <v>40</v>
      </c>
    </row>
    <row r="58" spans="1:21" ht="45.75" thickBot="1" x14ac:dyDescent="0.3">
      <c r="A58" s="67" t="s">
        <v>62</v>
      </c>
      <c r="B58" s="33">
        <f>D58*10^3</f>
        <v>10000</v>
      </c>
      <c r="C58" s="34"/>
      <c r="D58" s="33">
        <v>10</v>
      </c>
      <c r="E58" s="35" t="s">
        <v>16</v>
      </c>
      <c r="F58" s="93" t="s">
        <v>122</v>
      </c>
    </row>
    <row r="59" spans="1:21" ht="15.75" thickBot="1" x14ac:dyDescent="0.3">
      <c r="A59" s="4"/>
      <c r="B59" s="4"/>
      <c r="C59" s="4"/>
      <c r="D59" s="4"/>
      <c r="E59" s="4"/>
      <c r="F59" s="4"/>
    </row>
    <row r="60" spans="1:21" ht="15.75" thickBot="1" x14ac:dyDescent="0.3">
      <c r="A60" s="89" t="s">
        <v>73</v>
      </c>
      <c r="B60" s="90"/>
      <c r="C60" s="91"/>
      <c r="D60" s="90" t="s">
        <v>1</v>
      </c>
      <c r="E60" s="92" t="s">
        <v>2</v>
      </c>
      <c r="F60" s="99" t="s">
        <v>3</v>
      </c>
    </row>
    <row r="61" spans="1:21" x14ac:dyDescent="0.25">
      <c r="A61" s="68" t="s">
        <v>66</v>
      </c>
      <c r="B61" s="69"/>
      <c r="C61" s="70"/>
      <c r="D61" s="69">
        <v>22</v>
      </c>
      <c r="E61" s="71" t="s">
        <v>65</v>
      </c>
      <c r="F61" s="44" t="s">
        <v>81</v>
      </c>
    </row>
    <row r="62" spans="1:21" x14ac:dyDescent="0.25">
      <c r="A62" s="94" t="s">
        <v>63</v>
      </c>
      <c r="B62" s="19">
        <f>D62/10^6</f>
        <v>1.4E-3</v>
      </c>
      <c r="C62" s="18"/>
      <c r="D62" s="19">
        <v>1400</v>
      </c>
      <c r="E62" s="16" t="s">
        <v>64</v>
      </c>
      <c r="F62" s="56" t="s">
        <v>81</v>
      </c>
    </row>
    <row r="63" spans="1:21" ht="15.75" thickBot="1" x14ac:dyDescent="0.3">
      <c r="A63" s="72" t="s">
        <v>80</v>
      </c>
      <c r="B63" s="73"/>
      <c r="C63" s="74"/>
      <c r="D63" s="73">
        <v>0.80400000000000005</v>
      </c>
      <c r="E63" s="75" t="s">
        <v>4</v>
      </c>
      <c r="F63" s="49" t="s">
        <v>81</v>
      </c>
    </row>
    <row r="64" spans="1:21" ht="15.75" thickBot="1" x14ac:dyDescent="0.3">
      <c r="A64" s="4"/>
      <c r="B64" s="4"/>
      <c r="C64" s="4"/>
      <c r="D64" s="4"/>
      <c r="E64" s="4"/>
      <c r="F64" s="4"/>
    </row>
    <row r="65" spans="1:21" ht="15.75" thickBot="1" x14ac:dyDescent="0.3">
      <c r="A65" s="21" t="s">
        <v>49</v>
      </c>
      <c r="B65" s="87"/>
      <c r="C65" s="88"/>
      <c r="D65" s="22" t="s">
        <v>1</v>
      </c>
      <c r="E65" s="24" t="s">
        <v>2</v>
      </c>
      <c r="F65" s="96" t="s">
        <v>0</v>
      </c>
    </row>
    <row r="66" spans="1:21" ht="34.9" customHeight="1" x14ac:dyDescent="0.25">
      <c r="A66" s="40" t="s">
        <v>41</v>
      </c>
      <c r="B66" s="41">
        <f>D15/D14/B56/2/PI()</f>
        <v>334.35912414263726</v>
      </c>
      <c r="C66" s="42"/>
      <c r="D66" s="41">
        <f>ROUND(B66/10^3,2)</f>
        <v>0.33</v>
      </c>
      <c r="E66" s="43" t="s">
        <v>16</v>
      </c>
      <c r="F66" s="44"/>
    </row>
    <row r="67" spans="1:21" ht="32.25" customHeight="1" x14ac:dyDescent="0.25">
      <c r="A67" s="55" t="s">
        <v>42</v>
      </c>
      <c r="B67" s="12">
        <f>1/2/PI()/B57/B56</f>
        <v>10176.147256515047</v>
      </c>
      <c r="C67" s="13"/>
      <c r="D67" s="12">
        <f>ROUND(B67/10^3,2)</f>
        <v>10.18</v>
      </c>
      <c r="E67" s="14" t="s">
        <v>16</v>
      </c>
      <c r="F67" s="56"/>
    </row>
    <row r="68" spans="1:21" ht="41.25" customHeight="1" x14ac:dyDescent="0.25">
      <c r="A68" s="55" t="s">
        <v>43</v>
      </c>
      <c r="B68" s="12">
        <f>2*PI()*B58*B56*D14/B62/D63/D61</f>
        <v>3623.2751092962349</v>
      </c>
      <c r="C68" s="13"/>
      <c r="D68" s="12">
        <f>ROUND(B68/10^3,2)</f>
        <v>3.62</v>
      </c>
      <c r="E68" s="14" t="s">
        <v>11</v>
      </c>
      <c r="F68" s="56"/>
    </row>
    <row r="69" spans="1:21" ht="33.4" customHeight="1" x14ac:dyDescent="0.25">
      <c r="A69" s="55" t="s">
        <v>44</v>
      </c>
      <c r="B69" s="12">
        <f>D14*B56/B68/D15</f>
        <v>1.3137285622577407E-7</v>
      </c>
      <c r="C69" s="13"/>
      <c r="D69" s="12">
        <f>ROUND(B69*10^9,2)</f>
        <v>131.37</v>
      </c>
      <c r="E69" s="14" t="s">
        <v>10</v>
      </c>
      <c r="F69" s="56"/>
    </row>
    <row r="70" spans="1:21" ht="32.25" customHeight="1" thickBot="1" x14ac:dyDescent="0.3">
      <c r="A70" s="45" t="s">
        <v>45</v>
      </c>
      <c r="B70" s="46">
        <f>1/2/PI()/B68/B67</f>
        <v>4.3165367045611469E-9</v>
      </c>
      <c r="C70" s="47"/>
      <c r="D70" s="46">
        <f>ROUND(B70*10^12,2)</f>
        <v>4316.54</v>
      </c>
      <c r="E70" s="48" t="s">
        <v>15</v>
      </c>
      <c r="F70" s="49"/>
      <c r="L70" s="1"/>
    </row>
    <row r="71" spans="1:21" ht="28.5" customHeight="1" x14ac:dyDescent="0.25">
      <c r="S71" s="10"/>
      <c r="T71" s="10"/>
      <c r="U71" s="10"/>
    </row>
    <row r="72" spans="1:21" ht="15.75" customHeight="1" thickBot="1" x14ac:dyDescent="0.3">
      <c r="A72" s="162" t="s">
        <v>118</v>
      </c>
      <c r="B72" s="162"/>
      <c r="C72" s="162"/>
      <c r="D72" s="162"/>
      <c r="E72" s="162"/>
      <c r="F72" s="162"/>
    </row>
    <row r="73" spans="1:21" s="10" customFormat="1" ht="15.75" thickBot="1" x14ac:dyDescent="0.3">
      <c r="A73" s="21" t="s">
        <v>48</v>
      </c>
      <c r="B73" s="22"/>
      <c r="C73" s="23"/>
      <c r="D73" s="22" t="s">
        <v>1</v>
      </c>
      <c r="E73" s="24" t="s">
        <v>2</v>
      </c>
      <c r="F73" s="95" t="s">
        <v>3</v>
      </c>
      <c r="S73"/>
      <c r="T73"/>
      <c r="U73"/>
    </row>
    <row r="74" spans="1:21" ht="18.75" thickBot="1" x14ac:dyDescent="0.3">
      <c r="A74" s="58" t="s">
        <v>82</v>
      </c>
      <c r="B74" s="59">
        <f>D74*10^3</f>
        <v>10000</v>
      </c>
      <c r="C74" s="60"/>
      <c r="D74" s="59">
        <v>10</v>
      </c>
      <c r="E74" s="61" t="s">
        <v>11</v>
      </c>
      <c r="F74" s="125" t="s">
        <v>97</v>
      </c>
    </row>
    <row r="75" spans="1:21" ht="15.75" thickBot="1" x14ac:dyDescent="0.3">
      <c r="A75" s="4"/>
      <c r="B75" s="4"/>
      <c r="C75" s="4"/>
      <c r="D75" s="4"/>
      <c r="E75" s="4"/>
      <c r="F75" s="4"/>
    </row>
    <row r="76" spans="1:21" ht="15.75" thickBot="1" x14ac:dyDescent="0.3">
      <c r="A76" s="21" t="s">
        <v>49</v>
      </c>
      <c r="B76" s="87"/>
      <c r="C76" s="88"/>
      <c r="D76" s="22" t="s">
        <v>1</v>
      </c>
      <c r="E76" s="24" t="s">
        <v>2</v>
      </c>
      <c r="F76" s="39" t="s">
        <v>0</v>
      </c>
    </row>
    <row r="77" spans="1:21" ht="36.4" customHeight="1" thickBot="1" x14ac:dyDescent="0.3">
      <c r="A77" s="77" t="s">
        <v>83</v>
      </c>
      <c r="B77" s="78">
        <f>D63/(D14-D63)*B74</f>
        <v>6203.7037037037035</v>
      </c>
      <c r="C77" s="79"/>
      <c r="D77" s="78">
        <f>ROUND(B77/10^3,2)</f>
        <v>6.2</v>
      </c>
      <c r="E77" s="80" t="s">
        <v>11</v>
      </c>
      <c r="F77" s="76"/>
    </row>
    <row r="78" spans="1:21" ht="29.65" customHeight="1" x14ac:dyDescent="0.25">
      <c r="S78" s="97"/>
      <c r="T78" s="97"/>
      <c r="U78" s="97"/>
    </row>
    <row r="79" spans="1:21" ht="15.75" customHeight="1" thickBot="1" x14ac:dyDescent="0.3">
      <c r="A79" s="162" t="s">
        <v>119</v>
      </c>
      <c r="B79" s="162"/>
      <c r="C79" s="162"/>
      <c r="D79" s="162"/>
      <c r="E79" s="162"/>
      <c r="F79" s="162"/>
    </row>
    <row r="80" spans="1:21" s="97" customFormat="1" ht="15.75" thickBot="1" x14ac:dyDescent="0.3">
      <c r="A80" s="21" t="s">
        <v>48</v>
      </c>
      <c r="B80" s="22"/>
      <c r="C80" s="23"/>
      <c r="D80" s="22" t="s">
        <v>1</v>
      </c>
      <c r="E80" s="24" t="s">
        <v>2</v>
      </c>
      <c r="F80" s="95" t="s">
        <v>3</v>
      </c>
      <c r="S80"/>
      <c r="T80"/>
      <c r="U80"/>
    </row>
    <row r="81" spans="1:21" x14ac:dyDescent="0.25">
      <c r="A81" s="25" t="s">
        <v>67</v>
      </c>
      <c r="B81" s="26">
        <f>D81*10^-3</f>
        <v>5.0000000000000001E-3</v>
      </c>
      <c r="C81" s="27"/>
      <c r="D81" s="26">
        <v>5</v>
      </c>
      <c r="E81" s="28" t="s">
        <v>13</v>
      </c>
      <c r="F81" s="44" t="s">
        <v>84</v>
      </c>
    </row>
    <row r="82" spans="1:21" x14ac:dyDescent="0.25">
      <c r="A82" s="30" t="s">
        <v>68</v>
      </c>
      <c r="B82" s="9"/>
      <c r="C82" s="8"/>
      <c r="D82" s="9">
        <v>3</v>
      </c>
      <c r="E82" s="3" t="s">
        <v>4</v>
      </c>
      <c r="F82" s="56" t="s">
        <v>46</v>
      </c>
    </row>
    <row r="83" spans="1:21" ht="15.75" thickBot="1" x14ac:dyDescent="0.3">
      <c r="A83" s="32" t="s">
        <v>69</v>
      </c>
      <c r="B83" s="33"/>
      <c r="C83" s="34"/>
      <c r="D83" s="33">
        <v>2.8</v>
      </c>
      <c r="E83" s="35" t="s">
        <v>4</v>
      </c>
      <c r="F83" s="81" t="s">
        <v>47</v>
      </c>
    </row>
    <row r="84" spans="1:21" ht="15.75" thickBot="1" x14ac:dyDescent="0.3">
      <c r="A84" s="4"/>
      <c r="B84" s="4"/>
      <c r="C84" s="4"/>
      <c r="D84" s="4"/>
      <c r="E84" s="4"/>
      <c r="F84" s="4"/>
    </row>
    <row r="85" spans="1:21" x14ac:dyDescent="0.25">
      <c r="A85" s="89" t="s">
        <v>73</v>
      </c>
      <c r="B85" s="90"/>
      <c r="C85" s="91"/>
      <c r="D85" s="90" t="s">
        <v>1</v>
      </c>
      <c r="E85" s="92" t="s">
        <v>2</v>
      </c>
      <c r="F85" s="99" t="s">
        <v>3</v>
      </c>
    </row>
    <row r="86" spans="1:21" x14ac:dyDescent="0.25">
      <c r="A86" s="17" t="s">
        <v>70</v>
      </c>
      <c r="B86" s="15">
        <f>D86*10^-6</f>
        <v>1.9999999999999999E-6</v>
      </c>
      <c r="C86" s="17"/>
      <c r="D86" s="15">
        <v>2</v>
      </c>
      <c r="E86" s="16" t="s">
        <v>9</v>
      </c>
      <c r="F86" s="2" t="s">
        <v>81</v>
      </c>
    </row>
    <row r="87" spans="1:21" x14ac:dyDescent="0.25">
      <c r="A87" s="17" t="s">
        <v>85</v>
      </c>
      <c r="B87" s="106">
        <v>1.1399999999999999</v>
      </c>
      <c r="C87" s="17"/>
      <c r="D87" s="106">
        <f>B87</f>
        <v>1.1399999999999999</v>
      </c>
      <c r="E87" s="16" t="s">
        <v>4</v>
      </c>
      <c r="F87" s="2" t="s">
        <v>81</v>
      </c>
    </row>
    <row r="88" spans="1:21" x14ac:dyDescent="0.25">
      <c r="A88" s="17" t="s">
        <v>86</v>
      </c>
      <c r="B88" s="106">
        <v>1.1100000000000001</v>
      </c>
      <c r="C88" s="17"/>
      <c r="D88" s="106">
        <f>B88</f>
        <v>1.1100000000000001</v>
      </c>
      <c r="E88" s="16" t="s">
        <v>4</v>
      </c>
      <c r="F88" s="2" t="s">
        <v>81</v>
      </c>
    </row>
    <row r="89" spans="1:21" x14ac:dyDescent="0.25">
      <c r="A89" s="17" t="s">
        <v>94</v>
      </c>
      <c r="B89" s="104">
        <v>6.1E-6</v>
      </c>
      <c r="C89" s="17"/>
      <c r="D89" s="105">
        <f>B89/0.000001</f>
        <v>6.1000000000000005</v>
      </c>
      <c r="E89" s="16" t="s">
        <v>9</v>
      </c>
      <c r="F89" s="2" t="s">
        <v>81</v>
      </c>
    </row>
    <row r="90" spans="1:21" x14ac:dyDescent="0.25">
      <c r="A90" s="17" t="s">
        <v>95</v>
      </c>
      <c r="B90" s="104">
        <v>3.0000000000000001E-6</v>
      </c>
      <c r="C90" s="17"/>
      <c r="D90" s="105">
        <f>B90/0.000001</f>
        <v>3</v>
      </c>
      <c r="E90" s="16" t="s">
        <v>9</v>
      </c>
      <c r="F90" s="2" t="s">
        <v>81</v>
      </c>
      <c r="S90" s="98"/>
      <c r="T90" s="98"/>
      <c r="U90" s="98"/>
    </row>
    <row r="91" spans="1:21" ht="15.75" thickBot="1" x14ac:dyDescent="0.3">
      <c r="A91" s="4"/>
      <c r="B91" s="4"/>
      <c r="C91" s="4"/>
      <c r="D91" s="4"/>
      <c r="E91" s="4"/>
      <c r="F91" s="4"/>
    </row>
    <row r="92" spans="1:21" s="98" customFormat="1" ht="15.75" thickBot="1" x14ac:dyDescent="0.3">
      <c r="A92" s="21" t="s">
        <v>49</v>
      </c>
      <c r="B92" s="87"/>
      <c r="C92" s="88"/>
      <c r="D92" s="22" t="s">
        <v>1</v>
      </c>
      <c r="E92" s="24" t="s">
        <v>2</v>
      </c>
      <c r="F92" s="96" t="s">
        <v>0</v>
      </c>
      <c r="S92"/>
      <c r="T92"/>
      <c r="U92"/>
    </row>
    <row r="93" spans="1:21" ht="36.4" customHeight="1" x14ac:dyDescent="0.25">
      <c r="A93" s="40" t="s">
        <v>108</v>
      </c>
      <c r="B93" s="41">
        <f>B81*B86/0.8/D63</f>
        <v>1.5547263681592038E-8</v>
      </c>
      <c r="C93" s="42"/>
      <c r="D93" s="41">
        <f>ROUND(B93*10^9,2)</f>
        <v>15.55</v>
      </c>
      <c r="E93" s="43" t="s">
        <v>10</v>
      </c>
      <c r="F93" s="29"/>
    </row>
    <row r="94" spans="1:21" ht="58.9" customHeight="1" x14ac:dyDescent="0.25">
      <c r="A94" s="55" t="s">
        <v>109</v>
      </c>
      <c r="B94" s="107">
        <f>(D82*(B88/B87)-D83)/(B89*(1-(B88/B87))+B90)</f>
        <v>38301.415487094288</v>
      </c>
      <c r="C94" s="13"/>
      <c r="D94" s="12">
        <f>ROUND(B94/10^3,2)</f>
        <v>38.299999999999997</v>
      </c>
      <c r="E94" s="14" t="s">
        <v>11</v>
      </c>
      <c r="F94" s="31"/>
    </row>
    <row r="95" spans="1:21" ht="42" customHeight="1" thickBot="1" x14ac:dyDescent="0.3">
      <c r="A95" s="45" t="s">
        <v>110</v>
      </c>
      <c r="B95" s="108">
        <f>B94*B88/(D83-B88+B94*(B89+B90))</f>
        <v>20855.372525313684</v>
      </c>
      <c r="C95" s="47"/>
      <c r="D95" s="46">
        <f>ROUND(B95/10^3,2)</f>
        <v>20.86</v>
      </c>
      <c r="E95" s="48" t="s">
        <v>11</v>
      </c>
      <c r="F95" s="82"/>
    </row>
    <row r="96" spans="1:21" ht="42" customHeight="1" thickBot="1" x14ac:dyDescent="0.3">
      <c r="A96" s="45" t="s">
        <v>93</v>
      </c>
      <c r="B96" s="109">
        <f>D12*(B95/(B95+B94))+(B95*B89)</f>
        <v>1.2289178702517711</v>
      </c>
      <c r="C96" s="47"/>
      <c r="D96" s="109">
        <f>B96</f>
        <v>1.2289178702517711</v>
      </c>
      <c r="E96" s="48" t="s">
        <v>4</v>
      </c>
      <c r="F96" s="82"/>
    </row>
  </sheetData>
  <mergeCells count="9">
    <mergeCell ref="A1:F1"/>
    <mergeCell ref="A3:F3"/>
    <mergeCell ref="A39:F39"/>
    <mergeCell ref="A54:F54"/>
    <mergeCell ref="A79:F79"/>
    <mergeCell ref="A23:F23"/>
    <mergeCell ref="A10:F10"/>
    <mergeCell ref="A72:F72"/>
    <mergeCell ref="S3:U3"/>
  </mergeCells>
  <conditionalFormatting sqref="D12">
    <cfRule type="expression" dxfId="13" priority="14">
      <formula>$D$12&gt;7</formula>
    </cfRule>
    <cfRule type="expression" dxfId="12" priority="15">
      <formula>$D$12&lt;3</formula>
    </cfRule>
  </conditionalFormatting>
  <conditionalFormatting sqref="D13">
    <cfRule type="expression" dxfId="11" priority="12">
      <formula>$D$13&gt;7</formula>
    </cfRule>
    <cfRule type="expression" dxfId="10" priority="13">
      <formula>$D$13&lt;3</formula>
    </cfRule>
  </conditionalFormatting>
  <conditionalFormatting sqref="D16">
    <cfRule type="expression" dxfId="9" priority="11">
      <formula>$D$16&gt;(($D$14/$D$13)*(1/0.000000235))/1000</formula>
    </cfRule>
  </conditionalFormatting>
  <conditionalFormatting sqref="D15">
    <cfRule type="expression" dxfId="8" priority="10">
      <formula>$D$15&gt;6</formula>
    </cfRule>
  </conditionalFormatting>
  <conditionalFormatting sqref="D14">
    <cfRule type="expression" dxfId="7" priority="5">
      <formula>$D$14&gt;$D$12</formula>
    </cfRule>
    <cfRule type="expression" dxfId="6" priority="9">
      <formula>$D$14&lt;0.8</formula>
    </cfRule>
  </conditionalFormatting>
  <conditionalFormatting sqref="D32">
    <cfRule type="expression" dxfId="5" priority="8">
      <formula>$D$32&lt;0.235</formula>
    </cfRule>
  </conditionalFormatting>
  <conditionalFormatting sqref="D96">
    <cfRule type="expression" dxfId="4" priority="6">
      <formula>$D$96&lt;$D$87</formula>
    </cfRule>
  </conditionalFormatting>
  <conditionalFormatting sqref="D42">
    <cfRule type="expression" dxfId="3" priority="4">
      <formula>$D$42&gt;$D$15</formula>
    </cfRule>
  </conditionalFormatting>
  <conditionalFormatting sqref="D82">
    <cfRule type="expression" dxfId="2" priority="3">
      <formula>$D$82&gt;$D$12</formula>
    </cfRule>
  </conditionalFormatting>
  <conditionalFormatting sqref="D94">
    <cfRule type="expression" dxfId="1" priority="2">
      <formula>$D$94&lt;0</formula>
    </cfRule>
  </conditionalFormatting>
  <conditionalFormatting sqref="D95">
    <cfRule type="expression" dxfId="0" priority="1">
      <formula>$D$95&lt;0</formula>
    </cfRule>
  </conditionalFormatting>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Visio.Drawing.15" shapeId="1026" r:id="rId4">
          <objectPr defaultSize="0" autoPict="0" r:id="rId5">
            <anchor moveWithCells="1">
              <from>
                <xdr:col>7</xdr:col>
                <xdr:colOff>66675</xdr:colOff>
                <xdr:row>2</xdr:row>
                <xdr:rowOff>600075</xdr:rowOff>
              </from>
              <to>
                <xdr:col>16</xdr:col>
                <xdr:colOff>581025</xdr:colOff>
                <xdr:row>23</xdr:row>
                <xdr:rowOff>123825</xdr:rowOff>
              </to>
            </anchor>
          </objectPr>
        </oleObject>
      </mc:Choice>
      <mc:Fallback>
        <oleObject progId="Visio.Drawing.15"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7"/>
  <sheetViews>
    <sheetView topLeftCell="C1" workbookViewId="0">
      <selection activeCell="E15" sqref="E15"/>
    </sheetView>
  </sheetViews>
  <sheetFormatPr defaultRowHeight="15" x14ac:dyDescent="0.25"/>
  <cols>
    <col min="2" max="2" width="8.5703125" bestFit="1" customWidth="1"/>
    <col min="3" max="3" width="8.5703125" style="150" customWidth="1"/>
    <col min="4" max="4" width="9.7109375" bestFit="1" customWidth="1"/>
    <col min="5" max="5" width="91.42578125" bestFit="1" customWidth="1"/>
    <col min="6" max="6" width="9.7109375" bestFit="1" customWidth="1"/>
  </cols>
  <sheetData>
    <row r="1" spans="2:6" ht="15.75" thickBot="1" x14ac:dyDescent="0.3"/>
    <row r="2" spans="2:6" ht="15.75" thickBot="1" x14ac:dyDescent="0.3">
      <c r="B2" s="147" t="s">
        <v>17</v>
      </c>
      <c r="C2" s="151"/>
      <c r="D2" s="159" t="s">
        <v>18</v>
      </c>
      <c r="E2" s="160" t="s">
        <v>19</v>
      </c>
      <c r="F2" s="161" t="s">
        <v>19</v>
      </c>
    </row>
    <row r="3" spans="2:6" x14ac:dyDescent="0.25">
      <c r="B3" s="148">
        <v>1</v>
      </c>
      <c r="C3" s="152"/>
      <c r="D3" s="157">
        <v>43558</v>
      </c>
      <c r="E3" s="158" t="s">
        <v>20</v>
      </c>
      <c r="F3" s="102" t="s">
        <v>125</v>
      </c>
    </row>
    <row r="4" spans="2:6" x14ac:dyDescent="0.25">
      <c r="B4" s="148">
        <v>1</v>
      </c>
      <c r="C4" s="152"/>
      <c r="D4" s="153">
        <v>44056</v>
      </c>
      <c r="E4" s="2" t="s">
        <v>123</v>
      </c>
      <c r="F4" s="56" t="s">
        <v>124</v>
      </c>
    </row>
    <row r="5" spans="2:6" x14ac:dyDescent="0.25">
      <c r="B5" s="149">
        <v>1.6</v>
      </c>
      <c r="C5" s="118"/>
      <c r="D5" s="154">
        <v>44327</v>
      </c>
      <c r="E5" s="146" t="s">
        <v>126</v>
      </c>
      <c r="F5" s="56" t="s">
        <v>129</v>
      </c>
    </row>
    <row r="6" spans="2:6" x14ac:dyDescent="0.25">
      <c r="B6" s="149">
        <v>1.8</v>
      </c>
      <c r="C6" s="118"/>
      <c r="D6" s="154">
        <v>44327</v>
      </c>
      <c r="E6" s="146" t="s">
        <v>127</v>
      </c>
      <c r="F6" s="56" t="s">
        <v>129</v>
      </c>
    </row>
    <row r="7" spans="2:6" ht="15.75" thickBot="1" x14ac:dyDescent="0.3">
      <c r="B7" s="149">
        <v>1.8</v>
      </c>
      <c r="C7" s="118"/>
      <c r="D7" s="155">
        <v>44327</v>
      </c>
      <c r="E7" s="156" t="s">
        <v>128</v>
      </c>
      <c r="F7" s="49" t="s">
        <v>129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9D5776-D7F7-405A-B8AB-FCEE17834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2D79A60-8002-4DE4-AA4F-B16B23244CCE}">
  <ds:schemaRef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62CF94A-5A6E-4D38-9A91-4F1E5C5B1B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TPS50601A-SP Calculator</vt:lpstr>
      <vt:lpstr>RevHistory</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Kaye, Caelan</dc:creator>
  <cp:lastModifiedBy>Labonte, Lonnie M. (GSFC-5960)</cp:lastModifiedBy>
  <dcterms:created xsi:type="dcterms:W3CDTF">2016-07-11T14:05:05Z</dcterms:created>
  <dcterms:modified xsi:type="dcterms:W3CDTF">2022-06-27T13:45:44Z</dcterms:modified>
</cp:coreProperties>
</file>