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comments2.xml" ContentType="application/vnd.openxmlformats-officedocument.spreadsheetml.comments+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7"/>
  <workbookPr codeName="ThisWorkbook" defaultThemeVersion="124226"/>
  <mc:AlternateContent xmlns:mc="http://schemas.openxmlformats.org/markup-compatibility/2006">
    <mc:Choice Requires="x15">
      <x15ac:absPath xmlns:x15ac="http://schemas.microsoft.com/office/spreadsheetml/2010/11/ac" url="C:\D\weekly learning\MVB test\TPS51219\"/>
    </mc:Choice>
  </mc:AlternateContent>
  <xr:revisionPtr revIDLastSave="0" documentId="8_{9ABBA869-AB01-473C-8DE9-6707EC5D0B15}" xr6:coauthVersionLast="36" xr6:coauthVersionMax="36" xr10:uidLastSave="{00000000-0000-0000-0000-000000000000}"/>
  <bookViews>
    <workbookView xWindow="-10" yWindow="-10" windowWidth="10300" windowHeight="8110" activeTab="1" xr2:uid="{00000000-000D-0000-FFFF-FFFF00000000}"/>
  </bookViews>
  <sheets>
    <sheet name="DCAP" sheetId="16" r:id="rId1"/>
    <sheet name="DCAP2" sheetId="15" r:id="rId2"/>
  </sheets>
  <definedNames>
    <definedName name="_xlnm.Print_Area" localSheetId="0">DCAP!$A$1:$W$87</definedName>
    <definedName name="_xlnm.Print_Area" localSheetId="1">DCAP2!$A$1:$W$85</definedName>
  </definedNames>
  <calcPr calcId="191029"/>
</workbook>
</file>

<file path=xl/calcChain.xml><?xml version="1.0" encoding="utf-8"?>
<calcChain xmlns="http://schemas.openxmlformats.org/spreadsheetml/2006/main">
  <c r="E131" i="15" l="1"/>
  <c r="E99" i="16" l="1"/>
  <c r="E50" i="16"/>
  <c r="D57" i="16" l="1"/>
  <c r="E94" i="15"/>
  <c r="E92" i="15"/>
  <c r="E136" i="15" s="1"/>
  <c r="E94" i="16"/>
  <c r="E96" i="16"/>
  <c r="F96" i="16" s="1"/>
  <c r="G96" i="16" s="1"/>
  <c r="E92" i="16"/>
  <c r="F92" i="16" s="1"/>
  <c r="E153" i="16"/>
  <c r="G91" i="16"/>
  <c r="G221" i="16" s="1"/>
  <c r="E93" i="16"/>
  <c r="E139" i="16"/>
  <c r="B50" i="16" s="1"/>
  <c r="E91" i="16"/>
  <c r="E100" i="16"/>
  <c r="F100" i="16" s="1"/>
  <c r="G100" i="16" s="1"/>
  <c r="E108" i="16"/>
  <c r="F108" i="16" s="1"/>
  <c r="G108" i="16" s="1"/>
  <c r="E102" i="16"/>
  <c r="E104" i="16"/>
  <c r="E132" i="16"/>
  <c r="E134" i="16"/>
  <c r="F91" i="16"/>
  <c r="E97" i="16"/>
  <c r="F97" i="16"/>
  <c r="G97" i="16" s="1"/>
  <c r="F124" i="16"/>
  <c r="L103" i="16" s="1"/>
  <c r="L108" i="16" s="1"/>
  <c r="E127" i="16"/>
  <c r="F127" i="16" s="1"/>
  <c r="G127" i="16" s="1"/>
  <c r="K93" i="16"/>
  <c r="G124" i="16"/>
  <c r="M114" i="16" s="1"/>
  <c r="K94" i="16"/>
  <c r="E103" i="16"/>
  <c r="F103" i="16" s="1"/>
  <c r="G103" i="16" s="1"/>
  <c r="K104" i="16"/>
  <c r="K105" i="16"/>
  <c r="K97" i="16"/>
  <c r="K99" i="16"/>
  <c r="K109" i="16"/>
  <c r="K110" i="16"/>
  <c r="O93" i="16"/>
  <c r="F125" i="16"/>
  <c r="G125" i="16" s="1"/>
  <c r="O94" i="16"/>
  <c r="O97" i="16"/>
  <c r="O99" i="16"/>
  <c r="O104" i="16"/>
  <c r="O105" i="16"/>
  <c r="O109" i="16"/>
  <c r="O110" i="16"/>
  <c r="E117" i="16"/>
  <c r="E118" i="16" s="1"/>
  <c r="C68" i="16" s="1"/>
  <c r="K121" i="16"/>
  <c r="E101" i="16"/>
  <c r="K122" i="16"/>
  <c r="O121" i="16"/>
  <c r="O122" i="16"/>
  <c r="K125" i="16"/>
  <c r="K126" i="16"/>
  <c r="O125" i="16"/>
  <c r="O126" i="16"/>
  <c r="K131" i="16"/>
  <c r="K132" i="16"/>
  <c r="O131" i="16"/>
  <c r="O132" i="16"/>
  <c r="K135" i="16"/>
  <c r="K136" i="16"/>
  <c r="O135" i="16"/>
  <c r="O136" i="16"/>
  <c r="K115" i="16"/>
  <c r="K116" i="16"/>
  <c r="F99" i="16"/>
  <c r="G99" i="16" s="1"/>
  <c r="F102" i="16"/>
  <c r="G102" i="16" s="1"/>
  <c r="O115" i="16"/>
  <c r="O116" i="16"/>
  <c r="E126" i="16"/>
  <c r="E143" i="16"/>
  <c r="E147" i="16" s="1"/>
  <c r="E144" i="16"/>
  <c r="F144" i="16" s="1"/>
  <c r="G144" i="16" s="1"/>
  <c r="E145" i="16"/>
  <c r="F145" i="16" s="1"/>
  <c r="G145" i="16" s="1"/>
  <c r="E146" i="16"/>
  <c r="F146" i="16" s="1"/>
  <c r="G146" i="16" s="1"/>
  <c r="E154" i="16"/>
  <c r="G89" i="15"/>
  <c r="E91" i="15"/>
  <c r="F91" i="15" s="1"/>
  <c r="G91" i="15" s="1"/>
  <c r="F92" i="15"/>
  <c r="G92" i="15" s="1"/>
  <c r="E90" i="15"/>
  <c r="F90" i="15" s="1"/>
  <c r="G90" i="15" s="1"/>
  <c r="E99" i="15"/>
  <c r="F99" i="15" s="1"/>
  <c r="G99" i="15" s="1"/>
  <c r="E101" i="15"/>
  <c r="F101" i="15" s="1"/>
  <c r="G101" i="15" s="1"/>
  <c r="E97" i="15"/>
  <c r="E89" i="15"/>
  <c r="E105" i="15"/>
  <c r="F105" i="15" s="1"/>
  <c r="G105" i="15" s="1"/>
  <c r="E96" i="15"/>
  <c r="F96" i="15" s="1"/>
  <c r="G96" i="15" s="1"/>
  <c r="E129" i="15"/>
  <c r="D55" i="15"/>
  <c r="F97" i="15"/>
  <c r="G97" i="15" s="1"/>
  <c r="F89" i="15"/>
  <c r="E95" i="15"/>
  <c r="F95" i="15" s="1"/>
  <c r="G95" i="15" s="1"/>
  <c r="E124" i="15"/>
  <c r="F124" i="15" s="1"/>
  <c r="G124" i="15" s="1"/>
  <c r="F121" i="15"/>
  <c r="P100" i="15" s="1"/>
  <c r="P105" i="15" s="1"/>
  <c r="K91" i="15"/>
  <c r="G121" i="15"/>
  <c r="Q111" i="15" s="1"/>
  <c r="K92" i="15"/>
  <c r="E100" i="15"/>
  <c r="K101" i="15"/>
  <c r="K102" i="15"/>
  <c r="K95" i="15"/>
  <c r="K96" i="15"/>
  <c r="K106" i="15"/>
  <c r="K107" i="15"/>
  <c r="O91" i="15"/>
  <c r="F122" i="15"/>
  <c r="G122" i="15" s="1"/>
  <c r="O92" i="15"/>
  <c r="O95" i="15"/>
  <c r="O96" i="15"/>
  <c r="O101" i="15"/>
  <c r="O102" i="15"/>
  <c r="O106" i="15"/>
  <c r="O107" i="15"/>
  <c r="E114" i="15"/>
  <c r="E115" i="15" s="1"/>
  <c r="C66" i="15" s="1"/>
  <c r="E98" i="15"/>
  <c r="E102" i="15" s="1"/>
  <c r="F102" i="15" s="1"/>
  <c r="G102" i="15" s="1"/>
  <c r="K118" i="15"/>
  <c r="K119" i="15"/>
  <c r="O118" i="15"/>
  <c r="O119" i="15"/>
  <c r="K122" i="15"/>
  <c r="K123" i="15"/>
  <c r="O122" i="15"/>
  <c r="O123" i="15"/>
  <c r="K128" i="15"/>
  <c r="K129" i="15"/>
  <c r="O128" i="15"/>
  <c r="O129" i="15"/>
  <c r="K132" i="15"/>
  <c r="K133" i="15"/>
  <c r="O132" i="15"/>
  <c r="O133" i="15"/>
  <c r="K112" i="15"/>
  <c r="K113" i="15"/>
  <c r="O112" i="15"/>
  <c r="O113" i="15"/>
  <c r="E123" i="15"/>
  <c r="E142" i="15"/>
  <c r="F142" i="15" s="1"/>
  <c r="G142" i="15" s="1"/>
  <c r="E143" i="15"/>
  <c r="F143" i="15" s="1"/>
  <c r="G143" i="15" s="1"/>
  <c r="E144" i="15"/>
  <c r="F144" i="15" s="1"/>
  <c r="G144" i="15" s="1"/>
  <c r="E145" i="15"/>
  <c r="F145" i="15" s="1"/>
  <c r="G145" i="15" s="1"/>
  <c r="E152" i="15"/>
  <c r="E153" i="15"/>
  <c r="M117" i="15" l="1"/>
  <c r="M121" i="15" s="1"/>
  <c r="M100" i="15"/>
  <c r="M105" i="15" s="1"/>
  <c r="G250" i="16"/>
  <c r="G258" i="16"/>
  <c r="G214" i="15"/>
  <c r="G219" i="16"/>
  <c r="Q92" i="16"/>
  <c r="Q96" i="16" s="1"/>
  <c r="Q127" i="15"/>
  <c r="Q131" i="15" s="1"/>
  <c r="G126" i="16"/>
  <c r="P114" i="16"/>
  <c r="F238" i="15"/>
  <c r="G264" i="16"/>
  <c r="G256" i="16"/>
  <c r="G225" i="16"/>
  <c r="G217" i="16"/>
  <c r="G262" i="16"/>
  <c r="G254" i="16"/>
  <c r="G223" i="16"/>
  <c r="G260" i="16"/>
  <c r="G252" i="16"/>
  <c r="E148" i="15"/>
  <c r="E135" i="16"/>
  <c r="G215" i="16"/>
  <c r="F222" i="15"/>
  <c r="M127" i="15"/>
  <c r="M131" i="15" s="1"/>
  <c r="Q117" i="15"/>
  <c r="Q121" i="15" s="1"/>
  <c r="E106" i="16"/>
  <c r="F106" i="16" s="1"/>
  <c r="E155" i="15"/>
  <c r="F254" i="15"/>
  <c r="F123" i="15"/>
  <c r="E133" i="16"/>
  <c r="G214" i="16"/>
  <c r="F258" i="15"/>
  <c r="F242" i="15"/>
  <c r="G242" i="15" s="1"/>
  <c r="F226" i="15"/>
  <c r="F262" i="15"/>
  <c r="F246" i="15"/>
  <c r="F230" i="15"/>
  <c r="G230" i="15" s="1"/>
  <c r="F214" i="15"/>
  <c r="F94" i="15"/>
  <c r="G94" i="15" s="1"/>
  <c r="F250" i="15"/>
  <c r="F234" i="15"/>
  <c r="F218" i="15"/>
  <c r="E137" i="15"/>
  <c r="C38" i="15" s="1"/>
  <c r="F260" i="15"/>
  <c r="F256" i="15"/>
  <c r="F252" i="15"/>
  <c r="F248" i="15"/>
  <c r="F244" i="15"/>
  <c r="F240" i="15"/>
  <c r="G240" i="15" s="1"/>
  <c r="F236" i="15"/>
  <c r="G236" i="15" s="1"/>
  <c r="F232" i="15"/>
  <c r="F228" i="15"/>
  <c r="F224" i="15"/>
  <c r="G224" i="15" s="1"/>
  <c r="F220" i="15"/>
  <c r="F216" i="15"/>
  <c r="F263" i="15"/>
  <c r="F259" i="15"/>
  <c r="F255" i="15"/>
  <c r="F251" i="15"/>
  <c r="F247" i="15"/>
  <c r="G247" i="15" s="1"/>
  <c r="F243" i="15"/>
  <c r="G243" i="15" s="1"/>
  <c r="F239" i="15"/>
  <c r="F235" i="15"/>
  <c r="G235" i="15" s="1"/>
  <c r="F231" i="15"/>
  <c r="G231" i="15" s="1"/>
  <c r="F227" i="15"/>
  <c r="G227" i="15" s="1"/>
  <c r="F223" i="15"/>
  <c r="G223" i="15" s="1"/>
  <c r="F219" i="15"/>
  <c r="F215" i="15"/>
  <c r="F261" i="15"/>
  <c r="F257" i="15"/>
  <c r="F253" i="15"/>
  <c r="F249" i="15"/>
  <c r="F245" i="15"/>
  <c r="G245" i="15" s="1"/>
  <c r="F241" i="15"/>
  <c r="G241" i="15" s="1"/>
  <c r="F237" i="15"/>
  <c r="F233" i="15"/>
  <c r="G233" i="15" s="1"/>
  <c r="F229" i="15"/>
  <c r="F225" i="15"/>
  <c r="G225" i="15" s="1"/>
  <c r="F221" i="15"/>
  <c r="F217" i="15"/>
  <c r="F213" i="15"/>
  <c r="E132" i="15"/>
  <c r="E130" i="15"/>
  <c r="G93" i="15"/>
  <c r="F24" i="15" s="1"/>
  <c r="E140" i="16"/>
  <c r="H50" i="16" s="1"/>
  <c r="P115" i="16"/>
  <c r="M116" i="16"/>
  <c r="F72" i="16" s="1"/>
  <c r="M115" i="16"/>
  <c r="Q113" i="15"/>
  <c r="F98" i="15"/>
  <c r="G98" i="15" s="1"/>
  <c r="E103" i="15"/>
  <c r="M130" i="16"/>
  <c r="M134" i="16" s="1"/>
  <c r="M120" i="16"/>
  <c r="M124" i="16" s="1"/>
  <c r="M103" i="16"/>
  <c r="M108" i="16" s="1"/>
  <c r="G263" i="15"/>
  <c r="G261" i="15"/>
  <c r="G259" i="15"/>
  <c r="G257" i="15"/>
  <c r="G255" i="15"/>
  <c r="G253" i="15"/>
  <c r="G251" i="15"/>
  <c r="G249" i="15"/>
  <c r="G239" i="15"/>
  <c r="G237" i="15"/>
  <c r="G229" i="15"/>
  <c r="G221" i="15"/>
  <c r="G219" i="15"/>
  <c r="G217" i="15"/>
  <c r="G215" i="15"/>
  <c r="G213" i="15"/>
  <c r="Q112" i="15"/>
  <c r="P90" i="15"/>
  <c r="P94" i="15" s="1"/>
  <c r="G261" i="16"/>
  <c r="G257" i="16"/>
  <c r="G253" i="16"/>
  <c r="G249" i="16"/>
  <c r="G224" i="16"/>
  <c r="G220" i="16"/>
  <c r="G216" i="16"/>
  <c r="E149" i="16"/>
  <c r="P116" i="16"/>
  <c r="F104" i="16"/>
  <c r="G104" i="16" s="1"/>
  <c r="Q130" i="16"/>
  <c r="Q134" i="16" s="1"/>
  <c r="Q120" i="16"/>
  <c r="Q124" i="16" s="1"/>
  <c r="E105" i="16"/>
  <c r="F105" i="16" s="1"/>
  <c r="G105" i="16" s="1"/>
  <c r="Q103" i="16"/>
  <c r="Q108" i="16" s="1"/>
  <c r="M92" i="16"/>
  <c r="M96" i="16" s="1"/>
  <c r="E138" i="15"/>
  <c r="G262" i="15"/>
  <c r="G260" i="15"/>
  <c r="G258" i="15"/>
  <c r="G256" i="15"/>
  <c r="G254" i="15"/>
  <c r="G252" i="15"/>
  <c r="G250" i="15"/>
  <c r="G248" i="15"/>
  <c r="G246" i="15"/>
  <c r="G244" i="15"/>
  <c r="G238" i="15"/>
  <c r="G234" i="15"/>
  <c r="G232" i="15"/>
  <c r="G228" i="15"/>
  <c r="G226" i="15"/>
  <c r="G222" i="15"/>
  <c r="G220" i="15"/>
  <c r="G218" i="15"/>
  <c r="G216" i="15"/>
  <c r="E146" i="15"/>
  <c r="L111" i="15"/>
  <c r="L112" i="15" s="1"/>
  <c r="D70" i="15" s="1"/>
  <c r="P127" i="15"/>
  <c r="P131" i="15" s="1"/>
  <c r="L127" i="15"/>
  <c r="L131" i="15" s="1"/>
  <c r="P117" i="15"/>
  <c r="P121" i="15" s="1"/>
  <c r="L117" i="15"/>
  <c r="L121" i="15" s="1"/>
  <c r="E113" i="15"/>
  <c r="F113" i="15" s="1"/>
  <c r="G113" i="15" s="1"/>
  <c r="G263" i="16"/>
  <c r="G259" i="16"/>
  <c r="G255" i="16"/>
  <c r="G251" i="16"/>
  <c r="G247" i="16"/>
  <c r="G222" i="16"/>
  <c r="G218" i="16"/>
  <c r="Q114" i="16"/>
  <c r="Q116" i="16" s="1"/>
  <c r="G146" i="15"/>
  <c r="G148" i="15"/>
  <c r="E104" i="15"/>
  <c r="F100" i="15"/>
  <c r="G100" i="15" s="1"/>
  <c r="M90" i="15"/>
  <c r="M94" i="15" s="1"/>
  <c r="Q90" i="15"/>
  <c r="Q94" i="15" s="1"/>
  <c r="Q100" i="15"/>
  <c r="Q105" i="15" s="1"/>
  <c r="M111" i="15"/>
  <c r="M112" i="15" s="1"/>
  <c r="G123" i="15"/>
  <c r="L90" i="15"/>
  <c r="L94" i="15" s="1"/>
  <c r="L100" i="15"/>
  <c r="L105" i="15" s="1"/>
  <c r="P111" i="15"/>
  <c r="P113" i="15" s="1"/>
  <c r="L92" i="16"/>
  <c r="L96" i="16" s="1"/>
  <c r="P92" i="16"/>
  <c r="P96" i="16" s="1"/>
  <c r="P103" i="16"/>
  <c r="P108" i="16" s="1"/>
  <c r="L120" i="16"/>
  <c r="P120" i="16"/>
  <c r="L130" i="16"/>
  <c r="P130" i="16"/>
  <c r="L114" i="16"/>
  <c r="F126" i="16"/>
  <c r="G92" i="16"/>
  <c r="E138" i="16"/>
  <c r="F94" i="16"/>
  <c r="G94" i="16" s="1"/>
  <c r="F148" i="15"/>
  <c r="F146" i="15"/>
  <c r="L113" i="15"/>
  <c r="F143" i="16"/>
  <c r="F93" i="16"/>
  <c r="E116" i="16"/>
  <c r="F116" i="16" s="1"/>
  <c r="F214" i="16"/>
  <c r="F215" i="16"/>
  <c r="F216" i="16"/>
  <c r="F217" i="16"/>
  <c r="F218" i="16"/>
  <c r="F219" i="16"/>
  <c r="F220" i="16"/>
  <c r="F221" i="16"/>
  <c r="F222" i="16"/>
  <c r="F223" i="16"/>
  <c r="F224" i="16"/>
  <c r="F225" i="16"/>
  <c r="F226" i="16"/>
  <c r="G226" i="16" s="1"/>
  <c r="F227" i="16"/>
  <c r="G227" i="16" s="1"/>
  <c r="F228" i="16"/>
  <c r="G228" i="16" s="1"/>
  <c r="F229" i="16"/>
  <c r="G229" i="16" s="1"/>
  <c r="F230" i="16"/>
  <c r="G230" i="16" s="1"/>
  <c r="F231" i="16"/>
  <c r="G231" i="16" s="1"/>
  <c r="F232" i="16"/>
  <c r="G232" i="16" s="1"/>
  <c r="F233" i="16"/>
  <c r="G233" i="16" s="1"/>
  <c r="F234" i="16"/>
  <c r="G234" i="16" s="1"/>
  <c r="F235" i="16"/>
  <c r="G235" i="16" s="1"/>
  <c r="F236" i="16"/>
  <c r="G236" i="16" s="1"/>
  <c r="F237" i="16"/>
  <c r="G237" i="16" s="1"/>
  <c r="F238" i="16"/>
  <c r="G238" i="16" s="1"/>
  <c r="F239" i="16"/>
  <c r="G239" i="16" s="1"/>
  <c r="F240" i="16"/>
  <c r="G240" i="16" s="1"/>
  <c r="F241" i="16"/>
  <c r="G241" i="16" s="1"/>
  <c r="F242" i="16"/>
  <c r="G242" i="16" s="1"/>
  <c r="F243" i="16"/>
  <c r="G243" i="16" s="1"/>
  <c r="F244" i="16"/>
  <c r="G244" i="16" s="1"/>
  <c r="F245" i="16"/>
  <c r="G245" i="16" s="1"/>
  <c r="F246" i="16"/>
  <c r="G246" i="16" s="1"/>
  <c r="F247" i="16"/>
  <c r="F248" i="16"/>
  <c r="G248" i="16" s="1"/>
  <c r="F249" i="16"/>
  <c r="F250" i="16"/>
  <c r="F251" i="16"/>
  <c r="F252" i="16"/>
  <c r="F253" i="16"/>
  <c r="F254" i="16"/>
  <c r="F255" i="16"/>
  <c r="F256" i="16"/>
  <c r="F257" i="16"/>
  <c r="F258" i="16"/>
  <c r="F259" i="16"/>
  <c r="F260" i="16"/>
  <c r="F261" i="16"/>
  <c r="F262" i="16"/>
  <c r="F263" i="16"/>
  <c r="F264" i="16"/>
  <c r="F101" i="16"/>
  <c r="G101" i="16" s="1"/>
  <c r="G106" i="16"/>
  <c r="E107" i="16"/>
  <c r="E109" i="16"/>
  <c r="E111" i="16" s="1"/>
  <c r="E98" i="16"/>
  <c r="F42" i="16" s="1"/>
  <c r="E135" i="15"/>
  <c r="H38" i="15" s="1"/>
  <c r="D50" i="16" l="1"/>
  <c r="E156" i="16"/>
  <c r="C42" i="16" s="1"/>
  <c r="Q115" i="16"/>
  <c r="F103" i="15"/>
  <c r="E106" i="15"/>
  <c r="P112" i="15"/>
  <c r="M113" i="15"/>
  <c r="F70" i="15" s="1"/>
  <c r="E139" i="15"/>
  <c r="I38" i="15" s="1"/>
  <c r="F38" i="15"/>
  <c r="E81" i="16"/>
  <c r="E114" i="16"/>
  <c r="E119" i="16"/>
  <c r="D67" i="16" s="1"/>
  <c r="F107" i="16"/>
  <c r="E128" i="16"/>
  <c r="G93" i="16"/>
  <c r="G109" i="16" s="1"/>
  <c r="G112" i="16" s="1"/>
  <c r="F147" i="16"/>
  <c r="F149" i="16"/>
  <c r="G143" i="16"/>
  <c r="P134" i="16"/>
  <c r="P124" i="16"/>
  <c r="F104" i="15"/>
  <c r="E125" i="15"/>
  <c r="F109" i="16"/>
  <c r="F112" i="16" s="1"/>
  <c r="L97" i="16" s="1"/>
  <c r="E110" i="16"/>
  <c r="G116" i="16"/>
  <c r="L115" i="16"/>
  <c r="D72" i="16" s="1"/>
  <c r="L116" i="16"/>
  <c r="L134" i="16"/>
  <c r="L124" i="16"/>
  <c r="E112" i="16"/>
  <c r="E115" i="16" s="1"/>
  <c r="E82" i="16" s="1"/>
  <c r="M135" i="16" l="1"/>
  <c r="E157" i="16"/>
  <c r="G111" i="16"/>
  <c r="G114" i="16" s="1"/>
  <c r="F83" i="16" s="1"/>
  <c r="G95" i="16"/>
  <c r="F24" i="16" s="1"/>
  <c r="M109" i="16"/>
  <c r="E107" i="15"/>
  <c r="E109" i="15"/>
  <c r="E112" i="15" s="1"/>
  <c r="E80" i="15" s="1"/>
  <c r="E108" i="15"/>
  <c r="L99" i="16"/>
  <c r="F106" i="15"/>
  <c r="G103" i="15"/>
  <c r="M110" i="16"/>
  <c r="G115" i="16"/>
  <c r="F82" i="16" s="1"/>
  <c r="Q126" i="16"/>
  <c r="Q125" i="16"/>
  <c r="Q136" i="16"/>
  <c r="Q135" i="16"/>
  <c r="L126" i="16"/>
  <c r="L125" i="16"/>
  <c r="L136" i="16"/>
  <c r="L135" i="16"/>
  <c r="Q99" i="16"/>
  <c r="P97" i="16"/>
  <c r="Q97" i="16"/>
  <c r="P99" i="16"/>
  <c r="F115" i="16"/>
  <c r="D82" i="16" s="1"/>
  <c r="M125" i="16"/>
  <c r="M126" i="16"/>
  <c r="E113" i="16"/>
  <c r="E84" i="16" s="1"/>
  <c r="E148" i="16"/>
  <c r="E150" i="16" s="1"/>
  <c r="E151" i="16" s="1"/>
  <c r="E152" i="16" s="1"/>
  <c r="F110" i="16"/>
  <c r="G110" i="16"/>
  <c r="Q93" i="16" s="1"/>
  <c r="M99" i="16"/>
  <c r="L110" i="16"/>
  <c r="L109" i="16"/>
  <c r="M97" i="16"/>
  <c r="M136" i="16"/>
  <c r="G104" i="15"/>
  <c r="F125" i="15"/>
  <c r="P126" i="16"/>
  <c r="P125" i="16"/>
  <c r="P136" i="16"/>
  <c r="P135" i="16"/>
  <c r="G149" i="16"/>
  <c r="G147" i="16"/>
  <c r="G107" i="16"/>
  <c r="G128" i="16" s="1"/>
  <c r="F128" i="16"/>
  <c r="D30" i="16"/>
  <c r="E83" i="16"/>
  <c r="G30" i="16"/>
  <c r="F111" i="16"/>
  <c r="G119" i="16" l="1"/>
  <c r="E67" i="16" s="1"/>
  <c r="F81" i="16"/>
  <c r="G148" i="16"/>
  <c r="G150" i="16" s="1"/>
  <c r="G151" i="16" s="1"/>
  <c r="G106" i="15"/>
  <c r="F109" i="15"/>
  <c r="F107" i="15"/>
  <c r="F108" i="15"/>
  <c r="E110" i="15"/>
  <c r="E82" i="15" s="1"/>
  <c r="E147" i="15"/>
  <c r="E149" i="15" s="1"/>
  <c r="E150" i="15" s="1"/>
  <c r="E151" i="15" s="1"/>
  <c r="E116" i="15"/>
  <c r="D65" i="15" s="1"/>
  <c r="E79" i="15"/>
  <c r="E111" i="15"/>
  <c r="D81" i="16"/>
  <c r="F114" i="16"/>
  <c r="D83" i="16" s="1"/>
  <c r="F119" i="16"/>
  <c r="C67" i="16" s="1"/>
  <c r="G125" i="15"/>
  <c r="F113" i="16"/>
  <c r="D84" i="16" s="1"/>
  <c r="M121" i="16"/>
  <c r="M122" i="16"/>
  <c r="M132" i="16"/>
  <c r="F148" i="16"/>
  <c r="F150" i="16" s="1"/>
  <c r="F151" i="16" s="1"/>
  <c r="M93" i="16"/>
  <c r="M105" i="16"/>
  <c r="L93" i="16"/>
  <c r="L104" i="16"/>
  <c r="L105" i="16"/>
  <c r="L132" i="16"/>
  <c r="L121" i="16"/>
  <c r="M131" i="16"/>
  <c r="L131" i="16"/>
  <c r="L94" i="16"/>
  <c r="M94" i="16"/>
  <c r="M104" i="16"/>
  <c r="L122" i="16"/>
  <c r="Q94" i="16"/>
  <c r="Q105" i="16"/>
  <c r="P110" i="16"/>
  <c r="P109" i="16"/>
  <c r="Q104" i="16"/>
  <c r="G113" i="16"/>
  <c r="F84" i="16" s="1"/>
  <c r="Q122" i="16"/>
  <c r="Q121" i="16"/>
  <c r="Q132" i="16"/>
  <c r="P132" i="16"/>
  <c r="P122" i="16"/>
  <c r="P131" i="16"/>
  <c r="Q131" i="16"/>
  <c r="P121" i="16"/>
  <c r="Q110" i="16"/>
  <c r="Q109" i="16"/>
  <c r="P105" i="16"/>
  <c r="P104" i="16"/>
  <c r="P94" i="16"/>
  <c r="P93" i="16"/>
  <c r="M129" i="15" l="1"/>
  <c r="M102" i="15"/>
  <c r="M101" i="15"/>
  <c r="M128" i="15"/>
  <c r="L102" i="15"/>
  <c r="M91" i="15"/>
  <c r="F147" i="15"/>
  <c r="F149" i="15" s="1"/>
  <c r="F150" i="15" s="1"/>
  <c r="L119" i="15"/>
  <c r="L91" i="15"/>
  <c r="L118" i="15"/>
  <c r="L92" i="15"/>
  <c r="M92" i="15"/>
  <c r="M119" i="15"/>
  <c r="L101" i="15"/>
  <c r="F110" i="15"/>
  <c r="D82" i="15" s="1"/>
  <c r="L129" i="15"/>
  <c r="M118" i="15"/>
  <c r="L128" i="15"/>
  <c r="L123" i="15"/>
  <c r="L122" i="15"/>
  <c r="M96" i="15"/>
  <c r="L133" i="15"/>
  <c r="L132" i="15"/>
  <c r="M106" i="15"/>
  <c r="M122" i="15"/>
  <c r="M123" i="15"/>
  <c r="F112" i="15"/>
  <c r="D80" i="15" s="1"/>
  <c r="L107" i="15"/>
  <c r="M95" i="15"/>
  <c r="L96" i="15"/>
  <c r="L106" i="15"/>
  <c r="L95" i="15"/>
  <c r="M132" i="15"/>
  <c r="M133" i="15"/>
  <c r="M107" i="15"/>
  <c r="E81" i="15"/>
  <c r="G30" i="15"/>
  <c r="D30" i="15"/>
  <c r="D79" i="15"/>
  <c r="F111" i="15"/>
  <c r="D81" i="15" s="1"/>
  <c r="F116" i="15"/>
  <c r="C65" i="15" s="1"/>
  <c r="G107" i="15"/>
  <c r="G109" i="15"/>
  <c r="G108" i="15"/>
  <c r="E121" i="16"/>
  <c r="E72" i="16" s="1"/>
  <c r="E120" i="16"/>
  <c r="C72" i="16" s="1"/>
  <c r="I103" i="16"/>
  <c r="C62" i="16" s="1"/>
  <c r="F79" i="15" l="1"/>
  <c r="G111" i="15"/>
  <c r="F81" i="15" s="1"/>
  <c r="G116" i="15"/>
  <c r="E65" i="15" s="1"/>
  <c r="P96" i="15"/>
  <c r="Q96" i="15"/>
  <c r="Q133" i="15"/>
  <c r="P95" i="15"/>
  <c r="Q95" i="15"/>
  <c r="Q123" i="15"/>
  <c r="Q122" i="15"/>
  <c r="P132" i="15"/>
  <c r="P123" i="15"/>
  <c r="P122" i="15"/>
  <c r="G112" i="15"/>
  <c r="F80" i="15" s="1"/>
  <c r="Q132" i="15"/>
  <c r="P133" i="15"/>
  <c r="P107" i="15"/>
  <c r="Q106" i="15"/>
  <c r="Q107" i="15"/>
  <c r="P106" i="15"/>
  <c r="Q92" i="15"/>
  <c r="Q91" i="15"/>
  <c r="P92" i="15"/>
  <c r="P91" i="15"/>
  <c r="Q129" i="15"/>
  <c r="G110" i="15"/>
  <c r="F82" i="15" s="1"/>
  <c r="G147" i="15"/>
  <c r="G149" i="15" s="1"/>
  <c r="G150" i="15" s="1"/>
  <c r="Q118" i="15"/>
  <c r="P128" i="15"/>
  <c r="P119" i="15"/>
  <c r="P118" i="15"/>
  <c r="Q128" i="15"/>
  <c r="Q119" i="15"/>
  <c r="P129" i="15"/>
  <c r="P102" i="15"/>
  <c r="Q101" i="15"/>
  <c r="Q102" i="15"/>
  <c r="P101" i="15"/>
  <c r="E118" i="15" l="1"/>
  <c r="E70" i="15" s="1"/>
  <c r="E117" i="15"/>
  <c r="C70" i="15" s="1"/>
  <c r="I100" i="15"/>
  <c r="C60"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Ishikawa, Shuichi</author>
    <author>a0689783</author>
  </authors>
  <commentList>
    <comment ref="C30" authorId="0" shapeId="0" xr:uid="{00000000-0006-0000-0000-000001000000}">
      <text>
        <r>
          <rPr>
            <b/>
            <sz val="9"/>
            <color indexed="81"/>
            <rFont val="ＭＳ Ｐゴシック"/>
            <family val="3"/>
            <charset val="128"/>
          </rPr>
          <t xml:space="preserve">[ E24 series ]
</t>
        </r>
        <r>
          <rPr>
            <b/>
            <sz val="9"/>
            <color indexed="60"/>
            <rFont val="ＭＳ Ｐゴシック"/>
            <family val="3"/>
            <charset val="128"/>
          </rPr>
          <t>10  12  15  18  22  27  33  39  47  56  68  82
11  13  16  20  24  30  36  43  51  62  75  91</t>
        </r>
        <r>
          <rPr>
            <b/>
            <sz val="9"/>
            <color indexed="81"/>
            <rFont val="ＭＳ Ｐゴシック"/>
            <family val="3"/>
            <charset val="128"/>
          </rPr>
          <t xml:space="preserve">
[ E48 series ]
</t>
        </r>
        <r>
          <rPr>
            <b/>
            <sz val="9"/>
            <color indexed="60"/>
            <rFont val="ＭＳ Ｐゴシック"/>
            <family val="3"/>
            <charset val="128"/>
          </rPr>
          <t xml:space="preserve">100 121 147 178 215 261 316 383 464 562 681 825 
105 127 154 187 226 274 332 402 487 590 715 866 
110 133 162 196 237 287 348 422 511 619 750 909 
115 140 169 205 249 301 365 442 536 649 787 953 </t>
        </r>
        <r>
          <rPr>
            <b/>
            <sz val="9"/>
            <color indexed="81"/>
            <rFont val="ＭＳ Ｐゴシック"/>
            <family val="3"/>
            <charset val="128"/>
          </rPr>
          <t xml:space="preserve">
[ E96 series ]
</t>
        </r>
        <r>
          <rPr>
            <b/>
            <sz val="9"/>
            <color indexed="60"/>
            <rFont val="ＭＳ Ｐゴシック"/>
            <family val="3"/>
            <charset val="128"/>
          </rPr>
          <t xml:space="preserve">100 121 147 178 215 261 316 383 464 562 681 825 
102 124 150 182 221 267 324 392 475 576 698 845 
105 127 154 187 226 274 332 402 487 590 715 866 
107 130 158 191 232 280 340 412 499 604 732 887 
110 133 162 196 237 287 348 422 511 619 750 909 
113 137 165 200 243 294 357 432 523 634 768 931 
115 140 169 205 249 301 365 442 536 649 787 953 
118 143 174 210 255 309 374 453 549 665 806 976 
</t>
        </r>
        <r>
          <rPr>
            <b/>
            <sz val="9"/>
            <color indexed="81"/>
            <rFont val="ＭＳ Ｐゴシック"/>
            <family val="3"/>
            <charset val="128"/>
          </rPr>
          <t xml:space="preserve">
</t>
        </r>
      </text>
    </comment>
    <comment ref="F30" authorId="0" shapeId="0" xr:uid="{00000000-0006-0000-0000-000002000000}">
      <text>
        <r>
          <rPr>
            <b/>
            <sz val="9"/>
            <color indexed="81"/>
            <rFont val="ＭＳ Ｐゴシック"/>
            <family val="3"/>
            <charset val="128"/>
          </rPr>
          <t xml:space="preserve">[ E24 series ]
</t>
        </r>
        <r>
          <rPr>
            <b/>
            <sz val="9"/>
            <color indexed="60"/>
            <rFont val="ＭＳ Ｐゴシック"/>
            <family val="3"/>
            <charset val="128"/>
          </rPr>
          <t>10  12  15  18  22  27  33  39  47  56  68  82
11  13  16  20  24  30  36  43  51  62  75  91</t>
        </r>
        <r>
          <rPr>
            <b/>
            <sz val="9"/>
            <color indexed="81"/>
            <rFont val="ＭＳ Ｐゴシック"/>
            <family val="3"/>
            <charset val="128"/>
          </rPr>
          <t xml:space="preserve">
[ E48 series ]
</t>
        </r>
        <r>
          <rPr>
            <b/>
            <sz val="9"/>
            <color indexed="60"/>
            <rFont val="ＭＳ Ｐゴシック"/>
            <family val="3"/>
            <charset val="128"/>
          </rPr>
          <t xml:space="preserve">100 121 147 178 215 261 316 383 464 562 681 825 
105 127 154 187 226 274 332 402 487 590 715 866 
110 133 162 196 237 287 348 422 511 619 750 909 
115 140 169 205 249 301 365 442 536 649 787 953 </t>
        </r>
        <r>
          <rPr>
            <b/>
            <sz val="9"/>
            <color indexed="81"/>
            <rFont val="ＭＳ Ｐゴシック"/>
            <family val="3"/>
            <charset val="128"/>
          </rPr>
          <t xml:space="preserve">
[ E96 series ]
</t>
        </r>
        <r>
          <rPr>
            <b/>
            <sz val="9"/>
            <color indexed="60"/>
            <rFont val="ＭＳ Ｐゴシック"/>
            <family val="3"/>
            <charset val="128"/>
          </rPr>
          <t xml:space="preserve">100 121 147 178 215 261 316 383 464 562 681 825 
102 124 150 182 221 267 324 392 475 576 698 845 
105 127 154 187 226 274 332 402 487 590 715 866 
107 130 158 191 232 280 340 412 499 604 732 887 
110 133 162 196 237 287 348 422 511 619 750 909 
113 137 165 200 243 294 357 432 523 634 768 931 
115 140 169 205 249 301 365 442 536 649 787 953 
118 143 174 210 255 309 374 453 549 665 806 976 
</t>
        </r>
        <r>
          <rPr>
            <b/>
            <sz val="9"/>
            <color indexed="81"/>
            <rFont val="ＭＳ Ｐゴシック"/>
            <family val="3"/>
            <charset val="128"/>
          </rPr>
          <t xml:space="preserve">
</t>
        </r>
      </text>
    </comment>
    <comment ref="D57" authorId="1" shapeId="0" xr:uid="{00000000-0006-0000-0000-000003000000}">
      <text>
        <r>
          <rPr>
            <b/>
            <sz val="9"/>
            <color indexed="81"/>
            <rFont val="ＭＳ Ｐゴシック"/>
            <family val="3"/>
            <charset val="128"/>
          </rPr>
          <t>Estimated value</t>
        </r>
      </text>
    </comment>
    <comment ref="E62" authorId="0" shapeId="0" xr:uid="{00000000-0006-0000-0000-000004000000}">
      <text>
        <r>
          <rPr>
            <b/>
            <sz val="9"/>
            <color indexed="81"/>
            <rFont val="ＭＳ Ｐゴシック"/>
            <family val="3"/>
            <charset val="128"/>
          </rPr>
          <t xml:space="preserve">[ E24 series ]
</t>
        </r>
        <r>
          <rPr>
            <b/>
            <sz val="9"/>
            <color indexed="60"/>
            <rFont val="ＭＳ Ｐゴシック"/>
            <family val="3"/>
            <charset val="128"/>
          </rPr>
          <t>10  12  15  18  22  27  33  39  47  56  68  82
11  13  16  20  24  30  36  43  51  62  75  91</t>
        </r>
        <r>
          <rPr>
            <b/>
            <sz val="9"/>
            <color indexed="81"/>
            <rFont val="ＭＳ Ｐゴシック"/>
            <family val="3"/>
            <charset val="128"/>
          </rPr>
          <t xml:space="preserve">
[ E48 series ]
</t>
        </r>
        <r>
          <rPr>
            <b/>
            <sz val="9"/>
            <color indexed="60"/>
            <rFont val="ＭＳ Ｐゴシック"/>
            <family val="3"/>
            <charset val="128"/>
          </rPr>
          <t xml:space="preserve">100 121 147 178 215 261 316 383 464 562 681 825 
105 127 154 187 226 274 332 402 487 590 715 866 
110 133 162 196 237 287 348 422 511 619 750 909 
115 140 169 205 249 301 365 442 536 649 787 953 </t>
        </r>
        <r>
          <rPr>
            <b/>
            <sz val="9"/>
            <color indexed="81"/>
            <rFont val="ＭＳ Ｐゴシック"/>
            <family val="3"/>
            <charset val="128"/>
          </rPr>
          <t xml:space="preserve">
[ E96 series ]
</t>
        </r>
        <r>
          <rPr>
            <b/>
            <sz val="9"/>
            <color indexed="60"/>
            <rFont val="ＭＳ Ｐゴシック"/>
            <family val="3"/>
            <charset val="128"/>
          </rPr>
          <t xml:space="preserve">100 121 147 178 215 261 316 383 464 562 681 825 
102 124 150 182 221 267 324 392 475 576 698 845 
105 127 154 187 226 274 332 402 487 590 715 866 
107 130 158 191 232 280 340 412 499 604 732 887 
110 133 162 196 237 287 348 422 511 619 750 909 
113 137 165 200 243 294 357 432 523 634 768 931 
115 140 169 205 249 301 365 442 536 649 787 953 
118 143 174 210 255 309 374 453 549 665 806 976 
</t>
        </r>
        <r>
          <rPr>
            <b/>
            <sz val="9"/>
            <color indexed="81"/>
            <rFont val="ＭＳ Ｐゴシック"/>
            <family val="3"/>
            <charset val="128"/>
          </rPr>
          <t xml:space="preserve">
</t>
        </r>
      </text>
    </comment>
    <comment ref="E72" authorId="1" shapeId="0" xr:uid="{00000000-0006-0000-0000-000005000000}">
      <text>
        <r>
          <rPr>
            <b/>
            <sz val="9"/>
            <color indexed="81"/>
            <rFont val="ＭＳ Ｐゴシック"/>
            <family val="3"/>
            <charset val="128"/>
          </rPr>
          <t>Estimated value</t>
        </r>
      </text>
    </comment>
    <comment ref="L92" authorId="0" shapeId="0" xr:uid="{00000000-0006-0000-0000-000006000000}">
      <text>
        <r>
          <rPr>
            <b/>
            <sz val="12"/>
            <color indexed="81"/>
            <rFont val="ＭＳ Ｐゴシック"/>
            <family val="3"/>
            <charset val="128"/>
          </rPr>
          <t>min. temp</t>
        </r>
      </text>
    </comment>
    <comment ref="M92" authorId="0" shapeId="0" xr:uid="{00000000-0006-0000-0000-000007000000}">
      <text>
        <r>
          <rPr>
            <b/>
            <sz val="12"/>
            <color indexed="81"/>
            <rFont val="ＭＳ Ｐゴシック"/>
            <family val="3"/>
            <charset val="128"/>
          </rPr>
          <t>max. temp</t>
        </r>
      </text>
    </comment>
    <comment ref="P92" authorId="0" shapeId="0" xr:uid="{00000000-0006-0000-0000-000008000000}">
      <text>
        <r>
          <rPr>
            <b/>
            <sz val="12"/>
            <color indexed="81"/>
            <rFont val="ＭＳ Ｐゴシック"/>
            <family val="3"/>
            <charset val="128"/>
          </rPr>
          <t>min. temp</t>
        </r>
      </text>
    </comment>
    <comment ref="Q92" authorId="0" shapeId="0" xr:uid="{00000000-0006-0000-0000-000009000000}">
      <text>
        <r>
          <rPr>
            <b/>
            <sz val="12"/>
            <color indexed="81"/>
            <rFont val="ＭＳ Ｐゴシック"/>
            <family val="3"/>
            <charset val="128"/>
          </rPr>
          <t>max. temp</t>
        </r>
      </text>
    </comment>
    <comment ref="K93" authorId="0" shapeId="0" xr:uid="{00000000-0006-0000-0000-00000A000000}">
      <text>
        <r>
          <rPr>
            <b/>
            <sz val="12"/>
            <color indexed="81"/>
            <rFont val="ＭＳ Ｐゴシック"/>
            <family val="3"/>
            <charset val="128"/>
          </rPr>
          <t>min. Itrip</t>
        </r>
      </text>
    </comment>
    <comment ref="O93" authorId="0" shapeId="0" xr:uid="{00000000-0006-0000-0000-00000B000000}">
      <text>
        <r>
          <rPr>
            <b/>
            <sz val="12"/>
            <color indexed="81"/>
            <rFont val="ＭＳ Ｐゴシック"/>
            <family val="3"/>
            <charset val="128"/>
          </rPr>
          <t>min. Itrip</t>
        </r>
      </text>
    </comment>
    <comment ref="K94" authorId="0" shapeId="0" xr:uid="{00000000-0006-0000-0000-00000C000000}">
      <text>
        <r>
          <rPr>
            <b/>
            <sz val="12"/>
            <color indexed="81"/>
            <rFont val="ＭＳ Ｐゴシック"/>
            <family val="3"/>
            <charset val="128"/>
          </rPr>
          <t>max. Itrip</t>
        </r>
      </text>
    </comment>
    <comment ref="O94" authorId="0" shapeId="0" xr:uid="{00000000-0006-0000-0000-00000D000000}">
      <text>
        <r>
          <rPr>
            <b/>
            <sz val="12"/>
            <color indexed="81"/>
            <rFont val="ＭＳ Ｐゴシック"/>
            <family val="3"/>
            <charset val="128"/>
          </rPr>
          <t>max. Itrip</t>
        </r>
      </text>
    </comment>
    <comment ref="L96" authorId="0" shapeId="0" xr:uid="{00000000-0006-0000-0000-00000E000000}">
      <text>
        <r>
          <rPr>
            <b/>
            <sz val="12"/>
            <color indexed="81"/>
            <rFont val="ＭＳ Ｐゴシック"/>
            <family val="3"/>
            <charset val="128"/>
          </rPr>
          <t>min. temp</t>
        </r>
      </text>
    </comment>
    <comment ref="M96" authorId="0" shapeId="0" xr:uid="{00000000-0006-0000-0000-00000F000000}">
      <text>
        <r>
          <rPr>
            <b/>
            <sz val="12"/>
            <color indexed="81"/>
            <rFont val="ＭＳ Ｐゴシック"/>
            <family val="3"/>
            <charset val="128"/>
          </rPr>
          <t>max. temp</t>
        </r>
      </text>
    </comment>
    <comment ref="P96" authorId="0" shapeId="0" xr:uid="{00000000-0006-0000-0000-000010000000}">
      <text>
        <r>
          <rPr>
            <b/>
            <sz val="12"/>
            <color indexed="81"/>
            <rFont val="ＭＳ Ｐゴシック"/>
            <family val="3"/>
            <charset val="128"/>
          </rPr>
          <t>min. temp</t>
        </r>
      </text>
    </comment>
    <comment ref="Q96" authorId="0" shapeId="0" xr:uid="{00000000-0006-0000-0000-000011000000}">
      <text>
        <r>
          <rPr>
            <b/>
            <sz val="12"/>
            <color indexed="81"/>
            <rFont val="ＭＳ Ｐゴシック"/>
            <family val="3"/>
            <charset val="128"/>
          </rPr>
          <t>max. temp</t>
        </r>
      </text>
    </comment>
    <comment ref="K97" authorId="0" shapeId="0" xr:uid="{00000000-0006-0000-0000-000012000000}">
      <text>
        <r>
          <rPr>
            <b/>
            <sz val="12"/>
            <color indexed="81"/>
            <rFont val="ＭＳ Ｐゴシック"/>
            <family val="3"/>
            <charset val="128"/>
          </rPr>
          <t>min. Itrip</t>
        </r>
      </text>
    </comment>
    <comment ref="O97" authorId="0" shapeId="0" xr:uid="{00000000-0006-0000-0000-000013000000}">
      <text>
        <r>
          <rPr>
            <b/>
            <sz val="12"/>
            <color indexed="81"/>
            <rFont val="ＭＳ Ｐゴシック"/>
            <family val="3"/>
            <charset val="128"/>
          </rPr>
          <t>min. Itrip</t>
        </r>
      </text>
    </comment>
    <comment ref="K99" authorId="0" shapeId="0" xr:uid="{00000000-0006-0000-0000-000014000000}">
      <text>
        <r>
          <rPr>
            <b/>
            <sz val="12"/>
            <color indexed="81"/>
            <rFont val="ＭＳ Ｐゴシック"/>
            <family val="3"/>
            <charset val="128"/>
          </rPr>
          <t>max. Itrip</t>
        </r>
      </text>
    </comment>
    <comment ref="O99" authorId="0" shapeId="0" xr:uid="{00000000-0006-0000-0000-000015000000}">
      <text>
        <r>
          <rPr>
            <b/>
            <sz val="12"/>
            <color indexed="81"/>
            <rFont val="ＭＳ Ｐゴシック"/>
            <family val="3"/>
            <charset val="128"/>
          </rPr>
          <t>max. Itrip</t>
        </r>
      </text>
    </comment>
    <comment ref="L103" authorId="0" shapeId="0" xr:uid="{00000000-0006-0000-0000-000016000000}">
      <text>
        <r>
          <rPr>
            <b/>
            <sz val="12"/>
            <color indexed="81"/>
            <rFont val="ＭＳ Ｐゴシック"/>
            <family val="3"/>
            <charset val="128"/>
          </rPr>
          <t>min. temp</t>
        </r>
      </text>
    </comment>
    <comment ref="M103" authorId="0" shapeId="0" xr:uid="{00000000-0006-0000-0000-000017000000}">
      <text>
        <r>
          <rPr>
            <b/>
            <sz val="12"/>
            <color indexed="81"/>
            <rFont val="ＭＳ Ｐゴシック"/>
            <family val="3"/>
            <charset val="128"/>
          </rPr>
          <t>max. temp</t>
        </r>
      </text>
    </comment>
    <comment ref="P103" authorId="0" shapeId="0" xr:uid="{00000000-0006-0000-0000-000018000000}">
      <text>
        <r>
          <rPr>
            <b/>
            <sz val="12"/>
            <color indexed="81"/>
            <rFont val="ＭＳ Ｐゴシック"/>
            <family val="3"/>
            <charset val="128"/>
          </rPr>
          <t>min. temp</t>
        </r>
      </text>
    </comment>
    <comment ref="Q103" authorId="0" shapeId="0" xr:uid="{00000000-0006-0000-0000-000019000000}">
      <text>
        <r>
          <rPr>
            <b/>
            <sz val="12"/>
            <color indexed="81"/>
            <rFont val="ＭＳ Ｐゴシック"/>
            <family val="3"/>
            <charset val="128"/>
          </rPr>
          <t>max. temp</t>
        </r>
      </text>
    </comment>
    <comment ref="K104" authorId="0" shapeId="0" xr:uid="{00000000-0006-0000-0000-00001A000000}">
      <text>
        <r>
          <rPr>
            <b/>
            <sz val="12"/>
            <color indexed="81"/>
            <rFont val="ＭＳ Ｐゴシック"/>
            <family val="3"/>
            <charset val="128"/>
          </rPr>
          <t>min. Itrip</t>
        </r>
      </text>
    </comment>
    <comment ref="O104" authorId="0" shapeId="0" xr:uid="{00000000-0006-0000-0000-00001B000000}">
      <text>
        <r>
          <rPr>
            <b/>
            <sz val="12"/>
            <color indexed="81"/>
            <rFont val="ＭＳ Ｐゴシック"/>
            <family val="3"/>
            <charset val="128"/>
          </rPr>
          <t>min. Itrip</t>
        </r>
      </text>
    </comment>
    <comment ref="K105" authorId="0" shapeId="0" xr:uid="{00000000-0006-0000-0000-00001C000000}">
      <text>
        <r>
          <rPr>
            <b/>
            <sz val="12"/>
            <color indexed="81"/>
            <rFont val="ＭＳ Ｐゴシック"/>
            <family val="3"/>
            <charset val="128"/>
          </rPr>
          <t>max. Itrip</t>
        </r>
      </text>
    </comment>
    <comment ref="O105" authorId="0" shapeId="0" xr:uid="{00000000-0006-0000-0000-00001D000000}">
      <text>
        <r>
          <rPr>
            <b/>
            <sz val="12"/>
            <color indexed="81"/>
            <rFont val="ＭＳ Ｐゴシック"/>
            <family val="3"/>
            <charset val="128"/>
          </rPr>
          <t>max. Itrip</t>
        </r>
      </text>
    </comment>
    <comment ref="L108" authorId="0" shapeId="0" xr:uid="{00000000-0006-0000-0000-00001E000000}">
      <text>
        <r>
          <rPr>
            <b/>
            <sz val="12"/>
            <color indexed="81"/>
            <rFont val="ＭＳ Ｐゴシック"/>
            <family val="3"/>
            <charset val="128"/>
          </rPr>
          <t>min. temp</t>
        </r>
      </text>
    </comment>
    <comment ref="M108" authorId="0" shapeId="0" xr:uid="{00000000-0006-0000-0000-00001F000000}">
      <text>
        <r>
          <rPr>
            <b/>
            <sz val="12"/>
            <color indexed="81"/>
            <rFont val="ＭＳ Ｐゴシック"/>
            <family val="3"/>
            <charset val="128"/>
          </rPr>
          <t>max. temp</t>
        </r>
      </text>
    </comment>
    <comment ref="P108" authorId="0" shapeId="0" xr:uid="{00000000-0006-0000-0000-000020000000}">
      <text>
        <r>
          <rPr>
            <b/>
            <sz val="12"/>
            <color indexed="81"/>
            <rFont val="ＭＳ Ｐゴシック"/>
            <family val="3"/>
            <charset val="128"/>
          </rPr>
          <t>min. temp</t>
        </r>
      </text>
    </comment>
    <comment ref="Q108" authorId="0" shapeId="0" xr:uid="{00000000-0006-0000-0000-000021000000}">
      <text>
        <r>
          <rPr>
            <b/>
            <sz val="12"/>
            <color indexed="81"/>
            <rFont val="ＭＳ Ｐゴシック"/>
            <family val="3"/>
            <charset val="128"/>
          </rPr>
          <t>max. temp</t>
        </r>
      </text>
    </comment>
    <comment ref="K109" authorId="0" shapeId="0" xr:uid="{00000000-0006-0000-0000-000022000000}">
      <text>
        <r>
          <rPr>
            <b/>
            <sz val="12"/>
            <color indexed="81"/>
            <rFont val="ＭＳ Ｐゴシック"/>
            <family val="3"/>
            <charset val="128"/>
          </rPr>
          <t>min. Itrip</t>
        </r>
      </text>
    </comment>
    <comment ref="O109" authorId="0" shapeId="0" xr:uid="{00000000-0006-0000-0000-000023000000}">
      <text>
        <r>
          <rPr>
            <b/>
            <sz val="12"/>
            <color indexed="81"/>
            <rFont val="ＭＳ Ｐゴシック"/>
            <family val="3"/>
            <charset val="128"/>
          </rPr>
          <t>min. Itrip</t>
        </r>
      </text>
    </comment>
    <comment ref="K110" authorId="0" shapeId="0" xr:uid="{00000000-0006-0000-0000-000024000000}">
      <text>
        <r>
          <rPr>
            <b/>
            <sz val="12"/>
            <color indexed="81"/>
            <rFont val="ＭＳ Ｐゴシック"/>
            <family val="3"/>
            <charset val="128"/>
          </rPr>
          <t>max. Itrip</t>
        </r>
      </text>
    </comment>
    <comment ref="O110" authorId="0" shapeId="0" xr:uid="{00000000-0006-0000-0000-000025000000}">
      <text>
        <r>
          <rPr>
            <b/>
            <sz val="12"/>
            <color indexed="81"/>
            <rFont val="ＭＳ Ｐゴシック"/>
            <family val="3"/>
            <charset val="128"/>
          </rPr>
          <t>max. Itrip</t>
        </r>
      </text>
    </comment>
    <comment ref="L114" authorId="0" shapeId="0" xr:uid="{00000000-0006-0000-0000-000026000000}">
      <text>
        <r>
          <rPr>
            <b/>
            <sz val="12"/>
            <color indexed="81"/>
            <rFont val="ＭＳ Ｐゴシック"/>
            <family val="3"/>
            <charset val="128"/>
          </rPr>
          <t>min. temp</t>
        </r>
      </text>
    </comment>
    <comment ref="M114" authorId="0" shapeId="0" xr:uid="{00000000-0006-0000-0000-000027000000}">
      <text>
        <r>
          <rPr>
            <b/>
            <sz val="12"/>
            <color indexed="81"/>
            <rFont val="ＭＳ Ｐゴシック"/>
            <family val="3"/>
            <charset val="128"/>
          </rPr>
          <t>max. temp</t>
        </r>
      </text>
    </comment>
    <comment ref="P114" authorId="0" shapeId="0" xr:uid="{00000000-0006-0000-0000-000028000000}">
      <text>
        <r>
          <rPr>
            <b/>
            <sz val="12"/>
            <color indexed="81"/>
            <rFont val="ＭＳ Ｐゴシック"/>
            <family val="3"/>
            <charset val="128"/>
          </rPr>
          <t>min. temp</t>
        </r>
      </text>
    </comment>
    <comment ref="Q114" authorId="0" shapeId="0" xr:uid="{00000000-0006-0000-0000-000029000000}">
      <text>
        <r>
          <rPr>
            <b/>
            <sz val="12"/>
            <color indexed="81"/>
            <rFont val="ＭＳ Ｐゴシック"/>
            <family val="3"/>
            <charset val="128"/>
          </rPr>
          <t>max. temp</t>
        </r>
      </text>
    </comment>
    <comment ref="K115" authorId="0" shapeId="0" xr:uid="{00000000-0006-0000-0000-00002A000000}">
      <text>
        <r>
          <rPr>
            <b/>
            <sz val="12"/>
            <color indexed="81"/>
            <rFont val="ＭＳ Ｐゴシック"/>
            <family val="3"/>
            <charset val="128"/>
          </rPr>
          <t>min. Itrip</t>
        </r>
      </text>
    </comment>
    <comment ref="O115" authorId="0" shapeId="0" xr:uid="{00000000-0006-0000-0000-00002B000000}">
      <text>
        <r>
          <rPr>
            <b/>
            <sz val="12"/>
            <color indexed="81"/>
            <rFont val="ＭＳ Ｐゴシック"/>
            <family val="3"/>
            <charset val="128"/>
          </rPr>
          <t>min. Itrip</t>
        </r>
      </text>
    </comment>
    <comment ref="K116" authorId="0" shapeId="0" xr:uid="{00000000-0006-0000-0000-00002C000000}">
      <text>
        <r>
          <rPr>
            <b/>
            <sz val="12"/>
            <color indexed="81"/>
            <rFont val="ＭＳ Ｐゴシック"/>
            <family val="3"/>
            <charset val="128"/>
          </rPr>
          <t>max. Itrip</t>
        </r>
      </text>
    </comment>
    <comment ref="O116" authorId="0" shapeId="0" xr:uid="{00000000-0006-0000-0000-00002D000000}">
      <text>
        <r>
          <rPr>
            <b/>
            <sz val="12"/>
            <color indexed="81"/>
            <rFont val="ＭＳ Ｐゴシック"/>
            <family val="3"/>
            <charset val="128"/>
          </rPr>
          <t>max. Itrip</t>
        </r>
      </text>
    </comment>
    <comment ref="E117" authorId="0" shapeId="0" xr:uid="{00000000-0006-0000-0000-00002E000000}">
      <text>
        <r>
          <rPr>
            <b/>
            <sz val="9"/>
            <color indexed="81"/>
            <rFont val="ＭＳ Ｐゴシック"/>
            <family val="3"/>
            <charset val="128"/>
          </rPr>
          <t xml:space="preserve">[ E24 series ]
</t>
        </r>
        <r>
          <rPr>
            <b/>
            <sz val="9"/>
            <color indexed="60"/>
            <rFont val="ＭＳ Ｐゴシック"/>
            <family val="3"/>
            <charset val="128"/>
          </rPr>
          <t>10  12  15  18  22  27  33  39  47  56  68  82
11  13  16  20  24  30  36  43  51  62  75  91</t>
        </r>
        <r>
          <rPr>
            <b/>
            <sz val="9"/>
            <color indexed="81"/>
            <rFont val="ＭＳ Ｐゴシック"/>
            <family val="3"/>
            <charset val="128"/>
          </rPr>
          <t xml:space="preserve">
[ E48 series ]
</t>
        </r>
        <r>
          <rPr>
            <b/>
            <sz val="9"/>
            <color indexed="60"/>
            <rFont val="ＭＳ Ｐゴシック"/>
            <family val="3"/>
            <charset val="128"/>
          </rPr>
          <t xml:space="preserve">100 121 147 178 215 261 316 383 464 562 681 825 
105 127 154 187 226 274 332 402 487 590 715 866 
110 133 162 196 237 287 348 422 511 619 750 909 
115 140 169 205 249 301 365 442 536 649 787 953 </t>
        </r>
        <r>
          <rPr>
            <b/>
            <sz val="9"/>
            <color indexed="81"/>
            <rFont val="ＭＳ Ｐゴシック"/>
            <family val="3"/>
            <charset val="128"/>
          </rPr>
          <t xml:space="preserve">
[ E96 series ]
</t>
        </r>
        <r>
          <rPr>
            <b/>
            <sz val="9"/>
            <color indexed="60"/>
            <rFont val="ＭＳ Ｐゴシック"/>
            <family val="3"/>
            <charset val="128"/>
          </rPr>
          <t>100 121 147 178 215 261 316 383 464 562 681 825 
102 124 150 182 221 267 324 392 475 576 698 845
105 127 154 187 226 274 332 402 487 590 715 866 
107 130 158 191 232 280 340 412 499 604 732 887
110 133 162 196 237 287 348 422 511 619 750 909 
113 137 165 200 243 294 357 432 523 634 768 931
115 140 169 205 249 301 365 442 536 649 787 953
118 143 174 210 255 309 374 453 549 665 806 976</t>
        </r>
      </text>
    </comment>
    <comment ref="L120" authorId="0" shapeId="0" xr:uid="{00000000-0006-0000-0000-00002F000000}">
      <text>
        <r>
          <rPr>
            <b/>
            <sz val="12"/>
            <color indexed="81"/>
            <rFont val="ＭＳ Ｐゴシック"/>
            <family val="3"/>
            <charset val="128"/>
          </rPr>
          <t>min. temp</t>
        </r>
      </text>
    </comment>
    <comment ref="M120" authorId="0" shapeId="0" xr:uid="{00000000-0006-0000-0000-000030000000}">
      <text>
        <r>
          <rPr>
            <b/>
            <sz val="12"/>
            <color indexed="81"/>
            <rFont val="ＭＳ Ｐゴシック"/>
            <family val="3"/>
            <charset val="128"/>
          </rPr>
          <t>max. temp</t>
        </r>
      </text>
    </comment>
    <comment ref="P120" authorId="0" shapeId="0" xr:uid="{00000000-0006-0000-0000-000031000000}">
      <text>
        <r>
          <rPr>
            <b/>
            <sz val="12"/>
            <color indexed="81"/>
            <rFont val="ＭＳ Ｐゴシック"/>
            <family val="3"/>
            <charset val="128"/>
          </rPr>
          <t>min. temp</t>
        </r>
      </text>
    </comment>
    <comment ref="Q120" authorId="0" shapeId="0" xr:uid="{00000000-0006-0000-0000-000032000000}">
      <text>
        <r>
          <rPr>
            <b/>
            <sz val="12"/>
            <color indexed="81"/>
            <rFont val="ＭＳ Ｐゴシック"/>
            <family val="3"/>
            <charset val="128"/>
          </rPr>
          <t>max. temp</t>
        </r>
      </text>
    </comment>
    <comment ref="K121" authorId="0" shapeId="0" xr:uid="{00000000-0006-0000-0000-000033000000}">
      <text>
        <r>
          <rPr>
            <b/>
            <sz val="12"/>
            <color indexed="81"/>
            <rFont val="ＭＳ Ｐゴシック"/>
            <family val="3"/>
            <charset val="128"/>
          </rPr>
          <t>min. Itrip</t>
        </r>
      </text>
    </comment>
    <comment ref="O121" authorId="0" shapeId="0" xr:uid="{00000000-0006-0000-0000-000034000000}">
      <text>
        <r>
          <rPr>
            <b/>
            <sz val="12"/>
            <color indexed="81"/>
            <rFont val="ＭＳ Ｐゴシック"/>
            <family val="3"/>
            <charset val="128"/>
          </rPr>
          <t>min. Itrip</t>
        </r>
      </text>
    </comment>
    <comment ref="K122" authorId="0" shapeId="0" xr:uid="{00000000-0006-0000-0000-000035000000}">
      <text>
        <r>
          <rPr>
            <b/>
            <sz val="12"/>
            <color indexed="81"/>
            <rFont val="ＭＳ Ｐゴシック"/>
            <family val="3"/>
            <charset val="128"/>
          </rPr>
          <t>max. Itrip</t>
        </r>
      </text>
    </comment>
    <comment ref="O122" authorId="0" shapeId="0" xr:uid="{00000000-0006-0000-0000-000036000000}">
      <text>
        <r>
          <rPr>
            <b/>
            <sz val="12"/>
            <color indexed="81"/>
            <rFont val="ＭＳ Ｐゴシック"/>
            <family val="3"/>
            <charset val="128"/>
          </rPr>
          <t>max. Itrip</t>
        </r>
      </text>
    </comment>
    <comment ref="L124" authorId="0" shapeId="0" xr:uid="{00000000-0006-0000-0000-000037000000}">
      <text>
        <r>
          <rPr>
            <b/>
            <sz val="12"/>
            <color indexed="81"/>
            <rFont val="ＭＳ Ｐゴシック"/>
            <family val="3"/>
            <charset val="128"/>
          </rPr>
          <t>min. temp</t>
        </r>
      </text>
    </comment>
    <comment ref="M124" authorId="0" shapeId="0" xr:uid="{00000000-0006-0000-0000-000038000000}">
      <text>
        <r>
          <rPr>
            <b/>
            <sz val="12"/>
            <color indexed="81"/>
            <rFont val="ＭＳ Ｐゴシック"/>
            <family val="3"/>
            <charset val="128"/>
          </rPr>
          <t>max. temp</t>
        </r>
      </text>
    </comment>
    <comment ref="P124" authorId="0" shapeId="0" xr:uid="{00000000-0006-0000-0000-000039000000}">
      <text>
        <r>
          <rPr>
            <b/>
            <sz val="12"/>
            <color indexed="81"/>
            <rFont val="ＭＳ Ｐゴシック"/>
            <family val="3"/>
            <charset val="128"/>
          </rPr>
          <t>min. temp</t>
        </r>
      </text>
    </comment>
    <comment ref="Q124" authorId="0" shapeId="0" xr:uid="{00000000-0006-0000-0000-00003A000000}">
      <text>
        <r>
          <rPr>
            <b/>
            <sz val="12"/>
            <color indexed="81"/>
            <rFont val="ＭＳ Ｐゴシック"/>
            <family val="3"/>
            <charset val="128"/>
          </rPr>
          <t>max. temp</t>
        </r>
      </text>
    </comment>
    <comment ref="K125" authorId="0" shapeId="0" xr:uid="{00000000-0006-0000-0000-00003B000000}">
      <text>
        <r>
          <rPr>
            <b/>
            <sz val="12"/>
            <color indexed="81"/>
            <rFont val="ＭＳ Ｐゴシック"/>
            <family val="3"/>
            <charset val="128"/>
          </rPr>
          <t>min. Itrip</t>
        </r>
      </text>
    </comment>
    <comment ref="O125" authorId="0" shapeId="0" xr:uid="{00000000-0006-0000-0000-00003C000000}">
      <text>
        <r>
          <rPr>
            <b/>
            <sz val="12"/>
            <color indexed="81"/>
            <rFont val="ＭＳ Ｐゴシック"/>
            <family val="3"/>
            <charset val="128"/>
          </rPr>
          <t>min. Itrip</t>
        </r>
      </text>
    </comment>
    <comment ref="K126" authorId="0" shapeId="0" xr:uid="{00000000-0006-0000-0000-00003D000000}">
      <text>
        <r>
          <rPr>
            <b/>
            <sz val="12"/>
            <color indexed="81"/>
            <rFont val="ＭＳ Ｐゴシック"/>
            <family val="3"/>
            <charset val="128"/>
          </rPr>
          <t>max. Itrip</t>
        </r>
      </text>
    </comment>
    <comment ref="O126" authorId="0" shapeId="0" xr:uid="{00000000-0006-0000-0000-00003E000000}">
      <text>
        <r>
          <rPr>
            <b/>
            <sz val="12"/>
            <color indexed="81"/>
            <rFont val="ＭＳ Ｐゴシック"/>
            <family val="3"/>
            <charset val="128"/>
          </rPr>
          <t>max. Itrip</t>
        </r>
      </text>
    </comment>
    <comment ref="L130" authorId="0" shapeId="0" xr:uid="{00000000-0006-0000-0000-00003F000000}">
      <text>
        <r>
          <rPr>
            <b/>
            <sz val="12"/>
            <color indexed="81"/>
            <rFont val="ＭＳ Ｐゴシック"/>
            <family val="3"/>
            <charset val="128"/>
          </rPr>
          <t>min. temp</t>
        </r>
      </text>
    </comment>
    <comment ref="M130" authorId="0" shapeId="0" xr:uid="{00000000-0006-0000-0000-000040000000}">
      <text>
        <r>
          <rPr>
            <b/>
            <sz val="12"/>
            <color indexed="81"/>
            <rFont val="ＭＳ Ｐゴシック"/>
            <family val="3"/>
            <charset val="128"/>
          </rPr>
          <t>max. temp</t>
        </r>
      </text>
    </comment>
    <comment ref="P130" authorId="0" shapeId="0" xr:uid="{00000000-0006-0000-0000-000041000000}">
      <text>
        <r>
          <rPr>
            <b/>
            <sz val="12"/>
            <color indexed="81"/>
            <rFont val="ＭＳ Ｐゴシック"/>
            <family val="3"/>
            <charset val="128"/>
          </rPr>
          <t>min. temp</t>
        </r>
      </text>
    </comment>
    <comment ref="Q130" authorId="0" shapeId="0" xr:uid="{00000000-0006-0000-0000-000042000000}">
      <text>
        <r>
          <rPr>
            <b/>
            <sz val="12"/>
            <color indexed="81"/>
            <rFont val="ＭＳ Ｐゴシック"/>
            <family val="3"/>
            <charset val="128"/>
          </rPr>
          <t>max. temp</t>
        </r>
      </text>
    </comment>
    <comment ref="K131" authorId="0" shapeId="0" xr:uid="{00000000-0006-0000-0000-000043000000}">
      <text>
        <r>
          <rPr>
            <b/>
            <sz val="12"/>
            <color indexed="81"/>
            <rFont val="ＭＳ Ｐゴシック"/>
            <family val="3"/>
            <charset val="128"/>
          </rPr>
          <t>min. Itrip</t>
        </r>
      </text>
    </comment>
    <comment ref="O131" authorId="0" shapeId="0" xr:uid="{00000000-0006-0000-0000-000044000000}">
      <text>
        <r>
          <rPr>
            <b/>
            <sz val="12"/>
            <color indexed="81"/>
            <rFont val="ＭＳ Ｐゴシック"/>
            <family val="3"/>
            <charset val="128"/>
          </rPr>
          <t>min. Itrip</t>
        </r>
      </text>
    </comment>
    <comment ref="K132" authorId="0" shapeId="0" xr:uid="{00000000-0006-0000-0000-000045000000}">
      <text>
        <r>
          <rPr>
            <b/>
            <sz val="12"/>
            <color indexed="81"/>
            <rFont val="ＭＳ Ｐゴシック"/>
            <family val="3"/>
            <charset val="128"/>
          </rPr>
          <t>max. Itrip</t>
        </r>
      </text>
    </comment>
    <comment ref="O132" authorId="0" shapeId="0" xr:uid="{00000000-0006-0000-0000-000046000000}">
      <text>
        <r>
          <rPr>
            <b/>
            <sz val="12"/>
            <color indexed="81"/>
            <rFont val="ＭＳ Ｐゴシック"/>
            <family val="3"/>
            <charset val="128"/>
          </rPr>
          <t>max. Itrip</t>
        </r>
      </text>
    </comment>
    <comment ref="L134" authorId="0" shapeId="0" xr:uid="{00000000-0006-0000-0000-000047000000}">
      <text>
        <r>
          <rPr>
            <b/>
            <sz val="12"/>
            <color indexed="81"/>
            <rFont val="ＭＳ Ｐゴシック"/>
            <family val="3"/>
            <charset val="128"/>
          </rPr>
          <t>min. temp</t>
        </r>
      </text>
    </comment>
    <comment ref="M134" authorId="0" shapeId="0" xr:uid="{00000000-0006-0000-0000-000048000000}">
      <text>
        <r>
          <rPr>
            <b/>
            <sz val="12"/>
            <color indexed="81"/>
            <rFont val="ＭＳ Ｐゴシック"/>
            <family val="3"/>
            <charset val="128"/>
          </rPr>
          <t>max. temp</t>
        </r>
      </text>
    </comment>
    <comment ref="P134" authorId="0" shapeId="0" xr:uid="{00000000-0006-0000-0000-000049000000}">
      <text>
        <r>
          <rPr>
            <b/>
            <sz val="12"/>
            <color indexed="81"/>
            <rFont val="ＭＳ Ｐゴシック"/>
            <family val="3"/>
            <charset val="128"/>
          </rPr>
          <t>min. temp</t>
        </r>
      </text>
    </comment>
    <comment ref="Q134" authorId="0" shapeId="0" xr:uid="{00000000-0006-0000-0000-00004A000000}">
      <text>
        <r>
          <rPr>
            <b/>
            <sz val="12"/>
            <color indexed="81"/>
            <rFont val="ＭＳ Ｐゴシック"/>
            <family val="3"/>
            <charset val="128"/>
          </rPr>
          <t>max. temp</t>
        </r>
      </text>
    </comment>
    <comment ref="K135" authorId="0" shapeId="0" xr:uid="{00000000-0006-0000-0000-00004B000000}">
      <text>
        <r>
          <rPr>
            <b/>
            <sz val="12"/>
            <color indexed="81"/>
            <rFont val="ＭＳ Ｐゴシック"/>
            <family val="3"/>
            <charset val="128"/>
          </rPr>
          <t>min. Itrip</t>
        </r>
      </text>
    </comment>
    <comment ref="O135" authorId="0" shapeId="0" xr:uid="{00000000-0006-0000-0000-00004C000000}">
      <text>
        <r>
          <rPr>
            <b/>
            <sz val="12"/>
            <color indexed="81"/>
            <rFont val="ＭＳ Ｐゴシック"/>
            <family val="3"/>
            <charset val="128"/>
          </rPr>
          <t>min. Itrip</t>
        </r>
      </text>
    </comment>
    <comment ref="K136" authorId="0" shapeId="0" xr:uid="{00000000-0006-0000-0000-00004D000000}">
      <text>
        <r>
          <rPr>
            <b/>
            <sz val="12"/>
            <color indexed="81"/>
            <rFont val="ＭＳ Ｐゴシック"/>
            <family val="3"/>
            <charset val="128"/>
          </rPr>
          <t>max. Itrip</t>
        </r>
      </text>
    </comment>
    <comment ref="O136" authorId="0" shapeId="0" xr:uid="{00000000-0006-0000-0000-00004E000000}">
      <text>
        <r>
          <rPr>
            <b/>
            <sz val="12"/>
            <color indexed="81"/>
            <rFont val="ＭＳ Ｐゴシック"/>
            <family val="3"/>
            <charset val="128"/>
          </rPr>
          <t>max. Itrip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Ishikawa, Shuichi</author>
    <author>a0689783</author>
  </authors>
  <commentList>
    <comment ref="C30" authorId="0" shapeId="0" xr:uid="{00000000-0006-0000-0100-000001000000}">
      <text>
        <r>
          <rPr>
            <b/>
            <sz val="9"/>
            <color indexed="81"/>
            <rFont val="ＭＳ Ｐゴシック"/>
            <family val="3"/>
            <charset val="128"/>
          </rPr>
          <t xml:space="preserve">[ E24 series ]
</t>
        </r>
        <r>
          <rPr>
            <b/>
            <sz val="9"/>
            <color indexed="60"/>
            <rFont val="ＭＳ Ｐゴシック"/>
            <family val="3"/>
            <charset val="128"/>
          </rPr>
          <t>10  12  15  18  22  27  33  39  47  56  68  82
11  13  16  20  24  30  36  43  51  62  75  91</t>
        </r>
        <r>
          <rPr>
            <b/>
            <sz val="9"/>
            <color indexed="81"/>
            <rFont val="ＭＳ Ｐゴシック"/>
            <family val="3"/>
            <charset val="128"/>
          </rPr>
          <t xml:space="preserve">
[ E48 series ]
</t>
        </r>
        <r>
          <rPr>
            <b/>
            <sz val="9"/>
            <color indexed="60"/>
            <rFont val="ＭＳ Ｐゴシック"/>
            <family val="3"/>
            <charset val="128"/>
          </rPr>
          <t xml:space="preserve">100 121 147 178 215 261 316 383 464 562 681 825 
105 127 154 187 226 274 332 402 487 590 715 866 
110 133 162 196 237 287 348 422 511 619 750 909 
115 140 169 205 249 301 365 442 536 649 787 953 </t>
        </r>
        <r>
          <rPr>
            <b/>
            <sz val="9"/>
            <color indexed="81"/>
            <rFont val="ＭＳ Ｐゴシック"/>
            <family val="3"/>
            <charset val="128"/>
          </rPr>
          <t xml:space="preserve">
[ E96 series ]
</t>
        </r>
        <r>
          <rPr>
            <b/>
            <sz val="9"/>
            <color indexed="60"/>
            <rFont val="ＭＳ Ｐゴシック"/>
            <family val="3"/>
            <charset val="128"/>
          </rPr>
          <t xml:space="preserve">100 121 147 178 215 261 316 383 464 562 681 825 
102 124 150 182 221 267 324 392 475 576 698 845 
105 127 154 187 226 274 332 402 487 590 715 866 
107 130 158 191 232 280 340 412 499 604 732 887 
110 133 162 196 237 287 348 422 511 619 750 909 
113 137 165 200 243 294 357 432 523 634 768 931 
115 140 169 205 249 301 365 442 536 649 787 953 
118 143 174 210 255 309 374 453 549 665 806 976 
</t>
        </r>
        <r>
          <rPr>
            <b/>
            <sz val="9"/>
            <color indexed="81"/>
            <rFont val="ＭＳ Ｐゴシック"/>
            <family val="3"/>
            <charset val="128"/>
          </rPr>
          <t xml:space="preserve">
</t>
        </r>
      </text>
    </comment>
    <comment ref="F30" authorId="0" shapeId="0" xr:uid="{00000000-0006-0000-0100-000002000000}">
      <text>
        <r>
          <rPr>
            <b/>
            <sz val="9"/>
            <color indexed="81"/>
            <rFont val="ＭＳ Ｐゴシック"/>
            <family val="3"/>
            <charset val="128"/>
          </rPr>
          <t xml:space="preserve">[ E24 series ]
</t>
        </r>
        <r>
          <rPr>
            <b/>
            <sz val="9"/>
            <color indexed="60"/>
            <rFont val="ＭＳ Ｐゴシック"/>
            <family val="3"/>
            <charset val="128"/>
          </rPr>
          <t>10  12  15  18  22  27  33  39  47  56  68  82
11  13  16  20  24  30  36  43  51  62  75  91</t>
        </r>
        <r>
          <rPr>
            <b/>
            <sz val="9"/>
            <color indexed="81"/>
            <rFont val="ＭＳ Ｐゴシック"/>
            <family val="3"/>
            <charset val="128"/>
          </rPr>
          <t xml:space="preserve">
[ E48 series ]
</t>
        </r>
        <r>
          <rPr>
            <b/>
            <sz val="9"/>
            <color indexed="60"/>
            <rFont val="ＭＳ Ｐゴシック"/>
            <family val="3"/>
            <charset val="128"/>
          </rPr>
          <t xml:space="preserve">100 121 147 178 215 261 316 383 464 562 681 825 
105 127 154 187 226 274 332 402 487 590 715 866 
110 133 162 196 237 287 348 422 511 619 750 909 
115 140 169 205 249 301 365 442 536 649 787 953 </t>
        </r>
        <r>
          <rPr>
            <b/>
            <sz val="9"/>
            <color indexed="81"/>
            <rFont val="ＭＳ Ｐゴシック"/>
            <family val="3"/>
            <charset val="128"/>
          </rPr>
          <t xml:space="preserve">
[ E96 series ]
</t>
        </r>
        <r>
          <rPr>
            <b/>
            <sz val="9"/>
            <color indexed="60"/>
            <rFont val="ＭＳ Ｐゴシック"/>
            <family val="3"/>
            <charset val="128"/>
          </rPr>
          <t xml:space="preserve">100 121 147 178 215 261 316 383 464 562 681 825 
102 124 150 182 221 267 324 392 475 576 698 845 
105 127 154 187 226 274 332 402 487 590 715 866 
107 130 158 191 232 280 340 412 499 604 732 887 
110 133 162 196 237 287 348 422 511 619 750 909 
113 137 165 200 243 294 357 432 523 634 768 931 
115 140 169 205 249 301 365 442 536 649 787 953 
118 143 174 210 255 309 374 453 549 665 806 976 
</t>
        </r>
        <r>
          <rPr>
            <b/>
            <sz val="9"/>
            <color indexed="81"/>
            <rFont val="ＭＳ Ｐゴシック"/>
            <family val="3"/>
            <charset val="128"/>
          </rPr>
          <t xml:space="preserve">
</t>
        </r>
      </text>
    </comment>
    <comment ref="D55" authorId="1" shapeId="0" xr:uid="{00000000-0006-0000-0100-000003000000}">
      <text>
        <r>
          <rPr>
            <b/>
            <sz val="9"/>
            <color indexed="81"/>
            <rFont val="ＭＳ Ｐゴシック"/>
            <family val="3"/>
            <charset val="128"/>
          </rPr>
          <t>Estimated value</t>
        </r>
      </text>
    </comment>
    <comment ref="E60" authorId="0" shapeId="0" xr:uid="{00000000-0006-0000-0100-000004000000}">
      <text>
        <r>
          <rPr>
            <b/>
            <sz val="9"/>
            <color indexed="81"/>
            <rFont val="ＭＳ Ｐゴシック"/>
            <family val="3"/>
            <charset val="128"/>
          </rPr>
          <t xml:space="preserve">[ E24 series ]
</t>
        </r>
        <r>
          <rPr>
            <b/>
            <sz val="9"/>
            <color indexed="60"/>
            <rFont val="ＭＳ Ｐゴシック"/>
            <family val="3"/>
            <charset val="128"/>
          </rPr>
          <t>10  12  15  18  22  27  33  39  47  56  68  82
11  13  16  20  24  30  36  43  51  62  75  91</t>
        </r>
        <r>
          <rPr>
            <b/>
            <sz val="9"/>
            <color indexed="81"/>
            <rFont val="ＭＳ Ｐゴシック"/>
            <family val="3"/>
            <charset val="128"/>
          </rPr>
          <t xml:space="preserve">
[ E48 series ]
</t>
        </r>
        <r>
          <rPr>
            <b/>
            <sz val="9"/>
            <color indexed="60"/>
            <rFont val="ＭＳ Ｐゴシック"/>
            <family val="3"/>
            <charset val="128"/>
          </rPr>
          <t xml:space="preserve">100 121 147 178 215 261 316 383 464 562 681 825 
105 127 154 187 226 274 332 402 487 590 715 866 
110 133 162 196 237 287 348 422 511 619 750 909 
115 140 169 205 249 301 365 442 536 649 787 953 </t>
        </r>
        <r>
          <rPr>
            <b/>
            <sz val="9"/>
            <color indexed="81"/>
            <rFont val="ＭＳ Ｐゴシック"/>
            <family val="3"/>
            <charset val="128"/>
          </rPr>
          <t xml:space="preserve">
[ E96 series ]
</t>
        </r>
        <r>
          <rPr>
            <b/>
            <sz val="9"/>
            <color indexed="60"/>
            <rFont val="ＭＳ Ｐゴシック"/>
            <family val="3"/>
            <charset val="128"/>
          </rPr>
          <t xml:space="preserve">100 121 147 178 215 261 316 383 464 562 681 825 
102 124 150 182 221 267 324 392 475 576 698 845 
105 127 154 187 226 274 332 402 487 590 715 866 
107 130 158 191 232 280 340 412 499 604 732 887 
110 133 162 196 237 287 348 422 511 619 750 909 
113 137 165 200 243 294 357 432 523 634 768 931 
115 140 169 205 249 301 365 442 536 649 787 953 
118 143 174 210 255 309 374 453 549 665 806 976 
</t>
        </r>
        <r>
          <rPr>
            <b/>
            <sz val="9"/>
            <color indexed="81"/>
            <rFont val="ＭＳ Ｐゴシック"/>
            <family val="3"/>
            <charset val="128"/>
          </rPr>
          <t xml:space="preserve">
</t>
        </r>
      </text>
    </comment>
    <comment ref="E70" authorId="1" shapeId="0" xr:uid="{00000000-0006-0000-0100-000005000000}">
      <text>
        <r>
          <rPr>
            <b/>
            <sz val="9"/>
            <color indexed="81"/>
            <rFont val="ＭＳ Ｐゴシック"/>
            <family val="3"/>
            <charset val="128"/>
          </rPr>
          <t>Estimated value</t>
        </r>
      </text>
    </comment>
    <comment ref="L90" authorId="0" shapeId="0" xr:uid="{00000000-0006-0000-0100-000006000000}">
      <text>
        <r>
          <rPr>
            <b/>
            <sz val="12"/>
            <color indexed="81"/>
            <rFont val="ＭＳ Ｐゴシック"/>
            <family val="3"/>
            <charset val="128"/>
          </rPr>
          <t>min. temp</t>
        </r>
      </text>
    </comment>
    <comment ref="M90" authorId="0" shapeId="0" xr:uid="{00000000-0006-0000-0100-000007000000}">
      <text>
        <r>
          <rPr>
            <b/>
            <sz val="12"/>
            <color indexed="81"/>
            <rFont val="ＭＳ Ｐゴシック"/>
            <family val="3"/>
            <charset val="128"/>
          </rPr>
          <t>max. temp</t>
        </r>
      </text>
    </comment>
    <comment ref="P90" authorId="0" shapeId="0" xr:uid="{00000000-0006-0000-0100-000008000000}">
      <text>
        <r>
          <rPr>
            <b/>
            <sz val="12"/>
            <color indexed="81"/>
            <rFont val="ＭＳ Ｐゴシック"/>
            <family val="3"/>
            <charset val="128"/>
          </rPr>
          <t>min. temp</t>
        </r>
      </text>
    </comment>
    <comment ref="Q90" authorId="0" shapeId="0" xr:uid="{00000000-0006-0000-0100-000009000000}">
      <text>
        <r>
          <rPr>
            <b/>
            <sz val="12"/>
            <color indexed="81"/>
            <rFont val="ＭＳ Ｐゴシック"/>
            <family val="3"/>
            <charset val="128"/>
          </rPr>
          <t>max. temp</t>
        </r>
      </text>
    </comment>
    <comment ref="K91" authorId="0" shapeId="0" xr:uid="{00000000-0006-0000-0100-00000A000000}">
      <text>
        <r>
          <rPr>
            <b/>
            <sz val="12"/>
            <color indexed="81"/>
            <rFont val="ＭＳ Ｐゴシック"/>
            <family val="3"/>
            <charset val="128"/>
          </rPr>
          <t>min. Itrip</t>
        </r>
      </text>
    </comment>
    <comment ref="O91" authorId="0" shapeId="0" xr:uid="{00000000-0006-0000-0100-00000B000000}">
      <text>
        <r>
          <rPr>
            <b/>
            <sz val="12"/>
            <color indexed="81"/>
            <rFont val="ＭＳ Ｐゴシック"/>
            <family val="3"/>
            <charset val="128"/>
          </rPr>
          <t>min. Itrip</t>
        </r>
      </text>
    </comment>
    <comment ref="K92" authorId="0" shapeId="0" xr:uid="{00000000-0006-0000-0100-00000C000000}">
      <text>
        <r>
          <rPr>
            <b/>
            <sz val="12"/>
            <color indexed="81"/>
            <rFont val="ＭＳ Ｐゴシック"/>
            <family val="3"/>
            <charset val="128"/>
          </rPr>
          <t>max. Itrip</t>
        </r>
      </text>
    </comment>
    <comment ref="O92" authorId="0" shapeId="0" xr:uid="{00000000-0006-0000-0100-00000D000000}">
      <text>
        <r>
          <rPr>
            <b/>
            <sz val="12"/>
            <color indexed="81"/>
            <rFont val="ＭＳ Ｐゴシック"/>
            <family val="3"/>
            <charset val="128"/>
          </rPr>
          <t>max. Itrip</t>
        </r>
      </text>
    </comment>
    <comment ref="L94" authorId="0" shapeId="0" xr:uid="{00000000-0006-0000-0100-00000E000000}">
      <text>
        <r>
          <rPr>
            <b/>
            <sz val="12"/>
            <color indexed="81"/>
            <rFont val="ＭＳ Ｐゴシック"/>
            <family val="3"/>
            <charset val="128"/>
          </rPr>
          <t>min. temp</t>
        </r>
      </text>
    </comment>
    <comment ref="M94" authorId="0" shapeId="0" xr:uid="{00000000-0006-0000-0100-00000F000000}">
      <text>
        <r>
          <rPr>
            <b/>
            <sz val="12"/>
            <color indexed="81"/>
            <rFont val="ＭＳ Ｐゴシック"/>
            <family val="3"/>
            <charset val="128"/>
          </rPr>
          <t>max. temp</t>
        </r>
      </text>
    </comment>
    <comment ref="P94" authorId="0" shapeId="0" xr:uid="{00000000-0006-0000-0100-000010000000}">
      <text>
        <r>
          <rPr>
            <b/>
            <sz val="12"/>
            <color indexed="81"/>
            <rFont val="ＭＳ Ｐゴシック"/>
            <family val="3"/>
            <charset val="128"/>
          </rPr>
          <t>min. temp</t>
        </r>
      </text>
    </comment>
    <comment ref="Q94" authorId="0" shapeId="0" xr:uid="{00000000-0006-0000-0100-000011000000}">
      <text>
        <r>
          <rPr>
            <b/>
            <sz val="12"/>
            <color indexed="81"/>
            <rFont val="ＭＳ Ｐゴシック"/>
            <family val="3"/>
            <charset val="128"/>
          </rPr>
          <t>max. temp</t>
        </r>
      </text>
    </comment>
    <comment ref="K95" authorId="0" shapeId="0" xr:uid="{00000000-0006-0000-0100-000012000000}">
      <text>
        <r>
          <rPr>
            <b/>
            <sz val="12"/>
            <color indexed="81"/>
            <rFont val="ＭＳ Ｐゴシック"/>
            <family val="3"/>
            <charset val="128"/>
          </rPr>
          <t>min. Itrip</t>
        </r>
      </text>
    </comment>
    <comment ref="O95" authorId="0" shapeId="0" xr:uid="{00000000-0006-0000-0100-000013000000}">
      <text>
        <r>
          <rPr>
            <b/>
            <sz val="12"/>
            <color indexed="81"/>
            <rFont val="ＭＳ Ｐゴシック"/>
            <family val="3"/>
            <charset val="128"/>
          </rPr>
          <t>min. Itrip</t>
        </r>
      </text>
    </comment>
    <comment ref="K96" authorId="0" shapeId="0" xr:uid="{00000000-0006-0000-0100-000014000000}">
      <text>
        <r>
          <rPr>
            <b/>
            <sz val="12"/>
            <color indexed="81"/>
            <rFont val="ＭＳ Ｐゴシック"/>
            <family val="3"/>
            <charset val="128"/>
          </rPr>
          <t>max. Itrip</t>
        </r>
      </text>
    </comment>
    <comment ref="O96" authorId="0" shapeId="0" xr:uid="{00000000-0006-0000-0100-000015000000}">
      <text>
        <r>
          <rPr>
            <b/>
            <sz val="12"/>
            <color indexed="81"/>
            <rFont val="ＭＳ Ｐゴシック"/>
            <family val="3"/>
            <charset val="128"/>
          </rPr>
          <t>max. Itrip</t>
        </r>
      </text>
    </comment>
    <comment ref="L100" authorId="0" shapeId="0" xr:uid="{00000000-0006-0000-0100-000016000000}">
      <text>
        <r>
          <rPr>
            <b/>
            <sz val="12"/>
            <color indexed="81"/>
            <rFont val="ＭＳ Ｐゴシック"/>
            <family val="3"/>
            <charset val="128"/>
          </rPr>
          <t>min. temp</t>
        </r>
      </text>
    </comment>
    <comment ref="M100" authorId="0" shapeId="0" xr:uid="{00000000-0006-0000-0100-000017000000}">
      <text>
        <r>
          <rPr>
            <b/>
            <sz val="12"/>
            <color indexed="81"/>
            <rFont val="ＭＳ Ｐゴシック"/>
            <family val="3"/>
            <charset val="128"/>
          </rPr>
          <t>max. temp</t>
        </r>
      </text>
    </comment>
    <comment ref="P100" authorId="0" shapeId="0" xr:uid="{00000000-0006-0000-0100-000018000000}">
      <text>
        <r>
          <rPr>
            <b/>
            <sz val="12"/>
            <color indexed="81"/>
            <rFont val="ＭＳ Ｐゴシック"/>
            <family val="3"/>
            <charset val="128"/>
          </rPr>
          <t>min. temp</t>
        </r>
      </text>
    </comment>
    <comment ref="Q100" authorId="0" shapeId="0" xr:uid="{00000000-0006-0000-0100-000019000000}">
      <text>
        <r>
          <rPr>
            <b/>
            <sz val="12"/>
            <color indexed="81"/>
            <rFont val="ＭＳ Ｐゴシック"/>
            <family val="3"/>
            <charset val="128"/>
          </rPr>
          <t>max. temp</t>
        </r>
      </text>
    </comment>
    <comment ref="K101" authorId="0" shapeId="0" xr:uid="{00000000-0006-0000-0100-00001A000000}">
      <text>
        <r>
          <rPr>
            <b/>
            <sz val="12"/>
            <color indexed="81"/>
            <rFont val="ＭＳ Ｐゴシック"/>
            <family val="3"/>
            <charset val="128"/>
          </rPr>
          <t>min. Itrip</t>
        </r>
      </text>
    </comment>
    <comment ref="O101" authorId="0" shapeId="0" xr:uid="{00000000-0006-0000-0100-00001B000000}">
      <text>
        <r>
          <rPr>
            <b/>
            <sz val="12"/>
            <color indexed="81"/>
            <rFont val="ＭＳ Ｐゴシック"/>
            <family val="3"/>
            <charset val="128"/>
          </rPr>
          <t>min. Itrip</t>
        </r>
      </text>
    </comment>
    <comment ref="K102" authorId="0" shapeId="0" xr:uid="{00000000-0006-0000-0100-00001C000000}">
      <text>
        <r>
          <rPr>
            <b/>
            <sz val="12"/>
            <color indexed="81"/>
            <rFont val="ＭＳ Ｐゴシック"/>
            <family val="3"/>
            <charset val="128"/>
          </rPr>
          <t>max. Itrip</t>
        </r>
      </text>
    </comment>
    <comment ref="O102" authorId="0" shapeId="0" xr:uid="{00000000-0006-0000-0100-00001D000000}">
      <text>
        <r>
          <rPr>
            <b/>
            <sz val="12"/>
            <color indexed="81"/>
            <rFont val="ＭＳ Ｐゴシック"/>
            <family val="3"/>
            <charset val="128"/>
          </rPr>
          <t>max. Itrip</t>
        </r>
      </text>
    </comment>
    <comment ref="L105" authorId="0" shapeId="0" xr:uid="{00000000-0006-0000-0100-00001E000000}">
      <text>
        <r>
          <rPr>
            <b/>
            <sz val="12"/>
            <color indexed="81"/>
            <rFont val="ＭＳ Ｐゴシック"/>
            <family val="3"/>
            <charset val="128"/>
          </rPr>
          <t>min. temp</t>
        </r>
      </text>
    </comment>
    <comment ref="M105" authorId="0" shapeId="0" xr:uid="{00000000-0006-0000-0100-00001F000000}">
      <text>
        <r>
          <rPr>
            <b/>
            <sz val="12"/>
            <color indexed="81"/>
            <rFont val="ＭＳ Ｐゴシック"/>
            <family val="3"/>
            <charset val="128"/>
          </rPr>
          <t>max. temp</t>
        </r>
      </text>
    </comment>
    <comment ref="P105" authorId="0" shapeId="0" xr:uid="{00000000-0006-0000-0100-000020000000}">
      <text>
        <r>
          <rPr>
            <b/>
            <sz val="12"/>
            <color indexed="81"/>
            <rFont val="ＭＳ Ｐゴシック"/>
            <family val="3"/>
            <charset val="128"/>
          </rPr>
          <t>min. temp</t>
        </r>
      </text>
    </comment>
    <comment ref="Q105" authorId="0" shapeId="0" xr:uid="{00000000-0006-0000-0100-000021000000}">
      <text>
        <r>
          <rPr>
            <b/>
            <sz val="12"/>
            <color indexed="81"/>
            <rFont val="ＭＳ Ｐゴシック"/>
            <family val="3"/>
            <charset val="128"/>
          </rPr>
          <t>max. temp</t>
        </r>
      </text>
    </comment>
    <comment ref="K106" authorId="0" shapeId="0" xr:uid="{00000000-0006-0000-0100-000022000000}">
      <text>
        <r>
          <rPr>
            <b/>
            <sz val="12"/>
            <color indexed="81"/>
            <rFont val="ＭＳ Ｐゴシック"/>
            <family val="3"/>
            <charset val="128"/>
          </rPr>
          <t>min. Itrip</t>
        </r>
      </text>
    </comment>
    <comment ref="O106" authorId="0" shapeId="0" xr:uid="{00000000-0006-0000-0100-000023000000}">
      <text>
        <r>
          <rPr>
            <b/>
            <sz val="12"/>
            <color indexed="81"/>
            <rFont val="ＭＳ Ｐゴシック"/>
            <family val="3"/>
            <charset val="128"/>
          </rPr>
          <t>min. Itrip</t>
        </r>
      </text>
    </comment>
    <comment ref="K107" authorId="0" shapeId="0" xr:uid="{00000000-0006-0000-0100-000024000000}">
      <text>
        <r>
          <rPr>
            <b/>
            <sz val="12"/>
            <color indexed="81"/>
            <rFont val="ＭＳ Ｐゴシック"/>
            <family val="3"/>
            <charset val="128"/>
          </rPr>
          <t>max. Itrip</t>
        </r>
      </text>
    </comment>
    <comment ref="O107" authorId="0" shapeId="0" xr:uid="{00000000-0006-0000-0100-000025000000}">
      <text>
        <r>
          <rPr>
            <b/>
            <sz val="12"/>
            <color indexed="81"/>
            <rFont val="ＭＳ Ｐゴシック"/>
            <family val="3"/>
            <charset val="128"/>
          </rPr>
          <t>max. Itrip</t>
        </r>
      </text>
    </comment>
    <comment ref="L111" authorId="0" shapeId="0" xr:uid="{00000000-0006-0000-0100-000026000000}">
      <text>
        <r>
          <rPr>
            <b/>
            <sz val="12"/>
            <color indexed="81"/>
            <rFont val="ＭＳ Ｐゴシック"/>
            <family val="3"/>
            <charset val="128"/>
          </rPr>
          <t>min. temp</t>
        </r>
      </text>
    </comment>
    <comment ref="M111" authorId="0" shapeId="0" xr:uid="{00000000-0006-0000-0100-000027000000}">
      <text>
        <r>
          <rPr>
            <b/>
            <sz val="12"/>
            <color indexed="81"/>
            <rFont val="ＭＳ Ｐゴシック"/>
            <family val="3"/>
            <charset val="128"/>
          </rPr>
          <t>max. temp</t>
        </r>
      </text>
    </comment>
    <comment ref="P111" authorId="0" shapeId="0" xr:uid="{00000000-0006-0000-0100-000028000000}">
      <text>
        <r>
          <rPr>
            <b/>
            <sz val="12"/>
            <color indexed="81"/>
            <rFont val="ＭＳ Ｐゴシック"/>
            <family val="3"/>
            <charset val="128"/>
          </rPr>
          <t>min. temp</t>
        </r>
      </text>
    </comment>
    <comment ref="Q111" authorId="0" shapeId="0" xr:uid="{00000000-0006-0000-0100-000029000000}">
      <text>
        <r>
          <rPr>
            <b/>
            <sz val="12"/>
            <color indexed="81"/>
            <rFont val="ＭＳ Ｐゴシック"/>
            <family val="3"/>
            <charset val="128"/>
          </rPr>
          <t>max. temp</t>
        </r>
      </text>
    </comment>
    <comment ref="K112" authorId="0" shapeId="0" xr:uid="{00000000-0006-0000-0100-00002A000000}">
      <text>
        <r>
          <rPr>
            <b/>
            <sz val="12"/>
            <color indexed="81"/>
            <rFont val="ＭＳ Ｐゴシック"/>
            <family val="3"/>
            <charset val="128"/>
          </rPr>
          <t>min. Itrip</t>
        </r>
      </text>
    </comment>
    <comment ref="O112" authorId="0" shapeId="0" xr:uid="{00000000-0006-0000-0100-00002B000000}">
      <text>
        <r>
          <rPr>
            <b/>
            <sz val="12"/>
            <color indexed="81"/>
            <rFont val="ＭＳ Ｐゴシック"/>
            <family val="3"/>
            <charset val="128"/>
          </rPr>
          <t>min. Itrip</t>
        </r>
      </text>
    </comment>
    <comment ref="K113" authorId="0" shapeId="0" xr:uid="{00000000-0006-0000-0100-00002C000000}">
      <text>
        <r>
          <rPr>
            <b/>
            <sz val="12"/>
            <color indexed="81"/>
            <rFont val="ＭＳ Ｐゴシック"/>
            <family val="3"/>
            <charset val="128"/>
          </rPr>
          <t>max. Itrip</t>
        </r>
      </text>
    </comment>
    <comment ref="O113" authorId="0" shapeId="0" xr:uid="{00000000-0006-0000-0100-00002D000000}">
      <text>
        <r>
          <rPr>
            <b/>
            <sz val="12"/>
            <color indexed="81"/>
            <rFont val="ＭＳ Ｐゴシック"/>
            <family val="3"/>
            <charset val="128"/>
          </rPr>
          <t>max. Itrip</t>
        </r>
      </text>
    </comment>
    <comment ref="E114" authorId="0" shapeId="0" xr:uid="{00000000-0006-0000-0100-00002E000000}">
      <text>
        <r>
          <rPr>
            <b/>
            <sz val="9"/>
            <color indexed="81"/>
            <rFont val="ＭＳ Ｐゴシック"/>
            <family val="3"/>
            <charset val="128"/>
          </rPr>
          <t xml:space="preserve">[ E24 series ]
</t>
        </r>
        <r>
          <rPr>
            <b/>
            <sz val="9"/>
            <color indexed="60"/>
            <rFont val="ＭＳ Ｐゴシック"/>
            <family val="3"/>
            <charset val="128"/>
          </rPr>
          <t>10  12  15  18  22  27  33  39  47  56  68  82
11  13  16  20  24  30  36  43  51  62  75  91</t>
        </r>
        <r>
          <rPr>
            <b/>
            <sz val="9"/>
            <color indexed="81"/>
            <rFont val="ＭＳ Ｐゴシック"/>
            <family val="3"/>
            <charset val="128"/>
          </rPr>
          <t xml:space="preserve">
[ E48 series ]
</t>
        </r>
        <r>
          <rPr>
            <b/>
            <sz val="9"/>
            <color indexed="60"/>
            <rFont val="ＭＳ Ｐゴシック"/>
            <family val="3"/>
            <charset val="128"/>
          </rPr>
          <t xml:space="preserve">100 121 147 178 215 261 316 383 464 562 681 825 
105 127 154 187 226 274 332 402 487 590 715 866 
110 133 162 196 237 287 348 422 511 619 750 909 
115 140 169 205 249 301 365 442 536 649 787 953 </t>
        </r>
        <r>
          <rPr>
            <b/>
            <sz val="9"/>
            <color indexed="81"/>
            <rFont val="ＭＳ Ｐゴシック"/>
            <family val="3"/>
            <charset val="128"/>
          </rPr>
          <t xml:space="preserve">
[ E96 series ]
</t>
        </r>
        <r>
          <rPr>
            <b/>
            <sz val="9"/>
            <color indexed="60"/>
            <rFont val="ＭＳ Ｐゴシック"/>
            <family val="3"/>
            <charset val="128"/>
          </rPr>
          <t>100 121 147 178 215 261 316 383 464 562 681 825 
102 124 150 182 221 267 324 392 475 576 698 845
105 127 154 187 226 274 332 402 487 590 715 866 
107 130 158 191 232 280 340 412 499 604 732 887
110 133 162 196 237 287 348 422 511 619 750 909 
113 137 165 200 243 294 357 432 523 634 768 931
115 140 169 205 249 301 365 442 536 649 787 953
118 143 174 210 255 309 374 453 549 665 806 976</t>
        </r>
      </text>
    </comment>
    <comment ref="L117" authorId="0" shapeId="0" xr:uid="{00000000-0006-0000-0100-00002F000000}">
      <text>
        <r>
          <rPr>
            <b/>
            <sz val="12"/>
            <color indexed="81"/>
            <rFont val="ＭＳ Ｐゴシック"/>
            <family val="3"/>
            <charset val="128"/>
          </rPr>
          <t>min. temp</t>
        </r>
      </text>
    </comment>
    <comment ref="M117" authorId="0" shapeId="0" xr:uid="{00000000-0006-0000-0100-000030000000}">
      <text>
        <r>
          <rPr>
            <b/>
            <sz val="12"/>
            <color indexed="81"/>
            <rFont val="ＭＳ Ｐゴシック"/>
            <family val="3"/>
            <charset val="128"/>
          </rPr>
          <t>max. temp</t>
        </r>
      </text>
    </comment>
    <comment ref="P117" authorId="0" shapeId="0" xr:uid="{00000000-0006-0000-0100-000031000000}">
      <text>
        <r>
          <rPr>
            <b/>
            <sz val="12"/>
            <color indexed="81"/>
            <rFont val="ＭＳ Ｐゴシック"/>
            <family val="3"/>
            <charset val="128"/>
          </rPr>
          <t>min. temp</t>
        </r>
      </text>
    </comment>
    <comment ref="Q117" authorId="0" shapeId="0" xr:uid="{00000000-0006-0000-0100-000032000000}">
      <text>
        <r>
          <rPr>
            <b/>
            <sz val="12"/>
            <color indexed="81"/>
            <rFont val="ＭＳ Ｐゴシック"/>
            <family val="3"/>
            <charset val="128"/>
          </rPr>
          <t>max. temp</t>
        </r>
      </text>
    </comment>
    <comment ref="K118" authorId="0" shapeId="0" xr:uid="{00000000-0006-0000-0100-000033000000}">
      <text>
        <r>
          <rPr>
            <b/>
            <sz val="12"/>
            <color indexed="81"/>
            <rFont val="ＭＳ Ｐゴシック"/>
            <family val="3"/>
            <charset val="128"/>
          </rPr>
          <t>min. Itrip</t>
        </r>
      </text>
    </comment>
    <comment ref="O118" authorId="0" shapeId="0" xr:uid="{00000000-0006-0000-0100-000034000000}">
      <text>
        <r>
          <rPr>
            <b/>
            <sz val="12"/>
            <color indexed="81"/>
            <rFont val="ＭＳ Ｐゴシック"/>
            <family val="3"/>
            <charset val="128"/>
          </rPr>
          <t>min. Itrip</t>
        </r>
      </text>
    </comment>
    <comment ref="K119" authorId="0" shapeId="0" xr:uid="{00000000-0006-0000-0100-000035000000}">
      <text>
        <r>
          <rPr>
            <b/>
            <sz val="12"/>
            <color indexed="81"/>
            <rFont val="ＭＳ Ｐゴシック"/>
            <family val="3"/>
            <charset val="128"/>
          </rPr>
          <t>max. Itrip</t>
        </r>
      </text>
    </comment>
    <comment ref="O119" authorId="0" shapeId="0" xr:uid="{00000000-0006-0000-0100-000036000000}">
      <text>
        <r>
          <rPr>
            <b/>
            <sz val="12"/>
            <color indexed="81"/>
            <rFont val="ＭＳ Ｐゴシック"/>
            <family val="3"/>
            <charset val="128"/>
          </rPr>
          <t>max. Itrip</t>
        </r>
      </text>
    </comment>
    <comment ref="L121" authorId="0" shapeId="0" xr:uid="{00000000-0006-0000-0100-000037000000}">
      <text>
        <r>
          <rPr>
            <b/>
            <sz val="12"/>
            <color indexed="81"/>
            <rFont val="ＭＳ Ｐゴシック"/>
            <family val="3"/>
            <charset val="128"/>
          </rPr>
          <t>min. temp</t>
        </r>
      </text>
    </comment>
    <comment ref="M121" authorId="0" shapeId="0" xr:uid="{00000000-0006-0000-0100-000038000000}">
      <text>
        <r>
          <rPr>
            <b/>
            <sz val="12"/>
            <color indexed="81"/>
            <rFont val="ＭＳ Ｐゴシック"/>
            <family val="3"/>
            <charset val="128"/>
          </rPr>
          <t>max. temp</t>
        </r>
      </text>
    </comment>
    <comment ref="P121" authorId="0" shapeId="0" xr:uid="{00000000-0006-0000-0100-000039000000}">
      <text>
        <r>
          <rPr>
            <b/>
            <sz val="12"/>
            <color indexed="81"/>
            <rFont val="ＭＳ Ｐゴシック"/>
            <family val="3"/>
            <charset val="128"/>
          </rPr>
          <t>min. temp</t>
        </r>
      </text>
    </comment>
    <comment ref="Q121" authorId="0" shapeId="0" xr:uid="{00000000-0006-0000-0100-00003A000000}">
      <text>
        <r>
          <rPr>
            <b/>
            <sz val="12"/>
            <color indexed="81"/>
            <rFont val="ＭＳ Ｐゴシック"/>
            <family val="3"/>
            <charset val="128"/>
          </rPr>
          <t>max. temp</t>
        </r>
      </text>
    </comment>
    <comment ref="K122" authorId="0" shapeId="0" xr:uid="{00000000-0006-0000-0100-00003B000000}">
      <text>
        <r>
          <rPr>
            <b/>
            <sz val="12"/>
            <color indexed="81"/>
            <rFont val="ＭＳ Ｐゴシック"/>
            <family val="3"/>
            <charset val="128"/>
          </rPr>
          <t>min. Itrip</t>
        </r>
      </text>
    </comment>
    <comment ref="O122" authorId="0" shapeId="0" xr:uid="{00000000-0006-0000-0100-00003C000000}">
      <text>
        <r>
          <rPr>
            <b/>
            <sz val="12"/>
            <color indexed="81"/>
            <rFont val="ＭＳ Ｐゴシック"/>
            <family val="3"/>
            <charset val="128"/>
          </rPr>
          <t>min. Itrip</t>
        </r>
      </text>
    </comment>
    <comment ref="K123" authorId="0" shapeId="0" xr:uid="{00000000-0006-0000-0100-00003D000000}">
      <text>
        <r>
          <rPr>
            <b/>
            <sz val="12"/>
            <color indexed="81"/>
            <rFont val="ＭＳ Ｐゴシック"/>
            <family val="3"/>
            <charset val="128"/>
          </rPr>
          <t>max. Itrip</t>
        </r>
      </text>
    </comment>
    <comment ref="O123" authorId="0" shapeId="0" xr:uid="{00000000-0006-0000-0100-00003E000000}">
      <text>
        <r>
          <rPr>
            <b/>
            <sz val="12"/>
            <color indexed="81"/>
            <rFont val="ＭＳ Ｐゴシック"/>
            <family val="3"/>
            <charset val="128"/>
          </rPr>
          <t>max. Itrip</t>
        </r>
      </text>
    </comment>
    <comment ref="L127" authorId="0" shapeId="0" xr:uid="{00000000-0006-0000-0100-00003F000000}">
      <text>
        <r>
          <rPr>
            <b/>
            <sz val="12"/>
            <color indexed="81"/>
            <rFont val="ＭＳ Ｐゴシック"/>
            <family val="3"/>
            <charset val="128"/>
          </rPr>
          <t>min. temp</t>
        </r>
      </text>
    </comment>
    <comment ref="M127" authorId="0" shapeId="0" xr:uid="{00000000-0006-0000-0100-000040000000}">
      <text>
        <r>
          <rPr>
            <b/>
            <sz val="12"/>
            <color indexed="81"/>
            <rFont val="ＭＳ Ｐゴシック"/>
            <family val="3"/>
            <charset val="128"/>
          </rPr>
          <t>max. temp</t>
        </r>
      </text>
    </comment>
    <comment ref="P127" authorId="0" shapeId="0" xr:uid="{00000000-0006-0000-0100-000041000000}">
      <text>
        <r>
          <rPr>
            <b/>
            <sz val="12"/>
            <color indexed="81"/>
            <rFont val="ＭＳ Ｐゴシック"/>
            <family val="3"/>
            <charset val="128"/>
          </rPr>
          <t>min. temp</t>
        </r>
      </text>
    </comment>
    <comment ref="Q127" authorId="0" shapeId="0" xr:uid="{00000000-0006-0000-0100-000042000000}">
      <text>
        <r>
          <rPr>
            <b/>
            <sz val="12"/>
            <color indexed="81"/>
            <rFont val="ＭＳ Ｐゴシック"/>
            <family val="3"/>
            <charset val="128"/>
          </rPr>
          <t>max. temp</t>
        </r>
      </text>
    </comment>
    <comment ref="K128" authorId="0" shapeId="0" xr:uid="{00000000-0006-0000-0100-000043000000}">
      <text>
        <r>
          <rPr>
            <b/>
            <sz val="12"/>
            <color indexed="81"/>
            <rFont val="ＭＳ Ｐゴシック"/>
            <family val="3"/>
            <charset val="128"/>
          </rPr>
          <t>min. Itrip</t>
        </r>
      </text>
    </comment>
    <comment ref="O128" authorId="0" shapeId="0" xr:uid="{00000000-0006-0000-0100-000044000000}">
      <text>
        <r>
          <rPr>
            <b/>
            <sz val="12"/>
            <color indexed="81"/>
            <rFont val="ＭＳ Ｐゴシック"/>
            <family val="3"/>
            <charset val="128"/>
          </rPr>
          <t>min. Itrip</t>
        </r>
      </text>
    </comment>
    <comment ref="K129" authorId="0" shapeId="0" xr:uid="{00000000-0006-0000-0100-000045000000}">
      <text>
        <r>
          <rPr>
            <b/>
            <sz val="12"/>
            <color indexed="81"/>
            <rFont val="ＭＳ Ｐゴシック"/>
            <family val="3"/>
            <charset val="128"/>
          </rPr>
          <t>max. Itrip</t>
        </r>
      </text>
    </comment>
    <comment ref="O129" authorId="0" shapeId="0" xr:uid="{00000000-0006-0000-0100-000046000000}">
      <text>
        <r>
          <rPr>
            <b/>
            <sz val="12"/>
            <color indexed="81"/>
            <rFont val="ＭＳ Ｐゴシック"/>
            <family val="3"/>
            <charset val="128"/>
          </rPr>
          <t>max. Itrip</t>
        </r>
      </text>
    </comment>
    <comment ref="L131" authorId="0" shapeId="0" xr:uid="{00000000-0006-0000-0100-000047000000}">
      <text>
        <r>
          <rPr>
            <b/>
            <sz val="12"/>
            <color indexed="81"/>
            <rFont val="ＭＳ Ｐゴシック"/>
            <family val="3"/>
            <charset val="128"/>
          </rPr>
          <t>min. temp</t>
        </r>
      </text>
    </comment>
    <comment ref="M131" authorId="0" shapeId="0" xr:uid="{00000000-0006-0000-0100-000048000000}">
      <text>
        <r>
          <rPr>
            <b/>
            <sz val="12"/>
            <color indexed="81"/>
            <rFont val="ＭＳ Ｐゴシック"/>
            <family val="3"/>
            <charset val="128"/>
          </rPr>
          <t>max. temp</t>
        </r>
      </text>
    </comment>
    <comment ref="P131" authorId="0" shapeId="0" xr:uid="{00000000-0006-0000-0100-000049000000}">
      <text>
        <r>
          <rPr>
            <b/>
            <sz val="12"/>
            <color indexed="81"/>
            <rFont val="ＭＳ Ｐゴシック"/>
            <family val="3"/>
            <charset val="128"/>
          </rPr>
          <t>min. temp</t>
        </r>
      </text>
    </comment>
    <comment ref="Q131" authorId="0" shapeId="0" xr:uid="{00000000-0006-0000-0100-00004A000000}">
      <text>
        <r>
          <rPr>
            <b/>
            <sz val="12"/>
            <color indexed="81"/>
            <rFont val="ＭＳ Ｐゴシック"/>
            <family val="3"/>
            <charset val="128"/>
          </rPr>
          <t>max. temp</t>
        </r>
      </text>
    </comment>
    <comment ref="K132" authorId="0" shapeId="0" xr:uid="{00000000-0006-0000-0100-00004B000000}">
      <text>
        <r>
          <rPr>
            <b/>
            <sz val="12"/>
            <color indexed="81"/>
            <rFont val="ＭＳ Ｐゴシック"/>
            <family val="3"/>
            <charset val="128"/>
          </rPr>
          <t>min. Itrip</t>
        </r>
      </text>
    </comment>
    <comment ref="O132" authorId="0" shapeId="0" xr:uid="{00000000-0006-0000-0100-00004C000000}">
      <text>
        <r>
          <rPr>
            <b/>
            <sz val="12"/>
            <color indexed="81"/>
            <rFont val="ＭＳ Ｐゴシック"/>
            <family val="3"/>
            <charset val="128"/>
          </rPr>
          <t>min. Itrip</t>
        </r>
      </text>
    </comment>
    <comment ref="K133" authorId="0" shapeId="0" xr:uid="{00000000-0006-0000-0100-00004D000000}">
      <text>
        <r>
          <rPr>
            <b/>
            <sz val="12"/>
            <color indexed="81"/>
            <rFont val="ＭＳ Ｐゴシック"/>
            <family val="3"/>
            <charset val="128"/>
          </rPr>
          <t>max. Itrip</t>
        </r>
      </text>
    </comment>
    <comment ref="O133" authorId="0" shapeId="0" xr:uid="{00000000-0006-0000-0100-00004E000000}">
      <text>
        <r>
          <rPr>
            <b/>
            <sz val="12"/>
            <color indexed="81"/>
            <rFont val="ＭＳ Ｐゴシック"/>
            <family val="3"/>
            <charset val="128"/>
          </rPr>
          <t>max. Itrip</t>
        </r>
      </text>
    </comment>
  </commentList>
</comments>
</file>

<file path=xl/sharedStrings.xml><?xml version="1.0" encoding="utf-8"?>
<sst xmlns="http://schemas.openxmlformats.org/spreadsheetml/2006/main" count="518" uniqueCount="364">
  <si>
    <t>by max Rdson</t>
  </si>
  <si>
    <t>Actual Iripple (A) by min L</t>
  </si>
  <si>
    <t>Actual Iripple (A) by typ L</t>
  </si>
  <si>
    <t>Actual Iripple (A) by max L</t>
  </si>
  <si>
    <t>From: Computing Power Management</t>
    <phoneticPr fontId="2"/>
  </si>
  <si>
    <t>This paper contains following items.</t>
    <phoneticPr fontId="2"/>
  </si>
  <si>
    <t>Enter the value at this color space</t>
    <phoneticPr fontId="2"/>
  </si>
  <si>
    <r>
      <t xml:space="preserve">   </t>
    </r>
    <r>
      <rPr>
        <b/>
        <i/>
        <u/>
        <sz val="10"/>
        <rFont val="Arial"/>
        <family val="2"/>
      </rPr>
      <t>A. Resistor divider</t>
    </r>
    <phoneticPr fontId="2"/>
  </si>
  <si>
    <r>
      <t xml:space="preserve">   B</t>
    </r>
    <r>
      <rPr>
        <b/>
        <i/>
        <u/>
        <sz val="10"/>
        <rFont val="Arial"/>
        <family val="2"/>
      </rPr>
      <t>. Capacitance and ESR of output capacitor</t>
    </r>
    <phoneticPr fontId="2"/>
  </si>
  <si>
    <r>
      <t>C</t>
    </r>
    <r>
      <rPr>
        <sz val="10"/>
        <rFont val="Arial"/>
        <family val="2"/>
      </rPr>
      <t>alculation result</t>
    </r>
    <r>
      <rPr>
        <sz val="10"/>
        <rFont val="Arial"/>
        <family val="2"/>
      </rPr>
      <t xml:space="preserve"> will be shown at </t>
    </r>
    <r>
      <rPr>
        <sz val="10"/>
        <rFont val="Arial"/>
        <family val="2"/>
      </rPr>
      <t>this color space</t>
    </r>
    <phoneticPr fontId="2"/>
  </si>
  <si>
    <r>
      <t xml:space="preserve">   C</t>
    </r>
    <r>
      <rPr>
        <b/>
        <i/>
        <u/>
        <sz val="10"/>
        <rFont val="Arial"/>
        <family val="2"/>
      </rPr>
      <t>. Over Current Protection</t>
    </r>
    <phoneticPr fontId="2"/>
  </si>
  <si>
    <t>1. Enter input voltage information</t>
    <phoneticPr fontId="2"/>
  </si>
  <si>
    <t>Vin</t>
    <phoneticPr fontId="2"/>
  </si>
  <si>
    <r>
      <t>M</t>
    </r>
    <r>
      <rPr>
        <sz val="10"/>
        <rFont val="Arial"/>
        <family val="2"/>
      </rPr>
      <t>in</t>
    </r>
    <phoneticPr fontId="2"/>
  </si>
  <si>
    <r>
      <t>T</t>
    </r>
    <r>
      <rPr>
        <sz val="10"/>
        <rFont val="Arial"/>
        <family val="2"/>
      </rPr>
      <t>yp</t>
    </r>
    <phoneticPr fontId="2"/>
  </si>
  <si>
    <r>
      <t>M</t>
    </r>
    <r>
      <rPr>
        <sz val="10"/>
        <rFont val="Arial"/>
        <family val="2"/>
      </rPr>
      <t>ax</t>
    </r>
    <phoneticPr fontId="2"/>
  </si>
  <si>
    <t>unit</t>
    <phoneticPr fontId="2"/>
  </si>
  <si>
    <t>V</t>
    <phoneticPr fontId="2"/>
  </si>
  <si>
    <t>2. Enter the expected Junction Temperature information</t>
    <phoneticPr fontId="2"/>
  </si>
  <si>
    <t>Tj</t>
    <phoneticPr fontId="2"/>
  </si>
  <si>
    <t>Min</t>
    <phoneticPr fontId="2"/>
  </si>
  <si>
    <t>Max</t>
    <phoneticPr fontId="2"/>
  </si>
  <si>
    <t>℃</t>
    <phoneticPr fontId="2"/>
  </si>
  <si>
    <t>3. Enter output rail's information</t>
    <phoneticPr fontId="2"/>
  </si>
  <si>
    <r>
      <t>p</t>
    </r>
    <r>
      <rPr>
        <sz val="10"/>
        <rFont val="Arial"/>
        <family val="2"/>
      </rPr>
      <t>arameter</t>
    </r>
    <phoneticPr fontId="2"/>
  </si>
  <si>
    <r>
      <t>V</t>
    </r>
    <r>
      <rPr>
        <sz val="10"/>
        <rFont val="Arial"/>
        <family val="2"/>
      </rPr>
      <t>out</t>
    </r>
    <phoneticPr fontId="2"/>
  </si>
  <si>
    <r>
      <t>I</t>
    </r>
    <r>
      <rPr>
        <sz val="10"/>
        <rFont val="Arial"/>
        <family val="2"/>
      </rPr>
      <t>out</t>
    </r>
    <r>
      <rPr>
        <sz val="10"/>
        <rFont val="Arial"/>
        <family val="2"/>
      </rPr>
      <t>_max</t>
    </r>
    <phoneticPr fontId="2"/>
  </si>
  <si>
    <r>
      <t>F</t>
    </r>
    <r>
      <rPr>
        <sz val="10"/>
        <rFont val="Arial"/>
        <family val="2"/>
      </rPr>
      <t>sw</t>
    </r>
    <phoneticPr fontId="2"/>
  </si>
  <si>
    <t>Recommended L value</t>
    <phoneticPr fontId="2"/>
  </si>
  <si>
    <t>L</t>
    <phoneticPr fontId="2"/>
  </si>
  <si>
    <t>L (Tolerance)</t>
    <phoneticPr fontId="2"/>
  </si>
  <si>
    <t>value</t>
    <phoneticPr fontId="2"/>
  </si>
  <si>
    <t>A</t>
    <phoneticPr fontId="2"/>
  </si>
  <si>
    <r>
      <t>k</t>
    </r>
    <r>
      <rPr>
        <sz val="10"/>
        <rFont val="Arial"/>
        <family val="2"/>
      </rPr>
      <t>Hz</t>
    </r>
    <phoneticPr fontId="2"/>
  </si>
  <si>
    <t>uH</t>
    <phoneticPr fontId="2"/>
  </si>
  <si>
    <r>
      <t>u</t>
    </r>
    <r>
      <rPr>
        <sz val="10"/>
        <rFont val="Arial"/>
        <family val="2"/>
      </rPr>
      <t>H</t>
    </r>
    <phoneticPr fontId="2"/>
  </si>
  <si>
    <r>
      <t>+</t>
    </r>
    <r>
      <rPr>
        <sz val="10"/>
        <rFont val="Arial"/>
        <family val="2"/>
      </rPr>
      <t>/- (</t>
    </r>
    <r>
      <rPr>
        <sz val="10"/>
        <rFont val="Arial"/>
        <family val="2"/>
      </rPr>
      <t>%</t>
    </r>
    <r>
      <rPr>
        <sz val="10"/>
        <rFont val="Arial"/>
        <family val="2"/>
      </rPr>
      <t>)</t>
    </r>
    <phoneticPr fontId="2"/>
  </si>
  <si>
    <r>
      <t xml:space="preserve">A. Resistor divider </t>
    </r>
    <r>
      <rPr>
        <b/>
        <i/>
        <u val="double"/>
        <vertAlign val="superscript"/>
        <sz val="10"/>
        <rFont val="Arial"/>
        <family val="2"/>
      </rPr>
      <t>(1)</t>
    </r>
    <phoneticPr fontId="2"/>
  </si>
  <si>
    <r>
      <t>R</t>
    </r>
    <r>
      <rPr>
        <sz val="10"/>
        <rFont val="Arial"/>
        <family val="2"/>
      </rPr>
      <t>1</t>
    </r>
    <phoneticPr fontId="2"/>
  </si>
  <si>
    <r>
      <t>R</t>
    </r>
    <r>
      <rPr>
        <sz val="10"/>
        <rFont val="Arial"/>
        <family val="2"/>
      </rPr>
      <t>ecommended R2</t>
    </r>
    <phoneticPr fontId="2"/>
  </si>
  <si>
    <r>
      <t>R</t>
    </r>
    <r>
      <rPr>
        <sz val="10"/>
        <rFont val="Arial"/>
        <family val="2"/>
      </rPr>
      <t>2</t>
    </r>
    <phoneticPr fontId="2"/>
  </si>
  <si>
    <r>
      <t>C</t>
    </r>
    <r>
      <rPr>
        <sz val="10"/>
        <rFont val="Arial"/>
        <family val="2"/>
      </rPr>
      <t>alculated Vout</t>
    </r>
    <phoneticPr fontId="2"/>
  </si>
  <si>
    <r>
      <t>k</t>
    </r>
    <r>
      <rPr>
        <sz val="10"/>
        <rFont val="Arial"/>
        <family val="2"/>
      </rPr>
      <t>-ohm</t>
    </r>
    <phoneticPr fontId="2"/>
  </si>
  <si>
    <r>
      <t xml:space="preserve"> </t>
    </r>
    <r>
      <rPr>
        <sz val="10"/>
        <rFont val="Arial"/>
        <family val="2"/>
      </rPr>
      <t xml:space="preserve"> </t>
    </r>
    <r>
      <rPr>
        <sz val="10"/>
        <rFont val="Arial"/>
        <family val="2"/>
      </rPr>
      <t xml:space="preserve">Note (1)   </t>
    </r>
    <r>
      <rPr>
        <sz val="10"/>
        <rFont val="Arial"/>
        <family val="2"/>
      </rPr>
      <t>For Vout=1.05V, pull up REFIN to 3.3V. For Vout=1.00V, pull down REFIN to GND.</t>
    </r>
    <phoneticPr fontId="2"/>
  </si>
  <si>
    <t>B. Capacitance and ESR requirement of output capacitor for D-CAP mode</t>
    <phoneticPr fontId="2"/>
  </si>
  <si>
    <t>4. Output capacitor selection by stability requirement</t>
    <phoneticPr fontId="2"/>
  </si>
  <si>
    <t>Actual Cout</t>
    <phoneticPr fontId="2"/>
  </si>
  <si>
    <t>Calculated Fo</t>
    <phoneticPr fontId="2"/>
  </si>
  <si>
    <r>
      <t>u</t>
    </r>
    <r>
      <rPr>
        <sz val="10"/>
        <rFont val="Arial"/>
        <family val="2"/>
      </rPr>
      <t>F</t>
    </r>
    <phoneticPr fontId="2"/>
  </si>
  <si>
    <t>uF</t>
    <phoneticPr fontId="2"/>
  </si>
  <si>
    <t>kHz</t>
    <phoneticPr fontId="2"/>
  </si>
  <si>
    <t>5. Enter ESR of the output capacitor</t>
    <phoneticPr fontId="2"/>
  </si>
  <si>
    <r>
      <t>E</t>
    </r>
    <r>
      <rPr>
        <sz val="10"/>
        <rFont val="Arial"/>
        <family val="2"/>
      </rPr>
      <t>SR</t>
    </r>
    <phoneticPr fontId="2"/>
  </si>
  <si>
    <r>
      <t>m</t>
    </r>
    <r>
      <rPr>
        <sz val="10"/>
        <rFont val="Arial"/>
        <family val="2"/>
      </rPr>
      <t>-ohm</t>
    </r>
    <phoneticPr fontId="2"/>
  </si>
  <si>
    <t>C. Over Current Protection</t>
    <phoneticPr fontId="2"/>
  </si>
  <si>
    <t>6. Enter Low side MOSFET's information (From MOSFET's D.S.)</t>
    <phoneticPr fontId="2"/>
  </si>
  <si>
    <t>Rdson</t>
    <phoneticPr fontId="2"/>
  </si>
  <si>
    <r>
      <t>H</t>
    </r>
    <r>
      <rPr>
        <sz val="10"/>
        <rFont val="Arial"/>
        <family val="2"/>
      </rPr>
      <t>/S (Tj=</t>
    </r>
    <phoneticPr fontId="2"/>
  </si>
  <si>
    <r>
      <t>L</t>
    </r>
    <r>
      <rPr>
        <sz val="10"/>
        <rFont val="Arial"/>
        <family val="2"/>
      </rPr>
      <t>/S (Tj=25</t>
    </r>
    <r>
      <rPr>
        <sz val="10"/>
        <rFont val="Arial"/>
        <family val="2"/>
      </rPr>
      <t>º</t>
    </r>
    <r>
      <rPr>
        <sz val="10"/>
        <rFont val="Arial"/>
        <family val="2"/>
      </rPr>
      <t>C)</t>
    </r>
    <phoneticPr fontId="2"/>
  </si>
  <si>
    <r>
      <t>D</t>
    </r>
    <r>
      <rPr>
        <sz val="10"/>
        <rFont val="Arial"/>
        <family val="2"/>
      </rPr>
      <t>CR</t>
    </r>
    <phoneticPr fontId="2"/>
  </si>
  <si>
    <r>
      <t>+25</t>
    </r>
    <r>
      <rPr>
        <sz val="10"/>
        <rFont val="ＭＳ Ｐゴシック"/>
        <family val="3"/>
        <charset val="128"/>
      </rPr>
      <t>℃</t>
    </r>
    <r>
      <rPr>
        <sz val="10"/>
        <rFont val="Arial"/>
        <family val="2"/>
      </rPr>
      <t xml:space="preserve">) </t>
    </r>
    <r>
      <rPr>
        <sz val="10"/>
        <rFont val="Arial"/>
        <family val="2"/>
      </rPr>
      <t>T</t>
    </r>
    <r>
      <rPr>
        <sz val="10"/>
        <rFont val="Arial"/>
        <family val="2"/>
      </rPr>
      <t>yp</t>
    </r>
    <phoneticPr fontId="2"/>
  </si>
  <si>
    <t>Typ</t>
    <phoneticPr fontId="2"/>
  </si>
  <si>
    <r>
      <t>M</t>
    </r>
    <r>
      <rPr>
        <sz val="10"/>
        <rFont val="Arial"/>
        <family val="2"/>
      </rPr>
      <t>ax</t>
    </r>
    <phoneticPr fontId="2"/>
  </si>
  <si>
    <r>
      <t>#</t>
    </r>
    <r>
      <rPr>
        <sz val="10"/>
        <rFont val="Arial"/>
        <family val="2"/>
      </rPr>
      <t xml:space="preserve"> of </t>
    </r>
    <r>
      <rPr>
        <sz val="10"/>
        <rFont val="Arial"/>
        <family val="2"/>
      </rPr>
      <t>FET</t>
    </r>
    <phoneticPr fontId="2"/>
  </si>
  <si>
    <r>
      <t>Temp Co</t>
    </r>
    <r>
      <rPr>
        <sz val="10"/>
        <rFont val="Arial"/>
        <family val="2"/>
      </rPr>
      <t>.</t>
    </r>
    <r>
      <rPr>
        <vertAlign val="superscript"/>
        <sz val="10"/>
        <rFont val="Arial"/>
        <family val="2"/>
      </rPr>
      <t>(2)</t>
    </r>
    <phoneticPr fontId="2"/>
  </si>
  <si>
    <r>
      <t>T</t>
    </r>
    <r>
      <rPr>
        <sz val="10"/>
        <rFont val="Arial"/>
        <family val="2"/>
      </rPr>
      <t>yp</t>
    </r>
    <phoneticPr fontId="2"/>
  </si>
  <si>
    <t>m-ohm</t>
    <phoneticPr fontId="2"/>
  </si>
  <si>
    <t>-</t>
    <phoneticPr fontId="2"/>
  </si>
  <si>
    <r>
      <t xml:space="preserve"> </t>
    </r>
    <r>
      <rPr>
        <sz val="10"/>
        <rFont val="Arial"/>
        <family val="2"/>
      </rPr>
      <t xml:space="preserve"> </t>
    </r>
    <r>
      <rPr>
        <sz val="10"/>
        <rFont val="Arial"/>
        <family val="2"/>
      </rPr>
      <t>Note (</t>
    </r>
    <r>
      <rPr>
        <sz val="10"/>
        <rFont val="Arial"/>
        <family val="2"/>
      </rPr>
      <t>2</t>
    </r>
    <r>
      <rPr>
        <sz val="10"/>
        <rFont val="Arial"/>
        <family val="2"/>
      </rPr>
      <t>)   Rdson(@+100</t>
    </r>
    <r>
      <rPr>
        <sz val="10"/>
        <rFont val="ＭＳ Ｐゴシック"/>
        <family val="3"/>
        <charset val="128"/>
      </rPr>
      <t>℃</t>
    </r>
    <r>
      <rPr>
        <sz val="10"/>
        <rFont val="Arial"/>
        <family val="2"/>
      </rPr>
      <t xml:space="preserve">) </t>
    </r>
    <r>
      <rPr>
        <sz val="10"/>
        <rFont val="Arial"/>
        <family val="2"/>
      </rPr>
      <t>/</t>
    </r>
    <r>
      <rPr>
        <sz val="10"/>
        <rFont val="Arial"/>
        <family val="2"/>
      </rPr>
      <t xml:space="preserve"> Rdson(@+25</t>
    </r>
    <r>
      <rPr>
        <sz val="10"/>
        <rFont val="ＭＳ Ｐゴシック"/>
        <family val="3"/>
        <charset val="128"/>
      </rPr>
      <t>℃</t>
    </r>
    <r>
      <rPr>
        <sz val="10"/>
        <rFont val="Arial"/>
        <family val="2"/>
      </rPr>
      <t>)</t>
    </r>
    <phoneticPr fontId="2"/>
  </si>
  <si>
    <t>7. Choose the OCL setting resistor (Rtrip)</t>
    <phoneticPr fontId="2"/>
  </si>
  <si>
    <r>
      <t>R</t>
    </r>
    <r>
      <rPr>
        <sz val="10"/>
        <rFont val="Arial"/>
        <family val="2"/>
      </rPr>
      <t xml:space="preserve">ecommended </t>
    </r>
    <r>
      <rPr>
        <sz val="10"/>
        <rFont val="Arial"/>
        <family val="2"/>
      </rPr>
      <t>R</t>
    </r>
    <r>
      <rPr>
        <sz val="10"/>
        <rFont val="Arial"/>
        <family val="2"/>
      </rPr>
      <t>5</t>
    </r>
    <phoneticPr fontId="2"/>
  </si>
  <si>
    <r>
      <t>R</t>
    </r>
    <r>
      <rPr>
        <sz val="10"/>
        <rFont val="Arial"/>
        <family val="2"/>
      </rPr>
      <t>5</t>
    </r>
    <phoneticPr fontId="2"/>
  </si>
  <si>
    <t>k-ohm</t>
    <phoneticPr fontId="2"/>
  </si>
  <si>
    <t>8. Calculated nominal OCL value and Vocl</t>
    <phoneticPr fontId="2"/>
  </si>
  <si>
    <r>
      <t>Typ case (Tj=+25</t>
    </r>
    <r>
      <rPr>
        <sz val="10"/>
        <rFont val="ＭＳ Ｐゴシック"/>
        <family val="3"/>
        <charset val="128"/>
      </rPr>
      <t>℃</t>
    </r>
    <r>
      <rPr>
        <sz val="10"/>
        <rFont val="Arial"/>
        <family val="2"/>
      </rPr>
      <t>, Rdson</t>
    </r>
    <r>
      <rPr>
        <sz val="10"/>
        <rFont val="Arial"/>
        <family val="2"/>
      </rPr>
      <t>&amp;L</t>
    </r>
    <r>
      <rPr>
        <sz val="10"/>
        <rFont val="Arial"/>
        <family val="2"/>
      </rPr>
      <t>=</t>
    </r>
    <r>
      <rPr>
        <sz val="10"/>
        <rFont val="Arial"/>
        <family val="2"/>
      </rPr>
      <t>t</t>
    </r>
    <r>
      <rPr>
        <sz val="10"/>
        <rFont val="Arial"/>
        <family val="2"/>
      </rPr>
      <t>yp, Itrip=10uA)</t>
    </r>
    <phoneticPr fontId="2"/>
  </si>
  <si>
    <r>
      <t>V</t>
    </r>
    <r>
      <rPr>
        <sz val="10"/>
        <rFont val="Arial"/>
        <family val="2"/>
      </rPr>
      <t>in(min)</t>
    </r>
    <phoneticPr fontId="2"/>
  </si>
  <si>
    <r>
      <t>V</t>
    </r>
    <r>
      <rPr>
        <sz val="10"/>
        <rFont val="Arial"/>
        <family val="2"/>
      </rPr>
      <t>in(typ)</t>
    </r>
    <phoneticPr fontId="2"/>
  </si>
  <si>
    <r>
      <t>V</t>
    </r>
    <r>
      <rPr>
        <sz val="10"/>
        <rFont val="Arial"/>
        <family val="2"/>
      </rPr>
      <t>in(max)</t>
    </r>
    <phoneticPr fontId="2"/>
  </si>
  <si>
    <t>OCL</t>
    <phoneticPr fontId="2"/>
  </si>
  <si>
    <t>Vocl</t>
    <phoneticPr fontId="2"/>
  </si>
  <si>
    <r>
      <t>m</t>
    </r>
    <r>
      <rPr>
        <sz val="10"/>
        <rFont val="Arial"/>
        <family val="2"/>
      </rPr>
      <t>V</t>
    </r>
    <phoneticPr fontId="2"/>
  </si>
  <si>
    <t>9. Confirm the worst case OCL value and Vocl</t>
    <phoneticPr fontId="2"/>
  </si>
  <si>
    <r>
      <t>Vin=min, Itrip(@RT)=9</t>
    </r>
    <r>
      <rPr>
        <sz val="10"/>
        <rFont val="Arial"/>
        <family val="2"/>
      </rPr>
      <t>uA, Rdson(@RT)=max, Tj=min</t>
    </r>
    <phoneticPr fontId="2"/>
  </si>
  <si>
    <r>
      <t>Note(</t>
    </r>
    <r>
      <rPr>
        <sz val="10"/>
        <rFont val="Arial"/>
        <family val="2"/>
      </rPr>
      <t>3</t>
    </r>
    <r>
      <rPr>
        <sz val="10"/>
        <rFont val="Arial"/>
        <family val="2"/>
      </rPr>
      <t>)</t>
    </r>
    <phoneticPr fontId="2"/>
  </si>
  <si>
    <r>
      <t>Note(</t>
    </r>
    <r>
      <rPr>
        <sz val="10"/>
        <rFont val="Arial"/>
        <family val="2"/>
      </rPr>
      <t>4</t>
    </r>
    <r>
      <rPr>
        <sz val="10"/>
        <rFont val="Arial"/>
        <family val="2"/>
      </rPr>
      <t>)</t>
    </r>
    <phoneticPr fontId="2"/>
  </si>
  <si>
    <r>
      <t xml:space="preserve">  Vocl : recommended more than </t>
    </r>
    <r>
      <rPr>
        <b/>
        <sz val="10"/>
        <color indexed="10"/>
        <rFont val="Arial"/>
        <family val="2"/>
      </rPr>
      <t>25</t>
    </r>
    <r>
      <rPr>
        <b/>
        <i/>
        <sz val="10"/>
        <color indexed="10"/>
        <rFont val="Arial"/>
        <family val="2"/>
      </rPr>
      <t>mV</t>
    </r>
    <r>
      <rPr>
        <b/>
        <sz val="10"/>
        <rFont val="Arial"/>
        <family val="2"/>
      </rPr>
      <t xml:space="preserve"> and should be less than </t>
    </r>
    <r>
      <rPr>
        <b/>
        <sz val="10"/>
        <color indexed="10"/>
        <rFont val="Arial"/>
        <family val="2"/>
      </rPr>
      <t>375</t>
    </r>
    <r>
      <rPr>
        <b/>
        <i/>
        <sz val="10"/>
        <color indexed="10"/>
        <rFont val="Arial"/>
        <family val="2"/>
      </rPr>
      <t>mV</t>
    </r>
    <r>
      <rPr>
        <b/>
        <sz val="10"/>
        <color indexed="10"/>
        <rFont val="Arial"/>
        <family val="2"/>
      </rPr>
      <t>.</t>
    </r>
    <phoneticPr fontId="2"/>
  </si>
  <si>
    <t>10. Calculated output ripple</t>
    <phoneticPr fontId="2"/>
  </si>
  <si>
    <t>Inductor current (typ)</t>
    <phoneticPr fontId="2"/>
  </si>
  <si>
    <r>
      <t>A</t>
    </r>
    <r>
      <rPr>
        <sz val="10"/>
        <rFont val="Arial"/>
        <family val="2"/>
      </rPr>
      <t>p-p</t>
    </r>
    <phoneticPr fontId="2"/>
  </si>
  <si>
    <t>Vripple @Vout        - Min</t>
    <phoneticPr fontId="2"/>
  </si>
  <si>
    <t>nom VIN</t>
    <phoneticPr fontId="2"/>
  </si>
  <si>
    <t>min VIN</t>
    <phoneticPr fontId="2"/>
  </si>
  <si>
    <t>max VIN</t>
    <phoneticPr fontId="2"/>
  </si>
  <si>
    <t>Required Rtrip at min. VIN</t>
    <phoneticPr fontId="2"/>
  </si>
  <si>
    <t>Required Rtrip at max. VIN</t>
    <phoneticPr fontId="2"/>
  </si>
  <si>
    <t>VIN</t>
    <phoneticPr fontId="2"/>
  </si>
  <si>
    <t>by typ Rdson</t>
    <phoneticPr fontId="2"/>
  </si>
  <si>
    <t>Vout</t>
    <phoneticPr fontId="2"/>
  </si>
  <si>
    <t>min L</t>
    <phoneticPr fontId="2"/>
  </si>
  <si>
    <t>Imax</t>
    <phoneticPr fontId="2"/>
  </si>
  <si>
    <t>f (kHz)</t>
    <phoneticPr fontId="2"/>
  </si>
  <si>
    <t>Recommended L value (uH)</t>
    <phoneticPr fontId="2"/>
  </si>
  <si>
    <t>L (uH)</t>
    <phoneticPr fontId="2"/>
  </si>
  <si>
    <t>max L</t>
    <phoneticPr fontId="2"/>
  </si>
  <si>
    <t>variation of L (%)</t>
    <phoneticPr fontId="2"/>
  </si>
  <si>
    <t>ESR (mohm)</t>
    <phoneticPr fontId="2"/>
  </si>
  <si>
    <t>HS MOSFET - typ Rdson (mohm) for temp</t>
    <phoneticPr fontId="2"/>
  </si>
  <si>
    <t>LS MOSFET - min Rdson (mohm) for OCL</t>
    <phoneticPr fontId="2"/>
  </si>
  <si>
    <t xml:space="preserve">                    - typ Rdson (mohm) for OCL</t>
    <phoneticPr fontId="2"/>
  </si>
  <si>
    <t>MAX is</t>
    <phoneticPr fontId="2"/>
  </si>
  <si>
    <t>by max Rdson</t>
    <phoneticPr fontId="2"/>
  </si>
  <si>
    <t xml:space="preserve">                    - max Rdson (mohm) for temp</t>
    <phoneticPr fontId="2"/>
  </si>
  <si>
    <t>Number of MOSFET</t>
    <phoneticPr fontId="2"/>
  </si>
  <si>
    <t>Inductor DCR</t>
    <phoneticPr fontId="2"/>
  </si>
  <si>
    <t>Duty</t>
    <phoneticPr fontId="2"/>
  </si>
  <si>
    <t>Vripple at Vout (mV) by min L</t>
    <phoneticPr fontId="2"/>
  </si>
  <si>
    <t>Vtrip (mV) :  25mV &lt; Vtrip &lt; 375mV</t>
    <phoneticPr fontId="2"/>
  </si>
  <si>
    <t>Vripple at Vout (mV) by typ L</t>
    <phoneticPr fontId="2"/>
  </si>
  <si>
    <t>Vripple at Vout (mV) by max L</t>
    <phoneticPr fontId="2"/>
  </si>
  <si>
    <t>Est. min OCL</t>
    <phoneticPr fontId="2"/>
  </si>
  <si>
    <t>Rtrip (kohm)</t>
    <phoneticPr fontId="2"/>
  </si>
  <si>
    <t>Actual Vtrip (mV) by typ. Itrip &amp; RT</t>
    <phoneticPr fontId="2"/>
  </si>
  <si>
    <t>OCP at min. VIN</t>
    <phoneticPr fontId="2"/>
  </si>
  <si>
    <t>OCP at max. VIN</t>
    <phoneticPr fontId="2"/>
  </si>
  <si>
    <t>Actual OCL (A) by typ. Rdson, L, Itrip &amp; RT</t>
    <phoneticPr fontId="2"/>
  </si>
  <si>
    <t>&amp; min. Rdson</t>
    <phoneticPr fontId="2"/>
  </si>
  <si>
    <t>min OCL for all condition</t>
    <phoneticPr fontId="2"/>
  </si>
  <si>
    <t>max OCL for all condition</t>
    <phoneticPr fontId="2"/>
  </si>
  <si>
    <t>Itrip (uA)</t>
    <phoneticPr fontId="2"/>
  </si>
  <si>
    <t>Temp</t>
    <phoneticPr fontId="2"/>
  </si>
  <si>
    <t>Itrip TC (ppm/C)</t>
    <phoneticPr fontId="2"/>
  </si>
  <si>
    <t>Itrip at above temp. (uA)</t>
    <phoneticPr fontId="2"/>
  </si>
  <si>
    <t>Rdson TC (ppm/C)</t>
    <phoneticPr fontId="2"/>
  </si>
  <si>
    <t>Max Rdson at above temp.</t>
    <phoneticPr fontId="2"/>
  </si>
  <si>
    <t>&amp; max. Rdson</t>
    <phoneticPr fontId="2"/>
  </si>
  <si>
    <t>Voltage divider resistance requirement</t>
    <phoneticPr fontId="2"/>
  </si>
  <si>
    <t>REF (V)</t>
    <phoneticPr fontId="2"/>
  </si>
  <si>
    <t>user setting Rtio (kohm)</t>
    <phoneticPr fontId="2"/>
  </si>
  <si>
    <t>calculated Rbottom (kohm)</t>
    <phoneticPr fontId="2"/>
  </si>
  <si>
    <t>user setting Rbottom (kohm)</t>
    <phoneticPr fontId="2"/>
  </si>
  <si>
    <t>Fsw
(kHz)</t>
    <phoneticPr fontId="2"/>
  </si>
  <si>
    <t>calculated Vout (V)</t>
    <phoneticPr fontId="2"/>
  </si>
  <si>
    <t>Min Cout calculation from D-CAP2 stability</t>
    <phoneticPr fontId="2"/>
  </si>
  <si>
    <t>fsw/3 (kHz)</t>
    <phoneticPr fontId="2"/>
  </si>
  <si>
    <t>fsw</t>
    <phoneticPr fontId="2"/>
  </si>
  <si>
    <t>RcCc</t>
    <phoneticPr fontId="2"/>
  </si>
  <si>
    <t>Cout&gt;=3xRcxCc/(2xpixLxfsw) (uF)</t>
    <phoneticPr fontId="2"/>
  </si>
  <si>
    <t>Fo</t>
    <phoneticPr fontId="2"/>
  </si>
  <si>
    <t>min Ccomp</t>
    <phoneticPr fontId="2"/>
  </si>
  <si>
    <t>Min Cout requirement from Vout overshoot at load release</t>
    <phoneticPr fontId="2"/>
  </si>
  <si>
    <t>Load current (high)</t>
    <phoneticPr fontId="2"/>
  </si>
  <si>
    <t>Load current (low)</t>
    <phoneticPr fontId="2"/>
  </si>
  <si>
    <t>Slew rate (A/us)</t>
    <phoneticPr fontId="2"/>
  </si>
  <si>
    <t>Vout overshoot limit (% of Vout)</t>
    <phoneticPr fontId="2"/>
  </si>
  <si>
    <t>(Load current-fall time product)/2</t>
    <phoneticPr fontId="2"/>
  </si>
  <si>
    <t>(Inductor current-fall time product)/2</t>
    <phoneticPr fontId="2"/>
  </si>
  <si>
    <r>
      <t>E</t>
    </r>
    <r>
      <rPr>
        <sz val="10"/>
        <rFont val="Arial"/>
        <family val="2"/>
      </rPr>
      <t>xtra energy during on-time</t>
    </r>
    <phoneticPr fontId="2"/>
  </si>
  <si>
    <t>Recommended minimum Cout (uF)</t>
    <phoneticPr fontId="2"/>
  </si>
  <si>
    <r>
      <t>m</t>
    </r>
    <r>
      <rPr>
        <sz val="10"/>
        <rFont val="Arial"/>
        <family val="2"/>
      </rPr>
      <t>aximum Cout (uF)</t>
    </r>
    <phoneticPr fontId="2"/>
  </si>
  <si>
    <t>Actual Cout (uF)</t>
    <phoneticPr fontId="2"/>
  </si>
  <si>
    <t>Tolerance of Cout</t>
    <phoneticPr fontId="2"/>
  </si>
  <si>
    <t>Fo=RcxCc/(2xpixLxCout) (kHz)</t>
    <phoneticPr fontId="2"/>
  </si>
  <si>
    <t>VIN (V)</t>
    <phoneticPr fontId="2"/>
  </si>
  <si>
    <t>LIR</t>
    <phoneticPr fontId="2"/>
  </si>
  <si>
    <t>Rmode (R4)</t>
    <phoneticPr fontId="2"/>
  </si>
  <si>
    <t>Fsw</t>
    <phoneticPr fontId="2"/>
  </si>
  <si>
    <t>Discharge Mode</t>
    <phoneticPr fontId="2"/>
  </si>
  <si>
    <t>From: Computing Power Management</t>
    <phoneticPr fontId="2"/>
  </si>
  <si>
    <t>This paper contains following items.</t>
    <phoneticPr fontId="2"/>
  </si>
  <si>
    <t>Enter the value at this color space</t>
    <phoneticPr fontId="2"/>
  </si>
  <si>
    <t>Rmode (R4)</t>
    <phoneticPr fontId="2"/>
  </si>
  <si>
    <t>Fsw</t>
    <phoneticPr fontId="2"/>
  </si>
  <si>
    <t>Discharge Mode</t>
    <phoneticPr fontId="2"/>
  </si>
  <si>
    <r>
      <t xml:space="preserve">   </t>
    </r>
    <r>
      <rPr>
        <b/>
        <i/>
        <u/>
        <sz val="10"/>
        <rFont val="Arial"/>
        <family val="2"/>
      </rPr>
      <t>A. Resistor divider</t>
    </r>
    <phoneticPr fontId="2"/>
  </si>
  <si>
    <t>200k ohm</t>
    <phoneticPr fontId="2"/>
  </si>
  <si>
    <t>400kHz</t>
    <phoneticPr fontId="2"/>
  </si>
  <si>
    <r>
      <t xml:space="preserve">   B</t>
    </r>
    <r>
      <rPr>
        <b/>
        <i/>
        <u/>
        <sz val="10"/>
        <rFont val="Arial"/>
        <family val="2"/>
      </rPr>
      <t>. Capacitance and ESR of output capacitor</t>
    </r>
    <phoneticPr fontId="2"/>
  </si>
  <si>
    <r>
      <t>C</t>
    </r>
    <r>
      <rPr>
        <sz val="10"/>
        <rFont val="Arial"/>
        <family val="2"/>
      </rPr>
      <t>alculation result</t>
    </r>
    <r>
      <rPr>
        <sz val="10"/>
        <rFont val="Arial"/>
        <family val="2"/>
      </rPr>
      <t xml:space="preserve"> will be shown at </t>
    </r>
    <r>
      <rPr>
        <sz val="10"/>
        <rFont val="Arial"/>
        <family val="2"/>
      </rPr>
      <t>this color space</t>
    </r>
    <phoneticPr fontId="2"/>
  </si>
  <si>
    <t>100k ohm</t>
    <phoneticPr fontId="2"/>
  </si>
  <si>
    <t>300kHz</t>
    <phoneticPr fontId="2"/>
  </si>
  <si>
    <r>
      <t xml:space="preserve">   C</t>
    </r>
    <r>
      <rPr>
        <b/>
        <i/>
        <u/>
        <sz val="10"/>
        <rFont val="Arial"/>
        <family val="2"/>
      </rPr>
      <t>. Over Current Protection</t>
    </r>
    <phoneticPr fontId="2"/>
  </si>
  <si>
    <t>68k ohm</t>
    <phoneticPr fontId="2"/>
  </si>
  <si>
    <t>47k ohm</t>
    <phoneticPr fontId="2"/>
  </si>
  <si>
    <t>1. Enter input voltage information</t>
    <phoneticPr fontId="2"/>
  </si>
  <si>
    <t>Vin</t>
    <phoneticPr fontId="2"/>
  </si>
  <si>
    <r>
      <t>M</t>
    </r>
    <r>
      <rPr>
        <sz val="10"/>
        <rFont val="Arial"/>
        <family val="2"/>
      </rPr>
      <t>in</t>
    </r>
    <phoneticPr fontId="2"/>
  </si>
  <si>
    <r>
      <t>T</t>
    </r>
    <r>
      <rPr>
        <sz val="10"/>
        <rFont val="Arial"/>
        <family val="2"/>
      </rPr>
      <t>yp</t>
    </r>
    <phoneticPr fontId="2"/>
  </si>
  <si>
    <r>
      <t>M</t>
    </r>
    <r>
      <rPr>
        <sz val="10"/>
        <rFont val="Arial"/>
        <family val="2"/>
      </rPr>
      <t>ax</t>
    </r>
    <phoneticPr fontId="2"/>
  </si>
  <si>
    <t>unit</t>
    <phoneticPr fontId="2"/>
  </si>
  <si>
    <t>V</t>
    <phoneticPr fontId="2"/>
  </si>
  <si>
    <t>2. Enter the expected Junction Temperature information</t>
    <phoneticPr fontId="2"/>
  </si>
  <si>
    <t>Tj</t>
    <phoneticPr fontId="2"/>
  </si>
  <si>
    <t>Min</t>
    <phoneticPr fontId="2"/>
  </si>
  <si>
    <t>Max</t>
    <phoneticPr fontId="2"/>
  </si>
  <si>
    <t>℃</t>
    <phoneticPr fontId="2"/>
  </si>
  <si>
    <t>3. Enter output rail's information</t>
    <phoneticPr fontId="2"/>
  </si>
  <si>
    <r>
      <t>p</t>
    </r>
    <r>
      <rPr>
        <sz val="10"/>
        <rFont val="Arial"/>
        <family val="2"/>
      </rPr>
      <t>arameter</t>
    </r>
    <phoneticPr fontId="2"/>
  </si>
  <si>
    <r>
      <t>V</t>
    </r>
    <r>
      <rPr>
        <sz val="10"/>
        <rFont val="Arial"/>
        <family val="2"/>
      </rPr>
      <t>out</t>
    </r>
    <phoneticPr fontId="2"/>
  </si>
  <si>
    <r>
      <t>I</t>
    </r>
    <r>
      <rPr>
        <sz val="10"/>
        <rFont val="Arial"/>
        <family val="2"/>
      </rPr>
      <t>out</t>
    </r>
    <r>
      <rPr>
        <sz val="10"/>
        <rFont val="Arial"/>
        <family val="2"/>
      </rPr>
      <t>_max</t>
    </r>
    <phoneticPr fontId="2"/>
  </si>
  <si>
    <r>
      <t>F</t>
    </r>
    <r>
      <rPr>
        <sz val="10"/>
        <rFont val="Arial"/>
        <family val="2"/>
      </rPr>
      <t>sw</t>
    </r>
    <phoneticPr fontId="2"/>
  </si>
  <si>
    <t>Recommended L value</t>
    <phoneticPr fontId="2"/>
  </si>
  <si>
    <t>L</t>
    <phoneticPr fontId="2"/>
  </si>
  <si>
    <t>L (Tolerance)</t>
    <phoneticPr fontId="2"/>
  </si>
  <si>
    <t>value</t>
    <phoneticPr fontId="2"/>
  </si>
  <si>
    <t>A</t>
    <phoneticPr fontId="2"/>
  </si>
  <si>
    <r>
      <t>k</t>
    </r>
    <r>
      <rPr>
        <sz val="10"/>
        <rFont val="Arial"/>
        <family val="2"/>
      </rPr>
      <t>Hz</t>
    </r>
    <phoneticPr fontId="2"/>
  </si>
  <si>
    <t>uH</t>
    <phoneticPr fontId="2"/>
  </si>
  <si>
    <r>
      <t>u</t>
    </r>
    <r>
      <rPr>
        <sz val="10"/>
        <rFont val="Arial"/>
        <family val="2"/>
      </rPr>
      <t>H</t>
    </r>
    <phoneticPr fontId="2"/>
  </si>
  <si>
    <r>
      <t>+</t>
    </r>
    <r>
      <rPr>
        <sz val="10"/>
        <rFont val="Arial"/>
        <family val="2"/>
      </rPr>
      <t>/- (</t>
    </r>
    <r>
      <rPr>
        <sz val="10"/>
        <rFont val="Arial"/>
        <family val="2"/>
      </rPr>
      <t>%</t>
    </r>
    <r>
      <rPr>
        <sz val="10"/>
        <rFont val="Arial"/>
        <family val="2"/>
      </rPr>
      <t>)</t>
    </r>
    <phoneticPr fontId="2"/>
  </si>
  <si>
    <r>
      <t xml:space="preserve">A. Resistor divider </t>
    </r>
    <r>
      <rPr>
        <b/>
        <i/>
        <u val="double"/>
        <vertAlign val="superscript"/>
        <sz val="10"/>
        <rFont val="Arial"/>
        <family val="2"/>
      </rPr>
      <t>(1)</t>
    </r>
    <phoneticPr fontId="2"/>
  </si>
  <si>
    <r>
      <t>R</t>
    </r>
    <r>
      <rPr>
        <sz val="10"/>
        <rFont val="Arial"/>
        <family val="2"/>
      </rPr>
      <t>1</t>
    </r>
    <phoneticPr fontId="2"/>
  </si>
  <si>
    <r>
      <t>R</t>
    </r>
    <r>
      <rPr>
        <sz val="10"/>
        <rFont val="Arial"/>
        <family val="2"/>
      </rPr>
      <t>ecommended R2</t>
    </r>
    <phoneticPr fontId="2"/>
  </si>
  <si>
    <r>
      <t>R</t>
    </r>
    <r>
      <rPr>
        <sz val="10"/>
        <rFont val="Arial"/>
        <family val="2"/>
      </rPr>
      <t>2</t>
    </r>
    <phoneticPr fontId="2"/>
  </si>
  <si>
    <r>
      <t>C</t>
    </r>
    <r>
      <rPr>
        <sz val="10"/>
        <rFont val="Arial"/>
        <family val="2"/>
      </rPr>
      <t>alculated Vout</t>
    </r>
    <phoneticPr fontId="2"/>
  </si>
  <si>
    <r>
      <t>k</t>
    </r>
    <r>
      <rPr>
        <sz val="10"/>
        <rFont val="Arial"/>
        <family val="2"/>
      </rPr>
      <t>-ohm</t>
    </r>
    <phoneticPr fontId="2"/>
  </si>
  <si>
    <r>
      <t xml:space="preserve"> </t>
    </r>
    <r>
      <rPr>
        <sz val="10"/>
        <rFont val="Arial"/>
        <family val="2"/>
      </rPr>
      <t xml:space="preserve"> </t>
    </r>
    <r>
      <rPr>
        <sz val="10"/>
        <rFont val="Arial"/>
        <family val="2"/>
      </rPr>
      <t xml:space="preserve">Note (1)   </t>
    </r>
    <r>
      <rPr>
        <sz val="10"/>
        <rFont val="Arial"/>
        <family val="2"/>
      </rPr>
      <t>For Vout=1.05V, pull up REFIN to 3.3V. For Vout=1.00V, pull down REFIN to GND.</t>
    </r>
    <phoneticPr fontId="2"/>
  </si>
  <si>
    <t>B. Capacitance and ESR requirement of output capacitor for D-CAP mode</t>
    <phoneticPr fontId="2"/>
  </si>
  <si>
    <t>4. Output capacitor selection by stability requirement</t>
    <phoneticPr fontId="2"/>
  </si>
  <si>
    <t>Actual Cout</t>
    <phoneticPr fontId="2"/>
  </si>
  <si>
    <t>uF</t>
    <phoneticPr fontId="2"/>
  </si>
  <si>
    <t>5. Enter ESR of the output capacitor</t>
    <phoneticPr fontId="2"/>
  </si>
  <si>
    <t>C. Over Current Protection</t>
    <phoneticPr fontId="2"/>
  </si>
  <si>
    <t>6. Enter Low side MOSFET's information (From MOSFET's D.S.)</t>
    <phoneticPr fontId="2"/>
  </si>
  <si>
    <t>Rdson</t>
    <phoneticPr fontId="2"/>
  </si>
  <si>
    <r>
      <t>H</t>
    </r>
    <r>
      <rPr>
        <sz val="10"/>
        <rFont val="Arial"/>
        <family val="2"/>
      </rPr>
      <t>/S (Tj=</t>
    </r>
    <phoneticPr fontId="2"/>
  </si>
  <si>
    <r>
      <t>L</t>
    </r>
    <r>
      <rPr>
        <sz val="10"/>
        <rFont val="Arial"/>
        <family val="2"/>
      </rPr>
      <t>/S (Tj=25</t>
    </r>
    <r>
      <rPr>
        <sz val="10"/>
        <rFont val="Arial"/>
        <family val="2"/>
      </rPr>
      <t>º</t>
    </r>
    <r>
      <rPr>
        <sz val="10"/>
        <rFont val="Arial"/>
        <family val="2"/>
      </rPr>
      <t>C)</t>
    </r>
    <phoneticPr fontId="2"/>
  </si>
  <si>
    <r>
      <t>D</t>
    </r>
    <r>
      <rPr>
        <sz val="10"/>
        <rFont val="Arial"/>
        <family val="2"/>
      </rPr>
      <t>CR</t>
    </r>
    <phoneticPr fontId="2"/>
  </si>
  <si>
    <r>
      <t>+25</t>
    </r>
    <r>
      <rPr>
        <sz val="10"/>
        <rFont val="ＭＳ Ｐゴシック"/>
        <family val="3"/>
        <charset val="128"/>
      </rPr>
      <t>℃</t>
    </r>
    <r>
      <rPr>
        <sz val="10"/>
        <rFont val="Arial"/>
        <family val="2"/>
      </rPr>
      <t xml:space="preserve">) </t>
    </r>
    <r>
      <rPr>
        <sz val="10"/>
        <rFont val="Arial"/>
        <family val="2"/>
      </rPr>
      <t>T</t>
    </r>
    <r>
      <rPr>
        <sz val="10"/>
        <rFont val="Arial"/>
        <family val="2"/>
      </rPr>
      <t>yp</t>
    </r>
    <phoneticPr fontId="2"/>
  </si>
  <si>
    <t>Typ</t>
    <phoneticPr fontId="2"/>
  </si>
  <si>
    <r>
      <t>M</t>
    </r>
    <r>
      <rPr>
        <sz val="10"/>
        <rFont val="Arial"/>
        <family val="2"/>
      </rPr>
      <t>ax</t>
    </r>
    <phoneticPr fontId="2"/>
  </si>
  <si>
    <r>
      <t>#</t>
    </r>
    <r>
      <rPr>
        <sz val="10"/>
        <rFont val="Arial"/>
        <family val="2"/>
      </rPr>
      <t xml:space="preserve"> of </t>
    </r>
    <r>
      <rPr>
        <sz val="10"/>
        <rFont val="Arial"/>
        <family val="2"/>
      </rPr>
      <t>FET</t>
    </r>
    <phoneticPr fontId="2"/>
  </si>
  <si>
    <r>
      <t>Temp Co</t>
    </r>
    <r>
      <rPr>
        <sz val="10"/>
        <rFont val="Arial"/>
        <family val="2"/>
      </rPr>
      <t>.</t>
    </r>
    <r>
      <rPr>
        <vertAlign val="superscript"/>
        <sz val="10"/>
        <rFont val="Arial"/>
        <family val="2"/>
      </rPr>
      <t>(2)</t>
    </r>
    <phoneticPr fontId="2"/>
  </si>
  <si>
    <r>
      <t>T</t>
    </r>
    <r>
      <rPr>
        <sz val="10"/>
        <rFont val="Arial"/>
        <family val="2"/>
      </rPr>
      <t>yp</t>
    </r>
    <phoneticPr fontId="2"/>
  </si>
  <si>
    <t>m-ohm</t>
    <phoneticPr fontId="2"/>
  </si>
  <si>
    <t>-</t>
    <phoneticPr fontId="2"/>
  </si>
  <si>
    <r>
      <t xml:space="preserve"> </t>
    </r>
    <r>
      <rPr>
        <sz val="10"/>
        <rFont val="Arial"/>
        <family val="2"/>
      </rPr>
      <t xml:space="preserve"> </t>
    </r>
    <r>
      <rPr>
        <sz val="10"/>
        <rFont val="Arial"/>
        <family val="2"/>
      </rPr>
      <t>Note (</t>
    </r>
    <r>
      <rPr>
        <sz val="10"/>
        <rFont val="Arial"/>
        <family val="2"/>
      </rPr>
      <t>2</t>
    </r>
    <r>
      <rPr>
        <sz val="10"/>
        <rFont val="Arial"/>
        <family val="2"/>
      </rPr>
      <t>)   Rdson(@+100</t>
    </r>
    <r>
      <rPr>
        <sz val="10"/>
        <rFont val="ＭＳ Ｐゴシック"/>
        <family val="3"/>
        <charset val="128"/>
      </rPr>
      <t>℃</t>
    </r>
    <r>
      <rPr>
        <sz val="10"/>
        <rFont val="Arial"/>
        <family val="2"/>
      </rPr>
      <t xml:space="preserve">) </t>
    </r>
    <r>
      <rPr>
        <sz val="10"/>
        <rFont val="Arial"/>
        <family val="2"/>
      </rPr>
      <t>/</t>
    </r>
    <r>
      <rPr>
        <sz val="10"/>
        <rFont val="Arial"/>
        <family val="2"/>
      </rPr>
      <t xml:space="preserve"> Rdson(@+25</t>
    </r>
    <r>
      <rPr>
        <sz val="10"/>
        <rFont val="ＭＳ Ｐゴシック"/>
        <family val="3"/>
        <charset val="128"/>
      </rPr>
      <t>℃</t>
    </r>
    <r>
      <rPr>
        <sz val="10"/>
        <rFont val="Arial"/>
        <family val="2"/>
      </rPr>
      <t>)</t>
    </r>
    <phoneticPr fontId="2"/>
  </si>
  <si>
    <t>7. Choose the OCL setting resistor (Rtrip)</t>
    <phoneticPr fontId="2"/>
  </si>
  <si>
    <r>
      <t>R</t>
    </r>
    <r>
      <rPr>
        <sz val="10"/>
        <rFont val="Arial"/>
        <family val="2"/>
      </rPr>
      <t xml:space="preserve">ecommended </t>
    </r>
    <r>
      <rPr>
        <sz val="10"/>
        <rFont val="Arial"/>
        <family val="2"/>
      </rPr>
      <t>R</t>
    </r>
    <r>
      <rPr>
        <sz val="10"/>
        <rFont val="Arial"/>
        <family val="2"/>
      </rPr>
      <t>5</t>
    </r>
    <phoneticPr fontId="2"/>
  </si>
  <si>
    <r>
      <t>R</t>
    </r>
    <r>
      <rPr>
        <sz val="10"/>
        <rFont val="Arial"/>
        <family val="2"/>
      </rPr>
      <t>5</t>
    </r>
    <phoneticPr fontId="2"/>
  </si>
  <si>
    <t>k-ohm</t>
    <phoneticPr fontId="2"/>
  </si>
  <si>
    <t>8. Calculated nominal OCL value and Vocl</t>
    <phoneticPr fontId="2"/>
  </si>
  <si>
    <r>
      <t>Typ case (Tj=+25</t>
    </r>
    <r>
      <rPr>
        <sz val="10"/>
        <rFont val="ＭＳ Ｐゴシック"/>
        <family val="3"/>
        <charset val="128"/>
      </rPr>
      <t>℃</t>
    </r>
    <r>
      <rPr>
        <sz val="10"/>
        <rFont val="Arial"/>
        <family val="2"/>
      </rPr>
      <t>, Rdson</t>
    </r>
    <r>
      <rPr>
        <sz val="10"/>
        <rFont val="Arial"/>
        <family val="2"/>
      </rPr>
      <t>&amp;L</t>
    </r>
    <r>
      <rPr>
        <sz val="10"/>
        <rFont val="Arial"/>
        <family val="2"/>
      </rPr>
      <t>=</t>
    </r>
    <r>
      <rPr>
        <sz val="10"/>
        <rFont val="Arial"/>
        <family val="2"/>
      </rPr>
      <t>t</t>
    </r>
    <r>
      <rPr>
        <sz val="10"/>
        <rFont val="Arial"/>
        <family val="2"/>
      </rPr>
      <t>yp, Itrip=10uA)</t>
    </r>
    <phoneticPr fontId="2"/>
  </si>
  <si>
    <r>
      <t>V</t>
    </r>
    <r>
      <rPr>
        <sz val="10"/>
        <rFont val="Arial"/>
        <family val="2"/>
      </rPr>
      <t>in(min)</t>
    </r>
    <phoneticPr fontId="2"/>
  </si>
  <si>
    <r>
      <t>V</t>
    </r>
    <r>
      <rPr>
        <sz val="10"/>
        <rFont val="Arial"/>
        <family val="2"/>
      </rPr>
      <t>in(typ)</t>
    </r>
    <phoneticPr fontId="2"/>
  </si>
  <si>
    <r>
      <t>V</t>
    </r>
    <r>
      <rPr>
        <sz val="10"/>
        <rFont val="Arial"/>
        <family val="2"/>
      </rPr>
      <t>in(max)</t>
    </r>
    <phoneticPr fontId="2"/>
  </si>
  <si>
    <t>OCL</t>
    <phoneticPr fontId="2"/>
  </si>
  <si>
    <t>Vocl</t>
    <phoneticPr fontId="2"/>
  </si>
  <si>
    <r>
      <t>m</t>
    </r>
    <r>
      <rPr>
        <sz val="10"/>
        <rFont val="Arial"/>
        <family val="2"/>
      </rPr>
      <t>V</t>
    </r>
    <phoneticPr fontId="2"/>
  </si>
  <si>
    <t>9. Confirm the worst case OCL value and Vocl</t>
    <phoneticPr fontId="2"/>
  </si>
  <si>
    <r>
      <t>Vin=min, Itrip(@RT)=9</t>
    </r>
    <r>
      <rPr>
        <sz val="10"/>
        <rFont val="Arial"/>
        <family val="2"/>
      </rPr>
      <t>uA, Rdson(@RT)=max, Tj=min</t>
    </r>
    <phoneticPr fontId="2"/>
  </si>
  <si>
    <r>
      <t>Note(</t>
    </r>
    <r>
      <rPr>
        <sz val="10"/>
        <rFont val="Arial"/>
        <family val="2"/>
      </rPr>
      <t>3</t>
    </r>
    <r>
      <rPr>
        <sz val="10"/>
        <rFont val="Arial"/>
        <family val="2"/>
      </rPr>
      <t>)</t>
    </r>
    <phoneticPr fontId="2"/>
  </si>
  <si>
    <r>
      <t>Note(</t>
    </r>
    <r>
      <rPr>
        <sz val="10"/>
        <rFont val="Arial"/>
        <family val="2"/>
      </rPr>
      <t>4</t>
    </r>
    <r>
      <rPr>
        <sz val="10"/>
        <rFont val="Arial"/>
        <family val="2"/>
      </rPr>
      <t>)</t>
    </r>
    <phoneticPr fontId="2"/>
  </si>
  <si>
    <r>
      <t xml:space="preserve">  Vocl : recommended more than </t>
    </r>
    <r>
      <rPr>
        <b/>
        <sz val="10"/>
        <color indexed="10"/>
        <rFont val="Arial"/>
        <family val="2"/>
      </rPr>
      <t>25</t>
    </r>
    <r>
      <rPr>
        <b/>
        <i/>
        <sz val="10"/>
        <color indexed="10"/>
        <rFont val="Arial"/>
        <family val="2"/>
      </rPr>
      <t>mV</t>
    </r>
    <r>
      <rPr>
        <b/>
        <sz val="10"/>
        <rFont val="Arial"/>
        <family val="2"/>
      </rPr>
      <t xml:space="preserve"> and should be less than </t>
    </r>
    <r>
      <rPr>
        <b/>
        <sz val="10"/>
        <color indexed="10"/>
        <rFont val="Arial"/>
        <family val="2"/>
      </rPr>
      <t>375</t>
    </r>
    <r>
      <rPr>
        <b/>
        <i/>
        <sz val="10"/>
        <color indexed="10"/>
        <rFont val="Arial"/>
        <family val="2"/>
      </rPr>
      <t>mV</t>
    </r>
    <r>
      <rPr>
        <b/>
        <sz val="10"/>
        <color indexed="10"/>
        <rFont val="Arial"/>
        <family val="2"/>
      </rPr>
      <t>.</t>
    </r>
    <phoneticPr fontId="2"/>
  </si>
  <si>
    <t>10. Calculated output ripple</t>
    <phoneticPr fontId="2"/>
  </si>
  <si>
    <t>Inductor current (typ)</t>
    <phoneticPr fontId="2"/>
  </si>
  <si>
    <r>
      <t>A</t>
    </r>
    <r>
      <rPr>
        <sz val="10"/>
        <rFont val="Arial"/>
        <family val="2"/>
      </rPr>
      <t>p-p</t>
    </r>
    <phoneticPr fontId="2"/>
  </si>
  <si>
    <t>Vripple @Vout        - Min</t>
    <phoneticPr fontId="2"/>
  </si>
  <si>
    <t>nom VIN</t>
    <phoneticPr fontId="2"/>
  </si>
  <si>
    <t>min VIN</t>
    <phoneticPr fontId="2"/>
  </si>
  <si>
    <t>max VIN</t>
    <phoneticPr fontId="2"/>
  </si>
  <si>
    <t>Required Rtrip at min. VIN</t>
    <phoneticPr fontId="2"/>
  </si>
  <si>
    <t>Required Rtrip at max. VIN</t>
    <phoneticPr fontId="2"/>
  </si>
  <si>
    <t>VIN</t>
    <phoneticPr fontId="2"/>
  </si>
  <si>
    <t>by typ Rdson</t>
    <phoneticPr fontId="2"/>
  </si>
  <si>
    <t>Vout</t>
    <phoneticPr fontId="2"/>
  </si>
  <si>
    <t>min L</t>
    <phoneticPr fontId="2"/>
  </si>
  <si>
    <t>Imax</t>
    <phoneticPr fontId="2"/>
  </si>
  <si>
    <t>f (kHz)</t>
    <phoneticPr fontId="2"/>
  </si>
  <si>
    <t>Recommended L value (uH)</t>
    <phoneticPr fontId="2"/>
  </si>
  <si>
    <t>L (uH)</t>
    <phoneticPr fontId="2"/>
  </si>
  <si>
    <t>max L</t>
    <phoneticPr fontId="2"/>
  </si>
  <si>
    <t>variation of L (%)</t>
    <phoneticPr fontId="2"/>
  </si>
  <si>
    <t>ESR (mohm)</t>
    <phoneticPr fontId="2"/>
  </si>
  <si>
    <t>HS MOSFET - typ Rdson (mohm) for temp</t>
    <phoneticPr fontId="2"/>
  </si>
  <si>
    <t>LS MOSFET - min Rdson (mohm) for OCL</t>
    <phoneticPr fontId="2"/>
  </si>
  <si>
    <t xml:space="preserve">                    - typ Rdson (mohm) for OCL</t>
    <phoneticPr fontId="2"/>
  </si>
  <si>
    <t>MAX is</t>
    <phoneticPr fontId="2"/>
  </si>
  <si>
    <t>by max Rdson</t>
    <phoneticPr fontId="2"/>
  </si>
  <si>
    <t xml:space="preserve">                    - max Rdson (mohm) for temp</t>
    <phoneticPr fontId="2"/>
  </si>
  <si>
    <t>Number of MOSFET</t>
    <phoneticPr fontId="2"/>
  </si>
  <si>
    <t>Inductor DCR</t>
    <phoneticPr fontId="2"/>
  </si>
  <si>
    <t>Duty</t>
    <phoneticPr fontId="2"/>
  </si>
  <si>
    <t>Vripple at Vout (mV) by min L</t>
    <phoneticPr fontId="2"/>
  </si>
  <si>
    <t>Vtrip (mV) :  25mV &lt; Vtrip &lt; 375mV</t>
    <phoneticPr fontId="2"/>
  </si>
  <si>
    <t>Vripple at Vout (mV) by typ L</t>
    <phoneticPr fontId="2"/>
  </si>
  <si>
    <t>Vripple at Vout (mV) by max L</t>
    <phoneticPr fontId="2"/>
  </si>
  <si>
    <t>Est. min OCL</t>
    <phoneticPr fontId="2"/>
  </si>
  <si>
    <t>Rtrip (kohm)</t>
    <phoneticPr fontId="2"/>
  </si>
  <si>
    <t>Actual Vtrip (mV) by typ. Itrip &amp; RT</t>
    <phoneticPr fontId="2"/>
  </si>
  <si>
    <t>OCP at min. VIN</t>
    <phoneticPr fontId="2"/>
  </si>
  <si>
    <t>OCP at max. VIN</t>
    <phoneticPr fontId="2"/>
  </si>
  <si>
    <t>Actual OCL (A) by typ. Rdson, L, Itrip &amp; RT</t>
    <phoneticPr fontId="2"/>
  </si>
  <si>
    <t>&amp; min. Rdson</t>
    <phoneticPr fontId="2"/>
  </si>
  <si>
    <t>min OCL for all condition</t>
    <phoneticPr fontId="2"/>
  </si>
  <si>
    <t>max OCL for all condition</t>
    <phoneticPr fontId="2"/>
  </si>
  <si>
    <t>Itrip (uA)</t>
    <phoneticPr fontId="2"/>
  </si>
  <si>
    <t>Temp</t>
    <phoneticPr fontId="2"/>
  </si>
  <si>
    <t>Itrip TC (ppm/C)</t>
    <phoneticPr fontId="2"/>
  </si>
  <si>
    <t>Itrip at above temp. (uA)</t>
    <phoneticPr fontId="2"/>
  </si>
  <si>
    <t>Rdson TC (ppm/C)</t>
    <phoneticPr fontId="2"/>
  </si>
  <si>
    <t>Max Rdson at above temp.</t>
    <phoneticPr fontId="2"/>
  </si>
  <si>
    <t>&amp; max. Rdson</t>
    <phoneticPr fontId="2"/>
  </si>
  <si>
    <t>Voltage divider resistance requirement</t>
    <phoneticPr fontId="2"/>
  </si>
  <si>
    <t>REF (V)</t>
    <phoneticPr fontId="2"/>
  </si>
  <si>
    <t>calculated Rbottom (kohm)</t>
    <phoneticPr fontId="2"/>
  </si>
  <si>
    <t>user setting Rbottom (kohm)</t>
    <phoneticPr fontId="2"/>
  </si>
  <si>
    <t>Fsw
(kHz)</t>
    <phoneticPr fontId="2"/>
  </si>
  <si>
    <t>calculated Vout (V)</t>
    <phoneticPr fontId="2"/>
  </si>
  <si>
    <t>fsw/3 (kHz)</t>
    <phoneticPr fontId="2"/>
  </si>
  <si>
    <t>Min Cout requirement from Vout overshoot at load release</t>
    <phoneticPr fontId="2"/>
  </si>
  <si>
    <t>Load current (high)</t>
    <phoneticPr fontId="2"/>
  </si>
  <si>
    <t>Load current (low)</t>
    <phoneticPr fontId="2"/>
  </si>
  <si>
    <t>Slew rate (A/us)</t>
    <phoneticPr fontId="2"/>
  </si>
  <si>
    <t>Vout overshoot limit (% of Vout)</t>
    <phoneticPr fontId="2"/>
  </si>
  <si>
    <t>(Load current-fall time product)/2</t>
    <phoneticPr fontId="2"/>
  </si>
  <si>
    <t>(Inductor current-fall time product)/2</t>
    <phoneticPr fontId="2"/>
  </si>
  <si>
    <r>
      <t>E</t>
    </r>
    <r>
      <rPr>
        <sz val="10"/>
        <rFont val="Arial"/>
        <family val="2"/>
      </rPr>
      <t>xtra energy during on-time</t>
    </r>
    <phoneticPr fontId="2"/>
  </si>
  <si>
    <t>Recommended minimum Cout (uF)</t>
    <phoneticPr fontId="2"/>
  </si>
  <si>
    <r>
      <t>m</t>
    </r>
    <r>
      <rPr>
        <sz val="10"/>
        <rFont val="Arial"/>
        <family val="2"/>
      </rPr>
      <t>aximum Cout (uF)</t>
    </r>
    <phoneticPr fontId="2"/>
  </si>
  <si>
    <t>Actual Cout (uF)</t>
    <phoneticPr fontId="2"/>
  </si>
  <si>
    <t>Tolerance of Cout</t>
    <phoneticPr fontId="2"/>
  </si>
  <si>
    <t>VIN (V)</t>
    <phoneticPr fontId="2"/>
  </si>
  <si>
    <t>LIR</t>
    <phoneticPr fontId="2"/>
  </si>
  <si>
    <t>33k ohm</t>
    <phoneticPr fontId="2"/>
  </si>
  <si>
    <t>500kHz</t>
    <phoneticPr fontId="2"/>
  </si>
  <si>
    <t>22k ohm</t>
    <phoneticPr fontId="2"/>
  </si>
  <si>
    <t>670kHz</t>
    <phoneticPr fontId="2"/>
  </si>
  <si>
    <t>1k ohm</t>
    <phoneticPr fontId="2"/>
  </si>
  <si>
    <t>Rdson sensing</t>
    <phoneticPr fontId="2"/>
  </si>
  <si>
    <t>Resistor sensing</t>
    <phoneticPr fontId="2"/>
  </si>
  <si>
    <t>Required min ESR</t>
    <phoneticPr fontId="2"/>
  </si>
  <si>
    <t>Fo=1/(2xpixCoutxESR) (kHz)</t>
    <phoneticPr fontId="2"/>
  </si>
  <si>
    <t>Calculated ESR from Cout (mohm)</t>
    <phoneticPr fontId="2"/>
  </si>
  <si>
    <t>Recommended ESR</t>
    <phoneticPr fontId="2"/>
  </si>
  <si>
    <t>Sub: External parts selection guide for TPS51219 (D-CAP mode)</t>
    <phoneticPr fontId="2"/>
  </si>
  <si>
    <t>Sub: External parts selection guide for TPS51219 (D-CAP2 mode)</t>
    <phoneticPr fontId="2"/>
  </si>
  <si>
    <r>
      <t>m</t>
    </r>
    <r>
      <rPr>
        <sz val="10"/>
        <rFont val="Arial"/>
        <family val="2"/>
      </rPr>
      <t>in Fo</t>
    </r>
    <phoneticPr fontId="2"/>
  </si>
  <si>
    <r>
      <t>k</t>
    </r>
    <r>
      <rPr>
        <sz val="10"/>
        <rFont val="Arial"/>
        <family val="2"/>
      </rPr>
      <t>Hz</t>
    </r>
    <phoneticPr fontId="2"/>
  </si>
  <si>
    <r>
      <t>n</t>
    </r>
    <r>
      <rPr>
        <sz val="10"/>
        <rFont val="Arial"/>
        <family val="2"/>
      </rPr>
      <t>F</t>
    </r>
    <phoneticPr fontId="2"/>
  </si>
  <si>
    <t>Ccomp&gt;10xgm/(2*pi*Fo)</t>
    <phoneticPr fontId="2"/>
  </si>
  <si>
    <t>TPS51219</t>
    <phoneticPr fontId="2"/>
  </si>
  <si>
    <r>
      <t>Vin=max, Itrip(@RT)=1</t>
    </r>
    <r>
      <rPr>
        <sz val="10"/>
        <rFont val="Arial"/>
        <family val="2"/>
      </rPr>
      <t>1</t>
    </r>
    <r>
      <rPr>
        <sz val="10"/>
        <rFont val="Arial"/>
        <family val="2"/>
      </rPr>
      <t>uA, Rdson(@RT)=</t>
    </r>
    <r>
      <rPr>
        <sz val="10"/>
        <rFont val="Arial"/>
        <family val="2"/>
      </rPr>
      <t>min</t>
    </r>
    <r>
      <rPr>
        <sz val="10"/>
        <rFont val="Arial"/>
        <family val="2"/>
      </rPr>
      <t>, Tj=max</t>
    </r>
    <phoneticPr fontId="2"/>
  </si>
  <si>
    <r>
      <t>N</t>
    </r>
    <r>
      <rPr>
        <sz val="10"/>
        <rFont val="Arial"/>
        <family val="2"/>
      </rPr>
      <t>ote (1)</t>
    </r>
    <phoneticPr fontId="2"/>
  </si>
  <si>
    <r>
      <t>S</t>
    </r>
    <r>
      <rPr>
        <sz val="10"/>
        <rFont val="Arial"/>
        <family val="2"/>
      </rPr>
      <t>tability criteria is beased on following equations.</t>
    </r>
    <phoneticPr fontId="2"/>
  </si>
  <si>
    <r>
      <t>m</t>
    </r>
    <r>
      <rPr>
        <sz val="10"/>
        <rFont val="Arial"/>
        <family val="2"/>
      </rPr>
      <t>in C3</t>
    </r>
    <r>
      <rPr>
        <vertAlign val="superscript"/>
        <sz val="10"/>
        <rFont val="Arial"/>
        <family val="2"/>
      </rPr>
      <t>(1)</t>
    </r>
    <phoneticPr fontId="2"/>
  </si>
  <si>
    <r>
      <t>Calculated min C</t>
    </r>
    <r>
      <rPr>
        <sz val="10"/>
        <rFont val="Arial"/>
        <family val="2"/>
      </rPr>
      <t>out</t>
    </r>
    <r>
      <rPr>
        <vertAlign val="superscript"/>
        <sz val="10"/>
        <rFont val="Arial"/>
        <family val="2"/>
      </rPr>
      <t>(1)</t>
    </r>
    <phoneticPr fontId="2"/>
  </si>
  <si>
    <t>G=0.25</t>
    <phoneticPr fontId="2"/>
  </si>
  <si>
    <t>RcxCc=32us (fsw=500kHz), 23us (fsw=670kHz)</t>
    <phoneticPr fontId="2"/>
  </si>
  <si>
    <r>
      <t xml:space="preserve">  Assuming the MOSFET and TPS51</t>
    </r>
    <r>
      <rPr>
        <sz val="10"/>
        <rFont val="Arial"/>
        <family val="2"/>
      </rPr>
      <t>219</t>
    </r>
    <r>
      <rPr>
        <sz val="10"/>
        <rFont val="Arial"/>
        <family val="2"/>
      </rPr>
      <t xml:space="preserve"> are thermally coupled</t>
    </r>
    <r>
      <rPr>
        <sz val="10"/>
        <rFont val="Arial"/>
        <family val="2"/>
      </rPr>
      <t xml:space="preserve"> well.</t>
    </r>
    <phoneticPr fontId="2"/>
  </si>
  <si>
    <t>12k ohm</t>
    <phoneticPr fontId="2"/>
  </si>
  <si>
    <t>Calculated Fo (&lt; Fsw/3 ?)</t>
    <phoneticPr fontId="2"/>
  </si>
  <si>
    <t>Fsw/3</t>
    <phoneticPr fontId="2"/>
  </si>
  <si>
    <t>kHz</t>
    <phoneticPr fontId="2"/>
  </si>
  <si>
    <t>Ripple down slope (&gt; 20mV)</t>
    <phoneticPr fontId="2"/>
  </si>
  <si>
    <t>mV</t>
    <phoneticPr fontId="2"/>
  </si>
  <si>
    <t>Min Cout calculation from D-CAP stability</t>
    <phoneticPr fontId="2"/>
  </si>
  <si>
    <r>
      <t>R</t>
    </r>
    <r>
      <rPr>
        <sz val="10"/>
        <rFont val="Arial"/>
        <family val="2"/>
      </rPr>
      <t>ecommended ESR from stability</t>
    </r>
    <r>
      <rPr>
        <vertAlign val="superscript"/>
        <sz val="10"/>
        <rFont val="Arial"/>
        <family val="2"/>
      </rPr>
      <t>(1)</t>
    </r>
    <phoneticPr fontId="2"/>
  </si>
  <si>
    <r>
      <t>Recommended ESR from jitter</t>
    </r>
    <r>
      <rPr>
        <vertAlign val="superscript"/>
        <sz val="10"/>
        <rFont val="Arial"/>
        <family val="2"/>
      </rPr>
      <t>(1)</t>
    </r>
    <phoneticPr fontId="2"/>
  </si>
  <si>
    <t>m-ohm</t>
    <phoneticPr fontId="2"/>
  </si>
  <si>
    <r>
      <t>m</t>
    </r>
    <r>
      <rPr>
        <sz val="10"/>
        <rFont val="Arial"/>
        <family val="2"/>
      </rPr>
      <t>-ohm</t>
    </r>
    <phoneticPr fontId="2"/>
  </si>
  <si>
    <t>ESR requirement is based on the following equations.</t>
    <phoneticPr fontId="2"/>
  </si>
  <si>
    <t>user setting Rtop (kohm)</t>
    <phoneticPr fontId="2"/>
  </si>
  <si>
    <t>Date: 10/31/2012</t>
    <phoneticPr fontId="2"/>
  </si>
  <si>
    <t>Date: 10/31/2012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</si>
</sst>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_ "/>
    <numFmt numFmtId="165" formatCode="0.000_);[Red]\(0.000\)"/>
    <numFmt numFmtId="166" formatCode="0.0_ "/>
    <numFmt numFmtId="167" formatCode="0.00_ "/>
    <numFmt numFmtId="168" formatCode="0_ "/>
    <numFmt numFmtId="169" formatCode="0.0_);[Red]\(0.0\)"/>
    <numFmt numFmtId="170" formatCode="0.00_);[Red]\(0.00\)"/>
    <numFmt numFmtId="171" formatCode="0_);[Red]\(0\)"/>
  </numFmts>
  <fonts count="28">
    <font>
      <sz val="10"/>
      <name val="Arial"/>
      <family val="2"/>
    </font>
    <font>
      <sz val="11"/>
      <name val="ＭＳ Ｐゴシック"/>
      <family val="3"/>
      <charset val="128"/>
    </font>
    <font>
      <sz val="6"/>
      <name val="ＭＳ Ｐゴシック"/>
      <family val="3"/>
      <charset val="128"/>
    </font>
    <font>
      <b/>
      <sz val="12"/>
      <color indexed="81"/>
      <name val="ＭＳ Ｐゴシック"/>
      <family val="3"/>
      <charset val="128"/>
    </font>
    <font>
      <b/>
      <sz val="9"/>
      <color indexed="81"/>
      <name val="ＭＳ Ｐゴシック"/>
      <family val="3"/>
      <charset val="128"/>
    </font>
    <font>
      <b/>
      <sz val="9"/>
      <color indexed="60"/>
      <name val="ＭＳ Ｐゴシック"/>
      <family val="3"/>
      <charset val="128"/>
    </font>
    <font>
      <b/>
      <i/>
      <sz val="11"/>
      <name val="Arial"/>
      <family val="2"/>
    </font>
    <font>
      <sz val="12"/>
      <name val="Arial"/>
      <family val="2"/>
    </font>
    <font>
      <sz val="10"/>
      <color indexed="10"/>
      <name val="Arial"/>
      <family val="2"/>
    </font>
    <font>
      <sz val="11"/>
      <name val="Arial"/>
      <family val="2"/>
    </font>
    <font>
      <b/>
      <i/>
      <sz val="10"/>
      <color indexed="10"/>
      <name val="Arial"/>
      <family val="2"/>
    </font>
    <font>
      <b/>
      <i/>
      <sz val="12"/>
      <name val="Arial"/>
      <family val="2"/>
    </font>
    <font>
      <i/>
      <sz val="10"/>
      <name val="Arial"/>
      <family val="2"/>
    </font>
    <font>
      <b/>
      <i/>
      <sz val="10"/>
      <name val="Arial"/>
      <family val="2"/>
    </font>
    <font>
      <b/>
      <i/>
      <u/>
      <sz val="10"/>
      <name val="Arial"/>
      <family val="2"/>
    </font>
    <font>
      <b/>
      <i/>
      <u/>
      <sz val="10"/>
      <color indexed="12"/>
      <name val="Arial"/>
      <family val="2"/>
    </font>
    <font>
      <b/>
      <i/>
      <sz val="10"/>
      <color indexed="12"/>
      <name val="Arial"/>
      <family val="2"/>
    </font>
    <font>
      <sz val="10"/>
      <name val="ＭＳ Ｐゴシック"/>
      <family val="3"/>
      <charset val="128"/>
    </font>
    <font>
      <b/>
      <i/>
      <u val="double"/>
      <sz val="10"/>
      <name val="Arial"/>
      <family val="2"/>
    </font>
    <font>
      <vertAlign val="superscript"/>
      <sz val="10"/>
      <name val="Arial"/>
      <family val="2"/>
    </font>
    <font>
      <b/>
      <sz val="10"/>
      <name val="Arial"/>
      <family val="2"/>
    </font>
    <font>
      <b/>
      <sz val="10"/>
      <color indexed="10"/>
      <name val="Arial"/>
      <family val="2"/>
    </font>
    <font>
      <sz val="10"/>
      <color indexed="12"/>
      <name val="Arial"/>
      <family val="2"/>
    </font>
    <font>
      <sz val="9"/>
      <name val="Arial"/>
      <family val="2"/>
    </font>
    <font>
      <sz val="11"/>
      <color indexed="12"/>
      <name val="Arial"/>
      <family val="2"/>
    </font>
    <font>
      <b/>
      <sz val="11"/>
      <name val="Arial"/>
      <family val="2"/>
    </font>
    <font>
      <b/>
      <i/>
      <u val="double"/>
      <vertAlign val="superscript"/>
      <sz val="10"/>
      <name val="Arial"/>
      <family val="2"/>
    </font>
    <font>
      <sz val="10"/>
      <name val="Arial"/>
      <family val="2"/>
    </font>
  </fonts>
  <fills count="13">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indexed="41"/>
        <bgColor indexed="64"/>
      </patternFill>
    </fill>
    <fill>
      <patternFill patternType="solid">
        <fgColor indexed="51"/>
        <bgColor indexed="64"/>
      </patternFill>
    </fill>
    <fill>
      <patternFill patternType="solid">
        <fgColor indexed="22"/>
        <bgColor indexed="64"/>
      </patternFill>
    </fill>
    <fill>
      <patternFill patternType="solid">
        <fgColor indexed="27"/>
        <bgColor indexed="64"/>
      </patternFill>
    </fill>
    <fill>
      <patternFill patternType="solid">
        <fgColor indexed="47"/>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rgb="FFD6FCFE"/>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medium">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thin">
        <color indexed="64"/>
      </top>
      <bottom/>
      <diagonal/>
    </border>
    <border>
      <left style="thin">
        <color indexed="64"/>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335">
    <xf numFmtId="0" fontId="0" fillId="0" borderId="0" xfId="0">
      <alignment vertical="center"/>
    </xf>
    <xf numFmtId="0" fontId="1" fillId="2" borderId="1" xfId="2" applyFill="1" applyBorder="1" applyProtection="1">
      <alignment vertical="center"/>
      <protection locked="0"/>
    </xf>
    <xf numFmtId="0" fontId="6" fillId="3" borderId="0" xfId="0" applyFont="1" applyFill="1" applyBorder="1" applyProtection="1">
      <alignment vertical="center"/>
    </xf>
    <xf numFmtId="0" fontId="7" fillId="3" borderId="0" xfId="0" applyFont="1" applyFill="1" applyBorder="1" applyProtection="1">
      <alignment vertical="center"/>
    </xf>
    <xf numFmtId="0" fontId="13" fillId="3" borderId="0" xfId="0" applyFont="1" applyFill="1" applyBorder="1" applyProtection="1">
      <alignment vertical="center"/>
    </xf>
    <xf numFmtId="0" fontId="15" fillId="3" borderId="0" xfId="1" applyFont="1" applyFill="1" applyBorder="1" applyAlignment="1" applyProtection="1"/>
    <xf numFmtId="0" fontId="15" fillId="3" borderId="0" xfId="1" applyFont="1" applyFill="1" applyBorder="1" applyAlignment="1" applyProtection="1">
      <alignment vertical="center"/>
    </xf>
    <xf numFmtId="0" fontId="16" fillId="3" borderId="0" xfId="1" applyFont="1" applyFill="1" applyBorder="1" applyAlignment="1" applyProtection="1"/>
    <xf numFmtId="0" fontId="15" fillId="3" borderId="0" xfId="1" applyFont="1" applyFill="1" applyBorder="1" applyAlignment="1" applyProtection="1">
      <alignment vertical="top"/>
    </xf>
    <xf numFmtId="0" fontId="17" fillId="3" borderId="1" xfId="1" applyFont="1" applyFill="1" applyBorder="1" applyAlignment="1" applyProtection="1">
      <alignment horizontal="center" vertical="center"/>
    </xf>
    <xf numFmtId="0" fontId="9" fillId="3" borderId="0" xfId="1" applyFont="1" applyFill="1" applyBorder="1" applyProtection="1">
      <alignment vertical="center"/>
    </xf>
    <xf numFmtId="166" fontId="20" fillId="4" borderId="1" xfId="1" applyNumberFormat="1" applyFont="1" applyFill="1" applyBorder="1" applyAlignment="1" applyProtection="1">
      <alignment horizontal="center" vertical="center"/>
    </xf>
    <xf numFmtId="167" fontId="20" fillId="3" borderId="0" xfId="1" applyNumberFormat="1" applyFont="1" applyFill="1" applyBorder="1" applyAlignment="1" applyProtection="1">
      <alignment horizontal="center" vertical="center"/>
    </xf>
    <xf numFmtId="0" fontId="16" fillId="3" borderId="2" xfId="1" applyFont="1" applyFill="1" applyBorder="1" applyAlignment="1" applyProtection="1">
      <alignment horizontal="center" vertical="center" wrapText="1"/>
    </xf>
    <xf numFmtId="0" fontId="16" fillId="3" borderId="1" xfId="1" applyFont="1" applyFill="1" applyBorder="1" applyAlignment="1" applyProtection="1">
      <alignment horizontal="center" vertical="center"/>
    </xf>
    <xf numFmtId="0" fontId="16" fillId="3" borderId="3" xfId="1" applyFont="1" applyFill="1" applyBorder="1" applyAlignment="1" applyProtection="1">
      <alignment horizontal="center" vertical="center" wrapText="1"/>
    </xf>
    <xf numFmtId="0" fontId="16" fillId="3" borderId="0" xfId="1" applyFont="1" applyFill="1" applyBorder="1" applyAlignment="1" applyProtection="1">
      <alignment horizontal="center" vertical="center"/>
    </xf>
    <xf numFmtId="167" fontId="20" fillId="3" borderId="0" xfId="1" applyNumberFormat="1" applyFont="1" applyFill="1" applyBorder="1" applyAlignment="1" applyProtection="1">
      <alignment horizontal="left" vertical="center"/>
    </xf>
    <xf numFmtId="0" fontId="22" fillId="3" borderId="0" xfId="1" applyFont="1" applyFill="1" applyBorder="1" applyAlignment="1" applyProtection="1">
      <alignment horizontal="center" vertical="center"/>
    </xf>
    <xf numFmtId="0" fontId="18" fillId="3" borderId="0" xfId="0" applyFont="1" applyFill="1" applyBorder="1" applyProtection="1">
      <alignment vertical="center"/>
    </xf>
    <xf numFmtId="0" fontId="8" fillId="3" borderId="4" xfId="1" applyFont="1" applyFill="1" applyBorder="1" applyProtection="1">
      <alignment vertical="center"/>
    </xf>
    <xf numFmtId="0" fontId="8" fillId="3" borderId="0" xfId="1" applyFont="1" applyFill="1" applyBorder="1" applyProtection="1">
      <alignment vertical="center"/>
    </xf>
    <xf numFmtId="0" fontId="10" fillId="3" borderId="0" xfId="1" applyFont="1" applyFill="1" applyBorder="1" applyAlignment="1" applyProtection="1">
      <alignment horizontal="right" vertical="center"/>
    </xf>
    <xf numFmtId="0" fontId="10" fillId="3" borderId="0" xfId="1" applyFont="1" applyFill="1" applyBorder="1" applyAlignment="1" applyProtection="1">
      <alignment horizontal="left" vertical="center"/>
    </xf>
    <xf numFmtId="0" fontId="9" fillId="0" borderId="4" xfId="1" applyFont="1" applyBorder="1" applyAlignment="1" applyProtection="1"/>
    <xf numFmtId="0" fontId="11" fillId="3" borderId="0" xfId="1" applyFont="1" applyFill="1" applyBorder="1" applyAlignment="1" applyProtection="1"/>
    <xf numFmtId="0" fontId="12" fillId="3" borderId="0" xfId="1" applyFont="1" applyFill="1" applyBorder="1" applyAlignment="1" applyProtection="1"/>
    <xf numFmtId="0" fontId="9" fillId="3" borderId="0" xfId="1" applyFont="1" applyFill="1" applyBorder="1" applyAlignment="1" applyProtection="1"/>
    <xf numFmtId="0" fontId="13" fillId="3" borderId="0" xfId="1" applyFont="1" applyFill="1" applyBorder="1" applyProtection="1">
      <alignment vertical="center"/>
    </xf>
    <xf numFmtId="0" fontId="18" fillId="3" borderId="0" xfId="1" applyFont="1" applyFill="1" applyBorder="1" applyProtection="1">
      <alignment vertical="center"/>
    </xf>
    <xf numFmtId="0" fontId="1" fillId="0" borderId="0" xfId="2" applyProtection="1">
      <alignment vertical="center"/>
    </xf>
    <xf numFmtId="0" fontId="1" fillId="0" borderId="0" xfId="3" applyBorder="1" applyProtection="1">
      <alignment vertical="center"/>
    </xf>
    <xf numFmtId="0" fontId="1" fillId="0" borderId="0" xfId="2" applyFill="1" applyProtection="1">
      <alignment vertical="center"/>
    </xf>
    <xf numFmtId="0" fontId="23" fillId="3" borderId="1" xfId="1" applyFont="1" applyFill="1" applyBorder="1" applyAlignment="1" applyProtection="1">
      <alignment horizontal="center" vertical="center"/>
    </xf>
    <xf numFmtId="0" fontId="9" fillId="0" borderId="0" xfId="2" applyFont="1" applyProtection="1">
      <alignment vertical="center"/>
    </xf>
    <xf numFmtId="0" fontId="9" fillId="5" borderId="2" xfId="2" applyFont="1" applyFill="1" applyBorder="1" applyProtection="1">
      <alignment vertical="center"/>
    </xf>
    <xf numFmtId="0" fontId="9" fillId="5" borderId="3" xfId="2" applyFont="1" applyFill="1" applyBorder="1" applyAlignment="1" applyProtection="1">
      <alignment horizontal="center" vertical="center"/>
    </xf>
    <xf numFmtId="0" fontId="9" fillId="5" borderId="5" xfId="2" applyFont="1" applyFill="1" applyBorder="1" applyProtection="1">
      <alignment vertical="center"/>
    </xf>
    <xf numFmtId="0" fontId="9" fillId="0" borderId="0" xfId="2" applyFont="1" applyFill="1" applyBorder="1" applyProtection="1">
      <alignment vertical="center"/>
    </xf>
    <xf numFmtId="0" fontId="9" fillId="0" borderId="1" xfId="2" applyFont="1" applyBorder="1" applyAlignment="1" applyProtection="1">
      <alignment horizontal="center" vertical="center"/>
    </xf>
    <xf numFmtId="0" fontId="9" fillId="0" borderId="0" xfId="2" applyFont="1" applyFill="1" applyBorder="1" applyAlignment="1" applyProtection="1">
      <alignment horizontal="center" vertical="center"/>
    </xf>
    <xf numFmtId="0" fontId="9" fillId="0" borderId="6" xfId="2" applyFont="1" applyBorder="1" applyProtection="1">
      <alignment vertical="center"/>
    </xf>
    <xf numFmtId="0" fontId="9" fillId="0" borderId="7" xfId="2" applyFont="1" applyBorder="1" applyProtection="1">
      <alignment vertical="center"/>
    </xf>
    <xf numFmtId="0" fontId="9" fillId="0" borderId="8" xfId="2" applyFont="1" applyBorder="1" applyProtection="1">
      <alignment vertical="center"/>
    </xf>
    <xf numFmtId="0" fontId="9" fillId="0" borderId="9" xfId="2" applyFont="1" applyBorder="1" applyProtection="1">
      <alignment vertical="center"/>
    </xf>
    <xf numFmtId="0" fontId="9" fillId="0" borderId="10" xfId="2" applyFont="1" applyBorder="1" applyProtection="1">
      <alignment vertical="center"/>
    </xf>
    <xf numFmtId="169" fontId="9" fillId="2" borderId="1" xfId="2" applyNumberFormat="1" applyFont="1" applyFill="1" applyBorder="1" applyProtection="1">
      <alignment vertical="center"/>
    </xf>
    <xf numFmtId="0" fontId="9" fillId="0" borderId="0" xfId="2" applyFont="1" applyBorder="1" applyProtection="1">
      <alignment vertical="center"/>
    </xf>
    <xf numFmtId="0" fontId="9" fillId="2" borderId="1" xfId="2" applyFont="1" applyFill="1" applyBorder="1" applyProtection="1">
      <alignment vertical="center"/>
    </xf>
    <xf numFmtId="0" fontId="9" fillId="6" borderId="1" xfId="2" applyFont="1" applyFill="1" applyBorder="1" applyProtection="1">
      <alignment vertical="center"/>
    </xf>
    <xf numFmtId="0" fontId="9" fillId="0" borderId="1" xfId="2" applyFont="1" applyBorder="1" applyProtection="1">
      <alignment vertical="center"/>
    </xf>
    <xf numFmtId="0" fontId="9" fillId="0" borderId="1" xfId="2" applyNumberFormat="1" applyFont="1" applyBorder="1" applyProtection="1">
      <alignment vertical="center"/>
    </xf>
    <xf numFmtId="170" fontId="9" fillId="0" borderId="1" xfId="2" applyNumberFormat="1" applyFont="1" applyBorder="1" applyProtection="1">
      <alignment vertical="center"/>
    </xf>
    <xf numFmtId="0" fontId="9" fillId="6" borderId="11" xfId="2" applyFont="1" applyFill="1" applyBorder="1" applyProtection="1">
      <alignment vertical="center"/>
    </xf>
    <xf numFmtId="0" fontId="9" fillId="2" borderId="1" xfId="2" applyNumberFormat="1" applyFont="1" applyFill="1" applyBorder="1" applyProtection="1">
      <alignment vertical="center"/>
    </xf>
    <xf numFmtId="0" fontId="9" fillId="0" borderId="0" xfId="2" applyNumberFormat="1" applyFont="1" applyBorder="1" applyProtection="1">
      <alignment vertical="center"/>
    </xf>
    <xf numFmtId="170" fontId="9" fillId="0" borderId="1" xfId="2" applyNumberFormat="1" applyFont="1" applyFill="1" applyBorder="1" applyProtection="1">
      <alignment vertical="center"/>
    </xf>
    <xf numFmtId="166" fontId="9" fillId="0" borderId="1" xfId="2" applyNumberFormat="1" applyFont="1" applyBorder="1" applyProtection="1">
      <alignment vertical="center"/>
    </xf>
    <xf numFmtId="0" fontId="9" fillId="0" borderId="6" xfId="2" applyFont="1" applyBorder="1" applyAlignment="1" applyProtection="1">
      <alignment horizontal="center" vertical="center"/>
    </xf>
    <xf numFmtId="170" fontId="9" fillId="7" borderId="12" xfId="2" applyNumberFormat="1" applyFont="1" applyFill="1" applyBorder="1" applyAlignment="1" applyProtection="1">
      <alignment horizontal="center" vertical="center"/>
    </xf>
    <xf numFmtId="0" fontId="9" fillId="0" borderId="1" xfId="2" applyFont="1" applyFill="1" applyBorder="1" applyAlignment="1" applyProtection="1">
      <alignment horizontal="center" vertical="center"/>
    </xf>
    <xf numFmtId="0" fontId="9" fillId="0" borderId="1" xfId="2" applyFont="1" applyFill="1" applyBorder="1" applyProtection="1">
      <alignment vertical="center"/>
    </xf>
    <xf numFmtId="169" fontId="9" fillId="0" borderId="1" xfId="2" applyNumberFormat="1" applyFont="1" applyBorder="1" applyProtection="1">
      <alignment vertical="center"/>
    </xf>
    <xf numFmtId="164" fontId="9" fillId="0" borderId="1" xfId="2" applyNumberFormat="1" applyFont="1" applyBorder="1" applyProtection="1">
      <alignment vertical="center"/>
    </xf>
    <xf numFmtId="165" fontId="9" fillId="0" borderId="1" xfId="2" applyNumberFormat="1" applyFont="1" applyFill="1" applyBorder="1" applyProtection="1">
      <alignment vertical="center"/>
    </xf>
    <xf numFmtId="165" fontId="9" fillId="0" borderId="0" xfId="2" applyNumberFormat="1" applyFont="1" applyFill="1" applyBorder="1" applyProtection="1">
      <alignment vertical="center"/>
    </xf>
    <xf numFmtId="165" fontId="9" fillId="0" borderId="13" xfId="2" applyNumberFormat="1" applyFont="1" applyFill="1" applyBorder="1" applyProtection="1">
      <alignment vertical="center"/>
    </xf>
    <xf numFmtId="165" fontId="9" fillId="0" borderId="14" xfId="2" applyNumberFormat="1" applyFont="1" applyFill="1" applyBorder="1" applyProtection="1">
      <alignment vertical="center"/>
    </xf>
    <xf numFmtId="165" fontId="9" fillId="0" borderId="15" xfId="2" applyNumberFormat="1" applyFont="1" applyFill="1" applyBorder="1" applyProtection="1">
      <alignment vertical="center"/>
    </xf>
    <xf numFmtId="0" fontId="9" fillId="0" borderId="16" xfId="2" applyFont="1" applyBorder="1" applyProtection="1">
      <alignment vertical="center"/>
    </xf>
    <xf numFmtId="0" fontId="9" fillId="0" borderId="17" xfId="2" applyFont="1" applyBorder="1" applyProtection="1">
      <alignment vertical="center"/>
    </xf>
    <xf numFmtId="0" fontId="9" fillId="0" borderId="18" xfId="2" applyFont="1" applyBorder="1" applyProtection="1">
      <alignment vertical="center"/>
    </xf>
    <xf numFmtId="169" fontId="9" fillId="0" borderId="13" xfId="2" applyNumberFormat="1" applyFont="1" applyFill="1" applyBorder="1" applyProtection="1">
      <alignment vertical="center"/>
    </xf>
    <xf numFmtId="169" fontId="9" fillId="0" borderId="0" xfId="2" applyNumberFormat="1" applyFont="1" applyFill="1" applyBorder="1" applyProtection="1">
      <alignment vertical="center"/>
    </xf>
    <xf numFmtId="0" fontId="9" fillId="0" borderId="6" xfId="3" quotePrefix="1" applyFont="1" applyBorder="1" applyProtection="1">
      <alignment vertical="center"/>
    </xf>
    <xf numFmtId="169" fontId="9" fillId="0" borderId="14" xfId="2" applyNumberFormat="1" applyFont="1" applyFill="1" applyBorder="1" applyProtection="1">
      <alignment vertical="center"/>
    </xf>
    <xf numFmtId="169" fontId="9" fillId="0" borderId="15" xfId="2" applyNumberFormat="1" applyFont="1" applyFill="1" applyBorder="1" applyProtection="1">
      <alignment vertical="center"/>
    </xf>
    <xf numFmtId="169" fontId="9" fillId="4" borderId="1" xfId="2" applyNumberFormat="1" applyFont="1" applyFill="1" applyBorder="1" applyProtection="1">
      <alignment vertical="center"/>
    </xf>
    <xf numFmtId="0" fontId="9" fillId="0" borderId="0" xfId="2" quotePrefix="1" applyNumberFormat="1" applyFont="1" applyFill="1" applyBorder="1" applyProtection="1">
      <alignment vertical="center"/>
    </xf>
    <xf numFmtId="0" fontId="9" fillId="0" borderId="1" xfId="2" applyNumberFormat="1" applyFont="1" applyFill="1" applyBorder="1" applyProtection="1">
      <alignment vertical="center"/>
    </xf>
    <xf numFmtId="167" fontId="9" fillId="0" borderId="0" xfId="2" applyNumberFormat="1" applyFont="1" applyFill="1" applyBorder="1" applyProtection="1">
      <alignment vertical="center"/>
    </xf>
    <xf numFmtId="0" fontId="9" fillId="0" borderId="19" xfId="2" applyFont="1" applyBorder="1" applyProtection="1">
      <alignment vertical="center"/>
    </xf>
    <xf numFmtId="0" fontId="9" fillId="0" borderId="20" xfId="2" applyFont="1" applyBorder="1" applyProtection="1">
      <alignment vertical="center"/>
    </xf>
    <xf numFmtId="170" fontId="9" fillId="4" borderId="1" xfId="2" applyNumberFormat="1" applyFont="1" applyFill="1" applyBorder="1" applyProtection="1">
      <alignment vertical="center"/>
    </xf>
    <xf numFmtId="166" fontId="9" fillId="4" borderId="1" xfId="2" applyNumberFormat="1" applyFont="1" applyFill="1" applyBorder="1" applyProtection="1">
      <alignment vertical="center"/>
    </xf>
    <xf numFmtId="167" fontId="9" fillId="0" borderId="21" xfId="2" applyNumberFormat="1" applyFont="1" applyFill="1" applyBorder="1" applyProtection="1">
      <alignment vertical="center"/>
    </xf>
    <xf numFmtId="166" fontId="9" fillId="4" borderId="1" xfId="3" applyNumberFormat="1" applyFont="1" applyFill="1" applyBorder="1" applyProtection="1">
      <alignment vertical="center"/>
    </xf>
    <xf numFmtId="0" fontId="9" fillId="0" borderId="20" xfId="2" applyFont="1" applyFill="1" applyBorder="1" applyProtection="1">
      <alignment vertical="center"/>
    </xf>
    <xf numFmtId="166" fontId="9" fillId="0" borderId="0" xfId="2" applyNumberFormat="1" applyFont="1" applyFill="1" applyBorder="1" applyProtection="1">
      <alignment vertical="center"/>
    </xf>
    <xf numFmtId="0" fontId="24" fillId="0" borderId="1" xfId="2" applyNumberFormat="1" applyFont="1" applyBorder="1" applyProtection="1">
      <alignment vertical="center"/>
    </xf>
    <xf numFmtId="0" fontId="24" fillId="0" borderId="1" xfId="2" applyFont="1" applyBorder="1" applyProtection="1">
      <alignment vertical="center"/>
    </xf>
    <xf numFmtId="166" fontId="9" fillId="6" borderId="1" xfId="2" applyNumberFormat="1" applyFont="1" applyFill="1" applyBorder="1" applyProtection="1">
      <alignment vertical="center"/>
    </xf>
    <xf numFmtId="0" fontId="24" fillId="0" borderId="1" xfId="2" applyFont="1" applyFill="1" applyBorder="1" applyProtection="1">
      <alignment vertical="center"/>
    </xf>
    <xf numFmtId="0" fontId="9" fillId="0" borderId="0" xfId="2" applyFont="1" applyFill="1" applyProtection="1">
      <alignment vertical="center"/>
    </xf>
    <xf numFmtId="164" fontId="9" fillId="4" borderId="1" xfId="2" applyNumberFormat="1" applyFont="1" applyFill="1" applyBorder="1" applyProtection="1">
      <alignment vertical="center"/>
    </xf>
    <xf numFmtId="0" fontId="9" fillId="0" borderId="17" xfId="2" applyFont="1" applyFill="1" applyBorder="1" applyProtection="1">
      <alignment vertical="center"/>
    </xf>
    <xf numFmtId="170" fontId="9" fillId="2" borderId="1" xfId="2" applyNumberFormat="1" applyFont="1" applyFill="1" applyBorder="1" applyProtection="1">
      <alignment vertical="center"/>
    </xf>
    <xf numFmtId="0" fontId="16" fillId="3" borderId="15" xfId="1" applyFont="1" applyFill="1" applyBorder="1" applyAlignment="1" applyProtection="1">
      <alignment horizontal="center" vertical="center"/>
    </xf>
    <xf numFmtId="171" fontId="9" fillId="0" borderId="1" xfId="2" applyNumberFormat="1" applyFont="1" applyBorder="1" applyProtection="1">
      <alignment vertical="center"/>
    </xf>
    <xf numFmtId="0" fontId="1" fillId="3" borderId="0" xfId="2" applyFill="1" applyProtection="1">
      <alignment vertical="center"/>
    </xf>
    <xf numFmtId="167" fontId="9" fillId="6" borderId="1" xfId="2" applyNumberFormat="1" applyFont="1" applyFill="1" applyBorder="1" applyProtection="1">
      <alignment vertical="center"/>
    </xf>
    <xf numFmtId="0" fontId="1" fillId="3" borderId="0" xfId="2" applyFill="1" applyBorder="1" applyProtection="1">
      <alignment vertical="center"/>
    </xf>
    <xf numFmtId="0" fontId="1" fillId="3" borderId="22" xfId="2" applyFill="1" applyBorder="1" applyProtection="1">
      <alignment vertical="center"/>
    </xf>
    <xf numFmtId="0" fontId="9" fillId="8" borderId="2" xfId="2" applyFont="1" applyFill="1" applyBorder="1" applyAlignment="1" applyProtection="1">
      <alignment vertical="center"/>
    </xf>
    <xf numFmtId="0" fontId="9" fillId="8" borderId="3" xfId="2" applyFont="1" applyFill="1" applyBorder="1" applyAlignment="1" applyProtection="1">
      <alignment vertical="center"/>
    </xf>
    <xf numFmtId="0" fontId="0" fillId="3" borderId="0" xfId="0" applyFill="1" applyProtection="1">
      <alignment vertical="center"/>
    </xf>
    <xf numFmtId="169" fontId="1" fillId="4" borderId="1" xfId="2" applyNumberFormat="1" applyFill="1" applyBorder="1" applyAlignment="1" applyProtection="1">
      <alignment horizontal="center" vertical="center"/>
    </xf>
    <xf numFmtId="166" fontId="9" fillId="0" borderId="0" xfId="2" applyNumberFormat="1" applyFont="1" applyBorder="1" applyProtection="1">
      <alignment vertical="center"/>
    </xf>
    <xf numFmtId="166" fontId="9" fillId="0" borderId="1" xfId="3" applyNumberFormat="1" applyFont="1" applyBorder="1" applyProtection="1">
      <alignment vertical="center"/>
    </xf>
    <xf numFmtId="0" fontId="9" fillId="0" borderId="23" xfId="2" applyFont="1" applyBorder="1" applyAlignment="1" applyProtection="1">
      <alignment vertical="center"/>
    </xf>
    <xf numFmtId="0" fontId="22" fillId="3" borderId="0" xfId="1" applyFont="1" applyFill="1" applyBorder="1" applyAlignment="1" applyProtection="1"/>
    <xf numFmtId="0" fontId="22" fillId="3" borderId="0" xfId="1" applyFont="1" applyFill="1" applyBorder="1" applyAlignment="1" applyProtection="1">
      <alignment vertical="center"/>
    </xf>
    <xf numFmtId="0" fontId="16" fillId="3" borderId="0" xfId="1" applyFont="1" applyFill="1" applyBorder="1" applyAlignment="1" applyProtection="1">
      <alignment vertical="center" wrapText="1"/>
    </xf>
    <xf numFmtId="0" fontId="1" fillId="3" borderId="24" xfId="2" applyFill="1" applyBorder="1" applyProtection="1">
      <alignment vertical="center"/>
    </xf>
    <xf numFmtId="0" fontId="27" fillId="3" borderId="25" xfId="0" applyFont="1" applyFill="1" applyBorder="1" applyProtection="1">
      <alignment vertical="center"/>
    </xf>
    <xf numFmtId="0" fontId="27" fillId="3" borderId="22" xfId="0" applyFont="1" applyFill="1" applyBorder="1" applyProtection="1">
      <alignment vertical="center"/>
    </xf>
    <xf numFmtId="0" fontId="27" fillId="3" borderId="4" xfId="0" applyFont="1" applyFill="1" applyBorder="1" applyProtection="1">
      <alignment vertical="center"/>
    </xf>
    <xf numFmtId="0" fontId="27" fillId="3" borderId="0" xfId="0" applyFont="1" applyFill="1" applyBorder="1" applyProtection="1">
      <alignment vertical="center"/>
    </xf>
    <xf numFmtId="0" fontId="27" fillId="3" borderId="0" xfId="1" applyFont="1" applyFill="1" applyBorder="1" applyProtection="1">
      <alignment vertical="center"/>
    </xf>
    <xf numFmtId="0" fontId="27" fillId="3" borderId="0" xfId="1" applyFont="1" applyFill="1" applyBorder="1" applyAlignment="1" applyProtection="1"/>
    <xf numFmtId="0" fontId="27" fillId="3" borderId="4" xfId="1" applyFont="1" applyFill="1" applyBorder="1" applyProtection="1">
      <alignment vertical="center"/>
    </xf>
    <xf numFmtId="0" fontId="27" fillId="2" borderId="1" xfId="1" applyFont="1" applyFill="1" applyBorder="1" applyProtection="1">
      <alignment vertical="center"/>
    </xf>
    <xf numFmtId="0" fontId="27" fillId="4" borderId="1" xfId="1" applyFont="1" applyFill="1" applyBorder="1" applyProtection="1">
      <alignment vertical="center"/>
    </xf>
    <xf numFmtId="0" fontId="27" fillId="3" borderId="1" xfId="1" applyFont="1" applyFill="1" applyBorder="1" applyAlignment="1" applyProtection="1">
      <alignment horizontal="center" vertical="center"/>
    </xf>
    <xf numFmtId="169" fontId="27" fillId="2" borderId="1" xfId="1" applyNumberFormat="1" applyFont="1" applyFill="1" applyBorder="1" applyAlignment="1" applyProtection="1">
      <alignment vertical="center"/>
      <protection locked="0"/>
    </xf>
    <xf numFmtId="169" fontId="27" fillId="3" borderId="0" xfId="1" applyNumberFormat="1" applyFont="1" applyFill="1" applyBorder="1" applyAlignment="1" applyProtection="1">
      <alignment vertical="center"/>
    </xf>
    <xf numFmtId="0" fontId="27" fillId="3" borderId="0" xfId="1" applyFont="1" applyFill="1" applyBorder="1" applyAlignment="1" applyProtection="1">
      <alignment horizontal="center" vertical="center"/>
    </xf>
    <xf numFmtId="0" fontId="27" fillId="3" borderId="0" xfId="1" applyFont="1" applyFill="1" applyBorder="1" applyAlignment="1" applyProtection="1">
      <alignment horizontal="right" vertical="center"/>
    </xf>
    <xf numFmtId="0" fontId="27" fillId="2" borderId="1" xfId="1" applyFont="1" applyFill="1" applyBorder="1" applyAlignment="1" applyProtection="1">
      <alignment horizontal="right" vertical="center"/>
      <protection locked="0"/>
    </xf>
    <xf numFmtId="0" fontId="27" fillId="2" borderId="1" xfId="1" applyNumberFormat="1" applyFont="1" applyFill="1" applyBorder="1" applyAlignment="1" applyProtection="1">
      <alignment vertical="center"/>
      <protection locked="0"/>
    </xf>
    <xf numFmtId="171" fontId="27" fillId="2" borderId="1" xfId="1" applyNumberFormat="1" applyFont="1" applyFill="1" applyBorder="1" applyAlignment="1" applyProtection="1">
      <alignment vertical="center"/>
      <protection locked="0"/>
    </xf>
    <xf numFmtId="169" fontId="27" fillId="3" borderId="1" xfId="1" applyNumberFormat="1" applyFont="1" applyFill="1" applyBorder="1" applyAlignment="1" applyProtection="1">
      <alignment horizontal="center" vertical="center"/>
    </xf>
    <xf numFmtId="49" fontId="27" fillId="3" borderId="1" xfId="1" applyNumberFormat="1" applyFont="1" applyFill="1" applyBorder="1" applyAlignment="1" applyProtection="1">
      <alignment horizontal="center" vertical="center"/>
    </xf>
    <xf numFmtId="169" fontId="27" fillId="3" borderId="0" xfId="1" applyNumberFormat="1" applyFont="1" applyFill="1" applyBorder="1" applyAlignment="1" applyProtection="1">
      <alignment horizontal="center" vertical="center"/>
    </xf>
    <xf numFmtId="49" fontId="27" fillId="3" borderId="0" xfId="1" applyNumberFormat="1" applyFont="1" applyFill="1" applyBorder="1" applyAlignment="1" applyProtection="1">
      <alignment horizontal="center" vertical="center"/>
    </xf>
    <xf numFmtId="0" fontId="27" fillId="2" borderId="1" xfId="1" applyNumberFormat="1" applyFont="1" applyFill="1" applyBorder="1" applyAlignment="1" applyProtection="1">
      <alignment horizontal="center" vertical="center"/>
      <protection locked="0"/>
    </xf>
    <xf numFmtId="0" fontId="27" fillId="3" borderId="0" xfId="1" applyFont="1" applyFill="1" applyBorder="1" applyAlignment="1" applyProtection="1">
      <alignment horizontal="left" vertical="center"/>
    </xf>
    <xf numFmtId="0" fontId="27" fillId="3" borderId="26" xfId="1" applyFont="1" applyFill="1" applyBorder="1" applyProtection="1">
      <alignment vertical="center"/>
    </xf>
    <xf numFmtId="167" fontId="27" fillId="3" borderId="0" xfId="1" applyNumberFormat="1" applyFont="1" applyFill="1" applyBorder="1" applyAlignment="1" applyProtection="1">
      <alignment horizontal="center" vertical="center"/>
    </xf>
    <xf numFmtId="0" fontId="27" fillId="3" borderId="21" xfId="1" applyFont="1" applyFill="1" applyBorder="1" applyAlignment="1" applyProtection="1">
      <alignment vertical="center"/>
    </xf>
    <xf numFmtId="169" fontId="27" fillId="3" borderId="21" xfId="1" applyNumberFormat="1" applyFont="1" applyFill="1" applyBorder="1" applyAlignment="1" applyProtection="1">
      <alignment vertical="center"/>
    </xf>
    <xf numFmtId="0" fontId="27" fillId="3" borderId="0" xfId="1" applyFont="1" applyFill="1" applyBorder="1" applyAlignment="1" applyProtection="1">
      <alignment vertical="center" wrapText="1"/>
    </xf>
    <xf numFmtId="0" fontId="27" fillId="3" borderId="0" xfId="1" applyFont="1" applyFill="1" applyBorder="1" applyAlignment="1" applyProtection="1">
      <alignment vertical="center"/>
    </xf>
    <xf numFmtId="0" fontId="27" fillId="3" borderId="1" xfId="1" applyFont="1" applyFill="1" applyBorder="1" applyAlignment="1" applyProtection="1">
      <alignment vertical="center" wrapText="1"/>
    </xf>
    <xf numFmtId="0" fontId="27" fillId="3" borderId="0" xfId="1" applyFont="1" applyFill="1" applyBorder="1" applyAlignment="1" applyProtection="1">
      <alignment horizontal="right" vertical="center" wrapText="1"/>
    </xf>
    <xf numFmtId="0" fontId="27" fillId="2" borderId="1" xfId="1" applyFont="1" applyFill="1" applyBorder="1" applyProtection="1">
      <alignment vertical="center"/>
      <protection locked="0"/>
    </xf>
    <xf numFmtId="0" fontId="27" fillId="3" borderId="0" xfId="1" applyFont="1" applyFill="1" applyBorder="1" applyAlignment="1" applyProtection="1">
      <alignment horizontal="center" vertical="center" wrapText="1"/>
    </xf>
    <xf numFmtId="167" fontId="27" fillId="3" borderId="0" xfId="1" applyNumberFormat="1" applyFont="1" applyFill="1" applyBorder="1" applyProtection="1">
      <alignment vertical="center"/>
    </xf>
    <xf numFmtId="0" fontId="27" fillId="3" borderId="27" xfId="1" applyFont="1" applyFill="1" applyBorder="1" applyAlignment="1" applyProtection="1">
      <alignment horizontal="center" vertical="center"/>
    </xf>
    <xf numFmtId="0" fontId="27" fillId="3" borderId="15" xfId="1" applyFont="1" applyFill="1" applyBorder="1" applyAlignment="1" applyProtection="1">
      <alignment horizontal="center" vertical="center"/>
    </xf>
    <xf numFmtId="167" fontId="27" fillId="3" borderId="1" xfId="1" applyNumberFormat="1" applyFont="1" applyFill="1" applyBorder="1" applyAlignment="1" applyProtection="1">
      <alignment horizontal="center" vertical="center"/>
    </xf>
    <xf numFmtId="168" fontId="27" fillId="3" borderId="0" xfId="1" applyNumberFormat="1" applyFont="1" applyFill="1" applyBorder="1" applyAlignment="1" applyProtection="1">
      <alignment horizontal="center" vertical="center"/>
    </xf>
    <xf numFmtId="167" fontId="27" fillId="3" borderId="0" xfId="1" applyNumberFormat="1" applyFont="1" applyFill="1" applyBorder="1" applyAlignment="1" applyProtection="1">
      <alignment horizontal="left" vertical="center"/>
    </xf>
    <xf numFmtId="170" fontId="27" fillId="3" borderId="0" xfId="1" applyNumberFormat="1" applyFont="1" applyFill="1" applyBorder="1" applyAlignment="1" applyProtection="1">
      <alignment vertical="center"/>
    </xf>
    <xf numFmtId="167" fontId="27" fillId="3" borderId="13" xfId="1" applyNumberFormat="1" applyFont="1" applyFill="1" applyBorder="1" applyAlignment="1" applyProtection="1">
      <alignment horizontal="center" vertical="center"/>
    </xf>
    <xf numFmtId="166" fontId="27" fillId="4" borderId="1" xfId="1" applyNumberFormat="1" applyFont="1" applyFill="1" applyBorder="1" applyAlignment="1" applyProtection="1">
      <alignment horizontal="center" vertical="center"/>
    </xf>
    <xf numFmtId="0" fontId="27" fillId="6" borderId="1" xfId="3" applyFont="1" applyFill="1" applyBorder="1" applyProtection="1">
      <alignment vertical="center"/>
    </xf>
    <xf numFmtId="0" fontId="9" fillId="0" borderId="0" xfId="1" applyFont="1" applyFill="1" applyBorder="1" applyProtection="1">
      <alignment vertical="center"/>
    </xf>
    <xf numFmtId="0" fontId="27" fillId="3" borderId="13" xfId="1" applyFont="1" applyFill="1" applyBorder="1" applyAlignment="1" applyProtection="1">
      <alignment vertical="center" wrapText="1"/>
    </xf>
    <xf numFmtId="0" fontId="27" fillId="3" borderId="15" xfId="1" quotePrefix="1" applyFont="1" applyFill="1" applyBorder="1" applyAlignment="1" applyProtection="1">
      <alignment vertical="center" wrapText="1"/>
    </xf>
    <xf numFmtId="0" fontId="27" fillId="3" borderId="1" xfId="2" applyFont="1" applyFill="1" applyBorder="1" applyAlignment="1" applyProtection="1">
      <alignment vertical="center" wrapText="1"/>
    </xf>
    <xf numFmtId="0" fontId="27" fillId="3" borderId="15" xfId="1" applyFont="1" applyFill="1" applyBorder="1" applyAlignment="1" applyProtection="1">
      <alignment vertical="center" wrapText="1"/>
    </xf>
    <xf numFmtId="0" fontId="1" fillId="0" borderId="3" xfId="2" applyBorder="1" applyProtection="1">
      <alignment vertical="center"/>
    </xf>
    <xf numFmtId="171" fontId="9" fillId="2" borderId="1" xfId="2" applyNumberFormat="1" applyFont="1" applyFill="1" applyBorder="1" applyProtection="1">
      <alignment vertical="center"/>
    </xf>
    <xf numFmtId="165" fontId="9" fillId="0" borderId="19" xfId="2" applyNumberFormat="1" applyFont="1" applyFill="1" applyBorder="1" applyProtection="1">
      <alignment vertical="center"/>
    </xf>
    <xf numFmtId="165" fontId="9" fillId="0" borderId="28" xfId="2" applyNumberFormat="1" applyFont="1" applyFill="1" applyBorder="1" applyProtection="1">
      <alignment vertical="center"/>
    </xf>
    <xf numFmtId="165" fontId="9" fillId="0" borderId="29" xfId="2" applyNumberFormat="1" applyFont="1" applyFill="1" applyBorder="1" applyProtection="1">
      <alignment vertical="center"/>
    </xf>
    <xf numFmtId="0" fontId="9" fillId="0" borderId="0" xfId="2" applyNumberFormat="1" applyFont="1" applyFill="1" applyBorder="1" applyProtection="1">
      <alignment vertical="center"/>
    </xf>
    <xf numFmtId="0" fontId="27" fillId="2" borderId="1" xfId="0" applyFont="1" applyFill="1" applyBorder="1" applyAlignment="1" applyProtection="1">
      <alignment horizontal="center" vertical="center"/>
      <protection locked="0"/>
    </xf>
    <xf numFmtId="0" fontId="1" fillId="3" borderId="0" xfId="2" applyFont="1" applyFill="1" applyBorder="1" applyAlignment="1" applyProtection="1">
      <alignment horizontal="center" vertical="center"/>
    </xf>
    <xf numFmtId="0" fontId="1" fillId="3" borderId="0" xfId="2" applyFill="1" applyBorder="1" applyAlignment="1" applyProtection="1">
      <alignment horizontal="center" vertical="center"/>
    </xf>
    <xf numFmtId="167" fontId="20" fillId="4" borderId="1" xfId="1" applyNumberFormat="1" applyFont="1" applyFill="1" applyBorder="1" applyAlignment="1" applyProtection="1">
      <alignment horizontal="center" vertical="center"/>
    </xf>
    <xf numFmtId="0" fontId="25" fillId="3" borderId="1" xfId="2" applyFont="1" applyFill="1" applyBorder="1" applyAlignment="1" applyProtection="1">
      <alignment horizontal="center" vertical="center"/>
    </xf>
    <xf numFmtId="0" fontId="25" fillId="3" borderId="0" xfId="2" applyFont="1" applyFill="1" applyBorder="1" applyAlignment="1" applyProtection="1">
      <alignment horizontal="center" vertical="center"/>
    </xf>
    <xf numFmtId="0" fontId="9" fillId="3" borderId="1" xfId="2" applyFont="1" applyFill="1" applyBorder="1" applyAlignment="1" applyProtection="1">
      <alignment horizontal="center" vertical="center"/>
    </xf>
    <xf numFmtId="0" fontId="9" fillId="3" borderId="0" xfId="2" applyFont="1" applyFill="1" applyBorder="1" applyAlignment="1" applyProtection="1">
      <alignment horizontal="center" vertical="center"/>
    </xf>
    <xf numFmtId="166" fontId="1" fillId="0" borderId="1" xfId="2" applyNumberFormat="1" applyBorder="1" applyProtection="1">
      <alignment vertical="center"/>
    </xf>
    <xf numFmtId="0" fontId="9" fillId="4" borderId="1" xfId="3" applyNumberFormat="1" applyFont="1" applyFill="1" applyBorder="1" applyProtection="1">
      <alignment vertical="center"/>
    </xf>
    <xf numFmtId="167" fontId="27" fillId="4" borderId="1" xfId="1" applyNumberFormat="1" applyFont="1" applyFill="1" applyBorder="1" applyAlignment="1" applyProtection="1">
      <alignment horizontal="center" vertical="center"/>
    </xf>
    <xf numFmtId="0" fontId="0" fillId="3" borderId="1" xfId="0" applyFill="1" applyBorder="1" applyAlignment="1" applyProtection="1">
      <alignment horizontal="center" vertical="center"/>
    </xf>
    <xf numFmtId="166" fontId="27" fillId="4" borderId="1" xfId="1" applyNumberFormat="1" applyFont="1" applyFill="1" applyBorder="1" applyProtection="1">
      <alignment vertical="center"/>
    </xf>
    <xf numFmtId="0" fontId="0" fillId="0" borderId="0" xfId="0" applyProtection="1">
      <alignment vertical="center"/>
    </xf>
    <xf numFmtId="0" fontId="0" fillId="2" borderId="1" xfId="0" applyFill="1" applyBorder="1" applyAlignment="1" applyProtection="1">
      <alignment horizontal="center" vertical="center"/>
      <protection locked="0"/>
    </xf>
    <xf numFmtId="169" fontId="27" fillId="3" borderId="0" xfId="1" applyNumberFormat="1" applyFont="1" applyFill="1" applyBorder="1" applyAlignment="1" applyProtection="1">
      <alignment horizontal="left" vertical="center"/>
    </xf>
    <xf numFmtId="0" fontId="0" fillId="3" borderId="0" xfId="0" applyFill="1" applyBorder="1" applyAlignment="1" applyProtection="1">
      <alignment horizontal="center" vertical="center"/>
    </xf>
    <xf numFmtId="0" fontId="9" fillId="8" borderId="2" xfId="2" applyFont="1" applyFill="1" applyBorder="1" applyAlignment="1" applyProtection="1">
      <alignment vertical="center"/>
    </xf>
    <xf numFmtId="0" fontId="9" fillId="8" borderId="3" xfId="2" applyFont="1" applyFill="1" applyBorder="1" applyAlignment="1" applyProtection="1">
      <alignment vertical="center"/>
    </xf>
    <xf numFmtId="0" fontId="27" fillId="3" borderId="0" xfId="1" applyFont="1" applyFill="1" applyBorder="1" applyAlignment="1" applyProtection="1">
      <alignment horizontal="center" vertical="center"/>
    </xf>
    <xf numFmtId="169" fontId="27" fillId="3" borderId="1" xfId="1" applyNumberFormat="1" applyFont="1" applyFill="1" applyBorder="1" applyAlignment="1" applyProtection="1">
      <alignment horizontal="center" vertical="center"/>
    </xf>
    <xf numFmtId="0" fontId="27" fillId="3" borderId="5" xfId="1" applyFont="1" applyFill="1" applyBorder="1" applyAlignment="1" applyProtection="1">
      <alignment horizontal="center" vertical="center"/>
    </xf>
    <xf numFmtId="0" fontId="0" fillId="3" borderId="1" xfId="0" applyFill="1" applyBorder="1" applyAlignment="1" applyProtection="1">
      <alignment horizontal="center" vertical="center"/>
    </xf>
    <xf numFmtId="0" fontId="16" fillId="3" borderId="15" xfId="1" applyFont="1" applyFill="1" applyBorder="1" applyAlignment="1" applyProtection="1">
      <alignment horizontal="center" vertical="center"/>
    </xf>
    <xf numFmtId="0" fontId="27" fillId="3" borderId="1" xfId="1" applyFont="1" applyFill="1" applyBorder="1" applyAlignment="1" applyProtection="1">
      <alignment horizontal="center" vertical="center"/>
    </xf>
    <xf numFmtId="167" fontId="27" fillId="3" borderId="13" xfId="1" applyNumberFormat="1" applyFont="1" applyFill="1" applyBorder="1" applyAlignment="1" applyProtection="1">
      <alignment horizontal="center" vertical="center"/>
    </xf>
    <xf numFmtId="0" fontId="25" fillId="3" borderId="0" xfId="2" applyFont="1" applyFill="1" applyBorder="1" applyAlignment="1" applyProtection="1">
      <alignment horizontal="center" vertical="center"/>
    </xf>
    <xf numFmtId="0" fontId="9" fillId="3" borderId="0" xfId="2" applyFont="1" applyFill="1" applyBorder="1" applyAlignment="1" applyProtection="1">
      <alignment horizontal="center" vertical="center"/>
    </xf>
    <xf numFmtId="0" fontId="9" fillId="3" borderId="1" xfId="2" applyFont="1" applyFill="1" applyBorder="1" applyAlignment="1" applyProtection="1">
      <alignment horizontal="center" vertical="center"/>
    </xf>
    <xf numFmtId="0" fontId="25" fillId="3" borderId="1" xfId="2" applyFont="1" applyFill="1" applyBorder="1" applyAlignment="1" applyProtection="1">
      <alignment horizontal="center" vertical="center"/>
    </xf>
    <xf numFmtId="0" fontId="9" fillId="3" borderId="47" xfId="1" applyFont="1" applyFill="1" applyBorder="1" applyAlignment="1" applyProtection="1">
      <alignment horizontal="center" vertical="center"/>
    </xf>
    <xf numFmtId="0" fontId="0" fillId="3" borderId="2" xfId="1" applyFont="1" applyFill="1" applyBorder="1" applyAlignment="1" applyProtection="1">
      <alignment vertical="center"/>
    </xf>
    <xf numFmtId="0" fontId="27" fillId="3" borderId="3" xfId="1" applyFont="1" applyFill="1" applyBorder="1" applyAlignment="1" applyProtection="1">
      <alignment vertical="center"/>
    </xf>
    <xf numFmtId="0" fontId="1" fillId="0" borderId="5" xfId="2" applyBorder="1" applyProtection="1">
      <alignment vertical="center"/>
    </xf>
    <xf numFmtId="169" fontId="27" fillId="12" borderId="2" xfId="1" applyNumberFormat="1" applyFont="1" applyFill="1" applyBorder="1" applyAlignment="1" applyProtection="1">
      <alignment vertical="center"/>
    </xf>
    <xf numFmtId="169" fontId="27" fillId="12" borderId="3" xfId="1" applyNumberFormat="1" applyFont="1" applyFill="1" applyBorder="1" applyAlignment="1" applyProtection="1">
      <alignment vertical="center"/>
    </xf>
    <xf numFmtId="0" fontId="1" fillId="12" borderId="5" xfId="2" applyFill="1" applyBorder="1" applyProtection="1">
      <alignment vertical="center"/>
    </xf>
    <xf numFmtId="169" fontId="27" fillId="3" borderId="2" xfId="1" applyNumberFormat="1" applyFont="1" applyFill="1" applyBorder="1" applyAlignment="1" applyProtection="1">
      <alignment vertical="center"/>
    </xf>
    <xf numFmtId="169" fontId="27" fillId="3" borderId="3" xfId="1" applyNumberFormat="1" applyFont="1" applyFill="1" applyBorder="1" applyAlignment="1" applyProtection="1">
      <alignment vertical="center"/>
    </xf>
    <xf numFmtId="169" fontId="0" fillId="3" borderId="0" xfId="1" applyNumberFormat="1" applyFont="1" applyFill="1" applyBorder="1" applyAlignment="1" applyProtection="1">
      <alignment horizontal="left" vertical="center"/>
    </xf>
    <xf numFmtId="166" fontId="27" fillId="4" borderId="5" xfId="1" applyNumberFormat="1" applyFont="1" applyFill="1" applyBorder="1" applyAlignment="1" applyProtection="1">
      <alignment horizontal="center" vertical="center"/>
    </xf>
    <xf numFmtId="0" fontId="1" fillId="11" borderId="0" xfId="2" applyFill="1" applyProtection="1">
      <alignment vertical="center"/>
    </xf>
    <xf numFmtId="0" fontId="18" fillId="11" borderId="0" xfId="1" applyFont="1" applyFill="1" applyBorder="1" applyProtection="1">
      <alignment vertical="center"/>
    </xf>
    <xf numFmtId="0" fontId="15" fillId="11" borderId="0" xfId="1" applyFont="1" applyFill="1" applyBorder="1" applyAlignment="1" applyProtection="1"/>
    <xf numFmtId="166" fontId="27" fillId="4" borderId="47" xfId="1" applyNumberFormat="1" applyFont="1" applyFill="1" applyBorder="1" applyAlignment="1" applyProtection="1">
      <alignment horizontal="center" vertical="center"/>
    </xf>
    <xf numFmtId="0" fontId="25" fillId="3" borderId="0" xfId="2" applyFont="1" applyFill="1" applyBorder="1" applyAlignment="1" applyProtection="1">
      <alignment horizontal="center" vertical="center"/>
    </xf>
    <xf numFmtId="0" fontId="9" fillId="3" borderId="0" xfId="2" applyFont="1" applyFill="1" applyBorder="1" applyAlignment="1" applyProtection="1">
      <alignment horizontal="center" vertical="center"/>
    </xf>
    <xf numFmtId="0" fontId="9" fillId="3" borderId="0" xfId="2" applyFont="1" applyFill="1" applyBorder="1" applyAlignment="1" applyProtection="1">
      <alignment horizontal="center" vertical="center" wrapText="1"/>
    </xf>
    <xf numFmtId="0" fontId="16" fillId="3" borderId="2" xfId="1" applyFont="1" applyFill="1" applyBorder="1" applyAlignment="1" applyProtection="1">
      <alignment horizontal="right" vertical="center"/>
    </xf>
    <xf numFmtId="0" fontId="16" fillId="3" borderId="5" xfId="1" applyFont="1" applyFill="1" applyBorder="1" applyAlignment="1" applyProtection="1">
      <alignment horizontal="right" vertical="center"/>
    </xf>
    <xf numFmtId="0" fontId="27" fillId="3" borderId="32" xfId="1" applyFont="1" applyFill="1" applyBorder="1" applyAlignment="1" applyProtection="1">
      <alignment horizontal="center" vertical="center"/>
    </xf>
    <xf numFmtId="0" fontId="27" fillId="3" borderId="33" xfId="1" applyFont="1" applyFill="1" applyBorder="1" applyAlignment="1" applyProtection="1">
      <alignment horizontal="center" vertical="center"/>
    </xf>
    <xf numFmtId="0" fontId="27" fillId="3" borderId="0" xfId="1" applyFont="1" applyFill="1" applyBorder="1" applyAlignment="1" applyProtection="1">
      <alignment horizontal="center" vertical="center"/>
    </xf>
    <xf numFmtId="0" fontId="27" fillId="3" borderId="19" xfId="1" applyFont="1" applyFill="1" applyBorder="1" applyAlignment="1" applyProtection="1">
      <alignment horizontal="center" vertical="center" wrapText="1"/>
    </xf>
    <xf numFmtId="0" fontId="27" fillId="3" borderId="30" xfId="1" applyFont="1" applyFill="1" applyBorder="1" applyAlignment="1" applyProtection="1">
      <alignment horizontal="center" vertical="center" wrapText="1"/>
    </xf>
    <xf numFmtId="169" fontId="1" fillId="4" borderId="2" xfId="2" applyNumberFormat="1" applyFill="1" applyBorder="1" applyAlignment="1" applyProtection="1">
      <alignment horizontal="center" vertical="center"/>
    </xf>
    <xf numFmtId="169" fontId="1" fillId="4" borderId="3" xfId="2" applyNumberFormat="1" applyFill="1" applyBorder="1" applyAlignment="1" applyProtection="1">
      <alignment horizontal="center" vertical="center"/>
    </xf>
    <xf numFmtId="169" fontId="1" fillId="4" borderId="5" xfId="2" applyNumberFormat="1" applyFill="1" applyBorder="1" applyAlignment="1" applyProtection="1">
      <alignment horizontal="center" vertical="center"/>
    </xf>
    <xf numFmtId="0" fontId="27" fillId="3" borderId="2" xfId="1" applyFont="1" applyFill="1" applyBorder="1" applyAlignment="1" applyProtection="1">
      <alignment horizontal="center" vertical="center"/>
    </xf>
    <xf numFmtId="0" fontId="27" fillId="3" borderId="3" xfId="1" applyFont="1" applyFill="1" applyBorder="1" applyAlignment="1" applyProtection="1">
      <alignment horizontal="center" vertical="center"/>
    </xf>
    <xf numFmtId="0" fontId="27" fillId="3" borderId="5" xfId="1" applyFont="1" applyFill="1" applyBorder="1" applyAlignment="1" applyProtection="1">
      <alignment horizontal="center" vertical="center"/>
    </xf>
    <xf numFmtId="0" fontId="9" fillId="3" borderId="1" xfId="2" applyFont="1" applyFill="1" applyBorder="1" applyAlignment="1" applyProtection="1">
      <alignment horizontal="center" vertical="center"/>
    </xf>
    <xf numFmtId="0" fontId="25" fillId="3" borderId="1" xfId="2" applyFont="1" applyFill="1" applyBorder="1" applyAlignment="1" applyProtection="1">
      <alignment horizontal="center" vertical="center"/>
    </xf>
    <xf numFmtId="0" fontId="1" fillId="0" borderId="1" xfId="2" applyFont="1" applyBorder="1" applyAlignment="1" applyProtection="1">
      <alignment horizontal="center" vertical="center"/>
    </xf>
    <xf numFmtId="167" fontId="1" fillId="4" borderId="1" xfId="2" applyNumberFormat="1" applyFill="1" applyBorder="1" applyAlignment="1" applyProtection="1">
      <alignment horizontal="center" vertical="center"/>
    </xf>
    <xf numFmtId="0" fontId="1" fillId="4" borderId="1" xfId="2" applyFill="1" applyBorder="1" applyAlignment="1" applyProtection="1">
      <alignment horizontal="center" vertical="center"/>
    </xf>
    <xf numFmtId="0" fontId="1" fillId="0" borderId="1" xfId="2" applyBorder="1" applyAlignment="1" applyProtection="1">
      <alignment horizontal="center" vertical="center"/>
    </xf>
    <xf numFmtId="0" fontId="16" fillId="3" borderId="2" xfId="1" applyFont="1" applyFill="1" applyBorder="1" applyAlignment="1" applyProtection="1">
      <alignment horizontal="left" vertical="center"/>
    </xf>
    <xf numFmtId="0" fontId="16" fillId="3" borderId="5" xfId="1" applyFont="1" applyFill="1" applyBorder="1" applyAlignment="1" applyProtection="1">
      <alignment horizontal="left" vertical="center"/>
    </xf>
    <xf numFmtId="0" fontId="27" fillId="3" borderId="46" xfId="1" applyFont="1" applyFill="1" applyBorder="1" applyAlignment="1" applyProtection="1">
      <alignment horizontal="center" vertical="center"/>
    </xf>
    <xf numFmtId="0" fontId="27" fillId="3" borderId="47" xfId="1" applyFont="1" applyFill="1" applyBorder="1" applyAlignment="1" applyProtection="1">
      <alignment horizontal="center" vertical="center"/>
    </xf>
    <xf numFmtId="0" fontId="9" fillId="3" borderId="19" xfId="2" applyFont="1" applyFill="1" applyBorder="1" applyAlignment="1" applyProtection="1">
      <alignment horizontal="center" vertical="center" wrapText="1"/>
    </xf>
    <xf numFmtId="0" fontId="9" fillId="3" borderId="30" xfId="2" applyFont="1" applyFill="1" applyBorder="1" applyAlignment="1" applyProtection="1">
      <alignment horizontal="center" vertical="center"/>
    </xf>
    <xf numFmtId="0" fontId="9" fillId="3" borderId="31" xfId="2" applyFont="1" applyFill="1" applyBorder="1" applyAlignment="1" applyProtection="1">
      <alignment horizontal="center" vertical="center"/>
    </xf>
    <xf numFmtId="0" fontId="9" fillId="3" borderId="27" xfId="2" applyFont="1" applyFill="1" applyBorder="1" applyAlignment="1" applyProtection="1">
      <alignment horizontal="center" vertical="center"/>
    </xf>
    <xf numFmtId="0" fontId="27" fillId="3" borderId="13" xfId="1" applyFont="1" applyFill="1" applyBorder="1" applyAlignment="1" applyProtection="1">
      <alignment horizontal="center" vertical="center" wrapText="1"/>
    </xf>
    <xf numFmtId="0" fontId="27" fillId="3" borderId="15" xfId="1" applyFont="1" applyFill="1" applyBorder="1" applyAlignment="1" applyProtection="1">
      <alignment horizontal="center" vertical="center" wrapText="1"/>
    </xf>
    <xf numFmtId="0" fontId="27" fillId="3" borderId="2" xfId="1" applyFont="1" applyFill="1" applyBorder="1" applyAlignment="1" applyProtection="1">
      <alignment horizontal="center" vertical="center" wrapText="1"/>
    </xf>
    <xf numFmtId="0" fontId="27" fillId="3" borderId="3" xfId="1" applyFont="1" applyFill="1" applyBorder="1" applyAlignment="1" applyProtection="1">
      <alignment horizontal="center" vertical="center" wrapText="1"/>
    </xf>
    <xf numFmtId="0" fontId="27" fillId="3" borderId="5" xfId="1" applyFont="1" applyFill="1" applyBorder="1" applyAlignment="1" applyProtection="1">
      <alignment horizontal="center" vertical="center" wrapText="1"/>
    </xf>
    <xf numFmtId="0" fontId="0" fillId="3" borderId="1" xfId="0" applyFill="1" applyBorder="1" applyAlignment="1" applyProtection="1">
      <alignment horizontal="center" vertical="center"/>
    </xf>
    <xf numFmtId="0" fontId="0" fillId="3" borderId="48" xfId="0" applyFill="1" applyBorder="1" applyAlignment="1" applyProtection="1">
      <alignment horizontal="center" vertical="center"/>
    </xf>
    <xf numFmtId="166" fontId="0" fillId="4" borderId="1" xfId="0" applyNumberFormat="1" applyFill="1" applyBorder="1" applyAlignment="1" applyProtection="1">
      <alignment horizontal="center" vertical="center"/>
    </xf>
    <xf numFmtId="166" fontId="0" fillId="4" borderId="48" xfId="0" applyNumberFormat="1" applyFill="1" applyBorder="1" applyAlignment="1" applyProtection="1">
      <alignment horizontal="center" vertical="center"/>
    </xf>
    <xf numFmtId="169" fontId="27" fillId="3" borderId="2" xfId="1" applyNumberFormat="1" applyFont="1" applyFill="1" applyBorder="1" applyAlignment="1" applyProtection="1">
      <alignment horizontal="center" vertical="center"/>
    </xf>
    <xf numFmtId="169" fontId="27" fillId="3" borderId="49" xfId="1" applyNumberFormat="1" applyFont="1" applyFill="1" applyBorder="1" applyAlignment="1" applyProtection="1">
      <alignment horizontal="center" vertical="center"/>
    </xf>
    <xf numFmtId="0" fontId="16" fillId="3" borderId="13" xfId="1" applyFont="1" applyFill="1" applyBorder="1" applyAlignment="1" applyProtection="1">
      <alignment horizontal="center" vertical="center"/>
    </xf>
    <xf numFmtId="0" fontId="16" fillId="3" borderId="15" xfId="1" applyFont="1" applyFill="1" applyBorder="1" applyAlignment="1" applyProtection="1">
      <alignment horizontal="center" vertical="center"/>
    </xf>
    <xf numFmtId="169" fontId="27" fillId="3" borderId="1" xfId="1" applyNumberFormat="1" applyFont="1" applyFill="1" applyBorder="1" applyAlignment="1" applyProtection="1">
      <alignment horizontal="center" vertical="center"/>
    </xf>
    <xf numFmtId="169" fontId="27" fillId="3" borderId="5" xfId="1" applyNumberFormat="1" applyFont="1" applyFill="1" applyBorder="1" applyAlignment="1" applyProtection="1">
      <alignment horizontal="center" vertical="center"/>
    </xf>
    <xf numFmtId="166" fontId="27" fillId="10" borderId="46" xfId="1" applyNumberFormat="1" applyFont="1" applyFill="1" applyBorder="1" applyAlignment="1" applyProtection="1">
      <alignment horizontal="center" vertical="center"/>
    </xf>
    <xf numFmtId="166" fontId="27" fillId="10" borderId="3" xfId="1" applyNumberFormat="1" applyFont="1" applyFill="1" applyBorder="1" applyAlignment="1" applyProtection="1">
      <alignment horizontal="center" vertical="center"/>
    </xf>
    <xf numFmtId="166" fontId="27" fillId="10" borderId="47" xfId="1" applyNumberFormat="1" applyFont="1" applyFill="1" applyBorder="1" applyAlignment="1" applyProtection="1">
      <alignment horizontal="center" vertical="center"/>
    </xf>
    <xf numFmtId="0" fontId="1" fillId="11" borderId="46" xfId="2" applyFill="1" applyBorder="1" applyAlignment="1" applyProtection="1">
      <alignment horizontal="center" vertical="center"/>
    </xf>
    <xf numFmtId="0" fontId="1" fillId="11" borderId="3" xfId="2" applyFill="1" applyBorder="1" applyAlignment="1" applyProtection="1">
      <alignment horizontal="center" vertical="center"/>
    </xf>
    <xf numFmtId="0" fontId="1" fillId="11" borderId="47" xfId="2" applyFill="1" applyBorder="1" applyAlignment="1" applyProtection="1">
      <alignment horizontal="center" vertical="center"/>
    </xf>
    <xf numFmtId="0" fontId="27" fillId="3" borderId="1" xfId="1" applyFont="1" applyFill="1" applyBorder="1" applyAlignment="1" applyProtection="1">
      <alignment horizontal="center" vertical="center"/>
    </xf>
    <xf numFmtId="164" fontId="27" fillId="4" borderId="2" xfId="1" applyNumberFormat="1" applyFont="1" applyFill="1" applyBorder="1" applyAlignment="1" applyProtection="1">
      <alignment horizontal="center" vertical="center"/>
    </xf>
    <xf numFmtId="164" fontId="27" fillId="4" borderId="5" xfId="1" applyNumberFormat="1" applyFont="1" applyFill="1" applyBorder="1" applyAlignment="1" applyProtection="1">
      <alignment horizontal="center" vertical="center"/>
    </xf>
    <xf numFmtId="0" fontId="9" fillId="0" borderId="1" xfId="2" applyFont="1" applyBorder="1" applyAlignment="1" applyProtection="1">
      <alignment vertical="center"/>
    </xf>
    <xf numFmtId="0" fontId="27" fillId="0" borderId="1" xfId="2" applyFont="1" applyBorder="1" applyAlignment="1" applyProtection="1">
      <alignment vertical="center"/>
    </xf>
    <xf numFmtId="0" fontId="9" fillId="9" borderId="2" xfId="3" applyFont="1" applyFill="1" applyBorder="1" applyAlignment="1" applyProtection="1">
      <alignment vertical="center"/>
    </xf>
    <xf numFmtId="0" fontId="9" fillId="9" borderId="3" xfId="3" applyFont="1" applyFill="1" applyBorder="1" applyAlignment="1" applyProtection="1">
      <alignment vertical="center"/>
    </xf>
    <xf numFmtId="0" fontId="9" fillId="9" borderId="5" xfId="3" applyFont="1" applyFill="1" applyBorder="1" applyAlignment="1" applyProtection="1">
      <alignment vertical="center"/>
    </xf>
    <xf numFmtId="0" fontId="9" fillId="9" borderId="2" xfId="2" applyFont="1" applyFill="1" applyBorder="1" applyAlignment="1" applyProtection="1">
      <alignment vertical="center"/>
    </xf>
    <xf numFmtId="0" fontId="9" fillId="9" borderId="3" xfId="2" applyFont="1" applyFill="1" applyBorder="1" applyAlignment="1" applyProtection="1">
      <alignment vertical="center"/>
    </xf>
    <xf numFmtId="0" fontId="9" fillId="9" borderId="5" xfId="2" applyFont="1" applyFill="1" applyBorder="1" applyAlignment="1" applyProtection="1">
      <alignment vertical="center"/>
    </xf>
    <xf numFmtId="0" fontId="27" fillId="3" borderId="34" xfId="1" applyFont="1" applyFill="1" applyBorder="1" applyAlignment="1" applyProtection="1">
      <alignment horizontal="center" vertical="center"/>
    </xf>
    <xf numFmtId="0" fontId="27" fillId="3" borderId="35" xfId="1" applyFont="1" applyFill="1" applyBorder="1" applyAlignment="1" applyProtection="1">
      <alignment horizontal="center" vertical="center"/>
    </xf>
    <xf numFmtId="0" fontId="9" fillId="8" borderId="2" xfId="2" applyFont="1" applyFill="1" applyBorder="1" applyAlignment="1" applyProtection="1">
      <alignment vertical="center"/>
    </xf>
    <xf numFmtId="0" fontId="9" fillId="8" borderId="3" xfId="2" applyFont="1" applyFill="1" applyBorder="1" applyAlignment="1" applyProtection="1">
      <alignment vertical="center"/>
    </xf>
    <xf numFmtId="0" fontId="9" fillId="8" borderId="5" xfId="2" applyFont="1" applyFill="1" applyBorder="1" applyAlignment="1" applyProtection="1">
      <alignment vertical="center"/>
    </xf>
    <xf numFmtId="0" fontId="9" fillId="0" borderId="2" xfId="2" applyFont="1" applyBorder="1" applyAlignment="1" applyProtection="1">
      <alignment vertical="center"/>
    </xf>
    <xf numFmtId="0" fontId="9" fillId="0" borderId="3" xfId="2" applyFont="1" applyBorder="1" applyAlignment="1" applyProtection="1">
      <alignment vertical="center"/>
    </xf>
    <xf numFmtId="0" fontId="9" fillId="0" borderId="5" xfId="2" applyFont="1" applyBorder="1" applyAlignment="1" applyProtection="1">
      <alignment vertical="center"/>
    </xf>
    <xf numFmtId="0" fontId="9" fillId="0" borderId="2" xfId="2" applyFont="1" applyFill="1" applyBorder="1" applyAlignment="1" applyProtection="1">
      <alignment vertical="center"/>
    </xf>
    <xf numFmtId="0" fontId="9" fillId="0" borderId="3" xfId="2" applyFont="1" applyFill="1" applyBorder="1" applyAlignment="1" applyProtection="1">
      <alignment vertical="center"/>
    </xf>
    <xf numFmtId="0" fontId="9" fillId="0" borderId="5" xfId="2" applyFont="1" applyFill="1" applyBorder="1" applyAlignment="1" applyProtection="1">
      <alignment vertical="center"/>
    </xf>
    <xf numFmtId="170" fontId="27" fillId="4" borderId="2" xfId="1" applyNumberFormat="1" applyFont="1" applyFill="1" applyBorder="1" applyAlignment="1" applyProtection="1">
      <alignment horizontal="center" vertical="center"/>
    </xf>
    <xf numFmtId="170" fontId="27" fillId="4" borderId="5" xfId="1" applyNumberFormat="1" applyFont="1" applyFill="1" applyBorder="1" applyAlignment="1" applyProtection="1">
      <alignment horizontal="center" vertical="center"/>
    </xf>
    <xf numFmtId="167" fontId="27" fillId="3" borderId="13" xfId="1" applyNumberFormat="1" applyFont="1" applyFill="1" applyBorder="1" applyAlignment="1" applyProtection="1">
      <alignment horizontal="center" vertical="center"/>
    </xf>
    <xf numFmtId="167" fontId="27" fillId="3" borderId="36" xfId="1" applyNumberFormat="1" applyFont="1" applyFill="1" applyBorder="1" applyAlignment="1" applyProtection="1">
      <alignment horizontal="center" vertical="center"/>
    </xf>
    <xf numFmtId="167" fontId="27" fillId="3" borderId="15" xfId="1" applyNumberFormat="1" applyFont="1" applyFill="1" applyBorder="1" applyAlignment="1" applyProtection="1">
      <alignment horizontal="center" vertical="center"/>
    </xf>
    <xf numFmtId="0" fontId="9" fillId="9" borderId="43" xfId="2" applyFont="1" applyFill="1" applyBorder="1" applyAlignment="1" applyProtection="1">
      <alignment vertical="center"/>
    </xf>
    <xf numFmtId="0" fontId="9" fillId="9" borderId="44" xfId="2" applyFont="1" applyFill="1" applyBorder="1" applyAlignment="1" applyProtection="1">
      <alignment vertical="center"/>
    </xf>
    <xf numFmtId="0" fontId="9" fillId="9" borderId="45" xfId="2" applyFont="1" applyFill="1" applyBorder="1" applyAlignment="1" applyProtection="1">
      <alignment vertical="center"/>
    </xf>
    <xf numFmtId="0" fontId="9" fillId="0" borderId="2" xfId="2" applyFont="1" applyFill="1" applyBorder="1" applyAlignment="1" applyProtection="1">
      <alignment vertical="center" wrapText="1"/>
    </xf>
    <xf numFmtId="0" fontId="9" fillId="0" borderId="3" xfId="2" applyFont="1" applyFill="1" applyBorder="1" applyAlignment="1" applyProtection="1">
      <alignment vertical="center" wrapText="1"/>
    </xf>
    <xf numFmtId="0" fontId="9" fillId="0" borderId="5" xfId="2" applyFont="1" applyFill="1" applyBorder="1" applyAlignment="1" applyProtection="1">
      <alignment vertical="center" wrapText="1"/>
    </xf>
    <xf numFmtId="0" fontId="9" fillId="0" borderId="37" xfId="2" applyFont="1" applyFill="1" applyBorder="1" applyAlignment="1" applyProtection="1">
      <alignment vertical="center"/>
    </xf>
    <xf numFmtId="0" fontId="9" fillId="0" borderId="38" xfId="2" applyFont="1" applyFill="1" applyBorder="1" applyAlignment="1" applyProtection="1">
      <alignment vertical="center"/>
    </xf>
    <xf numFmtId="0" fontId="9" fillId="0" borderId="39" xfId="2" applyFont="1" applyFill="1" applyBorder="1" applyAlignment="1" applyProtection="1">
      <alignment vertical="center"/>
    </xf>
    <xf numFmtId="0" fontId="9" fillId="9" borderId="37" xfId="2" applyFont="1" applyFill="1" applyBorder="1" applyAlignment="1" applyProtection="1">
      <alignment vertical="center"/>
    </xf>
    <xf numFmtId="0" fontId="9" fillId="9" borderId="38" xfId="2" applyFont="1" applyFill="1" applyBorder="1" applyAlignment="1" applyProtection="1">
      <alignment vertical="center"/>
    </xf>
    <xf numFmtId="0" fontId="9" fillId="9" borderId="39" xfId="2" applyFont="1" applyFill="1" applyBorder="1" applyAlignment="1" applyProtection="1">
      <alignment vertical="center"/>
    </xf>
    <xf numFmtId="0" fontId="9" fillId="0" borderId="2" xfId="2" applyFont="1" applyBorder="1" applyAlignment="1" applyProtection="1">
      <alignment horizontal="center" vertical="center"/>
    </xf>
    <xf numFmtId="0" fontId="9" fillId="0" borderId="3" xfId="2" applyFont="1" applyBorder="1" applyAlignment="1" applyProtection="1">
      <alignment horizontal="center" vertical="center"/>
    </xf>
    <xf numFmtId="0" fontId="9" fillId="0" borderId="5" xfId="2" applyFont="1" applyBorder="1" applyAlignment="1" applyProtection="1">
      <alignment horizontal="center" vertical="center"/>
    </xf>
    <xf numFmtId="0" fontId="9" fillId="0" borderId="13" xfId="2" applyFont="1" applyBorder="1" applyAlignment="1" applyProtection="1">
      <alignment horizontal="center" vertical="center" wrapText="1"/>
    </xf>
    <xf numFmtId="0" fontId="9" fillId="0" borderId="15" xfId="2" applyFont="1" applyBorder="1" applyAlignment="1" applyProtection="1">
      <alignment horizontal="center" vertical="center" wrapText="1"/>
    </xf>
    <xf numFmtId="0" fontId="1" fillId="0" borderId="1" xfId="2" applyFont="1" applyBorder="1" applyAlignment="1" applyProtection="1">
      <alignment vertical="center"/>
    </xf>
    <xf numFmtId="0" fontId="9" fillId="9" borderId="2" xfId="3" applyFont="1" applyFill="1" applyBorder="1" applyAlignment="1" applyProtection="1">
      <alignment horizontal="left" vertical="center"/>
    </xf>
    <xf numFmtId="0" fontId="9" fillId="9" borderId="3" xfId="3" applyFont="1" applyFill="1" applyBorder="1" applyAlignment="1" applyProtection="1">
      <alignment horizontal="left" vertical="center"/>
    </xf>
    <xf numFmtId="0" fontId="9" fillId="9" borderId="5" xfId="3" applyFont="1" applyFill="1" applyBorder="1" applyAlignment="1" applyProtection="1">
      <alignment horizontal="left" vertical="center"/>
    </xf>
    <xf numFmtId="0" fontId="9" fillId="6" borderId="2" xfId="2" applyFont="1" applyFill="1" applyBorder="1" applyAlignment="1" applyProtection="1">
      <alignment vertical="center"/>
    </xf>
    <xf numFmtId="0" fontId="9" fillId="6" borderId="3" xfId="2" applyFont="1" applyFill="1" applyBorder="1" applyAlignment="1" applyProtection="1">
      <alignment vertical="center"/>
    </xf>
    <xf numFmtId="0" fontId="9" fillId="6" borderId="5" xfId="2" applyFont="1" applyFill="1" applyBorder="1" applyAlignment="1" applyProtection="1">
      <alignment vertical="center"/>
    </xf>
    <xf numFmtId="0" fontId="24" fillId="0" borderId="2" xfId="2" applyFont="1" applyFill="1" applyBorder="1" applyAlignment="1" applyProtection="1">
      <alignment vertical="center"/>
    </xf>
    <xf numFmtId="0" fontId="24" fillId="0" borderId="3" xfId="2" applyFont="1" applyFill="1" applyBorder="1" applyAlignment="1" applyProtection="1">
      <alignment vertical="center"/>
    </xf>
    <xf numFmtId="0" fontId="24" fillId="0" borderId="5" xfId="2" applyFont="1" applyFill="1" applyBorder="1" applyAlignment="1" applyProtection="1">
      <alignment vertical="center"/>
    </xf>
    <xf numFmtId="0" fontId="24" fillId="0" borderId="2" xfId="2" applyFont="1" applyBorder="1" applyAlignment="1" applyProtection="1">
      <alignment vertical="center"/>
    </xf>
    <xf numFmtId="0" fontId="24" fillId="0" borderId="3" xfId="2" applyFont="1" applyBorder="1" applyAlignment="1" applyProtection="1">
      <alignment vertical="center"/>
    </xf>
    <xf numFmtId="0" fontId="24" fillId="0" borderId="5" xfId="2" applyFont="1" applyBorder="1" applyAlignment="1" applyProtection="1">
      <alignment vertical="center"/>
    </xf>
    <xf numFmtId="0" fontId="9" fillId="9" borderId="40" xfId="2" applyFont="1" applyFill="1" applyBorder="1" applyAlignment="1" applyProtection="1">
      <alignment vertical="center"/>
    </xf>
    <xf numFmtId="0" fontId="9" fillId="9" borderId="41" xfId="2" applyFont="1" applyFill="1" applyBorder="1" applyAlignment="1" applyProtection="1">
      <alignment vertical="center"/>
    </xf>
    <xf numFmtId="0" fontId="9" fillId="9" borderId="42" xfId="2" applyFont="1" applyFill="1" applyBorder="1" applyAlignment="1" applyProtection="1">
      <alignment vertical="center"/>
    </xf>
    <xf numFmtId="0" fontId="9" fillId="0" borderId="43" xfId="2" applyFont="1" applyFill="1" applyBorder="1" applyAlignment="1" applyProtection="1">
      <alignment vertical="center"/>
    </xf>
    <xf numFmtId="0" fontId="9" fillId="0" borderId="44" xfId="2" applyFont="1" applyFill="1" applyBorder="1" applyAlignment="1" applyProtection="1">
      <alignment vertical="center"/>
    </xf>
    <xf numFmtId="0" fontId="9" fillId="0" borderId="45" xfId="2" applyFont="1" applyFill="1" applyBorder="1" applyAlignment="1" applyProtection="1">
      <alignment vertical="center"/>
    </xf>
    <xf numFmtId="0" fontId="9" fillId="0" borderId="40" xfId="2" applyFont="1" applyFill="1" applyBorder="1" applyAlignment="1" applyProtection="1">
      <alignment vertical="center"/>
    </xf>
    <xf numFmtId="0" fontId="9" fillId="0" borderId="41" xfId="2" applyFont="1" applyFill="1" applyBorder="1" applyAlignment="1" applyProtection="1">
      <alignment vertical="center"/>
    </xf>
    <xf numFmtId="0" fontId="9" fillId="0" borderId="42" xfId="2" applyFont="1" applyFill="1" applyBorder="1" applyAlignment="1" applyProtection="1">
      <alignment vertical="center"/>
    </xf>
    <xf numFmtId="170" fontId="27" fillId="3" borderId="0" xfId="1" applyNumberFormat="1" applyFont="1" applyFill="1" applyBorder="1" applyAlignment="1" applyProtection="1">
      <alignment horizontal="center" vertical="center"/>
    </xf>
    <xf numFmtId="171" fontId="27" fillId="4" borderId="2" xfId="1" applyNumberFormat="1" applyFont="1" applyFill="1" applyBorder="1" applyAlignment="1" applyProtection="1">
      <alignment horizontal="center" vertical="center"/>
    </xf>
    <xf numFmtId="171" fontId="27" fillId="4" borderId="5" xfId="1" applyNumberFormat="1" applyFont="1" applyFill="1" applyBorder="1" applyAlignment="1" applyProtection="1">
      <alignment horizontal="center" vertical="center"/>
    </xf>
    <xf numFmtId="0" fontId="0" fillId="4" borderId="1" xfId="0" applyFill="1" applyBorder="1" applyAlignment="1" applyProtection="1">
      <alignment horizontal="center" vertical="center"/>
    </xf>
    <xf numFmtId="0" fontId="9" fillId="9" borderId="1" xfId="3" applyFont="1" applyFill="1" applyBorder="1" applyAlignment="1" applyProtection="1">
      <alignment vertical="center"/>
    </xf>
  </cellXfs>
  <cellStyles count="4">
    <cellStyle name="Normal" xfId="0" builtinId="0"/>
    <cellStyle name="標準_Calculate_01" xfId="1" xr:uid="{00000000-0005-0000-0000-000001000000}"/>
    <cellStyle name="標準_SBRC_design_sony" xfId="2" xr:uid="{00000000-0005-0000-0000-000002000000}"/>
    <cellStyle name="標準_TPS51xxx_Ex-Parts-Guide_s_060922" xfId="3" xr:uid="{00000000-0005-0000-0000-000003000000}"/>
  </cellStyles>
  <dxfs count="7">
    <dxf>
      <font>
        <b/>
        <i/>
        <condense val="0"/>
        <extend val="0"/>
        <color indexed="10"/>
      </font>
    </dxf>
    <dxf>
      <font>
        <b/>
        <i/>
        <condense val="0"/>
        <extend val="0"/>
        <color indexed="10"/>
      </font>
    </dxf>
    <dxf>
      <font>
        <b/>
        <i/>
        <condense val="0"/>
        <extend val="0"/>
        <color indexed="10"/>
      </font>
    </dxf>
    <dxf>
      <font>
        <b/>
        <i/>
        <strike val="0"/>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42479435557022"/>
          <c:y val="0.11894273127753308"/>
          <c:w val="0.77374407208023144"/>
          <c:h val="0.70484581497797383"/>
        </c:manualLayout>
      </c:layout>
      <c:scatterChart>
        <c:scatterStyle val="smoothMarker"/>
        <c:varyColors val="0"/>
        <c:ser>
          <c:idx val="0"/>
          <c:order val="0"/>
          <c:tx>
            <c:strRef>
              <c:f>DCAP!$F$213</c:f>
              <c:strCache>
                <c:ptCount val="1"/>
                <c:pt idx="0">
                  <c:v>LIR</c:v>
                </c:pt>
              </c:strCache>
            </c:strRef>
          </c:tx>
          <c:spPr>
            <a:ln w="28575">
              <a:noFill/>
            </a:ln>
          </c:spPr>
          <c:marker>
            <c:symbol val="diamond"/>
            <c:size val="5"/>
            <c:spPr>
              <a:solidFill>
                <a:srgbClr val="000080"/>
              </a:solidFill>
              <a:ln>
                <a:solidFill>
                  <a:srgbClr val="000080"/>
                </a:solidFill>
                <a:prstDash val="solid"/>
              </a:ln>
            </c:spPr>
          </c:marker>
          <c:xVal>
            <c:numRef>
              <c:f>DCAP!$E$214:$E$264</c:f>
              <c:numCache>
                <c:formatCode>0.0_);[Red]\(0.0\)</c:formatCode>
                <c:ptCount val="51"/>
                <c:pt idx="0">
                  <c:v>3</c:v>
                </c:pt>
                <c:pt idx="1">
                  <c:v>3.5</c:v>
                </c:pt>
                <c:pt idx="2">
                  <c:v>4</c:v>
                </c:pt>
                <c:pt idx="3">
                  <c:v>4.5</c:v>
                </c:pt>
                <c:pt idx="4">
                  <c:v>5</c:v>
                </c:pt>
                <c:pt idx="5">
                  <c:v>5.5</c:v>
                </c:pt>
                <c:pt idx="6">
                  <c:v>6</c:v>
                </c:pt>
                <c:pt idx="7">
                  <c:v>6.5</c:v>
                </c:pt>
                <c:pt idx="8">
                  <c:v>7</c:v>
                </c:pt>
                <c:pt idx="9">
                  <c:v>7.5</c:v>
                </c:pt>
                <c:pt idx="10">
                  <c:v>8</c:v>
                </c:pt>
                <c:pt idx="11">
                  <c:v>8.5</c:v>
                </c:pt>
                <c:pt idx="12">
                  <c:v>9</c:v>
                </c:pt>
                <c:pt idx="13">
                  <c:v>9.5</c:v>
                </c:pt>
                <c:pt idx="14">
                  <c:v>10</c:v>
                </c:pt>
                <c:pt idx="15">
                  <c:v>10.5</c:v>
                </c:pt>
                <c:pt idx="16">
                  <c:v>11</c:v>
                </c:pt>
                <c:pt idx="17">
                  <c:v>11.5</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20</c:v>
                </c:pt>
                <c:pt idx="35">
                  <c:v>20.5</c:v>
                </c:pt>
                <c:pt idx="36">
                  <c:v>21</c:v>
                </c:pt>
                <c:pt idx="37">
                  <c:v>21.5</c:v>
                </c:pt>
                <c:pt idx="38">
                  <c:v>22</c:v>
                </c:pt>
                <c:pt idx="39">
                  <c:v>22.5</c:v>
                </c:pt>
                <c:pt idx="40">
                  <c:v>23</c:v>
                </c:pt>
                <c:pt idx="41">
                  <c:v>23.5</c:v>
                </c:pt>
                <c:pt idx="42">
                  <c:v>24</c:v>
                </c:pt>
                <c:pt idx="43">
                  <c:v>24.5</c:v>
                </c:pt>
                <c:pt idx="44">
                  <c:v>25</c:v>
                </c:pt>
                <c:pt idx="45">
                  <c:v>25.5</c:v>
                </c:pt>
                <c:pt idx="46">
                  <c:v>26</c:v>
                </c:pt>
                <c:pt idx="47">
                  <c:v>26.5</c:v>
                </c:pt>
                <c:pt idx="48">
                  <c:v>27</c:v>
                </c:pt>
                <c:pt idx="49">
                  <c:v>27.5</c:v>
                </c:pt>
                <c:pt idx="50">
                  <c:v>28</c:v>
                </c:pt>
              </c:numCache>
            </c:numRef>
          </c:xVal>
          <c:yVal>
            <c:numRef>
              <c:f>DCAP!$G$214:$G$264</c:f>
              <c:numCache>
                <c:formatCode>0.000_ </c:formatCode>
                <c:ptCount val="5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0.50009092562284052</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numCache>
            </c:numRef>
          </c:yVal>
          <c:smooth val="1"/>
          <c:extLst>
            <c:ext xmlns:c16="http://schemas.microsoft.com/office/drawing/2014/chart" uri="{C3380CC4-5D6E-409C-BE32-E72D297353CC}">
              <c16:uniqueId val="{00000000-48DF-4C2C-A84E-6264AA7B76FC}"/>
            </c:ext>
          </c:extLst>
        </c:ser>
        <c:dLbls>
          <c:showLegendKey val="0"/>
          <c:showVal val="0"/>
          <c:showCatName val="0"/>
          <c:showSerName val="0"/>
          <c:showPercent val="0"/>
          <c:showBubbleSize val="0"/>
        </c:dLbls>
        <c:axId val="58968320"/>
        <c:axId val="71119232"/>
      </c:scatterChart>
      <c:valAx>
        <c:axId val="58968320"/>
        <c:scaling>
          <c:orientation val="minMax"/>
          <c:max val="20"/>
          <c:min val="0"/>
        </c:scaling>
        <c:delete val="0"/>
        <c:axPos val="b"/>
        <c:majorGridlines>
          <c:spPr>
            <a:ln w="3175">
              <a:solidFill>
                <a:srgbClr val="000000"/>
              </a:solidFill>
              <a:prstDash val="solid"/>
            </a:ln>
          </c:spPr>
        </c:majorGridlines>
        <c:title>
          <c:tx>
            <c:rich>
              <a:bodyPr/>
              <a:lstStyle/>
              <a:p>
                <a:pPr>
                  <a:defRPr lang="ja-JP" sz="800" b="0" i="0" u="none" strike="noStrike" baseline="0">
                    <a:solidFill>
                      <a:srgbClr val="000000"/>
                    </a:solidFill>
                    <a:latin typeface="ＭＳ Ｐゴシック"/>
                    <a:ea typeface="ＭＳ Ｐゴシック"/>
                    <a:cs typeface="ＭＳ Ｐゴシック"/>
                  </a:defRPr>
                </a:pPr>
                <a:r>
                  <a:rPr lang="en-US" altLang="en-US"/>
                  <a:t>VIN (V)</a:t>
                </a:r>
              </a:p>
            </c:rich>
          </c:tx>
          <c:layout>
            <c:manualLayout>
              <c:xMode val="edge"/>
              <c:yMode val="edge"/>
              <c:x val="0.49162078226036354"/>
              <c:y val="0.90308370044052866"/>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lang="ja-JP" sz="800" b="0" i="0" u="none" strike="noStrike" baseline="0">
                <a:solidFill>
                  <a:srgbClr val="000000"/>
                </a:solidFill>
                <a:latin typeface="ＭＳ Ｐゴシック"/>
                <a:ea typeface="ＭＳ Ｐゴシック"/>
                <a:cs typeface="ＭＳ Ｐゴシック"/>
              </a:defRPr>
            </a:pPr>
            <a:endParaRPr lang="en-US"/>
          </a:p>
        </c:txPr>
        <c:crossAx val="71119232"/>
        <c:crossesAt val="0"/>
        <c:crossBetween val="midCat"/>
      </c:valAx>
      <c:valAx>
        <c:axId val="71119232"/>
        <c:scaling>
          <c:orientation val="minMax"/>
          <c:max val="1"/>
          <c:min val="0"/>
        </c:scaling>
        <c:delete val="0"/>
        <c:axPos val="l"/>
        <c:majorGridlines>
          <c:spPr>
            <a:ln w="3175">
              <a:solidFill>
                <a:srgbClr val="000000"/>
              </a:solidFill>
              <a:prstDash val="solid"/>
            </a:ln>
          </c:spPr>
        </c:majorGridlines>
        <c:title>
          <c:tx>
            <c:rich>
              <a:bodyPr/>
              <a:lstStyle/>
              <a:p>
                <a:pPr>
                  <a:defRPr lang="ja-JP" sz="1000" b="0" i="0" u="none" strike="noStrike" baseline="0">
                    <a:solidFill>
                      <a:srgbClr val="000000"/>
                    </a:solidFill>
                    <a:latin typeface="ＭＳ Ｐゴシック"/>
                    <a:ea typeface="ＭＳ Ｐゴシック"/>
                    <a:cs typeface="ＭＳ Ｐゴシック"/>
                  </a:defRPr>
                </a:pPr>
                <a:r>
                  <a:rPr lang="en-US" altLang="ja-JP" sz="1000" b="0" i="0" u="none" strike="noStrike" baseline="0">
                    <a:solidFill>
                      <a:srgbClr val="000000"/>
                    </a:solidFill>
                    <a:latin typeface="ＭＳ Ｐゴシック"/>
                    <a:ea typeface="ＭＳ Ｐゴシック"/>
                  </a:rPr>
                  <a:t>I</a:t>
                </a:r>
                <a:r>
                  <a:rPr lang="en-US" altLang="ja-JP" sz="1000" b="0" i="0" u="none" strike="noStrike" baseline="-25000">
                    <a:solidFill>
                      <a:srgbClr val="000000"/>
                    </a:solidFill>
                    <a:latin typeface="ＭＳ Ｐゴシック"/>
                    <a:ea typeface="ＭＳ Ｐゴシック"/>
                  </a:rPr>
                  <a:t>IND(ripple)</a:t>
                </a:r>
                <a:r>
                  <a:rPr lang="en-US" altLang="ja-JP" sz="1000" b="0" i="0" u="none" strike="noStrike" baseline="0">
                    <a:solidFill>
                      <a:srgbClr val="000000"/>
                    </a:solidFill>
                    <a:latin typeface="ＭＳ Ｐゴシック"/>
                    <a:ea typeface="ＭＳ Ｐゴシック"/>
                  </a:rPr>
                  <a:t> vs Imax ratio</a:t>
                </a:r>
              </a:p>
            </c:rich>
          </c:tx>
          <c:layout>
            <c:manualLayout>
              <c:xMode val="edge"/>
              <c:yMode val="edge"/>
              <c:x val="2.7932998992066114E-2"/>
              <c:y val="0.20264317180616745"/>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lang="ja-JP" sz="800" b="0" i="0" u="none" strike="noStrike" baseline="0">
                <a:solidFill>
                  <a:srgbClr val="000000"/>
                </a:solidFill>
                <a:latin typeface="ＭＳ Ｐゴシック"/>
                <a:ea typeface="ＭＳ Ｐゴシック"/>
                <a:cs typeface="ＭＳ Ｐゴシック"/>
              </a:defRPr>
            </a:pPr>
            <a:endParaRPr lang="en-US"/>
          </a:p>
        </c:txPr>
        <c:crossAx val="58968320"/>
        <c:crossesAt val="0"/>
        <c:crossBetween val="midCat"/>
        <c:majorUnit val="0.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en-US"/>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42479435557022"/>
          <c:y val="0.11894273127753308"/>
          <c:w val="0.77374407208023144"/>
          <c:h val="0.70484581497797383"/>
        </c:manualLayout>
      </c:layout>
      <c:scatterChart>
        <c:scatterStyle val="smoothMarker"/>
        <c:varyColors val="0"/>
        <c:ser>
          <c:idx val="0"/>
          <c:order val="0"/>
          <c:tx>
            <c:strRef>
              <c:f>DCAP2!$F$212</c:f>
              <c:strCache>
                <c:ptCount val="1"/>
                <c:pt idx="0">
                  <c:v>LIR</c:v>
                </c:pt>
              </c:strCache>
            </c:strRef>
          </c:tx>
          <c:spPr>
            <a:ln w="28575">
              <a:noFill/>
            </a:ln>
          </c:spPr>
          <c:marker>
            <c:symbol val="diamond"/>
            <c:size val="5"/>
            <c:spPr>
              <a:solidFill>
                <a:srgbClr val="000080"/>
              </a:solidFill>
              <a:ln>
                <a:solidFill>
                  <a:srgbClr val="000080"/>
                </a:solidFill>
                <a:prstDash val="solid"/>
              </a:ln>
            </c:spPr>
          </c:marker>
          <c:xVal>
            <c:numRef>
              <c:f>DCAP2!$E$213:$E$263</c:f>
              <c:numCache>
                <c:formatCode>0.0_);[Red]\(0.0\)</c:formatCode>
                <c:ptCount val="51"/>
                <c:pt idx="0">
                  <c:v>3</c:v>
                </c:pt>
                <c:pt idx="1">
                  <c:v>3.5</c:v>
                </c:pt>
                <c:pt idx="2">
                  <c:v>4</c:v>
                </c:pt>
                <c:pt idx="3">
                  <c:v>4.5</c:v>
                </c:pt>
                <c:pt idx="4">
                  <c:v>5</c:v>
                </c:pt>
                <c:pt idx="5">
                  <c:v>5.5</c:v>
                </c:pt>
                <c:pt idx="6">
                  <c:v>6</c:v>
                </c:pt>
                <c:pt idx="7">
                  <c:v>6.5</c:v>
                </c:pt>
                <c:pt idx="8">
                  <c:v>7</c:v>
                </c:pt>
                <c:pt idx="9">
                  <c:v>7.5</c:v>
                </c:pt>
                <c:pt idx="10">
                  <c:v>8</c:v>
                </c:pt>
                <c:pt idx="11">
                  <c:v>8.5</c:v>
                </c:pt>
                <c:pt idx="12">
                  <c:v>9</c:v>
                </c:pt>
                <c:pt idx="13">
                  <c:v>9.5</c:v>
                </c:pt>
                <c:pt idx="14">
                  <c:v>10</c:v>
                </c:pt>
                <c:pt idx="15">
                  <c:v>10.5</c:v>
                </c:pt>
                <c:pt idx="16">
                  <c:v>11</c:v>
                </c:pt>
                <c:pt idx="17">
                  <c:v>11.5</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20</c:v>
                </c:pt>
                <c:pt idx="35">
                  <c:v>20.5</c:v>
                </c:pt>
                <c:pt idx="36">
                  <c:v>21</c:v>
                </c:pt>
                <c:pt idx="37">
                  <c:v>21.5</c:v>
                </c:pt>
                <c:pt idx="38">
                  <c:v>22</c:v>
                </c:pt>
                <c:pt idx="39">
                  <c:v>22.5</c:v>
                </c:pt>
                <c:pt idx="40">
                  <c:v>23</c:v>
                </c:pt>
                <c:pt idx="41">
                  <c:v>23.5</c:v>
                </c:pt>
                <c:pt idx="42">
                  <c:v>24</c:v>
                </c:pt>
                <c:pt idx="43">
                  <c:v>24.5</c:v>
                </c:pt>
                <c:pt idx="44">
                  <c:v>25</c:v>
                </c:pt>
                <c:pt idx="45">
                  <c:v>25.5</c:v>
                </c:pt>
                <c:pt idx="46">
                  <c:v>26</c:v>
                </c:pt>
                <c:pt idx="47">
                  <c:v>26.5</c:v>
                </c:pt>
                <c:pt idx="48">
                  <c:v>27</c:v>
                </c:pt>
                <c:pt idx="49">
                  <c:v>27.5</c:v>
                </c:pt>
                <c:pt idx="50">
                  <c:v>28</c:v>
                </c:pt>
              </c:numCache>
            </c:numRef>
          </c:xVal>
          <c:yVal>
            <c:numRef>
              <c:f>DCAP2!$G$213:$G$263</c:f>
              <c:numCache>
                <c:formatCode>0.000_ </c:formatCode>
                <c:ptCount val="5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0.3917378917378917</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numCache>
            </c:numRef>
          </c:yVal>
          <c:smooth val="1"/>
          <c:extLst>
            <c:ext xmlns:c16="http://schemas.microsoft.com/office/drawing/2014/chart" uri="{C3380CC4-5D6E-409C-BE32-E72D297353CC}">
              <c16:uniqueId val="{00000000-8AA7-45DA-AF84-8104C2ECDE64}"/>
            </c:ext>
          </c:extLst>
        </c:ser>
        <c:dLbls>
          <c:showLegendKey val="0"/>
          <c:showVal val="0"/>
          <c:showCatName val="0"/>
          <c:showSerName val="0"/>
          <c:showPercent val="0"/>
          <c:showBubbleSize val="0"/>
        </c:dLbls>
        <c:axId val="72969216"/>
        <c:axId val="72992256"/>
      </c:scatterChart>
      <c:valAx>
        <c:axId val="72969216"/>
        <c:scaling>
          <c:orientation val="minMax"/>
          <c:max val="20"/>
          <c:min val="0"/>
        </c:scaling>
        <c:delete val="0"/>
        <c:axPos val="b"/>
        <c:majorGridlines>
          <c:spPr>
            <a:ln w="3175">
              <a:solidFill>
                <a:srgbClr val="000000"/>
              </a:solidFill>
              <a:prstDash val="solid"/>
            </a:ln>
          </c:spPr>
        </c:majorGridlines>
        <c:title>
          <c:tx>
            <c:rich>
              <a:bodyPr/>
              <a:lstStyle/>
              <a:p>
                <a:pPr>
                  <a:defRPr lang="ja-JP" sz="800" b="0" i="0" u="none" strike="noStrike" baseline="0">
                    <a:solidFill>
                      <a:srgbClr val="000000"/>
                    </a:solidFill>
                    <a:latin typeface="ＭＳ Ｐゴシック"/>
                    <a:ea typeface="ＭＳ Ｐゴシック"/>
                    <a:cs typeface="ＭＳ Ｐゴシック"/>
                  </a:defRPr>
                </a:pPr>
                <a:r>
                  <a:rPr lang="en-US" altLang="en-US"/>
                  <a:t>VIN (V)</a:t>
                </a:r>
              </a:p>
            </c:rich>
          </c:tx>
          <c:layout>
            <c:manualLayout>
              <c:xMode val="edge"/>
              <c:yMode val="edge"/>
              <c:x val="0.49162078226036354"/>
              <c:y val="0.90308370044052866"/>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lang="ja-JP" sz="800" b="0" i="0" u="none" strike="noStrike" baseline="0">
                <a:solidFill>
                  <a:srgbClr val="000000"/>
                </a:solidFill>
                <a:latin typeface="ＭＳ Ｐゴシック"/>
                <a:ea typeface="ＭＳ Ｐゴシック"/>
                <a:cs typeface="ＭＳ Ｐゴシック"/>
              </a:defRPr>
            </a:pPr>
            <a:endParaRPr lang="en-US"/>
          </a:p>
        </c:txPr>
        <c:crossAx val="72992256"/>
        <c:crossesAt val="0"/>
        <c:crossBetween val="midCat"/>
      </c:valAx>
      <c:valAx>
        <c:axId val="72992256"/>
        <c:scaling>
          <c:orientation val="minMax"/>
          <c:max val="1"/>
          <c:min val="0"/>
        </c:scaling>
        <c:delete val="0"/>
        <c:axPos val="l"/>
        <c:majorGridlines>
          <c:spPr>
            <a:ln w="3175">
              <a:solidFill>
                <a:srgbClr val="000000"/>
              </a:solidFill>
              <a:prstDash val="solid"/>
            </a:ln>
          </c:spPr>
        </c:majorGridlines>
        <c:title>
          <c:tx>
            <c:rich>
              <a:bodyPr/>
              <a:lstStyle/>
              <a:p>
                <a:pPr>
                  <a:defRPr lang="ja-JP" sz="1000" b="0" i="0" u="none" strike="noStrike" baseline="0">
                    <a:solidFill>
                      <a:srgbClr val="000000"/>
                    </a:solidFill>
                    <a:latin typeface="ＭＳ Ｐゴシック"/>
                    <a:ea typeface="ＭＳ Ｐゴシック"/>
                    <a:cs typeface="ＭＳ Ｐゴシック"/>
                  </a:defRPr>
                </a:pPr>
                <a:r>
                  <a:rPr lang="en-US" altLang="ja-JP" sz="1000" b="0" i="0" u="none" strike="noStrike" baseline="0">
                    <a:solidFill>
                      <a:srgbClr val="000000"/>
                    </a:solidFill>
                    <a:latin typeface="ＭＳ Ｐゴシック"/>
                    <a:ea typeface="ＭＳ Ｐゴシック"/>
                  </a:rPr>
                  <a:t>I</a:t>
                </a:r>
                <a:r>
                  <a:rPr lang="en-US" altLang="ja-JP" sz="1000" b="0" i="0" u="none" strike="noStrike" baseline="-25000">
                    <a:solidFill>
                      <a:srgbClr val="000000"/>
                    </a:solidFill>
                    <a:latin typeface="ＭＳ Ｐゴシック"/>
                    <a:ea typeface="ＭＳ Ｐゴシック"/>
                  </a:rPr>
                  <a:t>IND(ripple)</a:t>
                </a:r>
                <a:r>
                  <a:rPr lang="en-US" altLang="ja-JP" sz="1000" b="0" i="0" u="none" strike="noStrike" baseline="0">
                    <a:solidFill>
                      <a:srgbClr val="000000"/>
                    </a:solidFill>
                    <a:latin typeface="ＭＳ Ｐゴシック"/>
                    <a:ea typeface="ＭＳ Ｐゴシック"/>
                  </a:rPr>
                  <a:t> vs Imax ratio</a:t>
                </a:r>
              </a:p>
            </c:rich>
          </c:tx>
          <c:layout>
            <c:manualLayout>
              <c:xMode val="edge"/>
              <c:yMode val="edge"/>
              <c:x val="2.7932998992066114E-2"/>
              <c:y val="0.20264317180616745"/>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lang="ja-JP" sz="800" b="0" i="0" u="none" strike="noStrike" baseline="0">
                <a:solidFill>
                  <a:srgbClr val="000000"/>
                </a:solidFill>
                <a:latin typeface="ＭＳ Ｐゴシック"/>
                <a:ea typeface="ＭＳ Ｐゴシック"/>
                <a:cs typeface="ＭＳ Ｐゴシック"/>
              </a:defRPr>
            </a:pPr>
            <a:endParaRPr lang="en-US"/>
          </a:p>
        </c:txPr>
        <c:crossAx val="72969216"/>
        <c:crossesAt val="0"/>
        <c:crossBetween val="midCat"/>
        <c:majorUnit val="0.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en-US"/>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4.jpeg"/><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15</xdr:col>
      <xdr:colOff>266700</xdr:colOff>
      <xdr:row>11</xdr:row>
      <xdr:rowOff>171450</xdr:rowOff>
    </xdr:from>
    <xdr:to>
      <xdr:col>19</xdr:col>
      <xdr:colOff>552450</xdr:colOff>
      <xdr:row>24</xdr:row>
      <xdr:rowOff>19050</xdr:rowOff>
    </xdr:to>
    <xdr:graphicFrame macro="">
      <xdr:nvGraphicFramePr>
        <xdr:cNvPr id="21505" name="Chart 1">
          <a:extLst>
            <a:ext uri="{FF2B5EF4-FFF2-40B4-BE49-F238E27FC236}">
              <a16:creationId xmlns:a16="http://schemas.microsoft.com/office/drawing/2014/main" id="{00000000-0008-0000-0000-0000015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342900</xdr:colOff>
      <xdr:row>90</xdr:row>
      <xdr:rowOff>142875</xdr:rowOff>
    </xdr:from>
    <xdr:to>
      <xdr:col>17</xdr:col>
      <xdr:colOff>66675</xdr:colOff>
      <xdr:row>110</xdr:row>
      <xdr:rowOff>38100</xdr:rowOff>
    </xdr:to>
    <xdr:sp macro="" textlink="">
      <xdr:nvSpPr>
        <xdr:cNvPr id="21559" name="Rectangle 55">
          <a:extLst>
            <a:ext uri="{FF2B5EF4-FFF2-40B4-BE49-F238E27FC236}">
              <a16:creationId xmlns:a16="http://schemas.microsoft.com/office/drawing/2014/main" id="{00000000-0008-0000-0000-000037540000}"/>
            </a:ext>
          </a:extLst>
        </xdr:cNvPr>
        <xdr:cNvSpPr>
          <a:spLocks noChangeArrowheads="1"/>
        </xdr:cNvSpPr>
      </xdr:nvSpPr>
      <xdr:spPr bwMode="auto">
        <a:xfrm>
          <a:off x="6772275" y="15001875"/>
          <a:ext cx="5972175" cy="0"/>
        </a:xfrm>
        <a:prstGeom prst="rect">
          <a:avLst/>
        </a:prstGeom>
        <a:noFill/>
        <a:ln w="25400">
          <a:solidFill>
            <a:srgbClr val="FF0000"/>
          </a:solidFill>
          <a:miter lim="800000"/>
          <a:headEnd/>
          <a:tailEnd/>
        </a:ln>
      </xdr:spPr>
    </xdr:sp>
    <xdr:clientData/>
  </xdr:twoCellAnchor>
  <xdr:twoCellAnchor>
    <xdr:from>
      <xdr:col>9</xdr:col>
      <xdr:colOff>0</xdr:colOff>
      <xdr:row>102</xdr:row>
      <xdr:rowOff>76200</xdr:rowOff>
    </xdr:from>
    <xdr:to>
      <xdr:col>9</xdr:col>
      <xdr:colOff>333375</xdr:colOff>
      <xdr:row>102</xdr:row>
      <xdr:rowOff>76200</xdr:rowOff>
    </xdr:to>
    <xdr:sp macro="" textlink="">
      <xdr:nvSpPr>
        <xdr:cNvPr id="21560" name="Line 56">
          <a:extLst>
            <a:ext uri="{FF2B5EF4-FFF2-40B4-BE49-F238E27FC236}">
              <a16:creationId xmlns:a16="http://schemas.microsoft.com/office/drawing/2014/main" id="{00000000-0008-0000-0000-000038540000}"/>
            </a:ext>
          </a:extLst>
        </xdr:cNvPr>
        <xdr:cNvSpPr>
          <a:spLocks noChangeShapeType="1"/>
        </xdr:cNvSpPr>
      </xdr:nvSpPr>
      <xdr:spPr bwMode="auto">
        <a:xfrm flipH="1">
          <a:off x="6429375" y="15001875"/>
          <a:ext cx="333375" cy="0"/>
        </a:xfrm>
        <a:prstGeom prst="line">
          <a:avLst/>
        </a:prstGeom>
        <a:noFill/>
        <a:ln w="19050">
          <a:solidFill>
            <a:srgbClr val="FF0000"/>
          </a:solidFill>
          <a:round/>
          <a:headEnd/>
          <a:tailEnd type="stealth" w="lg" len="lg"/>
        </a:ln>
      </xdr:spPr>
    </xdr:sp>
    <xdr:clientData/>
  </xdr:twoCellAnchor>
  <xdr:twoCellAnchor>
    <xdr:from>
      <xdr:col>5</xdr:col>
      <xdr:colOff>28575</xdr:colOff>
      <xdr:row>103</xdr:row>
      <xdr:rowOff>9525</xdr:rowOff>
    </xdr:from>
    <xdr:to>
      <xdr:col>8</xdr:col>
      <xdr:colOff>304800</xdr:colOff>
      <xdr:row>116</xdr:row>
      <xdr:rowOff>104775</xdr:rowOff>
    </xdr:to>
    <xdr:grpSp>
      <xdr:nvGrpSpPr>
        <xdr:cNvPr id="21580" name="Group 76">
          <a:extLst>
            <a:ext uri="{FF2B5EF4-FFF2-40B4-BE49-F238E27FC236}">
              <a16:creationId xmlns:a16="http://schemas.microsoft.com/office/drawing/2014/main" id="{00000000-0008-0000-0000-00004C540000}"/>
            </a:ext>
          </a:extLst>
        </xdr:cNvPr>
        <xdr:cNvGrpSpPr>
          <a:grpSpLocks/>
        </xdr:cNvGrpSpPr>
      </xdr:nvGrpSpPr>
      <xdr:grpSpPr bwMode="auto">
        <a:xfrm>
          <a:off x="3350419" y="18297525"/>
          <a:ext cx="2633662" cy="2440781"/>
          <a:chOff x="345" y="255"/>
          <a:chExt cx="213" cy="318"/>
        </a:xfrm>
      </xdr:grpSpPr>
      <xdr:sp macro="" textlink="">
        <xdr:nvSpPr>
          <xdr:cNvPr id="21581" name="Line 77">
            <a:extLst>
              <a:ext uri="{FF2B5EF4-FFF2-40B4-BE49-F238E27FC236}">
                <a16:creationId xmlns:a16="http://schemas.microsoft.com/office/drawing/2014/main" id="{00000000-0008-0000-0000-00004D540000}"/>
              </a:ext>
            </a:extLst>
          </xdr:cNvPr>
          <xdr:cNvSpPr>
            <a:spLocks noChangeShapeType="1"/>
          </xdr:cNvSpPr>
        </xdr:nvSpPr>
        <xdr:spPr bwMode="auto">
          <a:xfrm flipH="1">
            <a:off x="345" y="573"/>
            <a:ext cx="213" cy="0"/>
          </a:xfrm>
          <a:prstGeom prst="line">
            <a:avLst/>
          </a:prstGeom>
          <a:noFill/>
          <a:ln w="19050">
            <a:solidFill>
              <a:srgbClr val="FF0000"/>
            </a:solidFill>
            <a:round/>
            <a:headEnd/>
            <a:tailEnd type="stealth" w="lg" len="lg"/>
          </a:ln>
        </xdr:spPr>
      </xdr:sp>
      <xdr:sp macro="" textlink="">
        <xdr:nvSpPr>
          <xdr:cNvPr id="21582" name="Line 78">
            <a:extLst>
              <a:ext uri="{FF2B5EF4-FFF2-40B4-BE49-F238E27FC236}">
                <a16:creationId xmlns:a16="http://schemas.microsoft.com/office/drawing/2014/main" id="{00000000-0008-0000-0000-00004E540000}"/>
              </a:ext>
            </a:extLst>
          </xdr:cNvPr>
          <xdr:cNvSpPr>
            <a:spLocks noChangeShapeType="1"/>
          </xdr:cNvSpPr>
        </xdr:nvSpPr>
        <xdr:spPr bwMode="auto">
          <a:xfrm rot="5400000" flipH="1">
            <a:off x="398" y="414"/>
            <a:ext cx="317" cy="0"/>
          </a:xfrm>
          <a:prstGeom prst="line">
            <a:avLst/>
          </a:prstGeom>
          <a:noFill/>
          <a:ln w="19050">
            <a:solidFill>
              <a:srgbClr val="FF0000"/>
            </a:solidFill>
            <a:round/>
            <a:headEnd/>
            <a:tailEnd type="none" w="lg" len="lg"/>
          </a:ln>
        </xdr:spPr>
      </xdr:sp>
    </xdr:grpSp>
    <xdr:clientData/>
  </xdr:twoCellAnchor>
  <xdr:twoCellAnchor>
    <xdr:from>
      <xdr:col>3</xdr:col>
      <xdr:colOff>561975</xdr:colOff>
      <xdr:row>211</xdr:row>
      <xdr:rowOff>28575</xdr:rowOff>
    </xdr:from>
    <xdr:to>
      <xdr:col>7</xdr:col>
      <xdr:colOff>219075</xdr:colOff>
      <xdr:row>265</xdr:row>
      <xdr:rowOff>104775</xdr:rowOff>
    </xdr:to>
    <xdr:sp macro="" textlink="">
      <xdr:nvSpPr>
        <xdr:cNvPr id="21584" name="Rectangle 80">
          <a:extLst>
            <a:ext uri="{FF2B5EF4-FFF2-40B4-BE49-F238E27FC236}">
              <a16:creationId xmlns:a16="http://schemas.microsoft.com/office/drawing/2014/main" id="{00000000-0008-0000-0000-000050540000}"/>
            </a:ext>
          </a:extLst>
        </xdr:cNvPr>
        <xdr:cNvSpPr>
          <a:spLocks noChangeArrowheads="1"/>
        </xdr:cNvSpPr>
      </xdr:nvSpPr>
      <xdr:spPr bwMode="auto">
        <a:xfrm>
          <a:off x="2305050" y="24145875"/>
          <a:ext cx="2781300" cy="9829800"/>
        </a:xfrm>
        <a:prstGeom prst="rect">
          <a:avLst/>
        </a:prstGeom>
        <a:solidFill>
          <a:srgbClr val="C0C0C0"/>
        </a:solidFill>
        <a:ln w="9525">
          <a:noFill/>
          <a:miter lim="800000"/>
          <a:headEnd/>
          <a:tailEnd/>
        </a:ln>
      </xdr:spPr>
    </xdr:sp>
    <xdr:clientData/>
  </xdr:twoCellAnchor>
  <xdr:twoCellAnchor>
    <xdr:from>
      <xdr:col>0</xdr:col>
      <xdr:colOff>38100</xdr:colOff>
      <xdr:row>0</xdr:row>
      <xdr:rowOff>38100</xdr:rowOff>
    </xdr:from>
    <xdr:to>
      <xdr:col>3</xdr:col>
      <xdr:colOff>200025</xdr:colOff>
      <xdr:row>4</xdr:row>
      <xdr:rowOff>9525</xdr:rowOff>
    </xdr:to>
    <xdr:pic>
      <xdr:nvPicPr>
        <xdr:cNvPr id="21585" name="Picture 81" descr="2c_cmyk">
          <a:extLst>
            <a:ext uri="{FF2B5EF4-FFF2-40B4-BE49-F238E27FC236}">
              <a16:creationId xmlns:a16="http://schemas.microsoft.com/office/drawing/2014/main" id="{00000000-0008-0000-0000-0000515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100" y="38100"/>
          <a:ext cx="1905000" cy="685800"/>
        </a:xfrm>
        <a:prstGeom prst="rect">
          <a:avLst/>
        </a:prstGeom>
        <a:noFill/>
        <a:ln w="9525">
          <a:noFill/>
          <a:miter lim="800000"/>
          <a:headEnd/>
          <a:tailEnd/>
        </a:ln>
      </xdr:spPr>
    </xdr:pic>
    <xdr:clientData/>
  </xdr:twoCellAnchor>
  <xdr:twoCellAnchor editAs="oneCell">
    <xdr:from>
      <xdr:col>9</xdr:col>
      <xdr:colOff>66675</xdr:colOff>
      <xdr:row>25</xdr:row>
      <xdr:rowOff>28575</xdr:rowOff>
    </xdr:from>
    <xdr:to>
      <xdr:col>21</xdr:col>
      <xdr:colOff>228600</xdr:colOff>
      <xdr:row>56</xdr:row>
      <xdr:rowOff>126206</xdr:rowOff>
    </xdr:to>
    <xdr:pic>
      <xdr:nvPicPr>
        <xdr:cNvPr id="21639" name="Picture 135">
          <a:extLst>
            <a:ext uri="{FF2B5EF4-FFF2-40B4-BE49-F238E27FC236}">
              <a16:creationId xmlns:a16="http://schemas.microsoft.com/office/drawing/2014/main" id="{00000000-0008-0000-0000-0000875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6496050" y="4533900"/>
          <a:ext cx="9344025" cy="5438775"/>
        </a:xfrm>
        <a:prstGeom prst="rect">
          <a:avLst/>
        </a:prstGeom>
        <a:solidFill>
          <a:srgbClr val="FFFFFF"/>
        </a:solid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508000</xdr:colOff>
          <xdr:row>44</xdr:row>
          <xdr:rowOff>88900</xdr:rowOff>
        </xdr:from>
        <xdr:to>
          <xdr:col>4</xdr:col>
          <xdr:colOff>114300</xdr:colOff>
          <xdr:row>46</xdr:row>
          <xdr:rowOff>127000</xdr:rowOff>
        </xdr:to>
        <xdr:sp macro="" textlink="">
          <xdr:nvSpPr>
            <xdr:cNvPr id="21634" name="Object 130" hidden="1">
              <a:extLst>
                <a:ext uri="{63B3BB69-23CF-44E3-9099-C40C66FF867C}">
                  <a14:compatExt spid="_x0000_s21634"/>
                </a:ext>
                <a:ext uri="{FF2B5EF4-FFF2-40B4-BE49-F238E27FC236}">
                  <a16:creationId xmlns:a16="http://schemas.microsoft.com/office/drawing/2014/main" id="{00000000-0008-0000-0000-000082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44</xdr:row>
          <xdr:rowOff>82550</xdr:rowOff>
        </xdr:from>
        <xdr:to>
          <xdr:col>6</xdr:col>
          <xdr:colOff>330200</xdr:colOff>
          <xdr:row>47</xdr:row>
          <xdr:rowOff>0</xdr:rowOff>
        </xdr:to>
        <xdr:sp macro="" textlink="">
          <xdr:nvSpPr>
            <xdr:cNvPr id="21635" name="Object 131" hidden="1">
              <a:extLst>
                <a:ext uri="{63B3BB69-23CF-44E3-9099-C40C66FF867C}">
                  <a14:compatExt spid="_x0000_s21635"/>
                </a:ext>
                <a:ext uri="{FF2B5EF4-FFF2-40B4-BE49-F238E27FC236}">
                  <a16:creationId xmlns:a16="http://schemas.microsoft.com/office/drawing/2014/main" id="{00000000-0008-0000-0000-000083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196850</xdr:colOff>
          <xdr:row>44</xdr:row>
          <xdr:rowOff>101600</xdr:rowOff>
        </xdr:from>
        <xdr:to>
          <xdr:col>8</xdr:col>
          <xdr:colOff>609600</xdr:colOff>
          <xdr:row>47</xdr:row>
          <xdr:rowOff>25400</xdr:rowOff>
        </xdr:to>
        <xdr:sp macro="" textlink="">
          <xdr:nvSpPr>
            <xdr:cNvPr id="21636" name="Object 132" hidden="1">
              <a:extLst>
                <a:ext uri="{63B3BB69-23CF-44E3-9099-C40C66FF867C}">
                  <a14:compatExt spid="_x0000_s21636"/>
                </a:ext>
                <a:ext uri="{FF2B5EF4-FFF2-40B4-BE49-F238E27FC236}">
                  <a16:creationId xmlns:a16="http://schemas.microsoft.com/office/drawing/2014/main" id="{00000000-0008-0000-0000-000084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266700</xdr:colOff>
      <xdr:row>11</xdr:row>
      <xdr:rowOff>171450</xdr:rowOff>
    </xdr:from>
    <xdr:to>
      <xdr:col>19</xdr:col>
      <xdr:colOff>552450</xdr:colOff>
      <xdr:row>24</xdr:row>
      <xdr:rowOff>19050</xdr:rowOff>
    </xdr:to>
    <xdr:graphicFrame macro="">
      <xdr:nvGraphicFramePr>
        <xdr:cNvPr id="20481" name="Chart 1">
          <a:extLst>
            <a:ext uri="{FF2B5EF4-FFF2-40B4-BE49-F238E27FC236}">
              <a16:creationId xmlns:a16="http://schemas.microsoft.com/office/drawing/2014/main" id="{00000000-0008-0000-0100-0000015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342900</xdr:colOff>
      <xdr:row>88</xdr:row>
      <xdr:rowOff>142875</xdr:rowOff>
    </xdr:from>
    <xdr:to>
      <xdr:col>17</xdr:col>
      <xdr:colOff>66675</xdr:colOff>
      <xdr:row>107</xdr:row>
      <xdr:rowOff>38100</xdr:rowOff>
    </xdr:to>
    <xdr:sp macro="" textlink="">
      <xdr:nvSpPr>
        <xdr:cNvPr id="20535" name="Rectangle 55">
          <a:extLst>
            <a:ext uri="{FF2B5EF4-FFF2-40B4-BE49-F238E27FC236}">
              <a16:creationId xmlns:a16="http://schemas.microsoft.com/office/drawing/2014/main" id="{00000000-0008-0000-0100-000037500000}"/>
            </a:ext>
          </a:extLst>
        </xdr:cNvPr>
        <xdr:cNvSpPr>
          <a:spLocks noChangeArrowheads="1"/>
        </xdr:cNvSpPr>
      </xdr:nvSpPr>
      <xdr:spPr bwMode="auto">
        <a:xfrm>
          <a:off x="6772275" y="15344775"/>
          <a:ext cx="5972175" cy="0"/>
        </a:xfrm>
        <a:prstGeom prst="rect">
          <a:avLst/>
        </a:prstGeom>
        <a:noFill/>
        <a:ln w="25400">
          <a:solidFill>
            <a:srgbClr val="FF0000"/>
          </a:solidFill>
          <a:miter lim="800000"/>
          <a:headEnd/>
          <a:tailEnd/>
        </a:ln>
      </xdr:spPr>
    </xdr:sp>
    <xdr:clientData/>
  </xdr:twoCellAnchor>
  <xdr:twoCellAnchor>
    <xdr:from>
      <xdr:col>9</xdr:col>
      <xdr:colOff>0</xdr:colOff>
      <xdr:row>99</xdr:row>
      <xdr:rowOff>76200</xdr:rowOff>
    </xdr:from>
    <xdr:to>
      <xdr:col>9</xdr:col>
      <xdr:colOff>333375</xdr:colOff>
      <xdr:row>99</xdr:row>
      <xdr:rowOff>76200</xdr:rowOff>
    </xdr:to>
    <xdr:sp macro="" textlink="">
      <xdr:nvSpPr>
        <xdr:cNvPr id="20536" name="Line 56">
          <a:extLst>
            <a:ext uri="{FF2B5EF4-FFF2-40B4-BE49-F238E27FC236}">
              <a16:creationId xmlns:a16="http://schemas.microsoft.com/office/drawing/2014/main" id="{00000000-0008-0000-0100-000038500000}"/>
            </a:ext>
          </a:extLst>
        </xdr:cNvPr>
        <xdr:cNvSpPr>
          <a:spLocks noChangeShapeType="1"/>
        </xdr:cNvSpPr>
      </xdr:nvSpPr>
      <xdr:spPr bwMode="auto">
        <a:xfrm flipH="1">
          <a:off x="6429375" y="15344775"/>
          <a:ext cx="333375" cy="0"/>
        </a:xfrm>
        <a:prstGeom prst="line">
          <a:avLst/>
        </a:prstGeom>
        <a:noFill/>
        <a:ln w="19050">
          <a:solidFill>
            <a:srgbClr val="FF0000"/>
          </a:solidFill>
          <a:round/>
          <a:headEnd/>
          <a:tailEnd type="stealth" w="lg" len="lg"/>
        </a:ln>
      </xdr:spPr>
    </xdr:sp>
    <xdr:clientData/>
  </xdr:twoCellAnchor>
  <xdr:twoCellAnchor>
    <xdr:from>
      <xdr:col>5</xdr:col>
      <xdr:colOff>28575</xdr:colOff>
      <xdr:row>100</xdr:row>
      <xdr:rowOff>9525</xdr:rowOff>
    </xdr:from>
    <xdr:to>
      <xdr:col>8</xdr:col>
      <xdr:colOff>304800</xdr:colOff>
      <xdr:row>113</xdr:row>
      <xdr:rowOff>104775</xdr:rowOff>
    </xdr:to>
    <xdr:grpSp>
      <xdr:nvGrpSpPr>
        <xdr:cNvPr id="20556" name="Group 76">
          <a:extLst>
            <a:ext uri="{FF2B5EF4-FFF2-40B4-BE49-F238E27FC236}">
              <a16:creationId xmlns:a16="http://schemas.microsoft.com/office/drawing/2014/main" id="{00000000-0008-0000-0100-00004C500000}"/>
            </a:ext>
          </a:extLst>
        </xdr:cNvPr>
        <xdr:cNvGrpSpPr>
          <a:grpSpLocks/>
        </xdr:cNvGrpSpPr>
      </xdr:nvGrpSpPr>
      <xdr:grpSpPr bwMode="auto">
        <a:xfrm>
          <a:off x="3350419" y="17761744"/>
          <a:ext cx="2633662" cy="2440781"/>
          <a:chOff x="345" y="255"/>
          <a:chExt cx="213" cy="318"/>
        </a:xfrm>
      </xdr:grpSpPr>
      <xdr:sp macro="" textlink="">
        <xdr:nvSpPr>
          <xdr:cNvPr id="20557" name="Line 77">
            <a:extLst>
              <a:ext uri="{FF2B5EF4-FFF2-40B4-BE49-F238E27FC236}">
                <a16:creationId xmlns:a16="http://schemas.microsoft.com/office/drawing/2014/main" id="{00000000-0008-0000-0100-00004D500000}"/>
              </a:ext>
            </a:extLst>
          </xdr:cNvPr>
          <xdr:cNvSpPr>
            <a:spLocks noChangeShapeType="1"/>
          </xdr:cNvSpPr>
        </xdr:nvSpPr>
        <xdr:spPr bwMode="auto">
          <a:xfrm flipH="1">
            <a:off x="345" y="573"/>
            <a:ext cx="213" cy="0"/>
          </a:xfrm>
          <a:prstGeom prst="line">
            <a:avLst/>
          </a:prstGeom>
          <a:noFill/>
          <a:ln w="19050">
            <a:solidFill>
              <a:srgbClr val="FF0000"/>
            </a:solidFill>
            <a:round/>
            <a:headEnd/>
            <a:tailEnd type="stealth" w="lg" len="lg"/>
          </a:ln>
        </xdr:spPr>
      </xdr:sp>
      <xdr:sp macro="" textlink="">
        <xdr:nvSpPr>
          <xdr:cNvPr id="20558" name="Line 78">
            <a:extLst>
              <a:ext uri="{FF2B5EF4-FFF2-40B4-BE49-F238E27FC236}">
                <a16:creationId xmlns:a16="http://schemas.microsoft.com/office/drawing/2014/main" id="{00000000-0008-0000-0100-00004E500000}"/>
              </a:ext>
            </a:extLst>
          </xdr:cNvPr>
          <xdr:cNvSpPr>
            <a:spLocks noChangeShapeType="1"/>
          </xdr:cNvSpPr>
        </xdr:nvSpPr>
        <xdr:spPr bwMode="auto">
          <a:xfrm rot="5400000" flipH="1">
            <a:off x="398" y="414"/>
            <a:ext cx="317" cy="0"/>
          </a:xfrm>
          <a:prstGeom prst="line">
            <a:avLst/>
          </a:prstGeom>
          <a:noFill/>
          <a:ln w="19050">
            <a:solidFill>
              <a:srgbClr val="FF0000"/>
            </a:solidFill>
            <a:round/>
            <a:headEnd/>
            <a:tailEnd type="none" w="lg" len="lg"/>
          </a:ln>
        </xdr:spPr>
      </xdr:sp>
    </xdr:grpSp>
    <xdr:clientData/>
  </xdr:twoCellAnchor>
  <xdr:twoCellAnchor>
    <xdr:from>
      <xdr:col>3</xdr:col>
      <xdr:colOff>561975</xdr:colOff>
      <xdr:row>210</xdr:row>
      <xdr:rowOff>28575</xdr:rowOff>
    </xdr:from>
    <xdr:to>
      <xdr:col>7</xdr:col>
      <xdr:colOff>219075</xdr:colOff>
      <xdr:row>264</xdr:row>
      <xdr:rowOff>104775</xdr:rowOff>
    </xdr:to>
    <xdr:sp macro="" textlink="">
      <xdr:nvSpPr>
        <xdr:cNvPr id="20560" name="Rectangle 80">
          <a:extLst>
            <a:ext uri="{FF2B5EF4-FFF2-40B4-BE49-F238E27FC236}">
              <a16:creationId xmlns:a16="http://schemas.microsoft.com/office/drawing/2014/main" id="{00000000-0008-0000-0100-000050500000}"/>
            </a:ext>
          </a:extLst>
        </xdr:cNvPr>
        <xdr:cNvSpPr>
          <a:spLocks noChangeArrowheads="1"/>
        </xdr:cNvSpPr>
      </xdr:nvSpPr>
      <xdr:spPr bwMode="auto">
        <a:xfrm>
          <a:off x="2305050" y="24669750"/>
          <a:ext cx="2781300" cy="9829800"/>
        </a:xfrm>
        <a:prstGeom prst="rect">
          <a:avLst/>
        </a:prstGeom>
        <a:solidFill>
          <a:srgbClr val="C0C0C0"/>
        </a:solidFill>
        <a:ln w="9525">
          <a:noFill/>
          <a:miter lim="800000"/>
          <a:headEnd/>
          <a:tailEnd/>
        </a:ln>
      </xdr:spPr>
    </xdr:sp>
    <xdr:clientData/>
  </xdr:twoCellAnchor>
  <xdr:twoCellAnchor>
    <xdr:from>
      <xdr:col>0</xdr:col>
      <xdr:colOff>38100</xdr:colOff>
      <xdr:row>0</xdr:row>
      <xdr:rowOff>38100</xdr:rowOff>
    </xdr:from>
    <xdr:to>
      <xdr:col>3</xdr:col>
      <xdr:colOff>200025</xdr:colOff>
      <xdr:row>4</xdr:row>
      <xdr:rowOff>9525</xdr:rowOff>
    </xdr:to>
    <xdr:pic>
      <xdr:nvPicPr>
        <xdr:cNvPr id="20561" name="Picture 81" descr="2c_cmyk">
          <a:extLst>
            <a:ext uri="{FF2B5EF4-FFF2-40B4-BE49-F238E27FC236}">
              <a16:creationId xmlns:a16="http://schemas.microsoft.com/office/drawing/2014/main" id="{00000000-0008-0000-0100-0000515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100" y="38100"/>
          <a:ext cx="1905000" cy="685800"/>
        </a:xfrm>
        <a:prstGeom prst="rect">
          <a:avLst/>
        </a:prstGeom>
        <a:noFill/>
        <a:ln w="9525">
          <a:noFill/>
          <a:miter lim="800000"/>
          <a:headEnd/>
          <a:tailEnd/>
        </a:ln>
      </xdr:spPr>
    </xdr:pic>
    <xdr:clientData/>
  </xdr:twoCellAnchor>
  <xdr:twoCellAnchor editAs="oneCell">
    <xdr:from>
      <xdr:col>9</xdr:col>
      <xdr:colOff>9525</xdr:colOff>
      <xdr:row>25</xdr:row>
      <xdr:rowOff>38100</xdr:rowOff>
    </xdr:from>
    <xdr:to>
      <xdr:col>21</xdr:col>
      <xdr:colOff>171450</xdr:colOff>
      <xdr:row>56</xdr:row>
      <xdr:rowOff>114300</xdr:rowOff>
    </xdr:to>
    <xdr:pic>
      <xdr:nvPicPr>
        <xdr:cNvPr id="20614" name="Picture 134">
          <a:extLst>
            <a:ext uri="{FF2B5EF4-FFF2-40B4-BE49-F238E27FC236}">
              <a16:creationId xmlns:a16="http://schemas.microsoft.com/office/drawing/2014/main" id="{00000000-0008-0000-0100-0000865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6438900" y="4543425"/>
          <a:ext cx="9344025" cy="5429250"/>
        </a:xfrm>
        <a:prstGeom prst="rect">
          <a:avLst/>
        </a:prstGeom>
        <a:solidFill>
          <a:srgbClr val="FFFFFF"/>
        </a:solid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5</xdr:col>
          <xdr:colOff>6350</xdr:colOff>
          <xdr:row>41</xdr:row>
          <xdr:rowOff>25400</xdr:rowOff>
        </xdr:from>
        <xdr:to>
          <xdr:col>6</xdr:col>
          <xdr:colOff>520700</xdr:colOff>
          <xdr:row>43</xdr:row>
          <xdr:rowOff>88900</xdr:rowOff>
        </xdr:to>
        <xdr:sp macro="" textlink="">
          <xdr:nvSpPr>
            <xdr:cNvPr id="20608" name="Object 128" hidden="1">
              <a:extLst>
                <a:ext uri="{63B3BB69-23CF-44E3-9099-C40C66FF867C}">
                  <a14:compatExt spid="_x0000_s20608"/>
                </a:ext>
                <a:ext uri="{FF2B5EF4-FFF2-40B4-BE49-F238E27FC236}">
                  <a16:creationId xmlns:a16="http://schemas.microsoft.com/office/drawing/2014/main" id="{00000000-0008-0000-0100-000080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41</xdr:row>
          <xdr:rowOff>31750</xdr:rowOff>
        </xdr:from>
        <xdr:to>
          <xdr:col>4</xdr:col>
          <xdr:colOff>120650</xdr:colOff>
          <xdr:row>43</xdr:row>
          <xdr:rowOff>82550</xdr:rowOff>
        </xdr:to>
        <xdr:sp macro="" textlink="">
          <xdr:nvSpPr>
            <xdr:cNvPr id="20609" name="Object 129" hidden="1">
              <a:extLst>
                <a:ext uri="{63B3BB69-23CF-44E3-9099-C40C66FF867C}">
                  <a14:compatExt spid="_x0000_s20609"/>
                </a:ext>
                <a:ext uri="{FF2B5EF4-FFF2-40B4-BE49-F238E27FC236}">
                  <a16:creationId xmlns:a16="http://schemas.microsoft.com/office/drawing/2014/main" id="{00000000-0008-0000-0100-000081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10" Type="http://schemas.openxmlformats.org/officeDocument/2006/relationships/comments" Target="../comments1.xml"/><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image" Target="../media/image7.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5.bin"/><Relationship Id="rId5" Type="http://schemas.openxmlformats.org/officeDocument/2006/relationships/image" Target="../media/image6.emf"/><Relationship Id="rId4" Type="http://schemas.openxmlformats.org/officeDocument/2006/relationships/oleObject" Target="../embeddings/oleObject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64"/>
  <sheetViews>
    <sheetView view="pageBreakPreview" zoomScale="80" zoomScaleNormal="100" zoomScaleSheetLayoutView="80" workbookViewId="0">
      <selection activeCell="H20" sqref="H20"/>
    </sheetView>
  </sheetViews>
  <sheetFormatPr defaultColWidth="10.36328125" defaultRowHeight="13"/>
  <cols>
    <col min="1" max="1" width="2.6328125" style="30" customWidth="1"/>
    <col min="2" max="19" width="11.6328125" style="30" customWidth="1"/>
    <col min="20" max="16384" width="10.36328125" style="30"/>
  </cols>
  <sheetData>
    <row r="1" spans="1:26">
      <c r="A1" s="114"/>
      <c r="B1" s="115"/>
      <c r="C1" s="115"/>
      <c r="D1" s="115"/>
      <c r="E1" s="115"/>
      <c r="F1" s="115"/>
      <c r="G1" s="115"/>
      <c r="H1" s="115"/>
      <c r="I1" s="115"/>
      <c r="J1" s="115"/>
      <c r="K1" s="115"/>
      <c r="L1" s="115"/>
      <c r="M1" s="102"/>
      <c r="N1" s="102"/>
      <c r="O1" s="101"/>
      <c r="P1" s="99"/>
      <c r="Q1" s="99"/>
      <c r="R1" s="99"/>
      <c r="S1" s="99"/>
      <c r="T1" s="99"/>
      <c r="U1" s="99"/>
      <c r="V1" s="99"/>
      <c r="W1" s="99"/>
      <c r="X1" s="99"/>
      <c r="Y1" s="99"/>
      <c r="Z1" s="99"/>
    </row>
    <row r="2" spans="1:26">
      <c r="A2" s="116"/>
      <c r="B2" s="117"/>
      <c r="C2" s="117"/>
      <c r="D2" s="117"/>
      <c r="E2" s="117"/>
      <c r="F2" s="117"/>
      <c r="G2" s="117"/>
      <c r="H2" s="117"/>
      <c r="I2" s="117"/>
      <c r="J2" s="117"/>
      <c r="K2" s="117"/>
      <c r="L2" s="117"/>
      <c r="M2" s="101"/>
      <c r="N2" s="101"/>
      <c r="O2" s="101"/>
      <c r="P2" s="99"/>
      <c r="Q2" s="99"/>
      <c r="R2" s="99"/>
      <c r="S2" s="99"/>
      <c r="T2" s="99"/>
      <c r="U2" s="99"/>
      <c r="V2" s="99"/>
      <c r="W2" s="99"/>
      <c r="X2" s="99"/>
      <c r="Y2" s="99"/>
      <c r="Z2" s="99"/>
    </row>
    <row r="3" spans="1:26" ht="14">
      <c r="A3" s="116"/>
      <c r="B3" s="117"/>
      <c r="C3" s="117"/>
      <c r="D3" s="117"/>
      <c r="E3" s="117"/>
      <c r="F3" s="117"/>
      <c r="G3" s="117"/>
      <c r="H3" s="117"/>
      <c r="I3" s="117"/>
      <c r="J3" s="117"/>
      <c r="K3" s="117"/>
      <c r="L3" s="213"/>
      <c r="M3" s="213"/>
      <c r="N3" s="194"/>
      <c r="O3" s="213"/>
      <c r="P3" s="213"/>
      <c r="Q3" s="99"/>
      <c r="R3" s="99"/>
      <c r="S3" s="99"/>
      <c r="T3" s="99"/>
      <c r="U3" s="99"/>
      <c r="V3" s="99"/>
      <c r="W3" s="99"/>
      <c r="X3" s="99"/>
      <c r="Y3" s="99"/>
      <c r="Z3" s="99"/>
    </row>
    <row r="4" spans="1:26" ht="14">
      <c r="A4" s="116"/>
      <c r="B4" s="117"/>
      <c r="C4" s="117"/>
      <c r="D4" s="117"/>
      <c r="E4" s="117"/>
      <c r="F4" s="117"/>
      <c r="G4" s="117"/>
      <c r="H4" s="117"/>
      <c r="I4" s="117"/>
      <c r="J4" s="117"/>
      <c r="K4" s="117"/>
      <c r="L4" s="214"/>
      <c r="M4" s="214"/>
      <c r="N4" s="195"/>
      <c r="O4" s="215"/>
      <c r="P4" s="214"/>
      <c r="Q4" s="99"/>
      <c r="R4" s="99"/>
      <c r="S4" s="99"/>
      <c r="T4" s="99"/>
      <c r="U4" s="99"/>
      <c r="V4" s="99"/>
      <c r="W4" s="99"/>
      <c r="X4" s="99"/>
      <c r="Y4" s="99"/>
      <c r="Z4" s="99"/>
    </row>
    <row r="5" spans="1:26" ht="14">
      <c r="A5" s="116"/>
      <c r="B5" s="117"/>
      <c r="C5" s="117"/>
      <c r="D5" s="117"/>
      <c r="E5" s="117"/>
      <c r="F5" s="117"/>
      <c r="G5" s="117"/>
      <c r="H5" s="117"/>
      <c r="I5" s="117"/>
      <c r="J5" s="117"/>
      <c r="K5" s="117"/>
      <c r="L5" s="214"/>
      <c r="M5" s="214"/>
      <c r="N5" s="195"/>
      <c r="O5" s="214"/>
      <c r="P5" s="214"/>
      <c r="Q5" s="99"/>
      <c r="R5" s="99"/>
      <c r="S5" s="99"/>
      <c r="T5" s="99"/>
      <c r="U5" s="99"/>
      <c r="V5" s="99"/>
      <c r="W5" s="99"/>
      <c r="X5" s="99"/>
      <c r="Y5" s="99"/>
      <c r="Z5" s="99"/>
    </row>
    <row r="6" spans="1:26" ht="15.5">
      <c r="A6" s="116"/>
      <c r="B6" s="2" t="s">
        <v>167</v>
      </c>
      <c r="C6" s="3"/>
      <c r="D6" s="3"/>
      <c r="E6" s="3"/>
      <c r="F6" s="3"/>
      <c r="G6" s="117"/>
      <c r="H6" s="117"/>
      <c r="I6" s="117"/>
      <c r="J6" s="117"/>
      <c r="K6" s="117"/>
      <c r="L6" s="214"/>
      <c r="M6" s="214"/>
      <c r="N6" s="195"/>
      <c r="O6" s="215"/>
      <c r="P6" s="214"/>
      <c r="Q6" s="99"/>
      <c r="R6" s="99"/>
      <c r="S6" s="99"/>
      <c r="T6" s="99"/>
      <c r="U6" s="99"/>
      <c r="V6" s="99"/>
      <c r="W6" s="99"/>
      <c r="X6" s="99"/>
      <c r="Y6" s="99"/>
      <c r="Z6" s="99"/>
    </row>
    <row r="7" spans="1:26" ht="15.5">
      <c r="A7" s="116"/>
      <c r="B7" s="2" t="s">
        <v>362</v>
      </c>
      <c r="C7" s="3"/>
      <c r="D7" s="3"/>
      <c r="E7" s="3"/>
      <c r="F7" s="3"/>
      <c r="G7" s="117"/>
      <c r="H7" s="117"/>
      <c r="I7" s="117"/>
      <c r="J7" s="117"/>
      <c r="K7" s="117"/>
      <c r="L7" s="214"/>
      <c r="M7" s="214"/>
      <c r="N7" s="195"/>
      <c r="O7" s="214"/>
      <c r="P7" s="214"/>
      <c r="Q7" s="99"/>
      <c r="R7" s="99"/>
      <c r="S7" s="99"/>
      <c r="T7" s="99"/>
      <c r="U7" s="99"/>
      <c r="V7" s="99"/>
      <c r="W7" s="99"/>
      <c r="X7" s="99"/>
      <c r="Y7" s="99"/>
      <c r="Z7" s="99"/>
    </row>
    <row r="8" spans="1:26" ht="14">
      <c r="A8" s="20"/>
      <c r="B8" s="21"/>
      <c r="C8" s="21"/>
      <c r="D8" s="21"/>
      <c r="E8" s="118"/>
      <c r="F8" s="118"/>
      <c r="G8" s="118"/>
      <c r="I8" s="22"/>
      <c r="J8" s="23"/>
      <c r="K8" s="10"/>
      <c r="L8" s="10"/>
      <c r="M8" s="101"/>
      <c r="N8" s="101"/>
      <c r="O8" s="101"/>
      <c r="P8" s="99"/>
      <c r="Q8" s="99"/>
      <c r="R8" s="99"/>
      <c r="S8" s="99"/>
      <c r="T8" s="99"/>
      <c r="U8" s="99"/>
      <c r="V8" s="99"/>
      <c r="W8" s="99"/>
      <c r="X8" s="99"/>
      <c r="Y8" s="99"/>
      <c r="Z8" s="99"/>
    </row>
    <row r="9" spans="1:26" ht="15.5">
      <c r="A9" s="24"/>
      <c r="B9" s="25" t="s">
        <v>334</v>
      </c>
      <c r="C9" s="31"/>
      <c r="D9" s="119"/>
      <c r="E9" s="119"/>
      <c r="F9" s="119"/>
      <c r="G9" s="26"/>
      <c r="H9" s="27"/>
      <c r="I9" s="27"/>
      <c r="J9" s="27"/>
      <c r="K9" s="27"/>
      <c r="L9" s="27"/>
      <c r="M9" s="101"/>
      <c r="N9" s="101"/>
      <c r="O9" s="101"/>
      <c r="P9" s="99"/>
      <c r="Q9" s="99"/>
      <c r="R9" s="99"/>
      <c r="S9" s="99"/>
      <c r="T9" s="99"/>
      <c r="U9" s="99"/>
      <c r="V9" s="99"/>
      <c r="W9" s="99"/>
      <c r="X9" s="99"/>
      <c r="Y9" s="99"/>
      <c r="Z9" s="99"/>
    </row>
    <row r="10" spans="1:26" ht="14">
      <c r="A10" s="120"/>
      <c r="B10" s="28"/>
      <c r="C10" s="28"/>
      <c r="D10" s="28"/>
      <c r="E10" s="118"/>
      <c r="F10" s="118"/>
      <c r="G10" s="118"/>
      <c r="H10" s="10"/>
      <c r="I10" s="10"/>
      <c r="J10" s="10"/>
      <c r="K10" s="10"/>
      <c r="L10" s="10"/>
      <c r="M10" s="101"/>
      <c r="N10" s="101"/>
      <c r="O10" s="101"/>
      <c r="P10" s="99"/>
      <c r="Q10" s="99"/>
      <c r="R10" s="99"/>
      <c r="S10" s="99"/>
      <c r="T10" s="99"/>
      <c r="U10" s="99"/>
      <c r="V10" s="99"/>
      <c r="W10" s="99"/>
      <c r="X10" s="99"/>
      <c r="Y10" s="99"/>
      <c r="Z10" s="99"/>
    </row>
    <row r="11" spans="1:26" ht="14">
      <c r="A11" s="120"/>
      <c r="B11" s="28" t="s">
        <v>168</v>
      </c>
      <c r="C11" s="28"/>
      <c r="D11" s="28"/>
      <c r="E11" s="118"/>
      <c r="F11" s="118"/>
      <c r="G11" s="28" t="s">
        <v>169</v>
      </c>
      <c r="H11" s="10"/>
      <c r="I11" s="10"/>
      <c r="J11" s="10"/>
      <c r="K11" s="230" t="s">
        <v>170</v>
      </c>
      <c r="L11" s="230"/>
      <c r="M11" s="197" t="s">
        <v>171</v>
      </c>
      <c r="N11" s="230" t="s">
        <v>172</v>
      </c>
      <c r="O11" s="230"/>
      <c r="P11" s="99"/>
      <c r="Q11" s="99"/>
      <c r="R11" s="99"/>
      <c r="S11" s="99"/>
      <c r="T11" s="99"/>
      <c r="U11" s="99"/>
      <c r="V11" s="99"/>
      <c r="W11" s="99"/>
      <c r="X11" s="99"/>
      <c r="Y11" s="99"/>
      <c r="Z11" s="99"/>
    </row>
    <row r="12" spans="1:26" ht="14">
      <c r="A12" s="120"/>
      <c r="B12" s="4" t="s">
        <v>173</v>
      </c>
      <c r="C12" s="28"/>
      <c r="D12" s="28"/>
      <c r="E12" s="118"/>
      <c r="F12" s="118"/>
      <c r="G12" s="121"/>
      <c r="H12" s="10"/>
      <c r="I12" s="10"/>
      <c r="J12" s="10"/>
      <c r="K12" s="229" t="s">
        <v>174</v>
      </c>
      <c r="L12" s="229"/>
      <c r="M12" s="196" t="s">
        <v>175</v>
      </c>
      <c r="N12" s="239" t="s">
        <v>328</v>
      </c>
      <c r="O12" s="240"/>
      <c r="P12" s="99"/>
      <c r="Q12" s="99"/>
      <c r="R12" s="99"/>
      <c r="S12" s="99"/>
      <c r="T12" s="99"/>
      <c r="U12" s="99"/>
      <c r="V12" s="99"/>
      <c r="W12" s="99"/>
      <c r="X12" s="99"/>
      <c r="Y12" s="99"/>
      <c r="Z12" s="99"/>
    </row>
    <row r="13" spans="1:26" ht="14">
      <c r="A13" s="120"/>
      <c r="B13" s="28" t="s">
        <v>176</v>
      </c>
      <c r="C13" s="28"/>
      <c r="D13" s="28"/>
      <c r="E13" s="118"/>
      <c r="F13" s="118"/>
      <c r="G13" s="118" t="s">
        <v>177</v>
      </c>
      <c r="H13" s="10"/>
      <c r="I13" s="10"/>
      <c r="J13" s="10"/>
      <c r="K13" s="229" t="s">
        <v>178</v>
      </c>
      <c r="L13" s="229"/>
      <c r="M13" s="196" t="s">
        <v>179</v>
      </c>
      <c r="N13" s="241"/>
      <c r="O13" s="242"/>
      <c r="P13" s="99"/>
      <c r="Q13" s="99"/>
      <c r="R13" s="99"/>
      <c r="S13" s="99"/>
      <c r="T13" s="99"/>
      <c r="U13" s="99"/>
      <c r="V13" s="99"/>
      <c r="W13" s="99"/>
      <c r="X13" s="99"/>
      <c r="Y13" s="99"/>
      <c r="Z13" s="99"/>
    </row>
    <row r="14" spans="1:26" ht="14.25" customHeight="1">
      <c r="A14" s="120"/>
      <c r="B14" s="28" t="s">
        <v>180</v>
      </c>
      <c r="C14" s="28"/>
      <c r="D14" s="28"/>
      <c r="E14" s="118"/>
      <c r="F14" s="118"/>
      <c r="G14" s="122"/>
      <c r="H14" s="10"/>
      <c r="I14" s="10"/>
      <c r="J14" s="10"/>
      <c r="K14" s="229" t="s">
        <v>181</v>
      </c>
      <c r="L14" s="229"/>
      <c r="M14" s="196" t="s">
        <v>179</v>
      </c>
      <c r="N14" s="239" t="s">
        <v>329</v>
      </c>
      <c r="O14" s="240"/>
      <c r="P14" s="99"/>
      <c r="Q14" s="99"/>
      <c r="R14" s="99"/>
      <c r="S14" s="99"/>
      <c r="T14" s="99"/>
      <c r="U14" s="99"/>
      <c r="V14" s="99"/>
      <c r="W14" s="99"/>
      <c r="X14" s="99"/>
      <c r="Y14" s="99"/>
      <c r="Z14" s="99"/>
    </row>
    <row r="15" spans="1:26" ht="14">
      <c r="A15" s="120"/>
      <c r="B15" s="28"/>
      <c r="C15" s="28"/>
      <c r="D15" s="28"/>
      <c r="E15" s="118"/>
      <c r="F15" s="118"/>
      <c r="G15" s="118"/>
      <c r="H15" s="10"/>
      <c r="I15" s="10"/>
      <c r="J15" s="10"/>
      <c r="K15" s="229" t="s">
        <v>182</v>
      </c>
      <c r="L15" s="229"/>
      <c r="M15" s="196" t="s">
        <v>175</v>
      </c>
      <c r="N15" s="241"/>
      <c r="O15" s="242"/>
      <c r="P15" s="99"/>
      <c r="Q15" s="99"/>
      <c r="R15" s="99"/>
      <c r="S15" s="99"/>
      <c r="T15" s="99"/>
      <c r="U15" s="99"/>
      <c r="V15" s="99"/>
      <c r="W15" s="99"/>
      <c r="X15" s="99"/>
      <c r="Y15" s="99"/>
      <c r="Z15" s="99"/>
    </row>
    <row r="16" spans="1:26" ht="14.25" customHeight="1">
      <c r="A16" s="120"/>
      <c r="B16" s="5" t="s">
        <v>183</v>
      </c>
      <c r="C16" s="6"/>
      <c r="D16" s="6"/>
      <c r="E16" s="118"/>
      <c r="F16" s="118"/>
      <c r="G16" s="118"/>
      <c r="H16" s="99"/>
      <c r="I16" s="10"/>
      <c r="J16" s="10"/>
      <c r="K16" s="105"/>
      <c r="L16" s="105"/>
      <c r="M16" s="105"/>
      <c r="N16" s="105"/>
      <c r="O16" s="105"/>
      <c r="P16" s="99"/>
      <c r="Q16" s="99"/>
      <c r="R16" s="99"/>
      <c r="S16" s="99"/>
      <c r="T16" s="99"/>
      <c r="U16" s="99"/>
      <c r="V16" s="99"/>
      <c r="W16" s="99"/>
      <c r="X16" s="99"/>
      <c r="Y16" s="99"/>
      <c r="Z16" s="99"/>
    </row>
    <row r="17" spans="1:26" ht="14.25" customHeight="1">
      <c r="A17" s="120"/>
      <c r="B17" s="254" t="s">
        <v>184</v>
      </c>
      <c r="C17" s="192" t="s">
        <v>185</v>
      </c>
      <c r="D17" s="192" t="s">
        <v>186</v>
      </c>
      <c r="E17" s="192" t="s">
        <v>187</v>
      </c>
      <c r="F17" s="192" t="s">
        <v>188</v>
      </c>
      <c r="G17" s="118"/>
      <c r="H17" s="99"/>
      <c r="I17" s="10"/>
      <c r="J17" s="10"/>
      <c r="K17" s="105"/>
      <c r="L17" s="105"/>
      <c r="M17" s="105"/>
      <c r="N17" s="105"/>
      <c r="O17" s="105"/>
      <c r="P17" s="99"/>
      <c r="Q17" s="99"/>
      <c r="R17" s="99"/>
      <c r="S17" s="99"/>
      <c r="T17" s="99"/>
      <c r="U17" s="99"/>
      <c r="V17" s="99"/>
      <c r="W17" s="99"/>
      <c r="X17" s="99"/>
      <c r="Y17" s="99"/>
      <c r="Z17" s="99"/>
    </row>
    <row r="18" spans="1:26" ht="14">
      <c r="A18" s="120"/>
      <c r="B18" s="255"/>
      <c r="C18" s="124">
        <v>12</v>
      </c>
      <c r="D18" s="124">
        <v>12</v>
      </c>
      <c r="E18" s="124">
        <v>12</v>
      </c>
      <c r="F18" s="192" t="s">
        <v>189</v>
      </c>
      <c r="G18" s="118"/>
      <c r="H18" s="99"/>
      <c r="I18" s="10"/>
      <c r="J18" s="10"/>
      <c r="K18" s="105"/>
      <c r="L18" s="105"/>
      <c r="M18" s="105"/>
      <c r="N18" s="105"/>
      <c r="O18" s="105"/>
      <c r="P18" s="99"/>
      <c r="Q18" s="99"/>
      <c r="R18" s="99"/>
      <c r="S18" s="99"/>
      <c r="T18" s="99"/>
      <c r="U18" s="99"/>
      <c r="V18" s="99"/>
      <c r="W18" s="99"/>
      <c r="X18" s="99"/>
      <c r="Y18" s="99"/>
      <c r="Z18" s="99"/>
    </row>
    <row r="19" spans="1:26" ht="14.25" customHeight="1">
      <c r="A19" s="120"/>
      <c r="B19" s="7" t="s">
        <v>190</v>
      </c>
      <c r="C19" s="8"/>
      <c r="D19" s="8"/>
      <c r="E19" s="125"/>
      <c r="F19" s="187"/>
      <c r="G19" s="118"/>
      <c r="H19" s="99"/>
      <c r="I19" s="127"/>
      <c r="J19" s="187"/>
      <c r="K19" s="99"/>
      <c r="L19" s="99"/>
      <c r="M19" s="99"/>
      <c r="N19" s="105"/>
      <c r="O19" s="105"/>
      <c r="P19" s="99"/>
      <c r="Q19" s="99"/>
      <c r="R19" s="99"/>
      <c r="S19" s="99"/>
      <c r="T19" s="99"/>
      <c r="U19" s="99"/>
      <c r="V19" s="99"/>
      <c r="W19" s="99"/>
      <c r="X19" s="99"/>
      <c r="Y19" s="99"/>
      <c r="Z19" s="99"/>
    </row>
    <row r="20" spans="1:26" ht="14">
      <c r="A20" s="120"/>
      <c r="B20" s="254" t="s">
        <v>191</v>
      </c>
      <c r="C20" s="192" t="s">
        <v>192</v>
      </c>
      <c r="D20" s="192" t="s">
        <v>193</v>
      </c>
      <c r="E20" s="192" t="s">
        <v>188</v>
      </c>
      <c r="F20" s="125"/>
      <c r="G20" s="187"/>
      <c r="H20" s="157"/>
      <c r="I20" s="127"/>
      <c r="J20" s="127"/>
      <c r="K20" s="99"/>
      <c r="L20" s="99"/>
      <c r="M20" s="99"/>
      <c r="N20" s="105"/>
      <c r="O20" s="105"/>
      <c r="P20" s="99"/>
      <c r="Q20" s="99"/>
      <c r="R20" s="99"/>
      <c r="S20" s="99"/>
      <c r="T20" s="99"/>
      <c r="U20" s="99"/>
      <c r="V20" s="99"/>
      <c r="W20" s="99"/>
      <c r="X20" s="99"/>
      <c r="Y20" s="99"/>
      <c r="Z20" s="99"/>
    </row>
    <row r="21" spans="1:26">
      <c r="A21" s="120"/>
      <c r="B21" s="255"/>
      <c r="C21" s="128">
        <v>0</v>
      </c>
      <c r="D21" s="128">
        <v>60</v>
      </c>
      <c r="E21" s="9" t="s">
        <v>194</v>
      </c>
      <c r="F21" s="125"/>
      <c r="G21" s="187"/>
      <c r="H21" s="118"/>
      <c r="I21" s="127"/>
      <c r="J21" s="127"/>
      <c r="K21" s="187"/>
      <c r="L21" s="118"/>
      <c r="M21" s="101"/>
      <c r="N21" s="101"/>
      <c r="O21" s="101"/>
      <c r="P21" s="99"/>
      <c r="Q21" s="99"/>
      <c r="R21" s="99"/>
      <c r="S21" s="99"/>
      <c r="T21" s="99"/>
      <c r="U21" s="99"/>
      <c r="V21" s="99"/>
      <c r="W21" s="99"/>
      <c r="X21" s="99"/>
      <c r="Y21" s="99"/>
      <c r="Z21" s="99"/>
    </row>
    <row r="22" spans="1:26">
      <c r="A22" s="120"/>
      <c r="B22" s="5" t="s">
        <v>195</v>
      </c>
      <c r="C22" s="125"/>
      <c r="D22" s="125"/>
      <c r="E22" s="125"/>
      <c r="F22" s="118"/>
      <c r="G22" s="118"/>
      <c r="H22" s="118"/>
      <c r="I22" s="118"/>
      <c r="J22" s="118"/>
      <c r="K22" s="118"/>
      <c r="L22" s="118"/>
      <c r="M22" s="101"/>
      <c r="N22" s="101"/>
      <c r="O22" s="101"/>
      <c r="P22" s="99"/>
      <c r="Q22" s="99"/>
      <c r="R22" s="99"/>
      <c r="S22" s="99"/>
      <c r="T22" s="99"/>
      <c r="U22" s="99"/>
      <c r="V22" s="99"/>
      <c r="W22" s="99"/>
      <c r="X22" s="99"/>
      <c r="Y22" s="99"/>
      <c r="Z22" s="99"/>
    </row>
    <row r="23" spans="1:26">
      <c r="A23" s="120"/>
      <c r="B23" s="192" t="s">
        <v>196</v>
      </c>
      <c r="C23" s="192" t="s">
        <v>197</v>
      </c>
      <c r="D23" s="192" t="s">
        <v>198</v>
      </c>
      <c r="E23" s="192" t="s">
        <v>199</v>
      </c>
      <c r="F23" s="231" t="s">
        <v>200</v>
      </c>
      <c r="G23" s="231"/>
      <c r="H23" s="192" t="s">
        <v>201</v>
      </c>
      <c r="I23" s="33" t="s">
        <v>202</v>
      </c>
      <c r="J23" s="118"/>
      <c r="K23" s="118"/>
      <c r="L23" s="118"/>
      <c r="M23" s="101"/>
      <c r="N23" s="101"/>
      <c r="O23" s="101"/>
      <c r="P23" s="99"/>
      <c r="Q23" s="99"/>
      <c r="R23" s="99"/>
      <c r="S23" s="99"/>
      <c r="T23" s="99"/>
      <c r="U23" s="99"/>
      <c r="V23" s="99"/>
      <c r="W23" s="99"/>
      <c r="X23" s="99"/>
      <c r="Y23" s="99"/>
      <c r="Z23" s="99"/>
    </row>
    <row r="24" spans="1:26">
      <c r="A24" s="120"/>
      <c r="B24" s="192" t="s">
        <v>203</v>
      </c>
      <c r="C24" s="129">
        <v>1</v>
      </c>
      <c r="D24" s="129">
        <v>13</v>
      </c>
      <c r="E24" s="168">
        <v>300</v>
      </c>
      <c r="F24" s="232">
        <f>G95</f>
        <v>0.70512820512820518</v>
      </c>
      <c r="G24" s="233"/>
      <c r="H24" s="129">
        <v>0.47</v>
      </c>
      <c r="I24" s="130">
        <v>20</v>
      </c>
      <c r="J24" s="118"/>
      <c r="K24" s="118"/>
      <c r="L24" s="118"/>
      <c r="M24" s="101"/>
      <c r="N24" s="101"/>
      <c r="O24" s="101"/>
      <c r="P24" s="99"/>
      <c r="Q24" s="99"/>
      <c r="R24" s="99"/>
      <c r="S24" s="99"/>
      <c r="T24" s="99"/>
      <c r="U24" s="99"/>
      <c r="V24" s="99"/>
      <c r="W24" s="99"/>
      <c r="X24" s="99"/>
      <c r="Y24" s="99"/>
      <c r="Z24" s="99"/>
    </row>
    <row r="25" spans="1:26">
      <c r="A25" s="120"/>
      <c r="B25" s="192" t="s">
        <v>188</v>
      </c>
      <c r="C25" s="188" t="s">
        <v>189</v>
      </c>
      <c r="D25" s="188" t="s">
        <v>204</v>
      </c>
      <c r="E25" s="192" t="s">
        <v>205</v>
      </c>
      <c r="F25" s="231" t="s">
        <v>206</v>
      </c>
      <c r="G25" s="234"/>
      <c r="H25" s="188" t="s">
        <v>207</v>
      </c>
      <c r="I25" s="132" t="s">
        <v>208</v>
      </c>
      <c r="J25" s="118"/>
      <c r="K25" s="118"/>
      <c r="L25" s="118"/>
      <c r="M25" s="101"/>
      <c r="N25" s="101"/>
      <c r="O25" s="101"/>
      <c r="P25" s="99"/>
      <c r="Q25" s="99"/>
      <c r="R25" s="99"/>
      <c r="S25" s="99"/>
      <c r="T25" s="99"/>
      <c r="U25" s="99"/>
      <c r="V25" s="99"/>
      <c r="W25" s="99"/>
      <c r="X25" s="99"/>
      <c r="Y25" s="99"/>
      <c r="Z25" s="99"/>
    </row>
    <row r="26" spans="1:26">
      <c r="A26" s="120"/>
      <c r="B26" s="187"/>
      <c r="C26" s="133"/>
      <c r="D26" s="133"/>
      <c r="E26" s="187"/>
      <c r="F26" s="169"/>
      <c r="G26" s="170"/>
      <c r="H26" s="133"/>
      <c r="I26" s="134"/>
      <c r="J26" s="118"/>
      <c r="K26" s="118"/>
      <c r="L26" s="118"/>
      <c r="M26" s="101"/>
      <c r="N26" s="101"/>
      <c r="O26" s="101"/>
      <c r="P26" s="99"/>
      <c r="Q26" s="99"/>
      <c r="R26" s="99"/>
      <c r="S26" s="99"/>
      <c r="T26" s="99"/>
      <c r="U26" s="99"/>
      <c r="V26" s="99"/>
      <c r="W26" s="99"/>
      <c r="X26" s="99"/>
      <c r="Y26" s="99"/>
      <c r="Z26" s="99"/>
    </row>
    <row r="27" spans="1:26">
      <c r="A27" s="120"/>
      <c r="B27" s="127"/>
      <c r="C27" s="133"/>
      <c r="D27" s="133"/>
      <c r="E27" s="187"/>
      <c r="F27" s="133"/>
      <c r="G27" s="134"/>
      <c r="H27" s="118"/>
      <c r="I27" s="118"/>
      <c r="J27" s="118"/>
      <c r="K27" s="118"/>
      <c r="L27" s="118"/>
      <c r="M27" s="101"/>
      <c r="N27" s="101"/>
      <c r="O27" s="101"/>
      <c r="P27" s="99"/>
      <c r="Q27" s="99"/>
      <c r="R27" s="99"/>
      <c r="S27" s="99"/>
      <c r="T27" s="99"/>
      <c r="U27" s="99"/>
      <c r="V27" s="99"/>
      <c r="W27" s="99"/>
      <c r="X27" s="99"/>
      <c r="Y27" s="99"/>
      <c r="Z27" s="99"/>
    </row>
    <row r="28" spans="1:26" ht="15">
      <c r="A28" s="120"/>
      <c r="B28" s="29" t="s">
        <v>209</v>
      </c>
      <c r="C28" s="133"/>
      <c r="D28" s="133"/>
      <c r="E28" s="187"/>
      <c r="F28" s="133"/>
      <c r="G28" s="118"/>
      <c r="H28" s="118"/>
      <c r="I28" s="118"/>
      <c r="J28" s="118"/>
      <c r="K28" s="118"/>
      <c r="L28" s="118"/>
      <c r="M28" s="101"/>
      <c r="N28" s="101"/>
      <c r="O28" s="101"/>
      <c r="P28" s="99"/>
      <c r="Q28" s="99"/>
      <c r="R28" s="99"/>
      <c r="S28" s="99"/>
      <c r="T28" s="99"/>
      <c r="U28" s="99"/>
      <c r="V28" s="99"/>
      <c r="W28" s="99"/>
      <c r="X28" s="99"/>
      <c r="Y28" s="99"/>
      <c r="Z28" s="99"/>
    </row>
    <row r="29" spans="1:26">
      <c r="A29" s="120"/>
      <c r="B29" s="192" t="s">
        <v>196</v>
      </c>
      <c r="C29" s="188" t="s">
        <v>210</v>
      </c>
      <c r="D29" s="256" t="s">
        <v>211</v>
      </c>
      <c r="E29" s="256"/>
      <c r="F29" s="188" t="s">
        <v>212</v>
      </c>
      <c r="G29" s="264" t="s">
        <v>213</v>
      </c>
      <c r="H29" s="264"/>
      <c r="I29" s="118"/>
      <c r="J29" s="118"/>
      <c r="K29" s="118"/>
      <c r="L29" s="118"/>
      <c r="M29" s="101"/>
      <c r="N29" s="101"/>
      <c r="O29" s="101"/>
      <c r="P29" s="99"/>
      <c r="Q29" s="99"/>
      <c r="R29" s="99"/>
      <c r="S29" s="99"/>
      <c r="T29" s="99"/>
      <c r="U29" s="99"/>
      <c r="V29" s="99"/>
      <c r="W29" s="99"/>
      <c r="X29" s="99"/>
      <c r="Y29" s="99"/>
      <c r="Z29" s="99"/>
    </row>
    <row r="30" spans="1:26">
      <c r="A30" s="120"/>
      <c r="B30" s="192" t="s">
        <v>203</v>
      </c>
      <c r="C30" s="135">
        <v>20</v>
      </c>
      <c r="D30" s="286">
        <f>E133</f>
        <v>20</v>
      </c>
      <c r="E30" s="287"/>
      <c r="F30" s="135">
        <v>30</v>
      </c>
      <c r="G30" s="265">
        <f>E135</f>
        <v>1.2</v>
      </c>
      <c r="H30" s="266"/>
      <c r="I30" s="118"/>
      <c r="J30" s="118"/>
      <c r="K30" s="118"/>
      <c r="L30" s="118"/>
      <c r="M30" s="101"/>
      <c r="N30" s="101"/>
      <c r="O30" s="101"/>
      <c r="P30" s="99"/>
      <c r="Q30" s="99"/>
      <c r="R30" s="99"/>
      <c r="S30" s="99"/>
      <c r="T30" s="99"/>
      <c r="U30" s="99"/>
      <c r="V30" s="99"/>
      <c r="W30" s="99"/>
      <c r="X30" s="99"/>
      <c r="Y30" s="99"/>
      <c r="Z30" s="99"/>
    </row>
    <row r="31" spans="1:26">
      <c r="A31" s="120"/>
      <c r="B31" s="192" t="s">
        <v>188</v>
      </c>
      <c r="C31" s="188" t="s">
        <v>214</v>
      </c>
      <c r="D31" s="252" t="s">
        <v>214</v>
      </c>
      <c r="E31" s="257"/>
      <c r="F31" s="188" t="s">
        <v>214</v>
      </c>
      <c r="G31" s="226" t="s">
        <v>189</v>
      </c>
      <c r="H31" s="228"/>
      <c r="I31" s="118"/>
      <c r="J31" s="118"/>
      <c r="K31" s="118"/>
      <c r="L31" s="118"/>
      <c r="M31" s="101"/>
      <c r="N31" s="101"/>
      <c r="O31" s="101"/>
      <c r="P31" s="99"/>
      <c r="Q31" s="99"/>
      <c r="R31" s="99"/>
      <c r="S31" s="99"/>
      <c r="T31" s="99"/>
      <c r="U31" s="99"/>
      <c r="V31" s="99"/>
      <c r="W31" s="99"/>
      <c r="X31" s="99"/>
      <c r="Y31" s="99"/>
      <c r="Z31" s="99"/>
    </row>
    <row r="32" spans="1:26">
      <c r="A32" s="120"/>
      <c r="B32" s="136" t="s">
        <v>215</v>
      </c>
      <c r="C32" s="133"/>
      <c r="D32" s="133"/>
      <c r="E32" s="187"/>
      <c r="F32" s="133"/>
      <c r="G32" s="134"/>
      <c r="H32" s="118"/>
      <c r="I32" s="118"/>
      <c r="J32" s="118"/>
      <c r="K32" s="118"/>
      <c r="L32" s="118"/>
      <c r="M32" s="101"/>
      <c r="N32" s="101"/>
      <c r="O32" s="101"/>
      <c r="P32" s="99"/>
      <c r="Q32" s="99"/>
      <c r="R32" s="99"/>
      <c r="S32" s="99"/>
      <c r="T32" s="99"/>
      <c r="U32" s="99"/>
      <c r="V32" s="99"/>
      <c r="W32" s="99"/>
      <c r="X32" s="99"/>
      <c r="Y32" s="99"/>
      <c r="Z32" s="99"/>
    </row>
    <row r="33" spans="1:26">
      <c r="A33" s="120"/>
      <c r="B33" s="127"/>
      <c r="C33" s="133"/>
      <c r="D33" s="133"/>
      <c r="E33" s="187"/>
      <c r="F33" s="133"/>
      <c r="G33" s="118"/>
      <c r="H33" s="118"/>
      <c r="I33" s="118"/>
      <c r="J33" s="118"/>
      <c r="K33" s="118"/>
      <c r="L33" s="118"/>
      <c r="M33" s="101"/>
      <c r="N33" s="101"/>
      <c r="O33" s="101"/>
      <c r="P33" s="99"/>
      <c r="Q33" s="99"/>
      <c r="R33" s="99"/>
      <c r="S33" s="99"/>
      <c r="T33" s="99"/>
      <c r="U33" s="99"/>
      <c r="V33" s="99"/>
      <c r="W33" s="99"/>
      <c r="X33" s="99"/>
      <c r="Y33" s="99"/>
      <c r="Z33" s="99"/>
    </row>
    <row r="34" spans="1:26">
      <c r="A34" s="120"/>
      <c r="B34" s="127"/>
      <c r="C34" s="133"/>
      <c r="D34" s="133"/>
      <c r="E34" s="187"/>
      <c r="F34" s="133"/>
      <c r="G34" s="118"/>
      <c r="H34" s="118"/>
      <c r="I34" s="118"/>
      <c r="J34" s="118"/>
      <c r="K34" s="118"/>
      <c r="L34" s="118"/>
      <c r="M34" s="101"/>
      <c r="N34" s="101"/>
      <c r="O34" s="101"/>
      <c r="P34" s="99"/>
      <c r="Q34" s="99"/>
      <c r="R34" s="99"/>
      <c r="S34" s="99"/>
      <c r="T34" s="99"/>
      <c r="U34" s="99"/>
      <c r="V34" s="99"/>
      <c r="W34" s="99"/>
      <c r="X34" s="99"/>
      <c r="Y34" s="99"/>
      <c r="Z34" s="99"/>
    </row>
    <row r="35" spans="1:26">
      <c r="A35" s="120"/>
      <c r="B35" s="19" t="s">
        <v>216</v>
      </c>
      <c r="C35" s="133"/>
      <c r="D35" s="133"/>
      <c r="E35" s="187"/>
      <c r="F35" s="133"/>
      <c r="G35" s="118"/>
      <c r="H35" s="118"/>
      <c r="I35" s="118"/>
      <c r="J35" s="118"/>
      <c r="K35" s="118"/>
      <c r="L35" s="118"/>
      <c r="M35" s="101"/>
      <c r="N35" s="101"/>
      <c r="O35" s="101"/>
      <c r="P35" s="99"/>
      <c r="Q35" s="99"/>
      <c r="R35" s="99"/>
      <c r="S35" s="99"/>
      <c r="T35" s="99"/>
      <c r="U35" s="99"/>
      <c r="V35" s="99"/>
      <c r="W35" s="99"/>
      <c r="X35" s="99"/>
      <c r="Y35" s="99"/>
      <c r="Z35" s="99"/>
    </row>
    <row r="36" spans="1:26">
      <c r="A36" s="120"/>
      <c r="B36" s="5" t="s">
        <v>217</v>
      </c>
      <c r="C36" s="187"/>
      <c r="D36" s="187"/>
      <c r="E36" s="187"/>
      <c r="F36" s="133"/>
      <c r="G36" s="118"/>
      <c r="H36" s="118"/>
      <c r="I36" s="118"/>
      <c r="J36" s="118"/>
      <c r="K36" s="118"/>
      <c r="L36" s="118"/>
      <c r="M36" s="101"/>
      <c r="N36" s="101"/>
      <c r="O36" s="101"/>
      <c r="P36" s="99"/>
      <c r="Q36" s="99"/>
      <c r="R36" s="99"/>
      <c r="S36" s="99"/>
      <c r="T36" s="99"/>
      <c r="U36" s="99"/>
      <c r="V36" s="99"/>
      <c r="W36" s="99"/>
      <c r="X36" s="99"/>
      <c r="Y36" s="99"/>
      <c r="Z36" s="99"/>
    </row>
    <row r="37" spans="1:26">
      <c r="A37" s="120"/>
      <c r="B37" s="137"/>
      <c r="C37" s="190" t="s">
        <v>218</v>
      </c>
      <c r="D37" s="105"/>
      <c r="E37" s="99"/>
      <c r="F37" s="99"/>
      <c r="G37" s="99"/>
      <c r="H37" s="99"/>
      <c r="I37" s="118"/>
      <c r="J37" s="118"/>
      <c r="K37" s="118"/>
      <c r="L37" s="118"/>
      <c r="M37" s="101"/>
      <c r="N37" s="101"/>
      <c r="O37" s="101"/>
      <c r="P37" s="99"/>
      <c r="Q37" s="99"/>
      <c r="R37" s="99"/>
      <c r="S37" s="99"/>
      <c r="T37" s="99"/>
      <c r="U37" s="99"/>
      <c r="V37" s="99"/>
      <c r="W37" s="99"/>
      <c r="X37" s="99"/>
      <c r="Y37" s="99"/>
      <c r="Z37" s="99"/>
    </row>
    <row r="38" spans="1:26">
      <c r="A38" s="120"/>
      <c r="B38" s="192" t="s">
        <v>203</v>
      </c>
      <c r="C38" s="182">
        <v>340</v>
      </c>
      <c r="D38" s="105"/>
      <c r="E38" s="99"/>
      <c r="F38" s="99"/>
      <c r="G38" s="99"/>
      <c r="H38" s="99"/>
      <c r="I38" s="118"/>
      <c r="J38" s="118"/>
      <c r="K38" s="118"/>
      <c r="L38" s="118"/>
      <c r="M38" s="101"/>
      <c r="N38" s="101"/>
      <c r="O38" s="101"/>
      <c r="P38" s="99"/>
      <c r="Q38" s="99"/>
      <c r="R38" s="99"/>
      <c r="S38" s="99"/>
      <c r="T38" s="99"/>
      <c r="U38" s="99"/>
      <c r="V38" s="99"/>
      <c r="W38" s="99"/>
      <c r="X38" s="99"/>
      <c r="Y38" s="99"/>
      <c r="Z38" s="99"/>
    </row>
    <row r="39" spans="1:26">
      <c r="A39" s="120"/>
      <c r="B39" s="192" t="s">
        <v>188</v>
      </c>
      <c r="C39" s="190" t="s">
        <v>219</v>
      </c>
      <c r="D39" s="105"/>
      <c r="E39" s="99"/>
      <c r="F39" s="99"/>
      <c r="G39" s="99"/>
      <c r="H39" s="99"/>
      <c r="I39" s="118"/>
      <c r="J39" s="118"/>
      <c r="K39" s="118"/>
      <c r="L39" s="118"/>
      <c r="M39" s="101"/>
      <c r="N39" s="101"/>
      <c r="O39" s="101"/>
      <c r="P39" s="99"/>
      <c r="Q39" s="99"/>
      <c r="R39" s="99"/>
      <c r="S39" s="99"/>
      <c r="T39" s="99"/>
      <c r="U39" s="99"/>
      <c r="V39" s="99"/>
      <c r="W39" s="99"/>
      <c r="X39" s="99"/>
      <c r="Y39" s="99"/>
      <c r="Z39" s="99"/>
    </row>
    <row r="40" spans="1:26">
      <c r="A40" s="120"/>
      <c r="B40" s="5" t="s">
        <v>220</v>
      </c>
      <c r="D40" s="99"/>
      <c r="E40" s="99"/>
      <c r="F40" s="99"/>
      <c r="G40" s="99"/>
      <c r="I40" s="187"/>
      <c r="J40" s="187"/>
      <c r="K40" s="187"/>
      <c r="L40" s="118"/>
      <c r="M40" s="101"/>
      <c r="N40" s="101"/>
      <c r="O40" s="101"/>
      <c r="P40" s="99"/>
      <c r="Q40" s="99"/>
      <c r="R40" s="99"/>
      <c r="S40" s="99"/>
      <c r="T40" s="99"/>
      <c r="U40" s="99"/>
      <c r="V40" s="99"/>
      <c r="W40" s="99"/>
      <c r="X40" s="99"/>
      <c r="Y40" s="99"/>
      <c r="Z40" s="99"/>
    </row>
    <row r="41" spans="1:26" ht="14.5">
      <c r="A41" s="120"/>
      <c r="B41" s="137"/>
      <c r="C41" s="199" t="s">
        <v>356</v>
      </c>
      <c r="D41" s="200"/>
      <c r="E41" s="201"/>
      <c r="F41" s="199" t="s">
        <v>357</v>
      </c>
      <c r="G41" s="200"/>
      <c r="H41" s="201"/>
      <c r="I41" s="192" t="s">
        <v>52</v>
      </c>
      <c r="J41" s="105"/>
      <c r="K41" s="99"/>
      <c r="L41" s="118"/>
      <c r="M41" s="101"/>
      <c r="N41" s="101"/>
      <c r="O41" s="101"/>
      <c r="P41" s="99"/>
      <c r="Q41" s="99"/>
      <c r="R41" s="99"/>
      <c r="S41" s="99"/>
      <c r="T41" s="99"/>
      <c r="U41" s="99"/>
      <c r="V41" s="99"/>
      <c r="W41" s="99"/>
      <c r="X41" s="99"/>
      <c r="Y41" s="99"/>
      <c r="Z41" s="99"/>
    </row>
    <row r="42" spans="1:26">
      <c r="A42" s="120"/>
      <c r="B42" s="192" t="s">
        <v>203</v>
      </c>
      <c r="C42" s="202" t="str">
        <f>"More than "&amp;TEXT(E156,"#.0")</f>
        <v>More than 4.7</v>
      </c>
      <c r="D42" s="203"/>
      <c r="E42" s="204"/>
      <c r="F42" s="202" t="str">
        <f>"More than "&amp;TEXT(E98,"#.0")</f>
        <v>More than 2.8</v>
      </c>
      <c r="G42" s="203"/>
      <c r="H42" s="204"/>
      <c r="I42" s="124">
        <v>4.7</v>
      </c>
      <c r="J42" s="105"/>
      <c r="K42" s="99"/>
      <c r="L42" s="118"/>
      <c r="M42" s="101"/>
      <c r="N42" s="101"/>
      <c r="O42" s="101"/>
      <c r="P42" s="99"/>
      <c r="Q42" s="99"/>
      <c r="R42" s="99"/>
      <c r="S42" s="99"/>
      <c r="T42" s="99"/>
      <c r="U42" s="99"/>
      <c r="V42" s="99"/>
      <c r="W42" s="99"/>
      <c r="X42" s="99"/>
      <c r="Y42" s="99"/>
      <c r="Z42" s="99"/>
    </row>
    <row r="43" spans="1:26">
      <c r="A43" s="120"/>
      <c r="B43" s="192" t="s">
        <v>188</v>
      </c>
      <c r="C43" s="205" t="s">
        <v>358</v>
      </c>
      <c r="D43" s="206"/>
      <c r="E43" s="201"/>
      <c r="F43" s="205" t="s">
        <v>358</v>
      </c>
      <c r="G43" s="206"/>
      <c r="H43" s="201"/>
      <c r="I43" s="188" t="s">
        <v>359</v>
      </c>
      <c r="J43" s="105"/>
      <c r="K43" s="99"/>
      <c r="L43" s="118"/>
      <c r="M43" s="101"/>
      <c r="N43" s="101"/>
      <c r="O43" s="101"/>
      <c r="P43" s="99"/>
      <c r="Q43" s="99"/>
      <c r="R43" s="99"/>
      <c r="S43" s="99"/>
      <c r="T43" s="99"/>
      <c r="U43" s="99"/>
      <c r="V43" s="99"/>
      <c r="W43" s="99"/>
      <c r="X43" s="99"/>
      <c r="Y43" s="99"/>
      <c r="Z43" s="99"/>
    </row>
    <row r="44" spans="1:26">
      <c r="A44" s="120"/>
      <c r="B44" s="127" t="s">
        <v>342</v>
      </c>
      <c r="C44" s="207" t="s">
        <v>360</v>
      </c>
      <c r="D44" s="133"/>
      <c r="E44" s="187"/>
      <c r="F44" s="133"/>
      <c r="G44" s="118"/>
      <c r="H44" s="118"/>
      <c r="I44" s="118"/>
      <c r="J44" s="118"/>
      <c r="K44" s="118"/>
      <c r="L44" s="118"/>
      <c r="M44" s="101"/>
      <c r="N44" s="101"/>
      <c r="O44" s="101"/>
      <c r="P44" s="101"/>
      <c r="Q44" s="101"/>
      <c r="R44" s="99"/>
      <c r="S44" s="99"/>
      <c r="T44" s="99"/>
      <c r="U44" s="99"/>
      <c r="V44" s="99"/>
      <c r="W44" s="99"/>
      <c r="X44" s="99"/>
      <c r="Y44" s="99"/>
      <c r="Z44" s="99"/>
    </row>
    <row r="45" spans="1:26">
      <c r="A45" s="120"/>
      <c r="B45" s="127"/>
      <c r="C45" s="133"/>
      <c r="D45" s="133"/>
      <c r="E45" s="187"/>
      <c r="F45" s="133"/>
      <c r="G45" s="118"/>
      <c r="H45" s="118"/>
      <c r="I45" s="118"/>
      <c r="J45" s="118"/>
      <c r="K45" s="118"/>
      <c r="L45" s="118"/>
      <c r="M45" s="101"/>
      <c r="N45" s="101"/>
      <c r="O45" s="101"/>
      <c r="P45" s="101"/>
      <c r="Q45" s="101"/>
      <c r="R45" s="99"/>
      <c r="S45" s="99"/>
      <c r="T45" s="99"/>
      <c r="U45" s="99"/>
      <c r="V45" s="99"/>
      <c r="W45" s="99"/>
      <c r="X45" s="99"/>
      <c r="Y45" s="99"/>
      <c r="Z45" s="99"/>
    </row>
    <row r="46" spans="1:26">
      <c r="A46" s="120"/>
      <c r="B46" s="127"/>
      <c r="C46" s="133"/>
      <c r="D46" s="133"/>
      <c r="E46" s="187"/>
      <c r="F46" s="133"/>
      <c r="G46" s="118"/>
      <c r="H46" s="118"/>
      <c r="I46" s="118"/>
      <c r="J46" s="118"/>
      <c r="K46" s="118"/>
      <c r="L46" s="118"/>
      <c r="M46" s="101"/>
      <c r="N46" s="101"/>
      <c r="O46" s="101"/>
      <c r="P46" s="101"/>
      <c r="Q46" s="101"/>
      <c r="R46" s="99"/>
      <c r="S46" s="99"/>
      <c r="T46" s="99"/>
      <c r="U46" s="99"/>
      <c r="V46" s="99"/>
      <c r="W46" s="99"/>
      <c r="X46" s="99"/>
      <c r="Y46" s="99"/>
      <c r="Z46" s="99"/>
    </row>
    <row r="47" spans="1:26">
      <c r="A47" s="120"/>
      <c r="B47" s="127"/>
      <c r="C47" s="133"/>
      <c r="D47" s="133"/>
      <c r="E47" s="187"/>
      <c r="F47" s="133"/>
      <c r="G47" s="118"/>
      <c r="H47" s="118"/>
      <c r="I47" s="118"/>
      <c r="J47" s="118"/>
      <c r="K47" s="118"/>
      <c r="L47" s="118"/>
      <c r="M47" s="101"/>
      <c r="N47" s="101"/>
      <c r="O47" s="101"/>
      <c r="P47" s="101"/>
      <c r="Q47" s="101"/>
      <c r="R47" s="99"/>
      <c r="S47" s="99"/>
      <c r="T47" s="99"/>
      <c r="U47" s="99"/>
      <c r="V47" s="99"/>
      <c r="W47" s="99"/>
      <c r="X47" s="99"/>
      <c r="Y47" s="99"/>
      <c r="Z47" s="99"/>
    </row>
    <row r="48" spans="1:26">
      <c r="A48" s="120"/>
      <c r="B48" s="127"/>
      <c r="C48" s="133"/>
      <c r="D48" s="133"/>
      <c r="E48" s="187"/>
      <c r="F48" s="133"/>
      <c r="G48" s="118"/>
      <c r="H48" s="118"/>
      <c r="I48" s="118"/>
      <c r="J48" s="118"/>
      <c r="K48" s="118"/>
      <c r="L48" s="118"/>
      <c r="M48" s="101"/>
      <c r="N48" s="101"/>
      <c r="O48" s="101"/>
      <c r="P48" s="101"/>
      <c r="Q48" s="101"/>
      <c r="R48" s="99"/>
      <c r="S48" s="99"/>
      <c r="T48" s="99"/>
      <c r="U48" s="99"/>
      <c r="V48" s="99"/>
      <c r="W48" s="99"/>
      <c r="X48" s="99"/>
      <c r="Y48" s="99"/>
      <c r="Z48" s="99"/>
    </row>
    <row r="49" spans="1:26" ht="14.5">
      <c r="A49" s="120"/>
      <c r="B49" s="248" t="s">
        <v>350</v>
      </c>
      <c r="C49" s="249"/>
      <c r="D49" s="198" t="s">
        <v>351</v>
      </c>
      <c r="E49" s="237" t="s">
        <v>353</v>
      </c>
      <c r="F49" s="227"/>
      <c r="G49" s="238"/>
      <c r="H49" s="189" t="s">
        <v>344</v>
      </c>
      <c r="I49" s="118"/>
      <c r="J49" s="118"/>
      <c r="K49" s="118"/>
      <c r="L49" s="118"/>
      <c r="M49" s="101"/>
      <c r="N49" s="101"/>
      <c r="O49" s="101"/>
      <c r="P49" s="101"/>
      <c r="Q49" s="101"/>
      <c r="R49" s="99"/>
      <c r="S49" s="99"/>
      <c r="T49" s="99"/>
      <c r="U49" s="99"/>
      <c r="V49" s="99"/>
      <c r="W49" s="99"/>
      <c r="X49" s="99"/>
      <c r="Y49" s="99"/>
      <c r="Z49" s="99"/>
    </row>
    <row r="50" spans="1:26">
      <c r="A50" s="120"/>
      <c r="B50" s="250">
        <f>E139</f>
        <v>99.596334850998332</v>
      </c>
      <c r="C50" s="251"/>
      <c r="D50" s="212">
        <f>E138</f>
        <v>100</v>
      </c>
      <c r="E50" s="258">
        <f>C24*I42/(E24*H24*0.001)</f>
        <v>33.333333333333329</v>
      </c>
      <c r="F50" s="259"/>
      <c r="G50" s="260"/>
      <c r="H50" s="208">
        <f>E140</f>
        <v>2.0773999999999999</v>
      </c>
      <c r="I50" s="118"/>
      <c r="J50" s="141"/>
      <c r="K50" s="118"/>
      <c r="L50" s="142"/>
      <c r="M50" s="101"/>
      <c r="N50" s="101"/>
      <c r="O50" s="101"/>
      <c r="P50" s="99"/>
      <c r="Q50" s="99"/>
      <c r="R50" s="99"/>
      <c r="S50" s="99"/>
      <c r="T50" s="99"/>
      <c r="U50" s="99"/>
      <c r="V50" s="99"/>
      <c r="W50" s="99"/>
      <c r="X50" s="99"/>
      <c r="Y50" s="99"/>
      <c r="Z50" s="99"/>
    </row>
    <row r="51" spans="1:26" ht="14.25" customHeight="1">
      <c r="A51" s="120"/>
      <c r="B51" s="252" t="s">
        <v>352</v>
      </c>
      <c r="C51" s="253"/>
      <c r="D51" s="198" t="s">
        <v>352</v>
      </c>
      <c r="E51" s="261" t="s">
        <v>354</v>
      </c>
      <c r="F51" s="262"/>
      <c r="G51" s="263"/>
      <c r="H51" s="189" t="s">
        <v>338</v>
      </c>
      <c r="J51" s="99"/>
      <c r="K51" s="142"/>
      <c r="L51" s="118"/>
      <c r="M51" s="101"/>
      <c r="N51" s="101"/>
      <c r="O51" s="101"/>
      <c r="P51" s="99"/>
      <c r="Q51" s="99"/>
      <c r="R51" s="99"/>
      <c r="S51" s="99"/>
      <c r="T51" s="99"/>
      <c r="U51" s="99"/>
      <c r="V51" s="99"/>
      <c r="W51" s="99"/>
      <c r="X51" s="99"/>
      <c r="Y51" s="99"/>
      <c r="Z51" s="99"/>
    </row>
    <row r="52" spans="1:26">
      <c r="A52" s="120"/>
      <c r="B52" s="209"/>
      <c r="C52" s="209"/>
      <c r="D52" s="209"/>
      <c r="E52" s="209"/>
      <c r="F52" s="209"/>
      <c r="G52" s="209"/>
      <c r="H52" s="209"/>
      <c r="I52" s="209"/>
      <c r="J52" s="99"/>
      <c r="K52" s="142"/>
      <c r="L52" s="118"/>
      <c r="M52" s="101"/>
      <c r="N52" s="101"/>
      <c r="O52" s="101"/>
      <c r="P52" s="99"/>
      <c r="Q52" s="99"/>
      <c r="R52" s="99"/>
      <c r="S52" s="99"/>
      <c r="T52" s="99"/>
      <c r="U52" s="99"/>
      <c r="V52" s="99"/>
      <c r="W52" s="99"/>
      <c r="X52" s="99"/>
      <c r="Y52" s="99"/>
      <c r="Z52" s="99"/>
    </row>
    <row r="53" spans="1:26">
      <c r="A53" s="120"/>
      <c r="B53" s="210" t="s">
        <v>221</v>
      </c>
      <c r="C53" s="209"/>
      <c r="D53" s="209"/>
      <c r="E53" s="209"/>
      <c r="F53" s="209"/>
      <c r="G53" s="209"/>
      <c r="H53" s="209"/>
      <c r="I53" s="209"/>
      <c r="J53" s="99"/>
      <c r="K53" s="142"/>
      <c r="L53" s="118"/>
      <c r="M53" s="101"/>
      <c r="N53" s="101"/>
      <c r="O53" s="101"/>
      <c r="P53" s="99"/>
      <c r="Q53" s="99"/>
      <c r="R53" s="99"/>
      <c r="S53" s="99"/>
      <c r="T53" s="99"/>
      <c r="U53" s="99"/>
      <c r="V53" s="99"/>
      <c r="W53" s="99"/>
      <c r="X53" s="99"/>
      <c r="Y53" s="99"/>
      <c r="Z53" s="99"/>
    </row>
    <row r="54" spans="1:26">
      <c r="A54" s="120"/>
      <c r="B54" s="211" t="s">
        <v>222</v>
      </c>
      <c r="C54" s="209"/>
      <c r="D54" s="209"/>
      <c r="E54" s="209"/>
      <c r="F54" s="209"/>
      <c r="G54" s="209"/>
      <c r="H54" s="209"/>
      <c r="I54" s="209"/>
      <c r="J54" s="99"/>
      <c r="K54" s="142"/>
      <c r="L54" s="118"/>
      <c r="M54" s="101"/>
      <c r="N54" s="101"/>
      <c r="O54" s="101"/>
      <c r="P54" s="99"/>
      <c r="Q54" s="99"/>
      <c r="R54" s="99"/>
      <c r="S54" s="99"/>
      <c r="T54" s="99"/>
      <c r="U54" s="99"/>
      <c r="V54" s="99"/>
      <c r="W54" s="99"/>
      <c r="X54" s="99"/>
      <c r="Y54" s="99"/>
      <c r="Z54" s="99"/>
    </row>
    <row r="55" spans="1:26" ht="13.5" customHeight="1">
      <c r="A55" s="120"/>
      <c r="B55" s="243" t="s">
        <v>223</v>
      </c>
      <c r="C55" s="158" t="s">
        <v>224</v>
      </c>
      <c r="D55" s="245" t="s">
        <v>225</v>
      </c>
      <c r="E55" s="246"/>
      <c r="F55" s="246"/>
      <c r="G55" s="246"/>
      <c r="H55" s="247"/>
      <c r="I55" s="158" t="s">
        <v>226</v>
      </c>
      <c r="J55" s="118"/>
      <c r="K55" s="118"/>
      <c r="L55" s="142"/>
      <c r="M55" s="101"/>
      <c r="N55" s="101"/>
      <c r="O55" s="101"/>
      <c r="P55" s="99"/>
      <c r="Q55" s="99"/>
      <c r="R55" s="99"/>
      <c r="S55" s="99"/>
      <c r="T55" s="99"/>
      <c r="U55" s="99"/>
      <c r="V55" s="99"/>
      <c r="W55" s="99"/>
      <c r="X55" s="99"/>
      <c r="Y55" s="99"/>
      <c r="Z55" s="99"/>
    </row>
    <row r="56" spans="1:26" ht="14.5">
      <c r="A56" s="120"/>
      <c r="B56" s="244"/>
      <c r="C56" s="159" t="s">
        <v>227</v>
      </c>
      <c r="D56" s="143" t="s">
        <v>192</v>
      </c>
      <c r="E56" s="143" t="s">
        <v>228</v>
      </c>
      <c r="F56" s="143" t="s">
        <v>229</v>
      </c>
      <c r="G56" s="160" t="s">
        <v>230</v>
      </c>
      <c r="H56" s="143" t="s">
        <v>231</v>
      </c>
      <c r="I56" s="161" t="s">
        <v>232</v>
      </c>
      <c r="J56" s="141"/>
      <c r="K56" s="118"/>
      <c r="L56" s="142"/>
      <c r="M56" s="101"/>
      <c r="N56" s="101"/>
      <c r="O56" s="101"/>
      <c r="P56" s="99"/>
      <c r="Q56" s="99"/>
      <c r="R56" s="99"/>
      <c r="S56" s="99"/>
      <c r="T56" s="99"/>
      <c r="U56" s="99"/>
      <c r="V56" s="99"/>
      <c r="W56" s="99"/>
      <c r="X56" s="99"/>
      <c r="Y56" s="99"/>
      <c r="Z56" s="99"/>
    </row>
    <row r="57" spans="1:26" ht="14">
      <c r="A57" s="120"/>
      <c r="B57" s="192" t="s">
        <v>203</v>
      </c>
      <c r="C57" s="145">
        <v>8</v>
      </c>
      <c r="D57" s="180">
        <f>E57^2/F57</f>
        <v>2.5714285714285716</v>
      </c>
      <c r="E57" s="145">
        <v>3</v>
      </c>
      <c r="F57" s="145">
        <v>3.5</v>
      </c>
      <c r="G57" s="1">
        <v>2</v>
      </c>
      <c r="H57" s="145">
        <v>1.3</v>
      </c>
      <c r="I57" s="145">
        <v>1</v>
      </c>
      <c r="J57" s="142"/>
      <c r="K57" s="146"/>
      <c r="L57" s="10"/>
      <c r="M57" s="101"/>
      <c r="N57" s="101"/>
      <c r="O57" s="101"/>
      <c r="P57" s="99"/>
      <c r="Q57" s="99"/>
      <c r="R57" s="99"/>
      <c r="S57" s="99"/>
      <c r="T57" s="99"/>
      <c r="U57" s="99"/>
      <c r="V57" s="99"/>
      <c r="W57" s="99"/>
      <c r="X57" s="99"/>
      <c r="Y57" s="99"/>
      <c r="Z57" s="99"/>
    </row>
    <row r="58" spans="1:26" ht="14">
      <c r="A58" s="120"/>
      <c r="B58" s="192" t="s">
        <v>188</v>
      </c>
      <c r="C58" s="192" t="s">
        <v>233</v>
      </c>
      <c r="D58" s="192" t="s">
        <v>233</v>
      </c>
      <c r="E58" s="192" t="s">
        <v>233</v>
      </c>
      <c r="F58" s="192" t="s">
        <v>233</v>
      </c>
      <c r="G58" s="192" t="s">
        <v>234</v>
      </c>
      <c r="H58" s="192" t="s">
        <v>234</v>
      </c>
      <c r="I58" s="192" t="s">
        <v>233</v>
      </c>
      <c r="J58" s="153"/>
      <c r="K58" s="147"/>
      <c r="L58" s="10"/>
      <c r="M58" s="101"/>
      <c r="N58" s="101"/>
      <c r="O58" s="101"/>
      <c r="P58" s="99"/>
      <c r="Q58" s="99"/>
      <c r="R58" s="99"/>
      <c r="S58" s="99"/>
      <c r="T58" s="99"/>
      <c r="U58" s="99"/>
      <c r="V58" s="99"/>
      <c r="W58" s="99"/>
      <c r="X58" s="99"/>
      <c r="Y58" s="99"/>
      <c r="Z58" s="99"/>
    </row>
    <row r="59" spans="1:26">
      <c r="A59" s="120"/>
      <c r="B59" s="136" t="s">
        <v>235</v>
      </c>
      <c r="C59" s="187"/>
      <c r="F59" s="133"/>
      <c r="G59" s="133"/>
      <c r="H59" s="127"/>
      <c r="I59" s="220"/>
      <c r="J59" s="220"/>
      <c r="K59" s="187"/>
      <c r="L59" s="118"/>
      <c r="M59" s="101"/>
      <c r="N59" s="101"/>
      <c r="O59" s="101"/>
      <c r="P59" s="99"/>
      <c r="Q59" s="99"/>
      <c r="R59" s="99"/>
      <c r="S59" s="99"/>
      <c r="T59" s="99"/>
      <c r="U59" s="99"/>
      <c r="V59" s="99"/>
      <c r="W59" s="99"/>
      <c r="X59" s="99"/>
      <c r="Y59" s="99"/>
      <c r="Z59" s="99"/>
    </row>
    <row r="60" spans="1:26">
      <c r="A60" s="120"/>
      <c r="B60" s="5" t="s">
        <v>236</v>
      </c>
      <c r="C60" s="187"/>
      <c r="D60" s="187"/>
      <c r="E60" s="187"/>
      <c r="F60" s="133"/>
      <c r="G60" s="133"/>
      <c r="H60" s="127"/>
      <c r="I60" s="187"/>
      <c r="J60" s="187"/>
      <c r="K60" s="187"/>
      <c r="L60" s="118"/>
      <c r="M60" s="101"/>
      <c r="N60" s="101"/>
      <c r="O60" s="101"/>
      <c r="P60" s="99"/>
      <c r="Q60" s="99"/>
      <c r="R60" s="99"/>
      <c r="S60" s="99"/>
      <c r="T60" s="99"/>
      <c r="U60" s="99"/>
      <c r="V60" s="99"/>
      <c r="W60" s="99"/>
      <c r="X60" s="99"/>
      <c r="Y60" s="99"/>
      <c r="Z60" s="99"/>
    </row>
    <row r="61" spans="1:26">
      <c r="A61" s="120"/>
      <c r="B61" s="137"/>
      <c r="C61" s="226" t="s">
        <v>237</v>
      </c>
      <c r="D61" s="228"/>
      <c r="E61" s="192" t="s">
        <v>238</v>
      </c>
      <c r="F61" s="133"/>
      <c r="G61" s="133"/>
      <c r="H61" s="127"/>
      <c r="I61" s="187"/>
      <c r="J61" s="187"/>
      <c r="K61" s="187"/>
      <c r="L61" s="118"/>
      <c r="M61" s="101"/>
      <c r="N61" s="101"/>
      <c r="O61" s="101"/>
      <c r="P61" s="99"/>
      <c r="Q61" s="99"/>
      <c r="R61" s="99"/>
      <c r="S61" s="99"/>
      <c r="T61" s="99"/>
      <c r="U61" s="99"/>
      <c r="V61" s="99"/>
      <c r="W61" s="99"/>
      <c r="X61" s="99"/>
      <c r="Y61" s="99"/>
      <c r="Z61" s="99"/>
    </row>
    <row r="62" spans="1:26">
      <c r="A62" s="120"/>
      <c r="B62" s="192" t="s">
        <v>203</v>
      </c>
      <c r="C62" s="286" t="str">
        <f>"More than "&amp;TEXT(I103,"#.0")</f>
        <v>More than 16.2</v>
      </c>
      <c r="D62" s="287"/>
      <c r="E62" s="129">
        <v>25.5</v>
      </c>
      <c r="F62" s="133"/>
      <c r="G62" s="133"/>
      <c r="H62" s="127"/>
      <c r="I62" s="187"/>
      <c r="J62" s="187"/>
      <c r="K62" s="187"/>
      <c r="L62" s="118"/>
      <c r="M62" s="101"/>
      <c r="N62" s="101"/>
      <c r="O62" s="101"/>
      <c r="P62" s="99"/>
      <c r="Q62" s="99"/>
      <c r="R62" s="99"/>
      <c r="S62" s="99"/>
      <c r="T62" s="99"/>
      <c r="U62" s="99"/>
      <c r="V62" s="99"/>
      <c r="W62" s="99"/>
      <c r="X62" s="99"/>
      <c r="Y62" s="99"/>
      <c r="Z62" s="99"/>
    </row>
    <row r="63" spans="1:26">
      <c r="A63" s="120"/>
      <c r="B63" s="192" t="s">
        <v>188</v>
      </c>
      <c r="C63" s="252" t="s">
        <v>239</v>
      </c>
      <c r="D63" s="257"/>
      <c r="E63" s="188" t="s">
        <v>239</v>
      </c>
      <c r="F63" s="133"/>
      <c r="G63" s="133"/>
      <c r="H63" s="127"/>
      <c r="I63" s="187"/>
      <c r="J63" s="187"/>
      <c r="K63" s="187"/>
      <c r="L63" s="118"/>
      <c r="M63" s="101"/>
      <c r="N63" s="101"/>
      <c r="O63" s="101"/>
      <c r="P63" s="99"/>
      <c r="Q63" s="99"/>
      <c r="R63" s="99"/>
      <c r="S63" s="99"/>
      <c r="T63" s="99"/>
      <c r="U63" s="99"/>
      <c r="V63" s="99"/>
      <c r="W63" s="99"/>
      <c r="X63" s="99"/>
      <c r="Y63" s="99"/>
      <c r="Z63" s="99"/>
    </row>
    <row r="64" spans="1:26">
      <c r="A64" s="120"/>
      <c r="B64" s="5" t="s">
        <v>240</v>
      </c>
      <c r="C64" s="125"/>
      <c r="D64" s="125"/>
      <c r="E64" s="118"/>
      <c r="F64" s="118"/>
      <c r="G64" s="125"/>
      <c r="H64" s="110"/>
      <c r="I64" s="125"/>
      <c r="J64" s="125"/>
      <c r="K64" s="118"/>
      <c r="L64" s="118"/>
      <c r="M64" s="101"/>
      <c r="N64" s="101"/>
      <c r="O64" s="101"/>
      <c r="P64" s="99"/>
      <c r="Q64" s="99"/>
      <c r="R64" s="99"/>
      <c r="S64" s="99"/>
      <c r="T64" s="99"/>
      <c r="U64" s="99"/>
      <c r="V64" s="99"/>
      <c r="W64" s="99"/>
      <c r="X64" s="99"/>
      <c r="Y64" s="99"/>
      <c r="Z64" s="99"/>
    </row>
    <row r="65" spans="1:26" ht="14">
      <c r="A65" s="120"/>
      <c r="B65" s="218"/>
      <c r="C65" s="226" t="s">
        <v>241</v>
      </c>
      <c r="D65" s="227"/>
      <c r="E65" s="227"/>
      <c r="F65" s="228"/>
      <c r="G65" s="10"/>
      <c r="H65" s="136"/>
      <c r="I65" s="142"/>
      <c r="J65" s="142"/>
      <c r="K65" s="142"/>
      <c r="L65" s="142"/>
      <c r="M65" s="101"/>
      <c r="N65" s="101"/>
      <c r="O65" s="101"/>
      <c r="P65" s="99"/>
      <c r="Q65" s="99"/>
      <c r="R65" s="99"/>
      <c r="S65" s="99"/>
      <c r="T65" s="99"/>
      <c r="U65" s="99"/>
      <c r="V65" s="99"/>
      <c r="W65" s="99"/>
      <c r="X65" s="99"/>
      <c r="Y65" s="99"/>
      <c r="Z65" s="99"/>
    </row>
    <row r="66" spans="1:26" ht="14">
      <c r="A66" s="120"/>
      <c r="B66" s="219"/>
      <c r="C66" s="148" t="s">
        <v>242</v>
      </c>
      <c r="D66" s="149" t="s">
        <v>243</v>
      </c>
      <c r="E66" s="149" t="s">
        <v>244</v>
      </c>
      <c r="F66" s="149" t="s">
        <v>188</v>
      </c>
      <c r="G66" s="10"/>
      <c r="H66" s="187"/>
      <c r="I66" s="187"/>
      <c r="J66" s="187"/>
      <c r="K66" s="187"/>
      <c r="L66" s="187"/>
      <c r="M66" s="101"/>
      <c r="N66" s="101"/>
      <c r="O66" s="101"/>
      <c r="P66" s="99"/>
      <c r="Q66" s="99"/>
      <c r="R66" s="99"/>
      <c r="S66" s="99"/>
      <c r="T66" s="99"/>
      <c r="U66" s="99"/>
      <c r="V66" s="99"/>
      <c r="W66" s="99"/>
      <c r="X66" s="99"/>
      <c r="Y66" s="99"/>
      <c r="Z66" s="99"/>
    </row>
    <row r="67" spans="1:26" ht="14">
      <c r="A67" s="120"/>
      <c r="B67" s="191" t="s">
        <v>245</v>
      </c>
      <c r="C67" s="11">
        <f>F119</f>
        <v>24.594085018292223</v>
      </c>
      <c r="D67" s="11">
        <f>E119</f>
        <v>24.594085018292223</v>
      </c>
      <c r="E67" s="11">
        <f>G119</f>
        <v>24.594085018292223</v>
      </c>
      <c r="F67" s="150" t="s">
        <v>204</v>
      </c>
      <c r="G67" s="10"/>
      <c r="H67" s="111"/>
      <c r="I67" s="138"/>
      <c r="J67" s="138"/>
      <c r="K67" s="138"/>
      <c r="L67" s="187"/>
      <c r="M67" s="101"/>
      <c r="N67" s="101"/>
      <c r="O67" s="101"/>
      <c r="P67" s="99"/>
      <c r="Q67" s="99"/>
      <c r="R67" s="99"/>
      <c r="S67" s="99"/>
      <c r="T67" s="99"/>
      <c r="U67" s="99"/>
      <c r="V67" s="99"/>
      <c r="W67" s="99"/>
      <c r="X67" s="99"/>
      <c r="Y67" s="99"/>
      <c r="Z67" s="99"/>
    </row>
    <row r="68" spans="1:26" ht="14">
      <c r="A68" s="120"/>
      <c r="B68" s="191" t="s">
        <v>246</v>
      </c>
      <c r="C68" s="223">
        <f>E118</f>
        <v>31.875</v>
      </c>
      <c r="D68" s="224"/>
      <c r="E68" s="225"/>
      <c r="F68" s="150" t="s">
        <v>247</v>
      </c>
      <c r="G68" s="10"/>
      <c r="H68" s="111"/>
      <c r="I68" s="151"/>
      <c r="J68" s="151"/>
      <c r="K68" s="151"/>
      <c r="L68" s="138"/>
      <c r="M68" s="101"/>
      <c r="N68" s="101"/>
      <c r="O68" s="101"/>
      <c r="P68" s="99"/>
      <c r="Q68" s="99"/>
      <c r="R68" s="99"/>
      <c r="S68" s="99"/>
      <c r="T68" s="99"/>
      <c r="U68" s="99"/>
      <c r="V68" s="99"/>
      <c r="W68" s="99"/>
      <c r="X68" s="99"/>
      <c r="Y68" s="99"/>
      <c r="Z68" s="99"/>
    </row>
    <row r="69" spans="1:26">
      <c r="A69" s="120"/>
      <c r="B69" s="5" t="s">
        <v>248</v>
      </c>
      <c r="C69" s="118"/>
      <c r="D69" s="118"/>
      <c r="E69" s="142"/>
      <c r="F69" s="118"/>
      <c r="G69" s="118"/>
      <c r="H69" s="110"/>
      <c r="I69" s="118"/>
      <c r="J69" s="118"/>
      <c r="K69" s="142"/>
      <c r="L69" s="118"/>
      <c r="M69" s="101"/>
      <c r="N69" s="101"/>
      <c r="O69" s="101"/>
      <c r="P69" s="99"/>
      <c r="Q69" s="99"/>
      <c r="R69" s="99"/>
      <c r="S69" s="99"/>
      <c r="T69" s="99"/>
      <c r="U69" s="99"/>
      <c r="V69" s="99"/>
      <c r="W69" s="99"/>
      <c r="X69" s="99"/>
      <c r="Y69" s="99"/>
      <c r="Z69" s="99"/>
    </row>
    <row r="70" spans="1:26" ht="37.5" customHeight="1">
      <c r="A70" s="120"/>
      <c r="B70" s="218"/>
      <c r="C70" s="221" t="s">
        <v>249</v>
      </c>
      <c r="D70" s="222"/>
      <c r="E70" s="221" t="s">
        <v>341</v>
      </c>
      <c r="F70" s="222"/>
      <c r="G70" s="138"/>
      <c r="H70" s="136"/>
      <c r="I70" s="141"/>
      <c r="J70" s="141"/>
      <c r="K70" s="141"/>
      <c r="L70" s="10"/>
      <c r="M70" s="101"/>
      <c r="N70" s="101"/>
      <c r="O70" s="101"/>
      <c r="P70" s="99"/>
      <c r="Q70" s="99"/>
      <c r="R70" s="99"/>
      <c r="S70" s="99"/>
      <c r="T70" s="99"/>
      <c r="U70" s="99"/>
      <c r="V70" s="99"/>
      <c r="W70" s="99"/>
      <c r="X70" s="99"/>
      <c r="Y70" s="99"/>
      <c r="Z70" s="99"/>
    </row>
    <row r="71" spans="1:26" ht="14">
      <c r="A71" s="120"/>
      <c r="B71" s="219"/>
      <c r="C71" s="13" t="s">
        <v>245</v>
      </c>
      <c r="D71" s="14" t="s">
        <v>246</v>
      </c>
      <c r="E71" s="15" t="s">
        <v>245</v>
      </c>
      <c r="F71" s="14" t="s">
        <v>246</v>
      </c>
      <c r="G71" s="118"/>
      <c r="H71" s="187"/>
      <c r="I71" s="112"/>
      <c r="J71" s="112"/>
      <c r="K71" s="16"/>
      <c r="L71" s="10"/>
      <c r="M71" s="101"/>
      <c r="N71" s="101"/>
      <c r="O71" s="101"/>
      <c r="P71" s="99"/>
      <c r="Q71" s="99"/>
      <c r="R71" s="99"/>
      <c r="S71" s="99"/>
      <c r="T71" s="99"/>
      <c r="U71" s="99"/>
      <c r="V71" s="99"/>
      <c r="W71" s="99"/>
      <c r="X71" s="99"/>
      <c r="Y71" s="99"/>
      <c r="Z71" s="99"/>
    </row>
    <row r="72" spans="1:26" ht="14">
      <c r="A72" s="120"/>
      <c r="B72" s="192" t="s">
        <v>203</v>
      </c>
      <c r="C72" s="171">
        <f>E120</f>
        <v>18.860844658100664</v>
      </c>
      <c r="D72" s="106">
        <f>L115</f>
        <v>25.316718750000003</v>
      </c>
      <c r="E72" s="11">
        <f>E121</f>
        <v>32.037023305029017</v>
      </c>
      <c r="F72" s="106">
        <f>M116</f>
        <v>40.830281249999999</v>
      </c>
      <c r="G72" s="118"/>
      <c r="H72" s="111"/>
      <c r="I72" s="12"/>
      <c r="J72" s="12"/>
      <c r="K72" s="151"/>
      <c r="L72" s="10"/>
      <c r="M72" s="101"/>
      <c r="N72" s="101"/>
      <c r="O72" s="101"/>
      <c r="P72" s="99"/>
      <c r="Q72" s="99"/>
      <c r="R72" s="99"/>
      <c r="S72" s="99"/>
      <c r="T72" s="99"/>
      <c r="U72" s="99"/>
      <c r="V72" s="99"/>
      <c r="W72" s="99"/>
      <c r="X72" s="99"/>
      <c r="Y72" s="99"/>
      <c r="Z72" s="99"/>
    </row>
    <row r="73" spans="1:26" ht="14">
      <c r="A73" s="120"/>
      <c r="B73" s="149" t="s">
        <v>188</v>
      </c>
      <c r="C73" s="192" t="s">
        <v>204</v>
      </c>
      <c r="D73" s="150" t="s">
        <v>247</v>
      </c>
      <c r="E73" s="192" t="s">
        <v>204</v>
      </c>
      <c r="F73" s="150" t="s">
        <v>247</v>
      </c>
      <c r="G73" s="10"/>
      <c r="H73" s="10"/>
      <c r="I73" s="10"/>
      <c r="J73" s="10"/>
      <c r="K73" s="187"/>
      <c r="L73" s="187"/>
      <c r="M73" s="101"/>
      <c r="N73" s="101"/>
      <c r="O73" s="101"/>
      <c r="P73" s="99"/>
      <c r="Q73" s="99"/>
      <c r="R73" s="99"/>
      <c r="S73" s="99"/>
      <c r="T73" s="99"/>
      <c r="U73" s="99"/>
      <c r="V73" s="99"/>
      <c r="W73" s="99"/>
      <c r="X73" s="99"/>
      <c r="Y73" s="99"/>
      <c r="Z73" s="99"/>
    </row>
    <row r="74" spans="1:26" ht="14">
      <c r="A74" s="120"/>
      <c r="B74" s="152" t="s">
        <v>250</v>
      </c>
      <c r="C74" s="187"/>
      <c r="D74" s="138"/>
      <c r="E74" s="187"/>
      <c r="F74" s="138"/>
      <c r="G74" s="17"/>
      <c r="H74" s="10"/>
      <c r="I74" s="10"/>
      <c r="J74" s="10"/>
      <c r="K74" s="118"/>
      <c r="L74" s="153"/>
      <c r="M74" s="101"/>
      <c r="N74" s="101"/>
      <c r="O74" s="101"/>
      <c r="P74" s="99"/>
      <c r="Q74" s="99"/>
      <c r="R74" s="99"/>
      <c r="S74" s="99"/>
      <c r="T74" s="99"/>
      <c r="U74" s="99"/>
      <c r="V74" s="99"/>
      <c r="W74" s="99"/>
      <c r="X74" s="99"/>
      <c r="Y74" s="99"/>
      <c r="Z74" s="99"/>
    </row>
    <row r="75" spans="1:26" ht="14">
      <c r="A75" s="120"/>
      <c r="B75" s="152" t="s">
        <v>348</v>
      </c>
      <c r="C75" s="187"/>
      <c r="D75" s="138"/>
      <c r="E75" s="187"/>
      <c r="F75" s="138"/>
      <c r="G75" s="17"/>
      <c r="H75" s="10"/>
      <c r="I75" s="10"/>
      <c r="J75" s="10"/>
      <c r="K75" s="118"/>
      <c r="L75" s="153"/>
      <c r="M75" s="101"/>
      <c r="N75" s="101"/>
      <c r="O75" s="101"/>
      <c r="P75" s="99"/>
      <c r="Q75" s="99"/>
      <c r="R75" s="99"/>
      <c r="S75" s="99"/>
      <c r="T75" s="99"/>
      <c r="U75" s="99"/>
      <c r="V75" s="99"/>
      <c r="W75" s="99"/>
      <c r="X75" s="99"/>
      <c r="Y75" s="99"/>
      <c r="Z75" s="99"/>
    </row>
    <row r="76" spans="1:26" ht="14">
      <c r="A76" s="120"/>
      <c r="B76" s="152" t="s">
        <v>251</v>
      </c>
      <c r="C76" s="187"/>
      <c r="D76" s="138"/>
      <c r="E76" s="187"/>
      <c r="F76" s="138"/>
      <c r="G76" s="17"/>
      <c r="H76" s="10"/>
      <c r="I76" s="10"/>
      <c r="J76" s="10"/>
      <c r="K76" s="187"/>
      <c r="L76" s="133"/>
      <c r="M76" s="101"/>
      <c r="N76" s="101"/>
      <c r="O76" s="101"/>
      <c r="P76" s="99"/>
      <c r="Q76" s="99"/>
      <c r="R76" s="99"/>
      <c r="S76" s="99"/>
      <c r="T76" s="99"/>
      <c r="U76" s="99"/>
      <c r="V76" s="99"/>
      <c r="W76" s="99"/>
      <c r="X76" s="99"/>
      <c r="Y76" s="99"/>
      <c r="Z76" s="99"/>
    </row>
    <row r="77" spans="1:26">
      <c r="A77" s="120"/>
      <c r="B77" s="17" t="s">
        <v>252</v>
      </c>
      <c r="C77" s="187"/>
      <c r="D77" s="138"/>
      <c r="E77" s="187"/>
      <c r="F77" s="138"/>
      <c r="G77" s="138"/>
      <c r="H77" s="138"/>
      <c r="I77" s="138"/>
      <c r="J77" s="187"/>
      <c r="K77" s="187"/>
      <c r="L77" s="125"/>
      <c r="M77" s="101"/>
      <c r="N77" s="101"/>
      <c r="O77" s="101"/>
      <c r="P77" s="99"/>
      <c r="Q77" s="99"/>
      <c r="R77" s="99"/>
      <c r="S77" s="99"/>
      <c r="T77" s="99"/>
      <c r="U77" s="99"/>
      <c r="V77" s="99"/>
      <c r="W77" s="99"/>
      <c r="X77" s="99"/>
      <c r="Y77" s="99"/>
      <c r="Z77" s="99"/>
    </row>
    <row r="78" spans="1:26">
      <c r="A78" s="120"/>
      <c r="B78" s="18"/>
      <c r="C78" s="187"/>
      <c r="D78" s="138"/>
      <c r="E78" s="187"/>
      <c r="F78" s="138"/>
      <c r="G78" s="138"/>
      <c r="H78" s="138"/>
      <c r="I78" s="138"/>
      <c r="J78" s="187"/>
      <c r="K78" s="187"/>
      <c r="L78" s="125"/>
      <c r="M78" s="101"/>
      <c r="N78" s="101"/>
      <c r="O78" s="101"/>
      <c r="P78" s="99"/>
      <c r="Q78" s="99"/>
      <c r="R78" s="99"/>
      <c r="S78" s="99"/>
      <c r="T78" s="99"/>
      <c r="U78" s="99"/>
      <c r="V78" s="99"/>
      <c r="W78" s="99"/>
      <c r="X78" s="99"/>
      <c r="Y78" s="99"/>
      <c r="Z78" s="99"/>
    </row>
    <row r="79" spans="1:26" ht="14">
      <c r="A79" s="120"/>
      <c r="B79" s="5" t="s">
        <v>253</v>
      </c>
      <c r="C79" s="125"/>
      <c r="D79" s="125"/>
      <c r="E79" s="118"/>
      <c r="F79" s="118"/>
      <c r="G79" s="125"/>
      <c r="H79" s="5"/>
      <c r="I79" s="10"/>
      <c r="J79" s="10"/>
      <c r="K79" s="10"/>
      <c r="L79" s="10"/>
      <c r="M79" s="101"/>
      <c r="N79" s="101"/>
      <c r="O79" s="101"/>
      <c r="P79" s="99"/>
      <c r="Q79" s="99"/>
      <c r="R79" s="99"/>
      <c r="S79" s="99"/>
      <c r="T79" s="99"/>
      <c r="U79" s="99"/>
      <c r="V79" s="99"/>
      <c r="W79" s="99"/>
      <c r="X79" s="99"/>
      <c r="Y79" s="99"/>
      <c r="Z79" s="99"/>
    </row>
    <row r="80" spans="1:26" ht="14">
      <c r="A80" s="120"/>
      <c r="B80" s="275"/>
      <c r="C80" s="276"/>
      <c r="D80" s="192" t="s">
        <v>242</v>
      </c>
      <c r="E80" s="192" t="s">
        <v>243</v>
      </c>
      <c r="F80" s="192" t="s">
        <v>244</v>
      </c>
      <c r="G80" s="192" t="s">
        <v>188</v>
      </c>
      <c r="H80" s="10"/>
      <c r="I80" s="10"/>
      <c r="J80" s="10"/>
      <c r="K80" s="10"/>
      <c r="L80" s="10"/>
      <c r="M80" s="101"/>
      <c r="N80" s="101"/>
      <c r="O80" s="101"/>
      <c r="P80" s="99"/>
      <c r="Q80" s="99"/>
      <c r="R80" s="99"/>
      <c r="S80" s="99"/>
      <c r="T80" s="99"/>
      <c r="U80" s="99"/>
      <c r="V80" s="99"/>
      <c r="W80" s="99"/>
      <c r="X80" s="99"/>
      <c r="Y80" s="99"/>
      <c r="Z80" s="99"/>
    </row>
    <row r="81" spans="1:26" ht="14">
      <c r="A81" s="120"/>
      <c r="B81" s="235" t="s">
        <v>254</v>
      </c>
      <c r="C81" s="236"/>
      <c r="D81" s="11">
        <f>F111</f>
        <v>6.688170036584447</v>
      </c>
      <c r="E81" s="11">
        <f>E111</f>
        <v>6.688170036584447</v>
      </c>
      <c r="F81" s="11">
        <f>G111</f>
        <v>6.688170036584447</v>
      </c>
      <c r="G81" s="193" t="s">
        <v>255</v>
      </c>
      <c r="H81" s="10"/>
      <c r="I81" s="10"/>
      <c r="J81" s="10"/>
      <c r="K81" s="10"/>
      <c r="L81" s="10"/>
      <c r="M81" s="101"/>
      <c r="N81" s="101"/>
      <c r="O81" s="101"/>
      <c r="P81" s="99"/>
      <c r="Q81" s="99"/>
      <c r="R81" s="99"/>
      <c r="S81" s="99"/>
      <c r="T81" s="99"/>
      <c r="U81" s="99"/>
      <c r="V81" s="99"/>
      <c r="W81" s="99"/>
      <c r="X81" s="99"/>
      <c r="Y81" s="99"/>
      <c r="Z81" s="99"/>
    </row>
    <row r="82" spans="1:26" ht="14">
      <c r="A82" s="120"/>
      <c r="B82" s="216" t="s">
        <v>256</v>
      </c>
      <c r="C82" s="217"/>
      <c r="D82" s="155">
        <f>F115</f>
        <v>26.195332643289085</v>
      </c>
      <c r="E82" s="155">
        <f>E115</f>
        <v>26.195332643289085</v>
      </c>
      <c r="F82" s="155">
        <f>G115</f>
        <v>26.195332643289085</v>
      </c>
      <c r="G82" s="288" t="s">
        <v>247</v>
      </c>
      <c r="H82" s="10"/>
      <c r="I82" s="10"/>
      <c r="J82" s="10"/>
      <c r="K82" s="10"/>
      <c r="L82" s="10"/>
      <c r="M82" s="101"/>
      <c r="N82" s="101"/>
      <c r="O82" s="101"/>
      <c r="P82" s="99"/>
      <c r="Q82" s="99"/>
      <c r="R82" s="99"/>
      <c r="S82" s="99"/>
      <c r="T82" s="99"/>
      <c r="U82" s="99"/>
      <c r="V82" s="99"/>
      <c r="W82" s="99"/>
      <c r="X82" s="99"/>
      <c r="Y82" s="99"/>
      <c r="Z82" s="99"/>
    </row>
    <row r="83" spans="1:26" ht="14">
      <c r="A83" s="120"/>
      <c r="B83" s="216" t="s">
        <v>228</v>
      </c>
      <c r="C83" s="217"/>
      <c r="D83" s="155">
        <f>F114</f>
        <v>31.4343991719469</v>
      </c>
      <c r="E83" s="155">
        <f>E114</f>
        <v>31.4343991719469</v>
      </c>
      <c r="F83" s="155">
        <f>G114</f>
        <v>31.4343991719469</v>
      </c>
      <c r="G83" s="289"/>
      <c r="H83" s="10"/>
      <c r="I83" s="10"/>
      <c r="J83" s="10"/>
      <c r="K83" s="10"/>
      <c r="L83" s="10"/>
      <c r="M83" s="101"/>
      <c r="N83" s="101"/>
      <c r="O83" s="101"/>
      <c r="P83" s="99"/>
      <c r="Q83" s="99"/>
      <c r="R83" s="99"/>
      <c r="S83" s="99"/>
      <c r="T83" s="99"/>
      <c r="U83" s="99"/>
      <c r="V83" s="99"/>
      <c r="W83" s="99"/>
      <c r="X83" s="99"/>
      <c r="Y83" s="99"/>
      <c r="Z83" s="99"/>
    </row>
    <row r="84" spans="1:26" ht="14">
      <c r="A84" s="120"/>
      <c r="B84" s="216" t="s">
        <v>193</v>
      </c>
      <c r="C84" s="217"/>
      <c r="D84" s="155">
        <f>F113</f>
        <v>39.292998964933624</v>
      </c>
      <c r="E84" s="155">
        <f>E113</f>
        <v>39.292998964933624</v>
      </c>
      <c r="F84" s="155">
        <f>G113</f>
        <v>39.292998964933624</v>
      </c>
      <c r="G84" s="290"/>
      <c r="H84" s="10"/>
      <c r="I84" s="10"/>
      <c r="J84" s="10"/>
      <c r="K84" s="10"/>
      <c r="L84" s="10"/>
      <c r="M84" s="101"/>
      <c r="N84" s="101"/>
      <c r="O84" s="101"/>
      <c r="P84" s="99"/>
      <c r="Q84" s="99"/>
      <c r="R84" s="99"/>
      <c r="S84" s="99"/>
      <c r="T84" s="99"/>
      <c r="U84" s="99"/>
      <c r="V84" s="99"/>
      <c r="W84" s="99"/>
      <c r="X84" s="99"/>
      <c r="Y84" s="99"/>
      <c r="Z84" s="99"/>
    </row>
    <row r="85" spans="1:26" ht="14">
      <c r="A85" s="120"/>
      <c r="B85" s="152"/>
      <c r="C85" s="187"/>
      <c r="D85" s="138"/>
      <c r="E85" s="187"/>
      <c r="F85" s="138"/>
      <c r="G85" s="17"/>
      <c r="H85" s="138"/>
      <c r="I85" s="10"/>
      <c r="J85" s="10"/>
      <c r="K85" s="10"/>
      <c r="L85" s="10"/>
      <c r="M85" s="101"/>
      <c r="N85" s="101"/>
      <c r="O85" s="101"/>
      <c r="P85" s="99"/>
      <c r="Q85" s="99"/>
      <c r="R85" s="99"/>
      <c r="S85" s="99"/>
      <c r="T85" s="99"/>
      <c r="U85" s="99"/>
      <c r="V85" s="99"/>
      <c r="W85" s="99"/>
      <c r="X85" s="99"/>
      <c r="Y85" s="99"/>
      <c r="Z85" s="99"/>
    </row>
    <row r="86" spans="1:26" ht="14">
      <c r="A86" s="120"/>
      <c r="B86" s="17"/>
      <c r="C86" s="187"/>
      <c r="D86" s="138"/>
      <c r="E86" s="187"/>
      <c r="F86" s="138"/>
      <c r="G86" s="138"/>
      <c r="H86" s="138"/>
      <c r="I86" s="10"/>
      <c r="J86" s="10"/>
      <c r="K86" s="10"/>
      <c r="L86" s="10"/>
      <c r="M86" s="101"/>
      <c r="N86" s="101"/>
      <c r="O86" s="101"/>
      <c r="P86" s="99"/>
      <c r="Q86" s="99"/>
      <c r="R86" s="99"/>
      <c r="S86" s="99"/>
      <c r="T86" s="99"/>
      <c r="U86" s="99"/>
      <c r="V86" s="99"/>
      <c r="W86" s="99"/>
      <c r="X86" s="99"/>
      <c r="Y86" s="99"/>
      <c r="Z86" s="99"/>
    </row>
    <row r="87" spans="1:26" ht="14.5" thickBot="1">
      <c r="A87" s="120"/>
      <c r="B87" s="17"/>
      <c r="C87" s="187"/>
      <c r="D87" s="138"/>
      <c r="E87" s="187"/>
      <c r="F87" s="138"/>
      <c r="G87" s="138"/>
      <c r="H87" s="138"/>
      <c r="I87" s="10"/>
      <c r="J87" s="10"/>
      <c r="K87" s="10"/>
      <c r="L87" s="10"/>
      <c r="M87" s="101"/>
      <c r="N87" s="113"/>
      <c r="O87" s="101"/>
      <c r="P87" s="99"/>
      <c r="Q87" s="99"/>
      <c r="R87" s="99"/>
      <c r="S87" s="99"/>
      <c r="T87" s="99"/>
      <c r="U87" s="99"/>
      <c r="V87" s="99"/>
      <c r="W87" s="99"/>
      <c r="X87" s="99"/>
      <c r="Y87" s="99"/>
      <c r="Z87" s="99"/>
    </row>
    <row r="88" spans="1:26" hidden="1"/>
    <row r="89" spans="1:26" ht="14.5" hidden="1" thickBot="1">
      <c r="B89" s="34"/>
      <c r="C89" s="34"/>
      <c r="D89" s="34"/>
      <c r="E89" s="35"/>
      <c r="F89" s="36"/>
      <c r="G89" s="37"/>
      <c r="H89" s="38"/>
      <c r="I89" s="34"/>
      <c r="J89" s="34"/>
      <c r="K89" s="34"/>
      <c r="L89" s="34"/>
      <c r="M89" s="34"/>
      <c r="N89" s="34"/>
      <c r="O89" s="34"/>
      <c r="P89" s="34"/>
      <c r="Q89" s="34"/>
      <c r="R89" s="34"/>
      <c r="S89" s="34"/>
      <c r="T89" s="34"/>
    </row>
    <row r="90" spans="1:26" ht="14.5" hidden="1" thickTop="1">
      <c r="B90" s="303"/>
      <c r="C90" s="304"/>
      <c r="D90" s="305"/>
      <c r="E90" s="39" t="s">
        <v>257</v>
      </c>
      <c r="F90" s="39" t="s">
        <v>258</v>
      </c>
      <c r="G90" s="39" t="s">
        <v>259</v>
      </c>
      <c r="H90" s="40"/>
      <c r="I90" s="41"/>
      <c r="J90" s="42"/>
      <c r="K90" s="43" t="s">
        <v>260</v>
      </c>
      <c r="L90" s="43"/>
      <c r="M90" s="43"/>
      <c r="N90" s="43"/>
      <c r="O90" s="43" t="s">
        <v>261</v>
      </c>
      <c r="P90" s="43"/>
      <c r="Q90" s="43"/>
      <c r="R90" s="44"/>
      <c r="S90" s="45"/>
      <c r="T90" s="34"/>
    </row>
    <row r="91" spans="1:26" ht="14" hidden="1">
      <c r="B91" s="277" t="s">
        <v>262</v>
      </c>
      <c r="C91" s="278"/>
      <c r="D91" s="279"/>
      <c r="E91" s="46">
        <f>D18</f>
        <v>12</v>
      </c>
      <c r="F91" s="46">
        <f>C18</f>
        <v>12</v>
      </c>
      <c r="G91" s="46">
        <f>E18</f>
        <v>12</v>
      </c>
      <c r="H91" s="38"/>
      <c r="I91" s="41"/>
      <c r="J91" s="45"/>
      <c r="K91" s="47" t="s">
        <v>263</v>
      </c>
      <c r="L91" s="47"/>
      <c r="M91" s="47"/>
      <c r="N91" s="47"/>
      <c r="O91" s="47" t="s">
        <v>263</v>
      </c>
      <c r="P91" s="47"/>
      <c r="Q91" s="47"/>
      <c r="R91" s="41"/>
      <c r="S91" s="45"/>
      <c r="T91" s="34"/>
    </row>
    <row r="92" spans="1:26" ht="14" hidden="1">
      <c r="B92" s="277" t="s">
        <v>264</v>
      </c>
      <c r="C92" s="278"/>
      <c r="D92" s="279"/>
      <c r="E92" s="48">
        <f>C24</f>
        <v>1</v>
      </c>
      <c r="F92" s="49">
        <f t="shared" ref="F92:G94" si="0">E92</f>
        <v>1</v>
      </c>
      <c r="G92" s="49">
        <f t="shared" si="0"/>
        <v>1</v>
      </c>
      <c r="H92" s="38"/>
      <c r="I92" s="41"/>
      <c r="J92" s="45"/>
      <c r="K92" s="50" t="s">
        <v>265</v>
      </c>
      <c r="L92" s="51">
        <f>$F$124</f>
        <v>0</v>
      </c>
      <c r="M92" s="51">
        <f>$G$124</f>
        <v>60</v>
      </c>
      <c r="N92" s="47"/>
      <c r="O92" s="50" t="s">
        <v>265</v>
      </c>
      <c r="P92" s="51">
        <f>$F$124</f>
        <v>0</v>
      </c>
      <c r="Q92" s="51">
        <f>$G$124</f>
        <v>60</v>
      </c>
      <c r="R92" s="41"/>
      <c r="S92" s="45"/>
      <c r="T92" s="34"/>
    </row>
    <row r="93" spans="1:26" ht="14" hidden="1">
      <c r="B93" s="277" t="s">
        <v>266</v>
      </c>
      <c r="C93" s="278"/>
      <c r="D93" s="279"/>
      <c r="E93" s="48">
        <f>D24</f>
        <v>13</v>
      </c>
      <c r="F93" s="49">
        <f t="shared" si="0"/>
        <v>13</v>
      </c>
      <c r="G93" s="49">
        <f t="shared" si="0"/>
        <v>13</v>
      </c>
      <c r="H93" s="38"/>
      <c r="I93" s="41"/>
      <c r="J93" s="45"/>
      <c r="K93" s="50">
        <f>$F$123</f>
        <v>9</v>
      </c>
      <c r="L93" s="52">
        <f>8*($F$116-$F$110/2)*($F$106*(1+(L92-25)*$E$127*(0.000001)))/(K93*(1+(L92-25)*$E$125*(0.000001)))</f>
        <v>11.993056626132198</v>
      </c>
      <c r="M93" s="52">
        <f>8*($F$116-$F$110/2)*($F$106*(1+(M92-25)*$E$127*(0.000001)))/(K93*(1+(M92-25)*$E$125*(0.000001)))</f>
        <v>11.512441790678212</v>
      </c>
      <c r="N93" s="47"/>
      <c r="O93" s="50">
        <f>$F$123</f>
        <v>9</v>
      </c>
      <c r="P93" s="52">
        <f>8*($G$116-$G$110/2)*($G$106*(1+(P92-25)*$G$127*(0.000001)))/(O93*(1+(P92-25)*$G$125*(0.000001)))</f>
        <v>11.993056626132198</v>
      </c>
      <c r="Q93" s="52">
        <f>8*($G$116-$G$110/2)*($G$106*(1+(Q92-25)*$G$127*(0.000001)))/(O93*(1+(Q92-25)*$G$125*(0.000001)))</f>
        <v>11.512441790678212</v>
      </c>
      <c r="R93" s="41"/>
      <c r="S93" s="45"/>
      <c r="T93" s="34"/>
    </row>
    <row r="94" spans="1:26" ht="14" hidden="1">
      <c r="B94" s="277" t="s">
        <v>267</v>
      </c>
      <c r="C94" s="278"/>
      <c r="D94" s="279"/>
      <c r="E94" s="54">
        <f>E24</f>
        <v>300</v>
      </c>
      <c r="F94" s="49">
        <f t="shared" si="0"/>
        <v>300</v>
      </c>
      <c r="G94" s="49">
        <f t="shared" si="0"/>
        <v>300</v>
      </c>
      <c r="H94" s="38"/>
      <c r="I94" s="41"/>
      <c r="J94" s="45"/>
      <c r="K94" s="50">
        <f>$G$123</f>
        <v>11</v>
      </c>
      <c r="L94" s="52">
        <f>8*($F$116-$F$110/2)*($F$106*(1+(L92-25)*$E$127*(0.000001)))/(K94*(1+(L92-25)*$E$125*(0.000001)))</f>
        <v>9.812500875926343</v>
      </c>
      <c r="M94" s="52">
        <f>8*($F$116-$F$110/2)*($F$106*(1+(M92-25)*$E$127*(0.000001)))/(K94*(1+(M92-25)*$E$125*(0.000001)))</f>
        <v>9.4192705560094474</v>
      </c>
      <c r="N94" s="47"/>
      <c r="O94" s="50">
        <f>$G$123</f>
        <v>11</v>
      </c>
      <c r="P94" s="52">
        <f>8*($G$116-$G$110/2)*($G$106*(1+(P92-25)*$G$127*(0.000001)))/(O94*(1+(P92-25)*$G$125*(0.000001)))</f>
        <v>9.812500875926343</v>
      </c>
      <c r="Q94" s="52">
        <f>8*($G$116-$G$110/2)*($G$106*(1+(Q92-25)*$G$127*(0.000001)))/(O94*(1+(Q92-25)*$G$125*(0.000001)))</f>
        <v>9.4192705560094474</v>
      </c>
      <c r="R94" s="41"/>
      <c r="S94" s="45"/>
      <c r="T94" s="34"/>
    </row>
    <row r="95" spans="1:26" ht="14" hidden="1">
      <c r="B95" s="277" t="s">
        <v>268</v>
      </c>
      <c r="C95" s="278"/>
      <c r="D95" s="279"/>
      <c r="E95" s="53"/>
      <c r="F95" s="53"/>
      <c r="G95" s="100">
        <f>3*1000*(G91-G92)*G92/(G93*G94*G91)</f>
        <v>0.70512820512820518</v>
      </c>
      <c r="H95" s="38"/>
      <c r="I95" s="41"/>
      <c r="J95" s="45"/>
      <c r="K95" s="47"/>
      <c r="L95" s="47"/>
      <c r="M95" s="47"/>
      <c r="N95" s="47"/>
      <c r="O95" s="47"/>
      <c r="P95" s="47"/>
      <c r="Q95" s="47"/>
      <c r="R95" s="41"/>
      <c r="S95" s="45"/>
      <c r="T95" s="34"/>
    </row>
    <row r="96" spans="1:26" ht="14" hidden="1">
      <c r="B96" s="277" t="s">
        <v>269</v>
      </c>
      <c r="C96" s="278"/>
      <c r="D96" s="279"/>
      <c r="E96" s="48">
        <f>H24</f>
        <v>0.47</v>
      </c>
      <c r="F96" s="49">
        <f t="shared" ref="F96:G108" si="1">E96</f>
        <v>0.47</v>
      </c>
      <c r="G96" s="49">
        <f t="shared" si="1"/>
        <v>0.47</v>
      </c>
      <c r="H96" s="38"/>
      <c r="I96" s="41"/>
      <c r="J96" s="45"/>
      <c r="K96" s="50" t="s">
        <v>270</v>
      </c>
      <c r="L96" s="51">
        <f>L92</f>
        <v>0</v>
      </c>
      <c r="M96" s="51">
        <f>M92</f>
        <v>60</v>
      </c>
      <c r="N96" s="55"/>
      <c r="O96" s="51" t="s">
        <v>270</v>
      </c>
      <c r="P96" s="51">
        <f>P92</f>
        <v>0</v>
      </c>
      <c r="Q96" s="51">
        <f>Q92</f>
        <v>60</v>
      </c>
      <c r="R96" s="41"/>
      <c r="S96" s="45"/>
      <c r="T96" s="34"/>
    </row>
    <row r="97" spans="2:20" ht="14" hidden="1">
      <c r="B97" s="185" t="s">
        <v>271</v>
      </c>
      <c r="C97" s="186"/>
      <c r="D97" s="162"/>
      <c r="E97" s="163">
        <f>I24</f>
        <v>20</v>
      </c>
      <c r="F97" s="49">
        <f t="shared" si="1"/>
        <v>20</v>
      </c>
      <c r="G97" s="49">
        <f t="shared" si="1"/>
        <v>20</v>
      </c>
      <c r="H97" s="38"/>
      <c r="I97" s="41"/>
      <c r="J97" s="45"/>
      <c r="K97" s="50">
        <f>$F$123</f>
        <v>9</v>
      </c>
      <c r="L97" s="56">
        <f>8*($F$116-$F$112/2)*($F$106*(1+(L96-25)*$E$127*(0.000001)))/(K97*(1+(L96-25)*$E$125*(0.000001)))</f>
        <v>13.887722358875667</v>
      </c>
      <c r="M97" s="52">
        <f>8*($F$116-$F$112/2)*($F$106*(1+(M96-25)*$E$127*(0.000001)))/(K97*(1+(M96-25)*$E$125*(0.000001)))</f>
        <v>13.331179885641781</v>
      </c>
      <c r="N97" s="47"/>
      <c r="O97" s="50">
        <f>$F$123</f>
        <v>9</v>
      </c>
      <c r="P97" s="52">
        <f>8*($G$116-$G$112/2)*($G$106*(1+(P96-25)*$E$127*(0.000001)))/(O97*(1+(P96-25)*$E$125*(0.000001)))</f>
        <v>13.887722358875667</v>
      </c>
      <c r="Q97" s="52">
        <f>8*($G$116-$G$112/2)*($G$106*(1+(Q96-25)*$E$127*(0.000001)))/(O97*(1+(Q96-25)*$E$125*(0.000001)))</f>
        <v>13.331179885641781</v>
      </c>
      <c r="R97" s="41"/>
      <c r="S97" s="45"/>
      <c r="T97" s="34"/>
    </row>
    <row r="98" spans="2:20" ht="14" hidden="1">
      <c r="B98" s="280" t="s">
        <v>330</v>
      </c>
      <c r="C98" s="281"/>
      <c r="D98" s="282"/>
      <c r="E98" s="46">
        <f>0.02*E96*E94/E92</f>
        <v>2.8200000000000003</v>
      </c>
      <c r="F98" s="49"/>
      <c r="G98" s="49"/>
      <c r="H98" s="38"/>
      <c r="I98" s="41"/>
      <c r="J98" s="45"/>
      <c r="K98" s="50"/>
      <c r="L98" s="56"/>
      <c r="M98" s="52"/>
      <c r="N98" s="47"/>
      <c r="O98" s="50"/>
      <c r="P98" s="52"/>
      <c r="Q98" s="52"/>
      <c r="R98" s="41"/>
      <c r="S98" s="45"/>
      <c r="T98" s="34"/>
    </row>
    <row r="99" spans="2:20" ht="14" hidden="1">
      <c r="B99" s="277" t="s">
        <v>272</v>
      </c>
      <c r="C99" s="278"/>
      <c r="D99" s="279"/>
      <c r="E99" s="46">
        <f>I42</f>
        <v>4.7</v>
      </c>
      <c r="F99" s="49">
        <f t="shared" si="1"/>
        <v>4.7</v>
      </c>
      <c r="G99" s="49">
        <f t="shared" si="1"/>
        <v>4.7</v>
      </c>
      <c r="H99" s="38"/>
      <c r="I99" s="41"/>
      <c r="J99" s="45"/>
      <c r="K99" s="50">
        <f>$G$123</f>
        <v>11</v>
      </c>
      <c r="L99" s="52">
        <f>8*($F$116-$F$112/2)*($F$106*(1+(L96-25)*$E$127*(0.000001)))/(K99*(1+(L96-25)*$E$125*(0.000001)))</f>
        <v>11.362681929989181</v>
      </c>
      <c r="M99" s="52">
        <f>8*($F$116-$F$112/2)*($F$106*(1+(M96-25)*$E$127*(0.000001)))/(K99*(1+(M96-25)*$E$125*(0.000001)))</f>
        <v>10.907328997343276</v>
      </c>
      <c r="N99" s="47"/>
      <c r="O99" s="50">
        <f>$G$123</f>
        <v>11</v>
      </c>
      <c r="P99" s="52">
        <f>8*($G$116-$G$112/2)*($G$106*(1+(P96-25)*$E$127*(0.000001)))/(O99*(1+(P96-25)*$E$125*(0.000001)))</f>
        <v>11.362681929989181</v>
      </c>
      <c r="Q99" s="52">
        <f>8*($G$116-$G$112/2)*($G$106*(1+(Q96-25)*$E$127*(0.000001)))/(O99*(1+(Q96-25)*$E$125*(0.000001)))</f>
        <v>10.907328997343276</v>
      </c>
      <c r="R99" s="41"/>
      <c r="S99" s="45"/>
      <c r="T99" s="34"/>
    </row>
    <row r="100" spans="2:20" ht="14" hidden="1">
      <c r="B100" s="283" t="s">
        <v>273</v>
      </c>
      <c r="C100" s="284"/>
      <c r="D100" s="285"/>
      <c r="E100" s="48">
        <f>C57</f>
        <v>8</v>
      </c>
      <c r="F100" s="49">
        <f t="shared" si="1"/>
        <v>8</v>
      </c>
      <c r="G100" s="49">
        <f t="shared" si="1"/>
        <v>8</v>
      </c>
      <c r="H100" s="38"/>
      <c r="I100" s="41"/>
      <c r="J100" s="45"/>
      <c r="K100" s="47"/>
      <c r="L100" s="47"/>
      <c r="M100" s="47"/>
      <c r="N100" s="47"/>
      <c r="O100" s="47"/>
      <c r="P100" s="47"/>
      <c r="Q100" s="47"/>
      <c r="R100" s="41"/>
      <c r="S100" s="45"/>
      <c r="T100" s="34"/>
    </row>
    <row r="101" spans="2:20" ht="14" hidden="1">
      <c r="B101" s="277" t="s">
        <v>274</v>
      </c>
      <c r="C101" s="278"/>
      <c r="D101" s="279"/>
      <c r="E101" s="48">
        <f>D57</f>
        <v>2.5714285714285716</v>
      </c>
      <c r="F101" s="49">
        <f t="shared" si="1"/>
        <v>2.5714285714285716</v>
      </c>
      <c r="G101" s="49">
        <f t="shared" si="1"/>
        <v>2.5714285714285716</v>
      </c>
      <c r="H101" s="38"/>
      <c r="I101" s="41"/>
      <c r="J101" s="45"/>
      <c r="K101" s="47" t="s">
        <v>260</v>
      </c>
      <c r="L101" s="47"/>
      <c r="M101" s="47"/>
      <c r="N101" s="47"/>
      <c r="O101" s="47" t="s">
        <v>261</v>
      </c>
      <c r="P101" s="47"/>
      <c r="Q101" s="47"/>
      <c r="R101" s="41"/>
      <c r="S101" s="45"/>
      <c r="T101" s="34"/>
    </row>
    <row r="102" spans="2:20" ht="14" hidden="1">
      <c r="B102" s="277" t="s">
        <v>275</v>
      </c>
      <c r="C102" s="278"/>
      <c r="D102" s="279"/>
      <c r="E102" s="48">
        <f>E57</f>
        <v>3</v>
      </c>
      <c r="F102" s="49">
        <f t="shared" si="1"/>
        <v>3</v>
      </c>
      <c r="G102" s="49">
        <f t="shared" si="1"/>
        <v>3</v>
      </c>
      <c r="H102" s="38"/>
      <c r="I102" s="58" t="s">
        <v>276</v>
      </c>
      <c r="J102" s="45"/>
      <c r="K102" s="47" t="s">
        <v>277</v>
      </c>
      <c r="L102" s="47"/>
      <c r="M102" s="47"/>
      <c r="N102" s="47"/>
      <c r="O102" s="47" t="s">
        <v>0</v>
      </c>
      <c r="P102" s="47"/>
      <c r="Q102" s="47"/>
      <c r="R102" s="41"/>
      <c r="S102" s="45"/>
      <c r="T102" s="34"/>
    </row>
    <row r="103" spans="2:20" ht="14" hidden="1">
      <c r="B103" s="277" t="s">
        <v>278</v>
      </c>
      <c r="C103" s="278"/>
      <c r="D103" s="279"/>
      <c r="E103" s="48">
        <f>F57</f>
        <v>3.5</v>
      </c>
      <c r="F103" s="49">
        <f t="shared" si="1"/>
        <v>3.5</v>
      </c>
      <c r="G103" s="49">
        <f t="shared" si="1"/>
        <v>3.5</v>
      </c>
      <c r="H103" s="38"/>
      <c r="I103" s="59">
        <f>MAX(L93:M94,L104:M105,L97:M99,L109:M110,P93:Q94,P97:Q99,P104:Q105,P109:Q110)</f>
        <v>16.202342752021611</v>
      </c>
      <c r="J103" s="45"/>
      <c r="K103" s="50" t="s">
        <v>265</v>
      </c>
      <c r="L103" s="51">
        <f>$F$124</f>
        <v>0</v>
      </c>
      <c r="M103" s="51">
        <f>$G$124</f>
        <v>60</v>
      </c>
      <c r="N103" s="34"/>
      <c r="O103" s="50" t="s">
        <v>265</v>
      </c>
      <c r="P103" s="51">
        <f>$F$124</f>
        <v>0</v>
      </c>
      <c r="Q103" s="51">
        <f>$G$124</f>
        <v>60</v>
      </c>
      <c r="R103" s="41"/>
      <c r="S103" s="45"/>
      <c r="T103" s="34"/>
    </row>
    <row r="104" spans="2:20" ht="14" hidden="1">
      <c r="B104" s="277" t="s">
        <v>279</v>
      </c>
      <c r="C104" s="278"/>
      <c r="D104" s="279"/>
      <c r="E104" s="48">
        <f>G57</f>
        <v>2</v>
      </c>
      <c r="F104" s="49">
        <f t="shared" si="1"/>
        <v>2</v>
      </c>
      <c r="G104" s="49">
        <f t="shared" si="1"/>
        <v>2</v>
      </c>
      <c r="H104" s="38"/>
      <c r="I104" s="41"/>
      <c r="J104" s="45"/>
      <c r="K104" s="50">
        <f>$F$123</f>
        <v>9</v>
      </c>
      <c r="L104" s="52">
        <f>8*($F$116-$F$110/2)*($F$107*(1+(L103-25)*$E$127*(0.000001)))/(K104*(1+(L103-25)*$E$125*(0.000001)))</f>
        <v>13.99189939715423</v>
      </c>
      <c r="M104" s="52">
        <f>8*($F$116-$F$110/2)*($F$107*(1+(M103-25)*$E$127*(0.000001)))/(K104*(1+(M103-25)*$E$125*(0.000001)))</f>
        <v>13.431182089124581</v>
      </c>
      <c r="N104" s="47"/>
      <c r="O104" s="50">
        <f>$F$123</f>
        <v>9</v>
      </c>
      <c r="P104" s="52">
        <f>8*($G$116-$G$110/2)*($G$107*(1+(P103-25)*$G$127*(0.000001)))/(O104*(1+(P103-25)*$G$125*(0.000001)))</f>
        <v>13.99189939715423</v>
      </c>
      <c r="Q104" s="52">
        <f>8*($G$116-$G$110/2)*($G$107*(1+(Q103-25)*$G$127*(0.000001)))/(O104*(1+(Q103-25)*$G$125*(0.000001)))</f>
        <v>13.431182089124581</v>
      </c>
      <c r="R104" s="41"/>
      <c r="S104" s="45"/>
    </row>
    <row r="105" spans="2:20" ht="14" hidden="1">
      <c r="B105" s="277" t="s">
        <v>274</v>
      </c>
      <c r="C105" s="278"/>
      <c r="D105" s="279"/>
      <c r="E105" s="61">
        <f>E101/E104</f>
        <v>1.2857142857142858</v>
      </c>
      <c r="F105" s="49">
        <f t="shared" si="1"/>
        <v>1.2857142857142858</v>
      </c>
      <c r="G105" s="49">
        <f t="shared" si="1"/>
        <v>1.2857142857142858</v>
      </c>
      <c r="H105" s="38"/>
      <c r="I105" s="41"/>
      <c r="J105" s="45"/>
      <c r="K105" s="50">
        <f>$G$123</f>
        <v>11</v>
      </c>
      <c r="L105" s="52">
        <f>8*($F$116-$F$110/2)*($F$107*(1+(L103-25)*$E$127*(0.000001)))/(K105*(1+(L103-25)*$E$125*(0.000001)))</f>
        <v>11.447917688580732</v>
      </c>
      <c r="M105" s="52">
        <f>8*($F$116-$F$110/2)*($F$107*(1+(M103-25)*$E$127*(0.000001)))/(K105*(1+(M103-25)*$E$125*(0.000001)))</f>
        <v>10.989148982011022</v>
      </c>
      <c r="N105" s="47"/>
      <c r="O105" s="50">
        <f>$G$123</f>
        <v>11</v>
      </c>
      <c r="P105" s="52">
        <f>8*($G$116-$G$110/2)*($G$107*(1+(P103-25)*$G$127*(0.000001)))/(O105*(1+(P103-25)*$G$125*(0.000001)))</f>
        <v>11.447917688580732</v>
      </c>
      <c r="Q105" s="52">
        <f>8*($G$116-$G$110/2)*($G$107*(1+(Q103-25)*$G$127*(0.000001)))/(O105*(1+(Q103-25)*$G$125*(0.000001)))</f>
        <v>10.989148982011022</v>
      </c>
      <c r="R105" s="41"/>
      <c r="S105" s="34"/>
    </row>
    <row r="106" spans="2:20" ht="14" hidden="1">
      <c r="B106" s="277" t="s">
        <v>275</v>
      </c>
      <c r="C106" s="278"/>
      <c r="D106" s="279"/>
      <c r="E106" s="61">
        <f>E102/E104</f>
        <v>1.5</v>
      </c>
      <c r="F106" s="49">
        <f t="shared" si="1"/>
        <v>1.5</v>
      </c>
      <c r="G106" s="49">
        <f t="shared" si="1"/>
        <v>1.5</v>
      </c>
      <c r="H106" s="38"/>
      <c r="I106" s="41"/>
      <c r="J106" s="45"/>
      <c r="K106" s="47"/>
      <c r="L106" s="47"/>
      <c r="M106" s="47"/>
      <c r="N106" s="47"/>
      <c r="O106" s="47"/>
      <c r="P106" s="47"/>
      <c r="Q106" s="47"/>
      <c r="R106" s="41"/>
      <c r="S106" s="34"/>
    </row>
    <row r="107" spans="2:20" ht="14" hidden="1">
      <c r="B107" s="277" t="s">
        <v>278</v>
      </c>
      <c r="C107" s="278"/>
      <c r="D107" s="279"/>
      <c r="E107" s="61">
        <f>E103/E104</f>
        <v>1.75</v>
      </c>
      <c r="F107" s="49">
        <f t="shared" si="1"/>
        <v>1.75</v>
      </c>
      <c r="G107" s="49">
        <f t="shared" si="1"/>
        <v>1.75</v>
      </c>
      <c r="H107" s="38"/>
      <c r="I107" s="41"/>
      <c r="J107" s="45"/>
      <c r="K107" s="47"/>
      <c r="L107" s="47"/>
      <c r="M107" s="47"/>
      <c r="N107" s="47"/>
      <c r="O107" s="47"/>
      <c r="P107" s="47"/>
      <c r="Q107" s="47"/>
      <c r="R107" s="41"/>
      <c r="S107" s="34"/>
    </row>
    <row r="108" spans="2:20" ht="14" hidden="1">
      <c r="B108" s="283" t="s">
        <v>280</v>
      </c>
      <c r="C108" s="284"/>
      <c r="D108" s="285"/>
      <c r="E108" s="61">
        <f>I57</f>
        <v>1</v>
      </c>
      <c r="F108" s="49">
        <f t="shared" si="1"/>
        <v>1</v>
      </c>
      <c r="G108" s="49">
        <f t="shared" si="1"/>
        <v>1</v>
      </c>
      <c r="H108" s="65"/>
      <c r="I108" s="41"/>
      <c r="J108" s="45"/>
      <c r="K108" s="50" t="s">
        <v>270</v>
      </c>
      <c r="L108" s="51">
        <f>L103</f>
        <v>0</v>
      </c>
      <c r="M108" s="51">
        <f>M103</f>
        <v>60</v>
      </c>
      <c r="N108" s="55"/>
      <c r="O108" s="51" t="s">
        <v>270</v>
      </c>
      <c r="P108" s="51">
        <f>P103</f>
        <v>0</v>
      </c>
      <c r="Q108" s="51">
        <f>Q103</f>
        <v>60</v>
      </c>
      <c r="R108" s="41"/>
      <c r="S108" s="34"/>
    </row>
    <row r="109" spans="2:20" ht="14" hidden="1">
      <c r="B109" s="294" t="s">
        <v>281</v>
      </c>
      <c r="C109" s="295"/>
      <c r="D109" s="296"/>
      <c r="E109" s="64">
        <f>(E92+E93*(E106+E108)*0.001)/(E91-E93*(E100-E106)*0.001)</f>
        <v>8.6651840040283659E-2</v>
      </c>
      <c r="F109" s="64">
        <f>(F92+F93*(F106+F108)*0.001)/(F91-F93*(F100-F106)*0.001)</f>
        <v>8.6651840040283659E-2</v>
      </c>
      <c r="G109" s="66">
        <f>(G92+G93*(G106+G108)*0.001)/(G91-G93*(G100-G106)*0.001)</f>
        <v>8.6651840040283659E-2</v>
      </c>
      <c r="H109" s="65"/>
      <c r="I109" s="41"/>
      <c r="J109" s="45"/>
      <c r="K109" s="50">
        <f>$F$123</f>
        <v>9</v>
      </c>
      <c r="L109" s="56">
        <f>8*($F$116-$F$112/2)*($F$107*(1+(L108-25)*$E$127*(0.000001)))/(K109*(1+(L108-25)*$E$125*(0.000001)))</f>
        <v>16.202342752021611</v>
      </c>
      <c r="M109" s="52">
        <f>8*($F$116-$F$112/2)*($F$107*(1+(M108-25)*$E$127*(0.000001)))/(K109*(1+(M108-25)*$E$125*(0.000001)))</f>
        <v>15.553043199915409</v>
      </c>
      <c r="N109" s="47"/>
      <c r="O109" s="50">
        <f>$F$123</f>
        <v>9</v>
      </c>
      <c r="P109" s="52">
        <f>8*($G$116-$G$112/2)*($G$107*(1+(P108-25)*$E$127*(0.000001)))/(O109*(1+(P108-25)*$E$125*(0.000001)))</f>
        <v>16.202342752021611</v>
      </c>
      <c r="Q109" s="52">
        <f>8*($G$116-$G$112/2)*($G$107*(1+(Q108-25)*$E$127*(0.000001)))/(O109*(1+(Q108-25)*$E$125*(0.000001)))</f>
        <v>15.553043199915409</v>
      </c>
      <c r="R109" s="41"/>
      <c r="S109" s="34"/>
    </row>
    <row r="110" spans="2:20" ht="14" hidden="1">
      <c r="B110" s="297" t="s">
        <v>1</v>
      </c>
      <c r="C110" s="298"/>
      <c r="D110" s="299"/>
      <c r="E110" s="66">
        <f>(E91-E92-E93*(E100+E108)*0.001)*E109/(E96*(1-E97/100)*(0.001)*E94)</f>
        <v>8.3602125457305583</v>
      </c>
      <c r="F110" s="164">
        <f>(F91-F92-F93*(F100+F108)*0.001)*F109/(F96*(1-F97/100)*(0.001)*F94)</f>
        <v>8.3602125457305583</v>
      </c>
      <c r="G110" s="165">
        <f>(G91-G92-G93*(G100+G108)*0.001)*G109/(G96*(1-G97/100)*(0.001)*G94)</f>
        <v>8.3602125457305583</v>
      </c>
      <c r="H110" s="65"/>
      <c r="I110" s="41"/>
      <c r="J110" s="45"/>
      <c r="K110" s="50">
        <f>$G$123</f>
        <v>11</v>
      </c>
      <c r="L110" s="52">
        <f>8*($F$116-$F$112/2)*($F$107*(1+(L108-25)*$E$127*(0.000001)))/(K110*(1+(L108-25)*$E$125*(0.000001)))</f>
        <v>13.256462251654044</v>
      </c>
      <c r="M110" s="52">
        <f>8*($F$116-$F$112/2)*($F$107*(1+(M108-25)*$E$127*(0.000001)))/(K110*(1+(M108-25)*$E$125*(0.000001)))</f>
        <v>12.725217163567153</v>
      </c>
      <c r="N110" s="47"/>
      <c r="O110" s="50">
        <f>$G$123</f>
        <v>11</v>
      </c>
      <c r="P110" s="52">
        <f>8*($G$116-$G$112/2)*($G$107*(1+(P108-25)*$E$127*(0.000001)))/(O110*(1+(P108-25)*$E$125*(0.000001)))</f>
        <v>13.256462251654044</v>
      </c>
      <c r="Q110" s="52">
        <f>8*($G$116-$G$112/2)*($G$107*(1+(Q108-25)*$E$127*(0.000001)))/(O110*(1+(Q108-25)*$E$125*(0.000001)))</f>
        <v>12.725217163567153</v>
      </c>
      <c r="R110" s="41"/>
      <c r="S110" s="34"/>
    </row>
    <row r="111" spans="2:20" ht="14.5" hidden="1" thickBot="1">
      <c r="B111" s="324" t="s">
        <v>2</v>
      </c>
      <c r="C111" s="325"/>
      <c r="D111" s="326"/>
      <c r="E111" s="67">
        <f>(E91-E92-E93*(E100+E108)*0.001)*E109/(E96*(0.001)*E94)</f>
        <v>6.688170036584447</v>
      </c>
      <c r="F111" s="67">
        <f>(F91-F92-F93*(F100+F108)*0.001)*F109/(F96*(0.001)*F94)</f>
        <v>6.688170036584447</v>
      </c>
      <c r="G111" s="166">
        <f>(G91-G92-G93*(G100+G108)*0.001)*G109/(G96*(0.001)*G94)</f>
        <v>6.688170036584447</v>
      </c>
      <c r="H111" s="65"/>
      <c r="I111" s="41"/>
      <c r="J111" s="69"/>
      <c r="K111" s="70"/>
      <c r="L111" s="70"/>
      <c r="M111" s="70"/>
      <c r="N111" s="70"/>
      <c r="O111" s="70"/>
      <c r="P111" s="70"/>
      <c r="Q111" s="70"/>
      <c r="R111" s="71"/>
      <c r="S111" s="34"/>
    </row>
    <row r="112" spans="2:20" ht="14.5" hidden="1" thickTop="1">
      <c r="B112" s="327" t="s">
        <v>3</v>
      </c>
      <c r="C112" s="328"/>
      <c r="D112" s="329"/>
      <c r="E112" s="68">
        <f>(E91-E92-E93*(E100+E108)*0.001)*E109/(E96*(1+E97/100)*(0.001)*E94)</f>
        <v>5.5734750304870389</v>
      </c>
      <c r="F112" s="68">
        <f>(F91-F92-F93*(F100+F108)*0.001)*F109/(F96*(1+F97/100)*(0.001)*F94)</f>
        <v>5.5734750304870389</v>
      </c>
      <c r="G112" s="68">
        <f>(G91-G92-G93*(G100+G108)*0.001)*G109/(G96*(1+G97/100)*(0.001)*G94)</f>
        <v>5.5734750304870389</v>
      </c>
      <c r="H112" s="73"/>
      <c r="I112" s="74"/>
      <c r="J112" s="42"/>
      <c r="K112" s="43"/>
      <c r="L112" s="43"/>
      <c r="M112" s="43"/>
      <c r="N112" s="43"/>
      <c r="O112" s="43"/>
      <c r="P112" s="43"/>
      <c r="Q112" s="43"/>
      <c r="R112" s="44"/>
      <c r="S112" s="34"/>
    </row>
    <row r="113" spans="2:19" ht="14" hidden="1">
      <c r="B113" s="300" t="s">
        <v>282</v>
      </c>
      <c r="C113" s="301"/>
      <c r="D113" s="302"/>
      <c r="E113" s="72">
        <f>E110*$E$99</f>
        <v>39.292998964933624</v>
      </c>
      <c r="F113" s="72">
        <f>F110*$F$99</f>
        <v>39.292998964933624</v>
      </c>
      <c r="G113" s="72">
        <f>G110*$G$99</f>
        <v>39.292998964933624</v>
      </c>
      <c r="H113" s="73"/>
      <c r="I113" s="74"/>
      <c r="J113" s="45"/>
      <c r="K113" s="47" t="s">
        <v>283</v>
      </c>
      <c r="L113" s="47"/>
      <c r="M113" s="47"/>
      <c r="N113" s="47"/>
      <c r="O113" s="47"/>
      <c r="P113" s="47"/>
      <c r="Q113" s="47"/>
      <c r="R113" s="41"/>
      <c r="S113" s="45"/>
    </row>
    <row r="114" spans="2:19" ht="14" hidden="1">
      <c r="B114" s="291" t="s">
        <v>284</v>
      </c>
      <c r="C114" s="292"/>
      <c r="D114" s="293"/>
      <c r="E114" s="75">
        <f>E111*$E$99</f>
        <v>31.4343991719469</v>
      </c>
      <c r="F114" s="75">
        <f>F111*$F$99</f>
        <v>31.4343991719469</v>
      </c>
      <c r="G114" s="75">
        <f>G111*$G$99</f>
        <v>31.4343991719469</v>
      </c>
      <c r="H114" s="73"/>
      <c r="I114" s="74"/>
      <c r="J114" s="45"/>
      <c r="K114" s="50"/>
      <c r="L114" s="51">
        <f>$F$124</f>
        <v>0</v>
      </c>
      <c r="M114" s="51">
        <f>$G$124</f>
        <v>60</v>
      </c>
      <c r="N114" s="55"/>
      <c r="O114" s="51"/>
      <c r="P114" s="51">
        <f>$F$124</f>
        <v>0</v>
      </c>
      <c r="Q114" s="51">
        <f>$G$124</f>
        <v>60</v>
      </c>
      <c r="R114" s="41"/>
      <c r="S114" s="45"/>
    </row>
    <row r="115" spans="2:19" ht="14" hidden="1">
      <c r="B115" s="321" t="s">
        <v>285</v>
      </c>
      <c r="C115" s="322"/>
      <c r="D115" s="323"/>
      <c r="E115" s="76">
        <f>E112*$E$99</f>
        <v>26.195332643289085</v>
      </c>
      <c r="F115" s="76">
        <f>F112*$F$99</f>
        <v>26.195332643289085</v>
      </c>
      <c r="G115" s="76">
        <f>G112*$G$99</f>
        <v>26.195332643289085</v>
      </c>
      <c r="H115" s="73"/>
      <c r="I115" s="41"/>
      <c r="J115" s="45"/>
      <c r="K115" s="50">
        <f>$F$123</f>
        <v>9</v>
      </c>
      <c r="L115" s="77">
        <f>$E$117*K115*(1+(L114-25)*$E$125*0.000001)/8</f>
        <v>25.316718750000003</v>
      </c>
      <c r="M115" s="62">
        <f>$E$117*K115*(1+(M114-25)*$E$125*0.000001)/8</f>
        <v>33.406593749999999</v>
      </c>
      <c r="N115" s="47"/>
      <c r="O115" s="50">
        <f>$F$123</f>
        <v>9</v>
      </c>
      <c r="P115" s="57">
        <f>$E$117*O115*(1+(P114-25)*$E$125*0.000001)/8</f>
        <v>25.316718750000003</v>
      </c>
      <c r="Q115" s="57">
        <f>$E$117*O115*(1+(Q114-25)*$E$125*0.000001)/8</f>
        <v>33.406593749999999</v>
      </c>
      <c r="R115" s="41"/>
      <c r="S115" s="45"/>
    </row>
    <row r="116" spans="2:19" ht="14" hidden="1">
      <c r="B116" s="277" t="s">
        <v>286</v>
      </c>
      <c r="C116" s="278"/>
      <c r="D116" s="279"/>
      <c r="E116" s="79">
        <f>E93</f>
        <v>13</v>
      </c>
      <c r="F116" s="79">
        <f>E116</f>
        <v>13</v>
      </c>
      <c r="G116" s="79">
        <f>F116</f>
        <v>13</v>
      </c>
      <c r="H116" s="73"/>
      <c r="I116" s="41"/>
      <c r="J116" s="45"/>
      <c r="K116" s="50">
        <f>$G$123</f>
        <v>11</v>
      </c>
      <c r="L116" s="62">
        <f>$E$117*K116*(1+(L114-25)*$E$125*0.000001)/8</f>
        <v>30.942656250000002</v>
      </c>
      <c r="M116" s="77">
        <f>$E$117*K116*(1+(M114-25)*$E$125*0.000001)/8</f>
        <v>40.830281249999999</v>
      </c>
      <c r="N116" s="47"/>
      <c r="O116" s="50">
        <f>$G$123</f>
        <v>11</v>
      </c>
      <c r="P116" s="57">
        <f>$E$117*O116*(1+(P114-25)*$E$125*0.000001)/8</f>
        <v>30.942656250000002</v>
      </c>
      <c r="Q116" s="57">
        <f>$E$117*O116*(1+(Q114-25)*$E$125*0.000001)/8</f>
        <v>40.830281249999999</v>
      </c>
      <c r="R116" s="41"/>
      <c r="S116" s="45"/>
    </row>
    <row r="117" spans="2:19" ht="14.5" hidden="1" thickBot="1">
      <c r="B117" s="277" t="s">
        <v>287</v>
      </c>
      <c r="C117" s="278"/>
      <c r="D117" s="279"/>
      <c r="E117" s="46">
        <f>E62</f>
        <v>25.5</v>
      </c>
      <c r="F117" s="81"/>
      <c r="G117" s="82"/>
      <c r="H117" s="73"/>
      <c r="I117" s="34"/>
      <c r="J117" s="69"/>
      <c r="K117" s="70"/>
      <c r="L117" s="70"/>
      <c r="M117" s="70"/>
      <c r="N117" s="70"/>
      <c r="O117" s="70"/>
      <c r="P117" s="70"/>
      <c r="Q117" s="70"/>
      <c r="R117" s="71"/>
      <c r="S117" s="45"/>
    </row>
    <row r="118" spans="2:19" ht="14.5" hidden="1" thickTop="1">
      <c r="B118" s="272" t="s">
        <v>288</v>
      </c>
      <c r="C118" s="273"/>
      <c r="D118" s="274"/>
      <c r="E118" s="84">
        <f>E117*$E$123/8</f>
        <v>31.875</v>
      </c>
      <c r="F118" s="85"/>
      <c r="G118" s="80"/>
      <c r="H118" s="78"/>
      <c r="I118" s="34"/>
      <c r="J118" s="42"/>
      <c r="K118" s="43" t="s">
        <v>289</v>
      </c>
      <c r="L118" s="43"/>
      <c r="M118" s="43"/>
      <c r="N118" s="43"/>
      <c r="O118" s="43" t="s">
        <v>290</v>
      </c>
      <c r="P118" s="43"/>
      <c r="Q118" s="43"/>
      <c r="R118" s="44"/>
      <c r="S118" s="45"/>
    </row>
    <row r="119" spans="2:19" ht="14" hidden="1">
      <c r="B119" s="272" t="s">
        <v>291</v>
      </c>
      <c r="C119" s="273"/>
      <c r="D119" s="274"/>
      <c r="E119" s="84">
        <f>$E$117*$E$123/(8*E106)+E111/2</f>
        <v>24.594085018292223</v>
      </c>
      <c r="F119" s="84">
        <f>$E$117*$E$123/(8*F106)+F111/2</f>
        <v>24.594085018292223</v>
      </c>
      <c r="G119" s="84">
        <f>$E$117*$E$123/(8*G106)+G111/2</f>
        <v>24.594085018292223</v>
      </c>
      <c r="H119" s="78"/>
      <c r="I119" s="41"/>
      <c r="J119" s="45"/>
      <c r="K119" s="47" t="s">
        <v>292</v>
      </c>
      <c r="L119" s="47"/>
      <c r="M119" s="47"/>
      <c r="N119" s="47"/>
      <c r="O119" s="47" t="s">
        <v>292</v>
      </c>
      <c r="P119" s="47"/>
      <c r="Q119" s="47"/>
      <c r="R119" s="41"/>
      <c r="S119" s="45"/>
    </row>
    <row r="120" spans="2:19" ht="14" hidden="1">
      <c r="B120" s="309" t="s">
        <v>293</v>
      </c>
      <c r="C120" s="310"/>
      <c r="D120" s="311"/>
      <c r="E120" s="86">
        <f>MIN(L121:M122,P121:Q122,L125:M126,P125:Q126,L131:M132,P131:Q132,L135:M136,P135:Q136)</f>
        <v>18.860844658100664</v>
      </c>
      <c r="F120" s="87"/>
      <c r="G120" s="87"/>
      <c r="H120" s="78"/>
      <c r="I120" s="34"/>
      <c r="J120" s="45"/>
      <c r="K120" s="50" t="s">
        <v>265</v>
      </c>
      <c r="L120" s="51">
        <f>$F$124</f>
        <v>0</v>
      </c>
      <c r="M120" s="51">
        <f>$G$124</f>
        <v>60</v>
      </c>
      <c r="N120" s="55"/>
      <c r="O120" s="51" t="s">
        <v>265</v>
      </c>
      <c r="P120" s="51">
        <f>$F$124</f>
        <v>0</v>
      </c>
      <c r="Q120" s="51">
        <f>$G$124</f>
        <v>60</v>
      </c>
      <c r="R120" s="41"/>
      <c r="S120" s="45"/>
    </row>
    <row r="121" spans="2:19" ht="14" hidden="1">
      <c r="B121" s="309" t="s">
        <v>294</v>
      </c>
      <c r="C121" s="310"/>
      <c r="D121" s="311"/>
      <c r="E121" s="86">
        <f>MAX(L121:M122,P121:Q122,L125:M126,P125:Q126,L131:M132,P131:Q132,L135:M136,P135:Q136)</f>
        <v>32.037023305029017</v>
      </c>
      <c r="H121" s="80"/>
      <c r="I121" s="34"/>
      <c r="J121" s="45"/>
      <c r="K121" s="50">
        <f>$F$123</f>
        <v>9</v>
      </c>
      <c r="L121" s="52">
        <f>$E$117*K121*(1+(L120-25)*$E$125*0.000001)/(8*$E$105*(1+(L120-25)*$E$127*0.000001))+$F$110/2</f>
        <v>26.058752106198611</v>
      </c>
      <c r="M121" s="52">
        <f>$E$117*K121*(1+(M120-25)*$E$125*0.000001)/(8*$E$105*(1+(M120-25)*$E$127*0.000001))+$F$110/2</f>
        <v>26.972129299181063</v>
      </c>
      <c r="N121" s="47"/>
      <c r="O121" s="50">
        <f>$F$123</f>
        <v>9</v>
      </c>
      <c r="P121" s="52">
        <f>$E$117*O121*(1+(P120-25)*$E$125*0.000001)/(8*$E$105*(1+(P120-25)*$E$127*0.000001))+$G$110/2</f>
        <v>26.058752106198611</v>
      </c>
      <c r="Q121" s="52">
        <f>$E$117*O121*(1+(Q120-25)*$E$125*0.000001)/(8*$E$105*(1+(Q120-25)*$E$127*0.000001))+$G$110/2</f>
        <v>26.972129299181063</v>
      </c>
      <c r="R121" s="41"/>
      <c r="S121" s="45"/>
    </row>
    <row r="122" spans="2:19" ht="14" hidden="1">
      <c r="H122" s="38"/>
      <c r="I122" s="34"/>
      <c r="J122" s="45"/>
      <c r="K122" s="50">
        <f>$G$123</f>
        <v>11</v>
      </c>
      <c r="L122" s="52">
        <f>$E$117*K122*(1+(L120-25)*$E$125*0.000001)/(8*$E$105*(1+(L120-25)*$E$127*0.000001))+$F$110/2</f>
        <v>30.920673402494906</v>
      </c>
      <c r="M122" s="52">
        <f>$E$117*K122*(1+(M120-25)*$E$125*0.000001)/(8*$E$105*(1+(M120-25)*$E$127*0.000001))+$F$110/2</f>
        <v>32.037023305029017</v>
      </c>
      <c r="N122" s="47"/>
      <c r="O122" s="50">
        <f>$G$123</f>
        <v>11</v>
      </c>
      <c r="P122" s="56">
        <f>$E$117*O122*(1+(P120-25)*$E$125*0.000001)/(8*$E$105*(1+(P120-25)*$E$127*0.000001))+$G$110/2</f>
        <v>30.920673402494906</v>
      </c>
      <c r="Q122" s="83">
        <f>$E$117*O122*(1+(Q120-25)*$E$125*0.000001)/(8*$E$105*(1+(Q120-25)*$E$127*0.000001))+$G$110/2</f>
        <v>32.037023305029017</v>
      </c>
      <c r="R122" s="41"/>
      <c r="S122" s="45"/>
    </row>
    <row r="123" spans="2:19" ht="14" hidden="1">
      <c r="B123" s="318" t="s">
        <v>295</v>
      </c>
      <c r="C123" s="319"/>
      <c r="D123" s="320"/>
      <c r="E123" s="89">
        <v>10</v>
      </c>
      <c r="F123" s="89">
        <v>9</v>
      </c>
      <c r="G123" s="89">
        <v>11</v>
      </c>
      <c r="H123" s="38"/>
      <c r="I123" s="34"/>
      <c r="J123" s="45"/>
      <c r="K123" s="47"/>
      <c r="L123" s="47"/>
      <c r="M123" s="38"/>
      <c r="N123" s="38"/>
      <c r="O123" s="38"/>
      <c r="P123" s="38"/>
      <c r="Q123" s="38"/>
      <c r="R123" s="41"/>
      <c r="S123" s="45"/>
    </row>
    <row r="124" spans="2:19" ht="14" hidden="1">
      <c r="B124" s="277" t="s">
        <v>296</v>
      </c>
      <c r="C124" s="278"/>
      <c r="D124" s="279"/>
      <c r="E124" s="48">
        <v>25</v>
      </c>
      <c r="F124" s="48">
        <f>C21</f>
        <v>0</v>
      </c>
      <c r="G124" s="48">
        <f>D21</f>
        <v>60</v>
      </c>
      <c r="H124" s="80"/>
      <c r="I124" s="34"/>
      <c r="J124" s="45"/>
      <c r="K124" s="50" t="s">
        <v>270</v>
      </c>
      <c r="L124" s="51">
        <f>L120</f>
        <v>0</v>
      </c>
      <c r="M124" s="51">
        <f>M120</f>
        <v>60</v>
      </c>
      <c r="N124" s="55"/>
      <c r="O124" s="51" t="s">
        <v>270</v>
      </c>
      <c r="P124" s="51">
        <f>P120</f>
        <v>0</v>
      </c>
      <c r="Q124" s="51">
        <f>Q120</f>
        <v>60</v>
      </c>
      <c r="R124" s="41"/>
      <c r="S124" s="45"/>
    </row>
    <row r="125" spans="2:19" ht="14" hidden="1">
      <c r="B125" s="315" t="s">
        <v>297</v>
      </c>
      <c r="C125" s="316"/>
      <c r="D125" s="317"/>
      <c r="E125" s="90">
        <v>4700</v>
      </c>
      <c r="F125" s="49">
        <f>E125</f>
        <v>4700</v>
      </c>
      <c r="G125" s="49">
        <f>F125</f>
        <v>4700</v>
      </c>
      <c r="H125" s="88"/>
      <c r="I125" s="34"/>
      <c r="J125" s="45"/>
      <c r="K125" s="50">
        <f>$F$123</f>
        <v>9</v>
      </c>
      <c r="L125" s="52">
        <f>$E$117*K125*(1+(L124-25)*$E$125*0.000001)/(8*$E$105*(1+(L124-25)*$E$127*0.000001))+$F$112/2</f>
        <v>24.665383348576853</v>
      </c>
      <c r="M125" s="52">
        <f>$E$117*K125*(1+(M124-25)*$E$125*0.000001)/(8*$E$105*(1+(M124-25)*$E$127*0.000001))+$F$112/2</f>
        <v>25.578760541559305</v>
      </c>
      <c r="N125" s="47"/>
      <c r="O125" s="50">
        <f>$F$123</f>
        <v>9</v>
      </c>
      <c r="P125" s="52">
        <f>$E$117*O125*(1+(P124-25)*$E$125*0.000001)/(8*$E$105*(1+(P124-25)*$E$127*0.000001))+$G$112/2</f>
        <v>24.665383348576853</v>
      </c>
      <c r="Q125" s="52">
        <f>$E$117*O125*(1+(Q124-25)*$E$125*0.000001)/(8*$E$105*(1+(Q124-25)*$E$127*0.000001))+$G$112/2</f>
        <v>25.578760541559305</v>
      </c>
      <c r="R125" s="41"/>
      <c r="S125" s="45"/>
    </row>
    <row r="126" spans="2:19" ht="14" hidden="1">
      <c r="B126" s="312" t="s">
        <v>298</v>
      </c>
      <c r="C126" s="313"/>
      <c r="D126" s="314"/>
      <c r="E126" s="49">
        <f>E123*(1+(E124-25)*E125*(0.000001))</f>
        <v>10</v>
      </c>
      <c r="F126" s="91">
        <f>F123*(1+(F124-25)*F125*(0.000001))</f>
        <v>7.9425000000000008</v>
      </c>
      <c r="G126" s="91">
        <f>G123*(1+(G124-25)*G125*(0.000001))</f>
        <v>12.809499999999998</v>
      </c>
      <c r="H126" s="88"/>
      <c r="I126" s="34"/>
      <c r="J126" s="45"/>
      <c r="K126" s="50">
        <f>$G$123</f>
        <v>11</v>
      </c>
      <c r="L126" s="52">
        <f>$E$117*K126*(1+(L124-25)*$E$125*0.000001)/(8*$E$105*(1+(L124-25)*$E$127*0.000001))+$F$112/2</f>
        <v>29.527304644873148</v>
      </c>
      <c r="M126" s="52">
        <f>$E$117*K126*(1+(M124-25)*$E$125*0.000001)/(8*$E$105*(1+(M124-25)*$E$127*0.000001))+$F$112/2</f>
        <v>30.643654547407255</v>
      </c>
      <c r="N126" s="47"/>
      <c r="O126" s="50">
        <f>$G$123</f>
        <v>11</v>
      </c>
      <c r="P126" s="52">
        <f>$E$117*O126*(1+(P124-25)*$E$125*0.000001)/(8*$E$105*(1+(P124-25)*$E$127*0.000001))+$G$112/2</f>
        <v>29.527304644873148</v>
      </c>
      <c r="Q126" s="52">
        <f>$E$117*O126*(1+(Q124-25)*$E$125*0.000001)/(8*$E$105*(1+(Q124-25)*$E$127*0.000001))+$G$112/2</f>
        <v>30.643654547407255</v>
      </c>
      <c r="R126" s="41"/>
      <c r="S126" s="45"/>
    </row>
    <row r="127" spans="2:19" ht="14" hidden="1">
      <c r="B127" s="277" t="s">
        <v>299</v>
      </c>
      <c r="C127" s="278"/>
      <c r="D127" s="279"/>
      <c r="E127" s="48">
        <f>(H57-1)/75*1000000</f>
        <v>4000.0000000000009</v>
      </c>
      <c r="F127" s="49">
        <f>E127</f>
        <v>4000.0000000000009</v>
      </c>
      <c r="G127" s="49">
        <f>F127</f>
        <v>4000.0000000000009</v>
      </c>
      <c r="H127" s="88"/>
      <c r="I127" s="34"/>
      <c r="J127" s="45"/>
      <c r="K127" s="47"/>
      <c r="L127" s="47"/>
      <c r="M127" s="47"/>
      <c r="N127" s="47"/>
      <c r="O127" s="47"/>
      <c r="P127" s="47"/>
      <c r="Q127" s="47"/>
      <c r="R127" s="41"/>
      <c r="S127" s="45"/>
    </row>
    <row r="128" spans="2:19" ht="14" hidden="1">
      <c r="B128" s="312" t="s">
        <v>300</v>
      </c>
      <c r="C128" s="313"/>
      <c r="D128" s="314"/>
      <c r="E128" s="49">
        <f>E107*(1+(E124-25)*E127*(0.000001))</f>
        <v>1.75</v>
      </c>
      <c r="F128" s="91">
        <f>F107*(1+(F124-25)*F127*(0.000001))</f>
        <v>1.575</v>
      </c>
      <c r="G128" s="91">
        <f>G107*(1+(G124-25)*G127*(0.000001))</f>
        <v>1.9950000000000001</v>
      </c>
      <c r="H128" s="88"/>
      <c r="I128" s="34"/>
      <c r="J128" s="45"/>
      <c r="K128" s="47" t="s">
        <v>289</v>
      </c>
      <c r="L128" s="47"/>
      <c r="M128" s="47"/>
      <c r="N128" s="47"/>
      <c r="O128" s="47" t="s">
        <v>290</v>
      </c>
      <c r="P128" s="47"/>
      <c r="Q128" s="38"/>
      <c r="R128" s="41"/>
      <c r="S128" s="45"/>
    </row>
    <row r="129" spans="2:19" ht="14" hidden="1">
      <c r="H129" s="38"/>
      <c r="I129" s="34"/>
      <c r="J129" s="45"/>
      <c r="K129" s="47" t="s">
        <v>301</v>
      </c>
      <c r="L129" s="47"/>
      <c r="M129" s="47"/>
      <c r="N129" s="47"/>
      <c r="O129" s="47" t="s">
        <v>301</v>
      </c>
      <c r="P129" s="47"/>
      <c r="Q129" s="47"/>
      <c r="R129" s="41"/>
      <c r="S129" s="45"/>
    </row>
    <row r="130" spans="2:19" ht="14" hidden="1">
      <c r="B130" s="34" t="s">
        <v>302</v>
      </c>
      <c r="H130" s="47"/>
      <c r="I130" s="34"/>
      <c r="J130" s="45"/>
      <c r="K130" s="50" t="s">
        <v>265</v>
      </c>
      <c r="L130" s="51">
        <f>$F$124</f>
        <v>0</v>
      </c>
      <c r="M130" s="51">
        <f>$G$124</f>
        <v>60</v>
      </c>
      <c r="N130" s="55"/>
      <c r="O130" s="51" t="s">
        <v>265</v>
      </c>
      <c r="P130" s="51">
        <f>$F$124</f>
        <v>0</v>
      </c>
      <c r="Q130" s="51">
        <f>$G$124</f>
        <v>60</v>
      </c>
      <c r="R130" s="41"/>
      <c r="S130" s="45"/>
    </row>
    <row r="131" spans="2:19" ht="14" hidden="1">
      <c r="B131" s="283" t="s">
        <v>303</v>
      </c>
      <c r="C131" s="284"/>
      <c r="D131" s="285"/>
      <c r="E131" s="92">
        <v>2</v>
      </c>
      <c r="H131" s="47"/>
      <c r="I131" s="34"/>
      <c r="J131" s="45"/>
      <c r="K131" s="50">
        <f>$F$123</f>
        <v>9</v>
      </c>
      <c r="L131" s="52">
        <f>$E$117*K131*(1+(L130-25)*$E$125*0.000001)/(8*$E$107*(1+(L130-25)*$E$127*0.000001))+$F$110/2</f>
        <v>20.254213415722425</v>
      </c>
      <c r="M131" s="52">
        <f>$E$117*K131*(1+(M130-25)*$E$125*0.000001)/(8*$E$107*(1+(M130-25)*$E$127*0.000001))+$F$110/2</f>
        <v>20.925266047301371</v>
      </c>
      <c r="N131" s="47"/>
      <c r="O131" s="50">
        <f>$F$123</f>
        <v>9</v>
      </c>
      <c r="P131" s="52">
        <f>$E$117*O131*(1+(P130-25)*$E$125*0.000001)/(8*$E$107*(1+(P130-25)*$E$127*0.000001))+$G$110/2</f>
        <v>20.254213415722425</v>
      </c>
      <c r="Q131" s="52">
        <f>$E$117*O131*(1+(Q130-25)*$E$125*0.000001)/(8*$E$107*(1+(Q130-25)*$E$127*0.000001))+$G$110/2</f>
        <v>20.925266047301371</v>
      </c>
      <c r="R131" s="41"/>
      <c r="S131" s="45"/>
    </row>
    <row r="132" spans="2:19" ht="14" hidden="1">
      <c r="B132" s="277" t="s">
        <v>361</v>
      </c>
      <c r="C132" s="278"/>
      <c r="D132" s="279"/>
      <c r="E132" s="48">
        <f>C30</f>
        <v>20</v>
      </c>
      <c r="H132" s="88"/>
      <c r="I132" s="34"/>
      <c r="J132" s="45"/>
      <c r="K132" s="50">
        <f>$G$123</f>
        <v>11</v>
      </c>
      <c r="L132" s="52">
        <f>$E$117*K132*(1+(L130-25)*$E$125*0.000001)/(8*$E$107*(1+(L130-25)*$E$127*0.000001))+$F$110/2</f>
        <v>23.826237225246231</v>
      </c>
      <c r="M132" s="52">
        <f>$E$117*K132*(1+(M130-25)*$E$125*0.000001)/(8*$E$107*(1+(M130-25)*$E$127*0.000001))+$F$110/2</f>
        <v>24.646412663842725</v>
      </c>
      <c r="N132" s="47"/>
      <c r="O132" s="50">
        <f>$G$123</f>
        <v>11</v>
      </c>
      <c r="P132" s="52">
        <f>$E$117*O132*(1+(P130-25)*$E$125*0.000001)/(8*$E$107*(1+(P130-25)*$E$127*0.000001))+$G$110/2</f>
        <v>23.826237225246231</v>
      </c>
      <c r="Q132" s="52">
        <f>$E$117*O132*(1+(Q130-25)*$E$125*0.000001)/(8*$E$107*(1+(Q130-25)*$E$127*0.000001))+$G$110/2</f>
        <v>24.646412663842725</v>
      </c>
      <c r="R132" s="41"/>
      <c r="S132" s="45"/>
    </row>
    <row r="133" spans="2:19" ht="14" hidden="1">
      <c r="B133" s="272" t="s">
        <v>304</v>
      </c>
      <c r="C133" s="273"/>
      <c r="D133" s="274"/>
      <c r="E133" s="94">
        <f>E132/(E131/E92-1)</f>
        <v>20</v>
      </c>
      <c r="H133" s="88"/>
      <c r="I133" s="34"/>
      <c r="J133" s="45"/>
      <c r="K133" s="47"/>
      <c r="L133" s="47"/>
      <c r="M133" s="38"/>
      <c r="N133" s="47"/>
      <c r="O133" s="38"/>
      <c r="P133" s="38"/>
      <c r="Q133" s="38"/>
      <c r="R133" s="41"/>
      <c r="S133" s="45"/>
    </row>
    <row r="134" spans="2:19" ht="14" hidden="1">
      <c r="B134" s="277" t="s">
        <v>305</v>
      </c>
      <c r="C134" s="278"/>
      <c r="D134" s="279"/>
      <c r="E134" s="96">
        <f>F30</f>
        <v>30</v>
      </c>
      <c r="F134" s="34"/>
      <c r="G134" s="306" t="s">
        <v>306</v>
      </c>
      <c r="H134" s="50">
        <v>300</v>
      </c>
      <c r="I134" s="34"/>
      <c r="J134" s="45"/>
      <c r="K134" s="50" t="s">
        <v>270</v>
      </c>
      <c r="L134" s="51">
        <f>L130</f>
        <v>0</v>
      </c>
      <c r="M134" s="51">
        <f>M130</f>
        <v>60</v>
      </c>
      <c r="N134" s="55"/>
      <c r="O134" s="51" t="s">
        <v>270</v>
      </c>
      <c r="P134" s="51">
        <f>P130</f>
        <v>0</v>
      </c>
      <c r="Q134" s="51">
        <f>Q130</f>
        <v>60</v>
      </c>
      <c r="R134" s="41"/>
      <c r="S134" s="45"/>
    </row>
    <row r="135" spans="2:19" ht="14" hidden="1">
      <c r="B135" s="272" t="s">
        <v>307</v>
      </c>
      <c r="C135" s="273"/>
      <c r="D135" s="274"/>
      <c r="E135" s="94">
        <f>E131*E134/(E132+E134)</f>
        <v>1.2</v>
      </c>
      <c r="F135" s="34"/>
      <c r="G135" s="307"/>
      <c r="H135" s="50">
        <v>400</v>
      </c>
      <c r="I135" s="34"/>
      <c r="J135" s="45"/>
      <c r="K135" s="50">
        <f>$F$123</f>
        <v>9</v>
      </c>
      <c r="L135" s="83">
        <f>$E$117*K135*(1+(L134-25)*$E$125*0.000001)/(8*$E$107*(1+(L134-25)*$E$127*0.000001))+$F$112/2</f>
        <v>18.860844658100664</v>
      </c>
      <c r="M135" s="56">
        <f>$E$117*K135*(1+(M134-25)*$E$125*0.000001)/(8*$E$107*(1+(M134-25)*$E$127*0.000001))+$F$112/2</f>
        <v>19.531897289679609</v>
      </c>
      <c r="N135" s="47"/>
      <c r="O135" s="50">
        <f>$F$123</f>
        <v>9</v>
      </c>
      <c r="P135" s="52">
        <f>$E$117*O135*(1+(P134-25)*$E$125*0.000001)/(8*$E$107*(1+(P134-25)*$E$127*0.000001))+$G$112/2</f>
        <v>18.860844658100664</v>
      </c>
      <c r="Q135" s="52">
        <f>$E$117*O135*(1+(Q134-25)*$E$125*0.000001)/(8*$E$107*(1+(Q134-25)*$E$127*0.000001))+$G$112/2</f>
        <v>19.531897289679609</v>
      </c>
      <c r="R135" s="41"/>
      <c r="S135" s="45"/>
    </row>
    <row r="136" spans="2:19" ht="14" hidden="1">
      <c r="F136" s="34"/>
      <c r="G136" s="34"/>
      <c r="H136" s="167"/>
      <c r="I136" s="93"/>
      <c r="J136" s="45"/>
      <c r="K136" s="50">
        <f>$G$123</f>
        <v>11</v>
      </c>
      <c r="L136" s="52">
        <f>$E$117*K136*(1+(L134-25)*$E$125*0.000001)/(8*$E$107*(1+(L134-25)*$E$127*0.000001))+$F$112/2</f>
        <v>22.432868467624473</v>
      </c>
      <c r="M136" s="52">
        <f>$E$117*K136*(1+(M134-25)*$E$125*0.000001)/(8*$E$107*(1+(M134-25)*$E$127*0.000001))+$F$112/2</f>
        <v>23.253043906220963</v>
      </c>
      <c r="N136" s="47"/>
      <c r="O136" s="50">
        <f>$G$123</f>
        <v>11</v>
      </c>
      <c r="P136" s="52">
        <f>$E$117*O136*(1+(P134-25)*$E$125*0.000001)/(8*$E$107*(1+(P134-25)*$E$127*0.000001))+$G$112/2</f>
        <v>22.432868467624473</v>
      </c>
      <c r="Q136" s="52">
        <f>$E$117*O136*(1+(Q134-25)*$E$125*0.000001)/(8*$E$107*(1+(Q134-25)*$E$127*0.000001))+$G$112/2</f>
        <v>23.253043906220963</v>
      </c>
      <c r="R136" s="41"/>
      <c r="S136" s="45"/>
    </row>
    <row r="137" spans="2:19" ht="14.5" hidden="1" thickBot="1">
      <c r="B137" s="34" t="s">
        <v>355</v>
      </c>
      <c r="C137" s="34"/>
      <c r="D137" s="34"/>
      <c r="E137" s="34"/>
      <c r="F137" s="34"/>
      <c r="G137" s="34"/>
      <c r="H137" s="38"/>
      <c r="I137" s="93"/>
      <c r="J137" s="69"/>
      <c r="K137" s="70"/>
      <c r="L137" s="95"/>
      <c r="M137" s="95"/>
      <c r="N137" s="95"/>
      <c r="O137" s="70"/>
      <c r="P137" s="70"/>
      <c r="Q137" s="70"/>
      <c r="R137" s="71"/>
      <c r="S137" s="45"/>
    </row>
    <row r="138" spans="2:19" ht="14.5" hidden="1" thickTop="1">
      <c r="B138" s="269" t="s">
        <v>308</v>
      </c>
      <c r="C138" s="270"/>
      <c r="D138" s="271"/>
      <c r="E138" s="86">
        <f>E94/3</f>
        <v>100</v>
      </c>
      <c r="F138" s="34"/>
      <c r="G138" s="181"/>
      <c r="H138" s="181"/>
      <c r="I138" s="93"/>
      <c r="J138" s="34"/>
      <c r="K138" s="34"/>
      <c r="L138" s="34"/>
      <c r="M138" s="34"/>
      <c r="N138" s="34"/>
      <c r="O138" s="34"/>
      <c r="P138" s="34"/>
      <c r="Q138" s="34"/>
      <c r="R138" s="43"/>
      <c r="S138" s="47"/>
    </row>
    <row r="139" spans="2:19" ht="14.25" hidden="1" customHeight="1">
      <c r="B139" s="269" t="s">
        <v>331</v>
      </c>
      <c r="C139" s="270"/>
      <c r="D139" s="271"/>
      <c r="E139" s="50">
        <f>1000000/(2*PI()*C38*E99)</f>
        <v>99.596334850998332</v>
      </c>
      <c r="F139" s="34"/>
      <c r="G139" s="181"/>
      <c r="H139" s="181"/>
      <c r="I139" s="93"/>
      <c r="J139" s="47"/>
      <c r="M139" s="34"/>
      <c r="N139" s="34"/>
      <c r="O139" s="34"/>
      <c r="P139" s="34"/>
      <c r="Q139" s="34"/>
      <c r="R139" s="47"/>
      <c r="S139" s="38"/>
    </row>
    <row r="140" spans="2:19" ht="14" hidden="1">
      <c r="B140" s="269" t="s">
        <v>339</v>
      </c>
      <c r="C140" s="270"/>
      <c r="D140" s="271"/>
      <c r="E140" s="177">
        <f>10*130/(2*PI()*E139)</f>
        <v>2.0773999999999999</v>
      </c>
      <c r="F140" s="34"/>
      <c r="G140" s="181"/>
      <c r="H140" s="181"/>
      <c r="I140" s="93"/>
      <c r="O140" s="34"/>
      <c r="P140" s="34"/>
      <c r="Q140" s="34"/>
      <c r="R140" s="34"/>
      <c r="S140" s="34"/>
    </row>
    <row r="141" spans="2:19" ht="14" hidden="1">
      <c r="B141" s="34"/>
      <c r="C141" s="34"/>
      <c r="D141" s="34"/>
      <c r="E141" s="34"/>
      <c r="F141" s="34"/>
      <c r="I141" s="93"/>
      <c r="J141" s="34"/>
      <c r="K141" s="34"/>
      <c r="L141" s="34"/>
      <c r="M141" s="34"/>
      <c r="N141" s="34"/>
      <c r="O141" s="34"/>
      <c r="P141" s="34"/>
      <c r="Q141" s="34"/>
      <c r="R141" s="34"/>
      <c r="S141" s="34"/>
    </row>
    <row r="142" spans="2:19" ht="14" hidden="1">
      <c r="B142" s="109" t="s">
        <v>309</v>
      </c>
      <c r="C142" s="109"/>
      <c r="D142" s="109"/>
      <c r="F142" s="34"/>
      <c r="G142" s="34"/>
      <c r="J142" s="34"/>
      <c r="K142" s="34"/>
      <c r="L142" s="34"/>
      <c r="M142" s="34"/>
      <c r="N142" s="34"/>
      <c r="O142" s="34"/>
      <c r="P142" s="34"/>
      <c r="Q142" s="34"/>
      <c r="R142" s="34"/>
      <c r="S142" s="34"/>
    </row>
    <row r="143" spans="2:19" ht="14" hidden="1">
      <c r="B143" s="267" t="s">
        <v>310</v>
      </c>
      <c r="C143" s="267"/>
      <c r="D143" s="267"/>
      <c r="E143" s="98" t="e">
        <f>#REF!</f>
        <v>#REF!</v>
      </c>
      <c r="F143" s="156" t="e">
        <f t="shared" ref="F143:G146" si="2">E143</f>
        <v>#REF!</v>
      </c>
      <c r="G143" s="156" t="e">
        <f t="shared" si="2"/>
        <v>#REF!</v>
      </c>
      <c r="H143" s="34"/>
      <c r="I143" s="34"/>
      <c r="J143" s="34"/>
      <c r="K143" s="34"/>
      <c r="L143" s="34"/>
      <c r="M143" s="34"/>
      <c r="N143" s="34"/>
      <c r="O143" s="34"/>
      <c r="P143" s="34"/>
      <c r="Q143" s="34"/>
      <c r="R143" s="34"/>
      <c r="S143" s="34"/>
    </row>
    <row r="144" spans="2:19" ht="14" hidden="1">
      <c r="B144" s="267" t="s">
        <v>311</v>
      </c>
      <c r="C144" s="267"/>
      <c r="D144" s="267"/>
      <c r="E144" s="98" t="e">
        <f>#REF!</f>
        <v>#REF!</v>
      </c>
      <c r="F144" s="156" t="e">
        <f t="shared" si="2"/>
        <v>#REF!</v>
      </c>
      <c r="G144" s="156" t="e">
        <f t="shared" si="2"/>
        <v>#REF!</v>
      </c>
      <c r="H144" s="34"/>
      <c r="I144" s="34"/>
      <c r="J144" s="34"/>
      <c r="K144" s="34"/>
      <c r="L144" s="34"/>
      <c r="M144" s="34"/>
      <c r="N144" s="34"/>
      <c r="O144" s="34"/>
      <c r="P144" s="34"/>
      <c r="Q144" s="34"/>
      <c r="R144" s="34"/>
      <c r="S144" s="34"/>
    </row>
    <row r="145" spans="2:20" ht="14" hidden="1">
      <c r="B145" s="267" t="s">
        <v>312</v>
      </c>
      <c r="C145" s="267"/>
      <c r="D145" s="267"/>
      <c r="E145" s="57" t="e">
        <f>#REF!</f>
        <v>#REF!</v>
      </c>
      <c r="F145" s="156" t="e">
        <f t="shared" si="2"/>
        <v>#REF!</v>
      </c>
      <c r="G145" s="156" t="e">
        <f t="shared" si="2"/>
        <v>#REF!</v>
      </c>
      <c r="H145" s="34"/>
      <c r="I145" s="34"/>
      <c r="J145" s="34"/>
      <c r="K145" s="34"/>
      <c r="L145" s="34"/>
      <c r="M145" s="34"/>
      <c r="N145" s="34"/>
      <c r="O145" s="34"/>
      <c r="P145" s="34"/>
      <c r="Q145" s="34"/>
      <c r="R145" s="34"/>
      <c r="S145" s="34"/>
    </row>
    <row r="146" spans="2:20" ht="14" hidden="1">
      <c r="B146" s="267" t="s">
        <v>313</v>
      </c>
      <c r="C146" s="267"/>
      <c r="D146" s="267"/>
      <c r="E146" s="98" t="e">
        <f>#REF!</f>
        <v>#REF!</v>
      </c>
      <c r="F146" s="156" t="e">
        <f t="shared" si="2"/>
        <v>#REF!</v>
      </c>
      <c r="G146" s="156" t="e">
        <f t="shared" si="2"/>
        <v>#REF!</v>
      </c>
      <c r="H146" s="34"/>
      <c r="I146" s="34"/>
      <c r="J146" s="34"/>
      <c r="K146" s="34"/>
      <c r="L146" s="34"/>
      <c r="M146" s="34"/>
      <c r="N146" s="34"/>
      <c r="O146" s="34"/>
      <c r="P146" s="34"/>
      <c r="Q146" s="34"/>
      <c r="R146" s="34"/>
      <c r="S146" s="34"/>
    </row>
    <row r="147" spans="2:20" ht="14" hidden="1">
      <c r="B147" s="267" t="s">
        <v>314</v>
      </c>
      <c r="C147" s="267"/>
      <c r="D147" s="267"/>
      <c r="E147" s="50" t="e">
        <f>(E143-E144)^2/(E145*2)</f>
        <v>#REF!</v>
      </c>
      <c r="F147" s="50" t="e">
        <f>(F143-F144)^2/(F145*2)</f>
        <v>#REF!</v>
      </c>
      <c r="G147" s="50" t="e">
        <f>(G143-G144)^2/(G145*2)</f>
        <v>#REF!</v>
      </c>
      <c r="H147" s="34"/>
      <c r="I147" s="34"/>
      <c r="J147" s="34"/>
      <c r="K147" s="34"/>
      <c r="L147" s="34"/>
      <c r="M147" s="34"/>
      <c r="N147" s="34"/>
      <c r="O147" s="34"/>
      <c r="P147" s="34"/>
      <c r="Q147" s="34"/>
      <c r="R147" s="34"/>
      <c r="S147" s="34"/>
    </row>
    <row r="148" spans="2:20" ht="14" hidden="1">
      <c r="B148" s="267" t="s">
        <v>315</v>
      </c>
      <c r="C148" s="267"/>
      <c r="D148" s="267"/>
      <c r="E148" s="57" t="e">
        <f>(E143-E144+E110/2)^2*E96*(1+E97/100)/(E92*2)</f>
        <v>#REF!</v>
      </c>
      <c r="F148" s="57" t="e">
        <f>(F143-F144+F110/2)^2*F96*(1+F97/100)/(F92*2)</f>
        <v>#REF!</v>
      </c>
      <c r="G148" s="57" t="e">
        <f>(G143-G144+G110/2)^2*G96*(1+G97/100)/(G92*2)</f>
        <v>#REF!</v>
      </c>
      <c r="H148" s="34"/>
      <c r="I148" s="34"/>
      <c r="J148" s="34"/>
      <c r="K148" s="34"/>
      <c r="L148" s="34"/>
      <c r="M148" s="34"/>
      <c r="N148" s="34"/>
      <c r="O148" s="34"/>
      <c r="P148" s="34"/>
      <c r="Q148" s="34"/>
      <c r="R148" s="34"/>
      <c r="S148" s="34"/>
    </row>
    <row r="149" spans="2:20" ht="14" hidden="1">
      <c r="B149" s="268" t="s">
        <v>316</v>
      </c>
      <c r="C149" s="268"/>
      <c r="D149" s="268"/>
      <c r="E149" s="57" t="e">
        <f>(E143-E144)*(1000/E94)*(E92/E91)</f>
        <v>#REF!</v>
      </c>
      <c r="F149" s="57" t="e">
        <f>(F143-F144)*(1000/F94)*(F92/F91)</f>
        <v>#REF!</v>
      </c>
      <c r="G149" s="57" t="e">
        <f>(G143-G144)*(1000/G94)*(G92/G91)</f>
        <v>#REF!</v>
      </c>
      <c r="H149" s="34"/>
      <c r="I149" s="34"/>
      <c r="J149" s="34"/>
      <c r="K149" s="34"/>
      <c r="L149" s="34"/>
      <c r="M149" s="34"/>
      <c r="N149" s="34"/>
      <c r="O149" s="34"/>
      <c r="P149" s="34"/>
      <c r="Q149" s="34"/>
      <c r="R149" s="34"/>
      <c r="S149" s="34"/>
    </row>
    <row r="150" spans="2:20" ht="14" hidden="1">
      <c r="B150" s="267" t="s">
        <v>317</v>
      </c>
      <c r="C150" s="267"/>
      <c r="D150" s="267"/>
      <c r="E150" s="57" t="e">
        <f>(E148+E149-E147)*100/(E146*E92)</f>
        <v>#REF!</v>
      </c>
      <c r="F150" s="57" t="e">
        <f>(F148+F149-F147)*100/(F146*F92)</f>
        <v>#REF!</v>
      </c>
      <c r="G150" s="57" t="e">
        <f>(G148+G149-G147)*100/(G146*G92)</f>
        <v>#REF!</v>
      </c>
      <c r="H150" s="34"/>
      <c r="I150" s="34"/>
      <c r="J150" s="34"/>
      <c r="K150" s="34"/>
      <c r="L150" s="34"/>
      <c r="M150" s="34"/>
      <c r="N150" s="34"/>
      <c r="O150" s="34"/>
      <c r="P150" s="34"/>
      <c r="Q150" s="34"/>
      <c r="R150" s="34"/>
      <c r="S150" s="34"/>
    </row>
    <row r="151" spans="2:20" ht="14" hidden="1">
      <c r="B151" s="267"/>
      <c r="C151" s="267"/>
      <c r="D151" s="267"/>
      <c r="E151" s="57" t="e">
        <f>IF(E150&lt;0,10, E150)</f>
        <v>#REF!</v>
      </c>
      <c r="F151" s="57" t="e">
        <f>IF(F150&lt;0,10, F150)</f>
        <v>#REF!</v>
      </c>
      <c r="G151" s="57" t="e">
        <f>IF(G150&lt;0,10, G150)</f>
        <v>#REF!</v>
      </c>
      <c r="H151" s="34"/>
      <c r="I151" s="34"/>
      <c r="J151" s="34"/>
      <c r="K151" s="34"/>
      <c r="L151" s="34"/>
      <c r="M151" s="34"/>
      <c r="N151" s="34"/>
      <c r="O151" s="34"/>
      <c r="P151" s="34"/>
      <c r="Q151" s="34"/>
      <c r="R151" s="34"/>
      <c r="S151" s="34"/>
    </row>
    <row r="152" spans="2:20" ht="14" hidden="1">
      <c r="B152" s="268" t="s">
        <v>318</v>
      </c>
      <c r="C152" s="268"/>
      <c r="D152" s="268"/>
      <c r="E152" s="108" t="e">
        <f>MAX(E151:G151)</f>
        <v>#REF!</v>
      </c>
      <c r="F152" s="107"/>
      <c r="G152" s="107"/>
      <c r="H152" s="34"/>
      <c r="I152" s="34"/>
      <c r="J152" s="34"/>
      <c r="K152" s="34"/>
      <c r="L152" s="34"/>
      <c r="M152" s="34"/>
      <c r="N152" s="34"/>
      <c r="O152" s="34"/>
      <c r="P152" s="34"/>
      <c r="Q152" s="34"/>
      <c r="R152" s="34"/>
      <c r="S152" s="34"/>
    </row>
    <row r="153" spans="2:20" ht="14" hidden="1">
      <c r="B153" s="267" t="s">
        <v>319</v>
      </c>
      <c r="C153" s="267"/>
      <c r="D153" s="267"/>
      <c r="E153" s="108">
        <f>C38</f>
        <v>340</v>
      </c>
      <c r="F153" s="107"/>
      <c r="G153" s="107"/>
      <c r="H153" s="34"/>
      <c r="I153" s="34"/>
      <c r="J153" s="34"/>
      <c r="K153" s="34"/>
      <c r="L153" s="34"/>
      <c r="M153" s="34"/>
      <c r="N153" s="34"/>
      <c r="O153" s="34"/>
      <c r="P153" s="34"/>
      <c r="Q153" s="34"/>
      <c r="R153" s="34"/>
      <c r="S153" s="34"/>
    </row>
    <row r="154" spans="2:20" ht="14" hidden="1">
      <c r="B154" s="267" t="s">
        <v>320</v>
      </c>
      <c r="C154" s="267"/>
      <c r="D154" s="267"/>
      <c r="E154" s="50">
        <f>L42</f>
        <v>0</v>
      </c>
      <c r="F154" s="34"/>
      <c r="G154" s="34"/>
      <c r="H154" s="34"/>
      <c r="I154" s="34"/>
      <c r="J154" s="34"/>
      <c r="K154" s="34"/>
      <c r="L154" s="34"/>
      <c r="M154" s="34"/>
      <c r="N154" s="34"/>
      <c r="O154" s="34"/>
      <c r="P154" s="34"/>
      <c r="Q154" s="34"/>
      <c r="R154" s="34"/>
      <c r="S154" s="34"/>
    </row>
    <row r="155" spans="2:20" ht="14" hidden="1">
      <c r="B155" s="34"/>
      <c r="C155" s="34"/>
      <c r="D155" s="34"/>
      <c r="E155" s="34"/>
      <c r="F155" s="34"/>
      <c r="G155" s="34"/>
      <c r="L155" s="34"/>
      <c r="M155" s="34"/>
      <c r="N155" s="34"/>
      <c r="O155" s="34"/>
      <c r="P155" s="34"/>
      <c r="Q155" s="34"/>
      <c r="R155" s="34"/>
      <c r="S155" s="34"/>
    </row>
    <row r="156" spans="2:20" ht="14" hidden="1">
      <c r="B156" s="308" t="s">
        <v>332</v>
      </c>
      <c r="C156" s="308"/>
      <c r="D156" s="308"/>
      <c r="E156" s="176">
        <f>1000000/(2*PI()*E138*C38)</f>
        <v>4.6810277379969216</v>
      </c>
      <c r="F156" s="34"/>
      <c r="G156" s="34"/>
      <c r="L156" s="34"/>
      <c r="M156" s="34"/>
      <c r="N156" s="34"/>
      <c r="O156" s="34"/>
      <c r="P156" s="34"/>
      <c r="Q156" s="34"/>
      <c r="R156" s="34"/>
      <c r="S156" s="34"/>
    </row>
    <row r="157" spans="2:20" ht="14" hidden="1">
      <c r="B157" s="308" t="s">
        <v>333</v>
      </c>
      <c r="C157" s="308"/>
      <c r="D157" s="308"/>
      <c r="E157" s="176">
        <f>IF(E98&gt;=E156,E98,E156)</f>
        <v>4.6810277379969216</v>
      </c>
      <c r="F157" s="34"/>
      <c r="G157" s="34"/>
      <c r="L157" s="34"/>
      <c r="M157" s="34"/>
      <c r="N157" s="34"/>
      <c r="O157" s="93"/>
      <c r="P157" s="93"/>
      <c r="Q157" s="93"/>
      <c r="R157" s="34"/>
      <c r="S157" s="34"/>
    </row>
    <row r="158" spans="2:20" ht="14" hidden="1">
      <c r="F158" s="34"/>
      <c r="G158" s="93"/>
      <c r="H158" s="34"/>
      <c r="I158" s="34"/>
      <c r="J158" s="34"/>
      <c r="K158" s="34"/>
      <c r="L158" s="34"/>
      <c r="M158" s="34"/>
      <c r="N158" s="34"/>
      <c r="O158" s="93"/>
      <c r="P158" s="93"/>
      <c r="Q158" s="93"/>
      <c r="R158" s="34"/>
      <c r="S158" s="34"/>
      <c r="T158" s="34"/>
    </row>
    <row r="159" spans="2:20" ht="14">
      <c r="F159" s="34"/>
      <c r="G159" s="93"/>
      <c r="H159" s="34"/>
      <c r="I159" s="34"/>
      <c r="J159" s="93"/>
      <c r="K159" s="93"/>
      <c r="L159" s="93"/>
      <c r="M159" s="93"/>
      <c r="N159" s="93"/>
      <c r="O159" s="93"/>
      <c r="P159" s="93"/>
      <c r="Q159" s="93"/>
      <c r="R159" s="34"/>
      <c r="S159" s="34"/>
      <c r="T159" s="34"/>
    </row>
    <row r="160" spans="2:20" ht="14">
      <c r="F160" s="34"/>
      <c r="G160" s="93"/>
      <c r="H160" s="34"/>
      <c r="I160" s="34"/>
      <c r="J160" s="93"/>
      <c r="K160" s="93"/>
      <c r="L160" s="93"/>
      <c r="M160" s="93"/>
      <c r="N160" s="93"/>
      <c r="O160" s="93"/>
      <c r="P160" s="93"/>
      <c r="Q160" s="93"/>
      <c r="R160" s="34"/>
      <c r="S160" s="34"/>
      <c r="T160" s="34"/>
    </row>
    <row r="161" spans="2:23" ht="14">
      <c r="F161" s="34"/>
      <c r="G161" s="93"/>
      <c r="H161" s="34"/>
      <c r="I161" s="34"/>
      <c r="J161" s="93"/>
      <c r="K161" s="93"/>
      <c r="L161" s="93"/>
      <c r="M161" s="93"/>
      <c r="N161" s="93"/>
      <c r="O161" s="93"/>
      <c r="P161" s="93"/>
      <c r="Q161" s="93"/>
      <c r="R161" s="34"/>
      <c r="S161" s="34"/>
      <c r="T161" s="34"/>
    </row>
    <row r="162" spans="2:23">
      <c r="B162" s="181"/>
      <c r="C162" s="181"/>
      <c r="D162" s="181"/>
      <c r="E162" s="181"/>
      <c r="G162" s="32"/>
      <c r="J162" s="32"/>
      <c r="K162" s="32"/>
      <c r="L162" s="32"/>
      <c r="M162" s="32"/>
      <c r="N162" s="32"/>
      <c r="O162" s="32"/>
      <c r="P162" s="32"/>
      <c r="Q162" s="32"/>
    </row>
    <row r="163" spans="2:23">
      <c r="B163" s="181"/>
      <c r="C163" s="181"/>
      <c r="D163" s="181"/>
      <c r="E163" s="181"/>
      <c r="G163" s="32"/>
      <c r="J163" s="32"/>
      <c r="K163" s="32"/>
      <c r="L163" s="32"/>
      <c r="M163" s="32"/>
      <c r="N163" s="32"/>
      <c r="O163" s="32"/>
      <c r="P163" s="32"/>
      <c r="Q163" s="32"/>
    </row>
    <row r="164" spans="2:23">
      <c r="B164" s="181"/>
      <c r="C164" s="181"/>
      <c r="D164" s="181"/>
      <c r="E164" s="181"/>
      <c r="G164" s="32"/>
      <c r="J164" s="32"/>
      <c r="K164" s="32"/>
      <c r="L164" s="32"/>
      <c r="M164" s="32"/>
      <c r="N164" s="32"/>
      <c r="O164" s="32"/>
      <c r="P164" s="32"/>
      <c r="Q164" s="32"/>
      <c r="R164" s="32"/>
      <c r="S164" s="32"/>
      <c r="T164" s="32"/>
      <c r="W164" s="32"/>
    </row>
    <row r="165" spans="2:23">
      <c r="B165" s="181"/>
      <c r="C165" s="181"/>
      <c r="D165" s="181"/>
      <c r="E165" s="181"/>
      <c r="G165" s="32"/>
      <c r="J165" s="32"/>
      <c r="K165" s="32"/>
      <c r="L165" s="32"/>
      <c r="M165" s="32"/>
      <c r="N165" s="32"/>
      <c r="O165" s="32"/>
      <c r="P165" s="32"/>
      <c r="Q165" s="32"/>
      <c r="R165" s="32"/>
      <c r="S165" s="32"/>
      <c r="T165" s="32"/>
      <c r="U165" s="32"/>
      <c r="V165" s="32"/>
      <c r="W165" s="32"/>
    </row>
    <row r="166" spans="2:23">
      <c r="B166" s="181"/>
      <c r="C166" s="181"/>
      <c r="D166" s="181"/>
      <c r="E166" s="181"/>
      <c r="G166" s="32"/>
      <c r="J166" s="32"/>
      <c r="K166" s="32"/>
      <c r="L166" s="32"/>
      <c r="M166" s="32"/>
      <c r="N166" s="32"/>
      <c r="O166" s="32"/>
      <c r="P166" s="32"/>
      <c r="Q166" s="32"/>
      <c r="R166" s="32"/>
      <c r="S166" s="32"/>
      <c r="T166" s="32"/>
      <c r="U166" s="32"/>
      <c r="V166" s="32"/>
      <c r="W166" s="32"/>
    </row>
    <row r="167" spans="2:23">
      <c r="G167" s="32"/>
      <c r="J167" s="32"/>
      <c r="K167" s="32"/>
      <c r="L167" s="32"/>
      <c r="M167" s="32"/>
      <c r="N167" s="32"/>
      <c r="O167" s="32"/>
      <c r="P167" s="32"/>
      <c r="Q167" s="32"/>
      <c r="R167" s="32"/>
      <c r="S167" s="32"/>
      <c r="T167" s="32"/>
      <c r="U167" s="32"/>
      <c r="V167" s="32"/>
      <c r="W167" s="32"/>
    </row>
    <row r="168" spans="2:23">
      <c r="G168" s="32"/>
      <c r="J168" s="32"/>
      <c r="K168" s="32"/>
      <c r="L168" s="32"/>
      <c r="M168" s="32"/>
      <c r="N168" s="32"/>
      <c r="O168" s="32"/>
      <c r="P168" s="32"/>
      <c r="Q168" s="32"/>
      <c r="R168" s="32"/>
      <c r="S168" s="32"/>
      <c r="T168" s="32"/>
      <c r="U168" s="32"/>
      <c r="V168" s="32"/>
      <c r="W168" s="32"/>
    </row>
    <row r="169" spans="2:23">
      <c r="G169" s="32"/>
      <c r="J169" s="32"/>
      <c r="K169" s="32"/>
      <c r="L169" s="32"/>
      <c r="M169" s="32"/>
      <c r="N169" s="32"/>
      <c r="O169" s="32"/>
      <c r="P169" s="32"/>
      <c r="Q169" s="32"/>
      <c r="R169" s="32"/>
      <c r="S169" s="32"/>
      <c r="T169" s="32"/>
      <c r="U169" s="32"/>
      <c r="V169" s="32"/>
      <c r="W169" s="32"/>
    </row>
    <row r="170" spans="2:23">
      <c r="G170" s="32"/>
      <c r="J170" s="32"/>
      <c r="K170" s="32"/>
      <c r="L170" s="32"/>
      <c r="M170" s="32"/>
      <c r="N170" s="32"/>
      <c r="O170" s="32"/>
      <c r="P170" s="32"/>
      <c r="Q170" s="32"/>
      <c r="R170" s="32"/>
      <c r="S170" s="32"/>
      <c r="T170" s="32"/>
      <c r="U170" s="32"/>
      <c r="V170" s="32"/>
      <c r="W170" s="32"/>
    </row>
    <row r="213" spans="5:7" ht="14">
      <c r="E213" s="60" t="s">
        <v>321</v>
      </c>
      <c r="F213" s="60" t="s">
        <v>322</v>
      </c>
      <c r="G213" s="60" t="s">
        <v>322</v>
      </c>
    </row>
    <row r="214" spans="5:7" ht="14">
      <c r="E214" s="62">
        <v>3</v>
      </c>
      <c r="F214" s="63">
        <f t="shared" ref="F214:F245" si="3">(E214-$E$92)*$E$92/(E214*$E$96*$E$94*0.001*$E$93)</f>
        <v>0.36370249136206584</v>
      </c>
      <c r="G214" s="63">
        <f t="shared" ref="G214:G245" si="4">IF(AND(E214&gt;=$F$91,E214&lt;=$G$91),F214,-1)</f>
        <v>-1</v>
      </c>
    </row>
    <row r="215" spans="5:7" ht="14">
      <c r="E215" s="62">
        <v>3.5</v>
      </c>
      <c r="F215" s="63">
        <f t="shared" si="3"/>
        <v>0.38968124074507055</v>
      </c>
      <c r="G215" s="63">
        <f t="shared" si="4"/>
        <v>-1</v>
      </c>
    </row>
    <row r="216" spans="5:7" ht="14">
      <c r="E216" s="62">
        <v>4</v>
      </c>
      <c r="F216" s="63">
        <f t="shared" si="3"/>
        <v>0.40916530278232399</v>
      </c>
      <c r="G216" s="63">
        <f t="shared" si="4"/>
        <v>-1</v>
      </c>
    </row>
    <row r="217" spans="5:7" ht="14">
      <c r="E217" s="62">
        <v>4.5</v>
      </c>
      <c r="F217" s="63">
        <f t="shared" si="3"/>
        <v>0.42431957325574349</v>
      </c>
      <c r="G217" s="63">
        <f t="shared" si="4"/>
        <v>-1</v>
      </c>
    </row>
    <row r="218" spans="5:7" ht="14">
      <c r="E218" s="62">
        <v>5</v>
      </c>
      <c r="F218" s="63">
        <f t="shared" si="3"/>
        <v>0.43644298963447914</v>
      </c>
      <c r="G218" s="63">
        <f t="shared" si="4"/>
        <v>-1</v>
      </c>
    </row>
    <row r="219" spans="5:7" ht="14">
      <c r="E219" s="62">
        <v>5.5</v>
      </c>
      <c r="F219" s="63">
        <f t="shared" si="3"/>
        <v>0.44636214848980804</v>
      </c>
      <c r="G219" s="63">
        <f t="shared" si="4"/>
        <v>-1</v>
      </c>
    </row>
    <row r="220" spans="5:7" ht="14">
      <c r="E220" s="62">
        <v>6</v>
      </c>
      <c r="F220" s="63">
        <f t="shared" si="3"/>
        <v>0.45462811420258231</v>
      </c>
      <c r="G220" s="63">
        <f t="shared" si="4"/>
        <v>-1</v>
      </c>
    </row>
    <row r="221" spans="5:7" ht="14">
      <c r="E221" s="62">
        <v>6.5</v>
      </c>
      <c r="F221" s="63">
        <f t="shared" si="3"/>
        <v>0.46162239288262208</v>
      </c>
      <c r="G221" s="63">
        <f t="shared" si="4"/>
        <v>-1</v>
      </c>
    </row>
    <row r="222" spans="5:7" ht="14">
      <c r="E222" s="62">
        <v>7</v>
      </c>
      <c r="F222" s="63">
        <f t="shared" si="3"/>
        <v>0.46761748889408467</v>
      </c>
      <c r="G222" s="63">
        <f t="shared" si="4"/>
        <v>-1</v>
      </c>
    </row>
    <row r="223" spans="5:7" ht="14">
      <c r="E223" s="62">
        <v>7.5</v>
      </c>
      <c r="F223" s="63">
        <f t="shared" si="3"/>
        <v>0.47281323877068548</v>
      </c>
      <c r="G223" s="63">
        <f t="shared" si="4"/>
        <v>-1</v>
      </c>
    </row>
    <row r="224" spans="5:7" ht="14">
      <c r="E224" s="62">
        <v>8</v>
      </c>
      <c r="F224" s="63">
        <f t="shared" si="3"/>
        <v>0.47735951991271136</v>
      </c>
      <c r="G224" s="63">
        <f t="shared" si="4"/>
        <v>-1</v>
      </c>
    </row>
    <row r="225" spans="5:7" ht="14">
      <c r="E225" s="62">
        <v>8.5</v>
      </c>
      <c r="F225" s="63">
        <f t="shared" si="3"/>
        <v>0.481370944449793</v>
      </c>
      <c r="G225" s="63">
        <f t="shared" si="4"/>
        <v>-1</v>
      </c>
    </row>
    <row r="226" spans="5:7" ht="14">
      <c r="E226" s="62">
        <v>9</v>
      </c>
      <c r="F226" s="63">
        <f t="shared" si="3"/>
        <v>0.48493665514942114</v>
      </c>
      <c r="G226" s="63">
        <f t="shared" si="4"/>
        <v>-1</v>
      </c>
    </row>
    <row r="227" spans="5:7" ht="14">
      <c r="E227" s="62">
        <v>9.5</v>
      </c>
      <c r="F227" s="63">
        <f t="shared" si="3"/>
        <v>0.4881270278806672</v>
      </c>
      <c r="G227" s="63">
        <f t="shared" si="4"/>
        <v>-1</v>
      </c>
    </row>
    <row r="228" spans="5:7" ht="14">
      <c r="E228" s="62">
        <v>10</v>
      </c>
      <c r="F228" s="63">
        <f t="shared" si="3"/>
        <v>0.49099836333878899</v>
      </c>
      <c r="G228" s="63">
        <f t="shared" si="4"/>
        <v>-1</v>
      </c>
    </row>
    <row r="229" spans="5:7" ht="14">
      <c r="E229" s="62">
        <v>10.5</v>
      </c>
      <c r="F229" s="63">
        <f t="shared" si="3"/>
        <v>0.49359623827708943</v>
      </c>
      <c r="G229" s="63">
        <f t="shared" si="4"/>
        <v>-1</v>
      </c>
    </row>
    <row r="230" spans="5:7" ht="14">
      <c r="E230" s="62">
        <v>11</v>
      </c>
      <c r="F230" s="63">
        <f t="shared" si="3"/>
        <v>0.49595794276645339</v>
      </c>
      <c r="G230" s="63">
        <f t="shared" si="4"/>
        <v>-1</v>
      </c>
    </row>
    <row r="231" spans="5:7" ht="14">
      <c r="E231" s="62">
        <v>11.5</v>
      </c>
      <c r="F231" s="63">
        <f t="shared" si="3"/>
        <v>0.49811428164804677</v>
      </c>
      <c r="G231" s="63">
        <f t="shared" si="4"/>
        <v>-1</v>
      </c>
    </row>
    <row r="232" spans="5:7" ht="14">
      <c r="E232" s="62">
        <v>12</v>
      </c>
      <c r="F232" s="63">
        <f t="shared" si="3"/>
        <v>0.50009092562284052</v>
      </c>
      <c r="G232" s="63">
        <f t="shared" si="4"/>
        <v>0.50009092562284052</v>
      </c>
    </row>
    <row r="233" spans="5:7" ht="14">
      <c r="E233" s="62">
        <v>12.5</v>
      </c>
      <c r="F233" s="63">
        <f t="shared" si="3"/>
        <v>0.50190943807965094</v>
      </c>
      <c r="G233" s="63">
        <f t="shared" si="4"/>
        <v>-1</v>
      </c>
    </row>
    <row r="234" spans="5:7" ht="14">
      <c r="E234" s="62">
        <v>13</v>
      </c>
      <c r="F234" s="63">
        <f t="shared" si="3"/>
        <v>0.50358806496286046</v>
      </c>
      <c r="G234" s="63">
        <f t="shared" si="4"/>
        <v>-1</v>
      </c>
    </row>
    <row r="235" spans="5:7" ht="14">
      <c r="E235" s="62">
        <v>13.5</v>
      </c>
      <c r="F235" s="63">
        <f t="shared" si="3"/>
        <v>0.50514234911398037</v>
      </c>
      <c r="G235" s="63">
        <f t="shared" si="4"/>
        <v>-1</v>
      </c>
    </row>
    <row r="236" spans="5:7" ht="14">
      <c r="E236" s="62">
        <v>14</v>
      </c>
      <c r="F236" s="63">
        <f t="shared" si="3"/>
        <v>0.50658561296859173</v>
      </c>
      <c r="G236" s="63">
        <f t="shared" si="4"/>
        <v>-1</v>
      </c>
    </row>
    <row r="237" spans="5:7" ht="14">
      <c r="E237" s="62">
        <v>14.5</v>
      </c>
      <c r="F237" s="63">
        <f t="shared" si="3"/>
        <v>0.50792934138495405</v>
      </c>
      <c r="G237" s="63">
        <f t="shared" si="4"/>
        <v>-1</v>
      </c>
    </row>
    <row r="238" spans="5:7" ht="14">
      <c r="E238" s="62">
        <v>15</v>
      </c>
      <c r="F238" s="63">
        <f t="shared" si="3"/>
        <v>0.50918348790689205</v>
      </c>
      <c r="G238" s="63">
        <f t="shared" si="4"/>
        <v>-1</v>
      </c>
    </row>
    <row r="239" spans="5:7" ht="14">
      <c r="E239" s="62">
        <v>15.5</v>
      </c>
      <c r="F239" s="63">
        <f t="shared" si="3"/>
        <v>0.51035672174999558</v>
      </c>
      <c r="G239" s="63">
        <f t="shared" si="4"/>
        <v>-1</v>
      </c>
    </row>
    <row r="240" spans="5:7" ht="14">
      <c r="E240" s="62">
        <v>16</v>
      </c>
      <c r="F240" s="63">
        <f t="shared" si="3"/>
        <v>0.51145662847790507</v>
      </c>
      <c r="G240" s="63">
        <f t="shared" si="4"/>
        <v>-1</v>
      </c>
    </row>
    <row r="241" spans="5:7" ht="14">
      <c r="E241" s="62">
        <v>16.5</v>
      </c>
      <c r="F241" s="63">
        <f t="shared" si="3"/>
        <v>0.51248987419200176</v>
      </c>
      <c r="G241" s="63">
        <f t="shared" si="4"/>
        <v>-1</v>
      </c>
    </row>
    <row r="242" spans="5:7" ht="14">
      <c r="E242" s="62">
        <v>17</v>
      </c>
      <c r="F242" s="63">
        <f t="shared" si="3"/>
        <v>0.51346234074644581</v>
      </c>
      <c r="G242" s="63">
        <f t="shared" si="4"/>
        <v>-1</v>
      </c>
    </row>
    <row r="243" spans="5:7" ht="14">
      <c r="E243" s="62">
        <v>17.5</v>
      </c>
      <c r="F243" s="63">
        <f t="shared" si="3"/>
        <v>0.51437923778349315</v>
      </c>
      <c r="G243" s="63">
        <f t="shared" si="4"/>
        <v>-1</v>
      </c>
    </row>
    <row r="244" spans="5:7" ht="14">
      <c r="E244" s="62">
        <v>18</v>
      </c>
      <c r="F244" s="63">
        <f t="shared" si="3"/>
        <v>0.51524519609625996</v>
      </c>
      <c r="G244" s="63">
        <f t="shared" si="4"/>
        <v>-1</v>
      </c>
    </row>
    <row r="245" spans="5:7" ht="14">
      <c r="E245" s="62">
        <v>18.5</v>
      </c>
      <c r="F245" s="63">
        <f t="shared" si="3"/>
        <v>0.51606434585157979</v>
      </c>
      <c r="G245" s="63">
        <f t="shared" si="4"/>
        <v>-1</v>
      </c>
    </row>
    <row r="246" spans="5:7" ht="14">
      <c r="E246" s="62">
        <v>19</v>
      </c>
      <c r="F246" s="63">
        <f t="shared" ref="F246:F264" si="5">(E246-$E$92)*$E$92/(E246*$E$96*$E$94*0.001*$E$93)</f>
        <v>0.51684038246188291</v>
      </c>
      <c r="G246" s="63">
        <f t="shared" ref="G246:G264" si="6">IF(AND(E246&gt;=$F$91,E246&lt;=$G$91),F246,-1)</f>
        <v>-1</v>
      </c>
    </row>
    <row r="247" spans="5:7" ht="14">
      <c r="E247" s="62">
        <v>19.5</v>
      </c>
      <c r="F247" s="63">
        <f t="shared" si="5"/>
        <v>0.51757662232293999</v>
      </c>
      <c r="G247" s="63">
        <f t="shared" si="6"/>
        <v>-1</v>
      </c>
    </row>
    <row r="248" spans="5:7" ht="14">
      <c r="E248" s="62">
        <v>20</v>
      </c>
      <c r="F248" s="63">
        <f t="shared" si="5"/>
        <v>0.51827605019094392</v>
      </c>
      <c r="G248" s="63">
        <f t="shared" si="6"/>
        <v>-1</v>
      </c>
    </row>
    <row r="249" spans="5:7" ht="14">
      <c r="E249" s="62">
        <v>20.5</v>
      </c>
      <c r="F249" s="63">
        <f t="shared" si="5"/>
        <v>0.51894135962636223</v>
      </c>
      <c r="G249" s="63">
        <f t="shared" si="6"/>
        <v>-1</v>
      </c>
    </row>
    <row r="250" spans="5:7" ht="14">
      <c r="E250" s="62">
        <v>21</v>
      </c>
      <c r="F250" s="63">
        <f t="shared" si="5"/>
        <v>0.51957498766009413</v>
      </c>
      <c r="G250" s="63">
        <f t="shared" si="6"/>
        <v>-1</v>
      </c>
    </row>
    <row r="251" spans="5:7" ht="14">
      <c r="E251" s="62">
        <v>21.5</v>
      </c>
      <c r="F251" s="63">
        <f t="shared" si="5"/>
        <v>0.5201791446224896</v>
      </c>
      <c r="G251" s="63">
        <f t="shared" si="6"/>
        <v>-1</v>
      </c>
    </row>
    <row r="252" spans="5:7" ht="14">
      <c r="E252" s="62">
        <v>22</v>
      </c>
      <c r="F252" s="63">
        <f t="shared" si="5"/>
        <v>0.52075583990477603</v>
      </c>
      <c r="G252" s="63">
        <f t="shared" si="6"/>
        <v>-1</v>
      </c>
    </row>
    <row r="253" spans="5:7" ht="14">
      <c r="E253" s="62">
        <v>22.5</v>
      </c>
      <c r="F253" s="63">
        <f t="shared" si="5"/>
        <v>0.52130690428562765</v>
      </c>
      <c r="G253" s="63">
        <f t="shared" si="6"/>
        <v>-1</v>
      </c>
    </row>
    <row r="254" spans="5:7" ht="14">
      <c r="E254" s="62">
        <v>23</v>
      </c>
      <c r="F254" s="63">
        <f t="shared" si="5"/>
        <v>0.52183400934557278</v>
      </c>
      <c r="G254" s="63">
        <f t="shared" si="6"/>
        <v>-1</v>
      </c>
    </row>
    <row r="255" spans="5:7" ht="14">
      <c r="E255" s="62">
        <v>23.5</v>
      </c>
      <c r="F255" s="63">
        <f t="shared" si="5"/>
        <v>0.52233868440296694</v>
      </c>
      <c r="G255" s="63">
        <f t="shared" si="6"/>
        <v>-1</v>
      </c>
    </row>
    <row r="256" spans="5:7" ht="14">
      <c r="E256" s="62">
        <v>24</v>
      </c>
      <c r="F256" s="63">
        <f t="shared" si="5"/>
        <v>0.52282233133296963</v>
      </c>
      <c r="G256" s="63">
        <f t="shared" si="6"/>
        <v>-1</v>
      </c>
    </row>
    <row r="257" spans="5:7" ht="14">
      <c r="E257" s="62">
        <v>24.5</v>
      </c>
      <c r="F257" s="63">
        <f t="shared" si="5"/>
        <v>0.52328623757195203</v>
      </c>
      <c r="G257" s="63">
        <f t="shared" si="6"/>
        <v>-1</v>
      </c>
    </row>
    <row r="258" spans="5:7" ht="14">
      <c r="E258" s="62">
        <v>25</v>
      </c>
      <c r="F258" s="63">
        <f t="shared" si="5"/>
        <v>0.52373158756137483</v>
      </c>
      <c r="G258" s="63">
        <f t="shared" si="6"/>
        <v>-1</v>
      </c>
    </row>
    <row r="259" spans="5:7" ht="14">
      <c r="E259" s="62">
        <v>25.5</v>
      </c>
      <c r="F259" s="63">
        <f t="shared" si="5"/>
        <v>0.52415947284533015</v>
      </c>
      <c r="G259" s="63">
        <f t="shared" si="6"/>
        <v>-1</v>
      </c>
    </row>
    <row r="260" spans="5:7" ht="14">
      <c r="E260" s="62">
        <v>26</v>
      </c>
      <c r="F260" s="63">
        <f t="shared" si="5"/>
        <v>0.52457090100297965</v>
      </c>
      <c r="G260" s="63">
        <f t="shared" si="6"/>
        <v>-1</v>
      </c>
    </row>
    <row r="261" spans="5:7" ht="14">
      <c r="E261" s="62">
        <v>26.5</v>
      </c>
      <c r="F261" s="63">
        <f t="shared" si="5"/>
        <v>0.52496680356977421</v>
      </c>
      <c r="G261" s="63">
        <f t="shared" si="6"/>
        <v>-1</v>
      </c>
    </row>
    <row r="262" spans="5:7" ht="14">
      <c r="E262" s="62">
        <v>27</v>
      </c>
      <c r="F262" s="63">
        <f t="shared" si="5"/>
        <v>0.52534804307853955</v>
      </c>
      <c r="G262" s="63">
        <f t="shared" si="6"/>
        <v>-1</v>
      </c>
    </row>
    <row r="263" spans="5:7" ht="14">
      <c r="E263" s="62">
        <v>27.5</v>
      </c>
      <c r="F263" s="63">
        <f t="shared" si="5"/>
        <v>0.5257154193324407</v>
      </c>
      <c r="G263" s="63">
        <f t="shared" si="6"/>
        <v>-1</v>
      </c>
    </row>
    <row r="264" spans="5:7" ht="14">
      <c r="E264" s="62">
        <v>28</v>
      </c>
      <c r="F264" s="63">
        <f t="shared" si="5"/>
        <v>0.52606967500584523</v>
      </c>
      <c r="G264" s="63">
        <f t="shared" si="6"/>
        <v>-1</v>
      </c>
    </row>
  </sheetData>
  <sheetProtection password="CCD8" sheet="1" objects="1" scenarios="1"/>
  <mergeCells count="111">
    <mergeCell ref="G134:G135"/>
    <mergeCell ref="B156:D156"/>
    <mergeCell ref="B157:D157"/>
    <mergeCell ref="B105:D105"/>
    <mergeCell ref="B108:D108"/>
    <mergeCell ref="B132:D132"/>
    <mergeCell ref="B133:D133"/>
    <mergeCell ref="B120:D120"/>
    <mergeCell ref="B121:D121"/>
    <mergeCell ref="B116:D116"/>
    <mergeCell ref="B117:D117"/>
    <mergeCell ref="B118:D118"/>
    <mergeCell ref="B119:D119"/>
    <mergeCell ref="B134:D134"/>
    <mergeCell ref="B128:D128"/>
    <mergeCell ref="B131:D131"/>
    <mergeCell ref="B124:D124"/>
    <mergeCell ref="B125:D125"/>
    <mergeCell ref="B127:D127"/>
    <mergeCell ref="B126:D126"/>
    <mergeCell ref="B123:D123"/>
    <mergeCell ref="B115:D115"/>
    <mergeCell ref="B111:D111"/>
    <mergeCell ref="B112:D112"/>
    <mergeCell ref="C61:D61"/>
    <mergeCell ref="C63:D63"/>
    <mergeCell ref="D30:E30"/>
    <mergeCell ref="B94:D94"/>
    <mergeCell ref="B96:D96"/>
    <mergeCell ref="C62:D62"/>
    <mergeCell ref="G82:G84"/>
    <mergeCell ref="B114:D114"/>
    <mergeCell ref="B106:D106"/>
    <mergeCell ref="B107:D107"/>
    <mergeCell ref="B109:D109"/>
    <mergeCell ref="B110:D110"/>
    <mergeCell ref="B102:D102"/>
    <mergeCell ref="B103:D103"/>
    <mergeCell ref="B104:D104"/>
    <mergeCell ref="B113:D113"/>
    <mergeCell ref="B90:D90"/>
    <mergeCell ref="B70:B71"/>
    <mergeCell ref="B83:C83"/>
    <mergeCell ref="B135:D135"/>
    <mergeCell ref="B139:D139"/>
    <mergeCell ref="B138:D138"/>
    <mergeCell ref="B80:C80"/>
    <mergeCell ref="B101:D101"/>
    <mergeCell ref="B91:D91"/>
    <mergeCell ref="B92:D92"/>
    <mergeCell ref="B95:D95"/>
    <mergeCell ref="B99:D99"/>
    <mergeCell ref="B93:D93"/>
    <mergeCell ref="B98:D98"/>
    <mergeCell ref="B100:D100"/>
    <mergeCell ref="B154:D154"/>
    <mergeCell ref="B149:D149"/>
    <mergeCell ref="B150:D150"/>
    <mergeCell ref="B140:D140"/>
    <mergeCell ref="B151:D151"/>
    <mergeCell ref="B146:D146"/>
    <mergeCell ref="B147:D147"/>
    <mergeCell ref="B148:D148"/>
    <mergeCell ref="B143:D143"/>
    <mergeCell ref="B144:D144"/>
    <mergeCell ref="B152:D152"/>
    <mergeCell ref="B153:D153"/>
    <mergeCell ref="B145:D145"/>
    <mergeCell ref="K15:L15"/>
    <mergeCell ref="L6:M6"/>
    <mergeCell ref="O6:P7"/>
    <mergeCell ref="G31:H31"/>
    <mergeCell ref="B55:B56"/>
    <mergeCell ref="D55:H55"/>
    <mergeCell ref="B49:C49"/>
    <mergeCell ref="B50:C50"/>
    <mergeCell ref="B51:C51"/>
    <mergeCell ref="B17:B18"/>
    <mergeCell ref="B20:B21"/>
    <mergeCell ref="D29:E29"/>
    <mergeCell ref="D31:E31"/>
    <mergeCell ref="E50:G50"/>
    <mergeCell ref="E51:G51"/>
    <mergeCell ref="N11:O11"/>
    <mergeCell ref="N12:O13"/>
    <mergeCell ref="G29:H29"/>
    <mergeCell ref="G30:H30"/>
    <mergeCell ref="L3:M3"/>
    <mergeCell ref="O3:P3"/>
    <mergeCell ref="L4:M4"/>
    <mergeCell ref="O4:P5"/>
    <mergeCell ref="L5:M5"/>
    <mergeCell ref="B82:C82"/>
    <mergeCell ref="B84:C84"/>
    <mergeCell ref="B65:B66"/>
    <mergeCell ref="I59:J59"/>
    <mergeCell ref="C70:D70"/>
    <mergeCell ref="E70:F70"/>
    <mergeCell ref="C68:E68"/>
    <mergeCell ref="C65:F65"/>
    <mergeCell ref="L7:M7"/>
    <mergeCell ref="K13:L13"/>
    <mergeCell ref="K11:L11"/>
    <mergeCell ref="K12:L12"/>
    <mergeCell ref="F23:G23"/>
    <mergeCell ref="F24:G24"/>
    <mergeCell ref="F25:G25"/>
    <mergeCell ref="B81:C81"/>
    <mergeCell ref="E49:G49"/>
    <mergeCell ref="K14:L14"/>
    <mergeCell ref="N14:O15"/>
  </mergeCells>
  <phoneticPr fontId="2"/>
  <conditionalFormatting sqref="L115:M116 P115:Q116">
    <cfRule type="cellIs" dxfId="6" priority="3" stopIfTrue="1" operator="greaterThan">
      <formula>375</formula>
    </cfRule>
  </conditionalFormatting>
  <conditionalFormatting sqref="D72 F72 C68:E68">
    <cfRule type="cellIs" dxfId="5" priority="4" stopIfTrue="1" operator="lessThan">
      <formula>25</formula>
    </cfRule>
    <cfRule type="cellIs" dxfId="4" priority="5" stopIfTrue="1" operator="greaterThan">
      <formula>375</formula>
    </cfRule>
  </conditionalFormatting>
  <conditionalFormatting sqref="B50:C50">
    <cfRule type="cellIs" dxfId="3" priority="1" stopIfTrue="1" operator="greaterThan">
      <formula>$D$50</formula>
    </cfRule>
  </conditionalFormatting>
  <dataValidations count="3">
    <dataValidation operator="greaterThanOrEqual" allowBlank="1" showInputMessage="1" showErrorMessage="1" sqref="C42 F42" xr:uid="{00000000-0002-0000-0000-000000000000}"/>
    <dataValidation type="decimal" allowBlank="1" showInputMessage="1" showErrorMessage="1" sqref="C18:E18" xr:uid="{00000000-0002-0000-0000-000001000000}">
      <formula1>3</formula1>
      <formula2>28</formula2>
    </dataValidation>
    <dataValidation type="list" operator="greaterThan" showInputMessage="1" showErrorMessage="1" sqref="E24" xr:uid="{00000000-0002-0000-0000-000002000000}">
      <formula1>$H$134:$H$135</formula1>
    </dataValidation>
  </dataValidations>
  <pageMargins left="0.63" right="0.15" top="0.98399999999999999" bottom="0.98399999999999999" header="0.51200000000000001" footer="0.51200000000000001"/>
  <pageSetup paperSize="9" scale="33" orientation="portrait" horizontalDpi="1200" verticalDpi="1200" r:id="rId1"/>
  <headerFooter alignWithMargins="0">
    <oddHeader>&amp;LTI Information – Selective Disclosure</oddHeader>
    <oddFooter>&amp;LTI Information – Selective Disclosure</oddFooter>
  </headerFooter>
  <colBreaks count="1" manualBreakCount="1">
    <brk id="26" max="82" man="1"/>
  </colBreaks>
  <drawing r:id="rId2"/>
  <legacyDrawing r:id="rId3"/>
  <oleObjects>
    <mc:AlternateContent xmlns:mc="http://schemas.openxmlformats.org/markup-compatibility/2006">
      <mc:Choice Requires="x14">
        <oleObject progId="Equation.3" shapeId="21634" r:id="rId4">
          <objectPr defaultSize="0" autoPict="0" r:id="rId5">
            <anchor moveWithCells="1">
              <from>
                <xdr:col>1</xdr:col>
                <xdr:colOff>508000</xdr:colOff>
                <xdr:row>44</xdr:row>
                <xdr:rowOff>88900</xdr:rowOff>
              </from>
              <to>
                <xdr:col>4</xdr:col>
                <xdr:colOff>114300</xdr:colOff>
                <xdr:row>46</xdr:row>
                <xdr:rowOff>127000</xdr:rowOff>
              </to>
            </anchor>
          </objectPr>
        </oleObject>
      </mc:Choice>
      <mc:Fallback>
        <oleObject progId="Equation.3" shapeId="21634" r:id="rId4"/>
      </mc:Fallback>
    </mc:AlternateContent>
    <mc:AlternateContent xmlns:mc="http://schemas.openxmlformats.org/markup-compatibility/2006">
      <mc:Choice Requires="x14">
        <oleObject progId="Equation.3" shapeId="21635" r:id="rId6">
          <objectPr defaultSize="0" autoPict="0" r:id="rId7">
            <anchor moveWithCells="1">
              <from>
                <xdr:col>4</xdr:col>
                <xdr:colOff>495300</xdr:colOff>
                <xdr:row>44</xdr:row>
                <xdr:rowOff>82550</xdr:rowOff>
              </from>
              <to>
                <xdr:col>6</xdr:col>
                <xdr:colOff>330200</xdr:colOff>
                <xdr:row>47</xdr:row>
                <xdr:rowOff>0</xdr:rowOff>
              </to>
            </anchor>
          </objectPr>
        </oleObject>
      </mc:Choice>
      <mc:Fallback>
        <oleObject progId="Equation.3" shapeId="21635" r:id="rId6"/>
      </mc:Fallback>
    </mc:AlternateContent>
    <mc:AlternateContent xmlns:mc="http://schemas.openxmlformats.org/markup-compatibility/2006">
      <mc:Choice Requires="x14">
        <oleObject progId="Equation.3" shapeId="21636" r:id="rId8">
          <objectPr defaultSize="0" autoPict="0" r:id="rId9">
            <anchor moveWithCells="1">
              <from>
                <xdr:col>7</xdr:col>
                <xdr:colOff>196850</xdr:colOff>
                <xdr:row>44</xdr:row>
                <xdr:rowOff>101600</xdr:rowOff>
              </from>
              <to>
                <xdr:col>8</xdr:col>
                <xdr:colOff>609600</xdr:colOff>
                <xdr:row>47</xdr:row>
                <xdr:rowOff>25400</xdr:rowOff>
              </to>
            </anchor>
          </objectPr>
        </oleObject>
      </mc:Choice>
      <mc:Fallback>
        <oleObject progId="Equation.3" shapeId="21636" r:id="rId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63"/>
  <sheetViews>
    <sheetView tabSelected="1" view="pageBreakPreview" topLeftCell="A10" zoomScale="80" zoomScaleNormal="100" zoomScaleSheetLayoutView="80" workbookViewId="0">
      <selection activeCell="I65" sqref="I65"/>
    </sheetView>
  </sheetViews>
  <sheetFormatPr defaultColWidth="10.36328125" defaultRowHeight="13"/>
  <cols>
    <col min="1" max="1" width="2.6328125" style="30" customWidth="1"/>
    <col min="2" max="19" width="11.6328125" style="30" customWidth="1"/>
    <col min="20" max="16384" width="10.36328125" style="30"/>
  </cols>
  <sheetData>
    <row r="1" spans="1:26">
      <c r="A1" s="114"/>
      <c r="B1" s="115"/>
      <c r="C1" s="115"/>
      <c r="D1" s="115"/>
      <c r="E1" s="115"/>
      <c r="F1" s="115"/>
      <c r="G1" s="115"/>
      <c r="H1" s="115"/>
      <c r="I1" s="115"/>
      <c r="J1" s="115"/>
      <c r="K1" s="115"/>
      <c r="L1" s="115"/>
      <c r="M1" s="102"/>
      <c r="N1" s="102"/>
      <c r="O1" s="101"/>
      <c r="P1" s="99"/>
      <c r="Q1" s="99"/>
      <c r="R1" s="99"/>
      <c r="S1" s="99"/>
      <c r="T1" s="99"/>
      <c r="U1" s="99"/>
      <c r="V1" s="99"/>
      <c r="W1" s="99"/>
      <c r="X1" s="99"/>
      <c r="Y1" s="99"/>
      <c r="Z1" s="99"/>
    </row>
    <row r="2" spans="1:26">
      <c r="A2" s="116"/>
      <c r="B2" s="117"/>
      <c r="C2" s="117"/>
      <c r="D2" s="117"/>
      <c r="E2" s="117"/>
      <c r="F2" s="117"/>
      <c r="G2" s="117"/>
      <c r="H2" s="117"/>
      <c r="I2" s="117"/>
      <c r="J2" s="117"/>
      <c r="K2" s="117"/>
      <c r="L2" s="117"/>
      <c r="M2" s="101"/>
      <c r="N2" s="101"/>
      <c r="O2" s="101"/>
      <c r="P2" s="99"/>
      <c r="Q2" s="99"/>
      <c r="R2" s="99"/>
      <c r="S2" s="99"/>
      <c r="T2" s="99"/>
      <c r="U2" s="99"/>
      <c r="V2" s="99"/>
      <c r="W2" s="99"/>
      <c r="X2" s="99"/>
      <c r="Y2" s="99"/>
      <c r="Z2" s="99"/>
    </row>
    <row r="3" spans="1:26" ht="14">
      <c r="A3" s="116"/>
      <c r="B3" s="117"/>
      <c r="C3" s="117"/>
      <c r="D3" s="117"/>
      <c r="E3" s="117"/>
      <c r="F3" s="117"/>
      <c r="G3" s="117"/>
      <c r="H3" s="117"/>
      <c r="I3" s="117"/>
      <c r="J3" s="117"/>
      <c r="K3" s="117"/>
      <c r="L3" s="213"/>
      <c r="M3" s="213"/>
      <c r="N3" s="173"/>
      <c r="O3" s="213"/>
      <c r="P3" s="213"/>
      <c r="Q3" s="99"/>
      <c r="R3" s="99"/>
      <c r="S3" s="99"/>
      <c r="T3" s="99"/>
      <c r="U3" s="99"/>
      <c r="V3" s="99"/>
      <c r="W3" s="99"/>
      <c r="X3" s="99"/>
      <c r="Y3" s="99"/>
      <c r="Z3" s="99"/>
    </row>
    <row r="4" spans="1:26" ht="14">
      <c r="A4" s="116"/>
      <c r="B4" s="117"/>
      <c r="C4" s="117"/>
      <c r="D4" s="117"/>
      <c r="E4" s="117"/>
      <c r="F4" s="117"/>
      <c r="G4" s="117"/>
      <c r="H4" s="117"/>
      <c r="I4" s="117"/>
      <c r="J4" s="117"/>
      <c r="K4" s="117"/>
      <c r="L4" s="214"/>
      <c r="M4" s="214"/>
      <c r="N4" s="175"/>
      <c r="O4" s="215"/>
      <c r="P4" s="214"/>
      <c r="Q4" s="99"/>
      <c r="R4" s="99"/>
      <c r="S4" s="99"/>
      <c r="T4" s="99"/>
      <c r="U4" s="99"/>
      <c r="V4" s="99"/>
      <c r="W4" s="99"/>
      <c r="X4" s="99"/>
      <c r="Y4" s="99"/>
      <c r="Z4" s="99"/>
    </row>
    <row r="5" spans="1:26" ht="14">
      <c r="A5" s="116"/>
      <c r="B5" s="117"/>
      <c r="C5" s="117"/>
      <c r="D5" s="117"/>
      <c r="E5" s="117"/>
      <c r="F5" s="117"/>
      <c r="G5" s="117"/>
      <c r="H5" s="117"/>
      <c r="I5" s="117"/>
      <c r="J5" s="117"/>
      <c r="K5" s="117"/>
      <c r="L5" s="214"/>
      <c r="M5" s="214"/>
      <c r="N5" s="175"/>
      <c r="O5" s="214"/>
      <c r="P5" s="214"/>
      <c r="Q5" s="99"/>
      <c r="R5" s="99"/>
      <c r="S5" s="99"/>
      <c r="T5" s="99"/>
      <c r="U5" s="99"/>
      <c r="V5" s="99"/>
      <c r="W5" s="99"/>
      <c r="X5" s="99"/>
      <c r="Y5" s="99"/>
      <c r="Z5" s="99"/>
    </row>
    <row r="6" spans="1:26" ht="15.5">
      <c r="A6" s="116"/>
      <c r="B6" s="2" t="s">
        <v>4</v>
      </c>
      <c r="C6" s="3"/>
      <c r="D6" s="3"/>
      <c r="E6" s="3"/>
      <c r="F6" s="3"/>
      <c r="G6" s="117"/>
      <c r="H6" s="117"/>
      <c r="I6" s="117"/>
      <c r="J6" s="117"/>
      <c r="K6" s="117"/>
      <c r="L6" s="214"/>
      <c r="M6" s="214"/>
      <c r="N6" s="175"/>
      <c r="O6" s="215"/>
      <c r="P6" s="214"/>
      <c r="Q6" s="99"/>
      <c r="R6" s="99"/>
      <c r="S6" s="99"/>
      <c r="T6" s="99"/>
      <c r="U6" s="99"/>
      <c r="V6" s="99"/>
      <c r="W6" s="99"/>
      <c r="X6" s="99"/>
      <c r="Y6" s="99"/>
      <c r="Z6" s="99"/>
    </row>
    <row r="7" spans="1:26" ht="15.5">
      <c r="A7" s="116"/>
      <c r="B7" s="2" t="s">
        <v>363</v>
      </c>
      <c r="C7" s="3"/>
      <c r="D7" s="3"/>
      <c r="E7" s="3"/>
      <c r="F7" s="3"/>
      <c r="G7" s="117"/>
      <c r="H7" s="117"/>
      <c r="I7" s="117"/>
      <c r="J7" s="117"/>
      <c r="K7" s="117"/>
      <c r="L7" s="214"/>
      <c r="M7" s="214"/>
      <c r="N7" s="175"/>
      <c r="O7" s="214"/>
      <c r="P7" s="214"/>
      <c r="Q7" s="99"/>
      <c r="R7" s="99"/>
      <c r="S7" s="99"/>
      <c r="T7" s="99"/>
      <c r="U7" s="99"/>
      <c r="V7" s="99"/>
      <c r="W7" s="99"/>
      <c r="X7" s="99"/>
      <c r="Y7" s="99"/>
      <c r="Z7" s="99"/>
    </row>
    <row r="8" spans="1:26" ht="14">
      <c r="A8" s="20"/>
      <c r="B8" s="21"/>
      <c r="C8" s="21"/>
      <c r="D8" s="21"/>
      <c r="E8" s="118"/>
      <c r="F8" s="118"/>
      <c r="G8" s="118"/>
      <c r="I8" s="22"/>
      <c r="J8" s="23"/>
      <c r="K8" s="10"/>
      <c r="L8" s="10"/>
      <c r="M8" s="101"/>
      <c r="N8" s="101"/>
      <c r="O8" s="101"/>
      <c r="P8" s="99"/>
      <c r="Q8" s="99"/>
      <c r="R8" s="99"/>
      <c r="S8" s="99"/>
      <c r="T8" s="99"/>
      <c r="U8" s="99"/>
      <c r="V8" s="99"/>
      <c r="W8" s="99"/>
      <c r="X8" s="99"/>
      <c r="Y8" s="99"/>
      <c r="Z8" s="99"/>
    </row>
    <row r="9" spans="1:26" ht="15.5">
      <c r="A9" s="24"/>
      <c r="B9" s="25" t="s">
        <v>335</v>
      </c>
      <c r="C9" s="31"/>
      <c r="D9" s="119"/>
      <c r="E9" s="119"/>
      <c r="F9" s="119"/>
      <c r="G9" s="26"/>
      <c r="H9" s="27"/>
      <c r="I9" s="27"/>
      <c r="J9" s="27"/>
      <c r="K9" s="27"/>
      <c r="L9" s="27"/>
      <c r="M9" s="101"/>
      <c r="N9" s="101"/>
      <c r="O9" s="101"/>
      <c r="P9" s="99"/>
      <c r="Q9" s="99"/>
      <c r="R9" s="99"/>
      <c r="S9" s="99"/>
      <c r="T9" s="99"/>
      <c r="U9" s="99"/>
      <c r="V9" s="99"/>
      <c r="W9" s="99"/>
      <c r="X9" s="99"/>
      <c r="Y9" s="99"/>
      <c r="Z9" s="99"/>
    </row>
    <row r="10" spans="1:26" ht="14">
      <c r="A10" s="120"/>
      <c r="B10" s="28"/>
      <c r="C10" s="28"/>
      <c r="D10" s="28"/>
      <c r="E10" s="118"/>
      <c r="F10" s="118"/>
      <c r="G10" s="118"/>
      <c r="H10" s="10"/>
      <c r="I10" s="10"/>
      <c r="J10" s="10"/>
      <c r="K10" s="10"/>
      <c r="L10" s="10"/>
      <c r="M10" s="101"/>
      <c r="N10" s="101"/>
      <c r="O10" s="101"/>
      <c r="P10" s="99"/>
      <c r="Q10" s="99"/>
      <c r="R10" s="99"/>
      <c r="S10" s="99"/>
      <c r="T10" s="99"/>
      <c r="U10" s="99"/>
      <c r="V10" s="99"/>
      <c r="W10" s="99"/>
      <c r="X10" s="99"/>
      <c r="Y10" s="99"/>
      <c r="Z10" s="99"/>
    </row>
    <row r="11" spans="1:26" ht="14">
      <c r="A11" s="120"/>
      <c r="B11" s="28" t="s">
        <v>5</v>
      </c>
      <c r="C11" s="28"/>
      <c r="D11" s="28"/>
      <c r="E11" s="118"/>
      <c r="F11" s="118"/>
      <c r="G11" s="28" t="s">
        <v>6</v>
      </c>
      <c r="H11" s="10"/>
      <c r="I11" s="10"/>
      <c r="J11" s="10"/>
      <c r="K11" s="230" t="s">
        <v>164</v>
      </c>
      <c r="L11" s="230"/>
      <c r="M11" s="172" t="s">
        <v>165</v>
      </c>
      <c r="N11" s="230" t="s">
        <v>166</v>
      </c>
      <c r="O11" s="230"/>
      <c r="P11" s="99"/>
      <c r="Q11" s="99"/>
      <c r="R11" s="99"/>
      <c r="S11" s="99"/>
      <c r="T11" s="99"/>
      <c r="U11" s="99"/>
      <c r="V11" s="99"/>
      <c r="W11" s="99"/>
      <c r="X11" s="99"/>
      <c r="Y11" s="99"/>
      <c r="Z11" s="99"/>
    </row>
    <row r="12" spans="1:26" ht="14.25" customHeight="1">
      <c r="A12" s="120"/>
      <c r="B12" s="4" t="s">
        <v>7</v>
      </c>
      <c r="C12" s="28"/>
      <c r="D12" s="28"/>
      <c r="E12" s="118"/>
      <c r="F12" s="118"/>
      <c r="G12" s="121"/>
      <c r="H12" s="10"/>
      <c r="I12" s="10"/>
      <c r="J12" s="10"/>
      <c r="K12" s="229" t="s">
        <v>323</v>
      </c>
      <c r="L12" s="229"/>
      <c r="M12" s="174" t="s">
        <v>324</v>
      </c>
      <c r="N12" s="239" t="s">
        <v>329</v>
      </c>
      <c r="O12" s="240"/>
      <c r="P12" s="99"/>
      <c r="Q12" s="99"/>
      <c r="R12" s="99"/>
      <c r="S12" s="99"/>
      <c r="T12" s="99"/>
      <c r="U12" s="99"/>
      <c r="V12" s="99"/>
      <c r="W12" s="99"/>
      <c r="X12" s="99"/>
      <c r="Y12" s="99"/>
      <c r="Z12" s="99"/>
    </row>
    <row r="13" spans="1:26" ht="14">
      <c r="A13" s="120"/>
      <c r="B13" s="28" t="s">
        <v>8</v>
      </c>
      <c r="C13" s="28"/>
      <c r="D13" s="28"/>
      <c r="E13" s="118"/>
      <c r="F13" s="118"/>
      <c r="G13" s="118" t="s">
        <v>9</v>
      </c>
      <c r="H13" s="10"/>
      <c r="I13" s="10"/>
      <c r="J13" s="10"/>
      <c r="K13" s="229" t="s">
        <v>325</v>
      </c>
      <c r="L13" s="229"/>
      <c r="M13" s="174" t="s">
        <v>326</v>
      </c>
      <c r="N13" s="241"/>
      <c r="O13" s="242"/>
      <c r="P13" s="99"/>
      <c r="Q13" s="99"/>
      <c r="R13" s="99"/>
      <c r="S13" s="99"/>
      <c r="T13" s="99"/>
      <c r="U13" s="99"/>
      <c r="V13" s="99"/>
      <c r="W13" s="99"/>
      <c r="X13" s="99"/>
      <c r="Y13" s="99"/>
      <c r="Z13" s="99"/>
    </row>
    <row r="14" spans="1:26" ht="14.25" customHeight="1">
      <c r="A14" s="120"/>
      <c r="B14" s="28" t="s">
        <v>10</v>
      </c>
      <c r="C14" s="28"/>
      <c r="D14" s="28"/>
      <c r="E14" s="118"/>
      <c r="F14" s="118"/>
      <c r="G14" s="122"/>
      <c r="H14" s="10"/>
      <c r="I14" s="10"/>
      <c r="J14" s="10"/>
      <c r="K14" s="229" t="s">
        <v>349</v>
      </c>
      <c r="L14" s="229"/>
      <c r="M14" s="174" t="s">
        <v>326</v>
      </c>
      <c r="N14" s="239" t="s">
        <v>328</v>
      </c>
      <c r="O14" s="240"/>
      <c r="P14" s="99"/>
      <c r="Q14" s="99"/>
      <c r="R14" s="99"/>
      <c r="S14" s="99"/>
      <c r="T14" s="99"/>
      <c r="U14" s="99"/>
      <c r="V14" s="99"/>
      <c r="W14" s="99"/>
      <c r="X14" s="99"/>
      <c r="Y14" s="99"/>
      <c r="Z14" s="99"/>
    </row>
    <row r="15" spans="1:26" ht="14">
      <c r="A15" s="120"/>
      <c r="B15" s="28"/>
      <c r="C15" s="28"/>
      <c r="D15" s="28"/>
      <c r="E15" s="118"/>
      <c r="F15" s="118"/>
      <c r="G15" s="118"/>
      <c r="H15" s="10"/>
      <c r="I15" s="10"/>
      <c r="J15" s="10"/>
      <c r="K15" s="229" t="s">
        <v>327</v>
      </c>
      <c r="L15" s="229"/>
      <c r="M15" s="174" t="s">
        <v>324</v>
      </c>
      <c r="N15" s="241"/>
      <c r="O15" s="242"/>
      <c r="P15" s="99"/>
      <c r="Q15" s="99"/>
      <c r="R15" s="99"/>
      <c r="S15" s="99"/>
      <c r="T15" s="99"/>
      <c r="U15" s="99"/>
      <c r="V15" s="99"/>
      <c r="W15" s="99"/>
      <c r="X15" s="99"/>
      <c r="Y15" s="99"/>
      <c r="Z15" s="99"/>
    </row>
    <row r="16" spans="1:26" ht="14.25" customHeight="1">
      <c r="A16" s="120"/>
      <c r="B16" s="5" t="s">
        <v>11</v>
      </c>
      <c r="C16" s="6"/>
      <c r="D16" s="6"/>
      <c r="E16" s="118"/>
      <c r="F16" s="118"/>
      <c r="G16" s="118"/>
      <c r="H16" s="99"/>
      <c r="I16" s="10"/>
      <c r="J16" s="10"/>
      <c r="K16" s="105"/>
      <c r="L16" s="105"/>
      <c r="M16" s="105"/>
      <c r="N16" s="105"/>
      <c r="O16" s="105"/>
      <c r="P16" s="99"/>
      <c r="Q16" s="99"/>
      <c r="R16" s="99"/>
      <c r="S16" s="99"/>
      <c r="T16" s="99"/>
      <c r="U16" s="99"/>
      <c r="V16" s="99"/>
      <c r="W16" s="99"/>
      <c r="X16" s="99"/>
      <c r="Y16" s="99"/>
      <c r="Z16" s="99"/>
    </row>
    <row r="17" spans="1:26" ht="14.25" customHeight="1">
      <c r="A17" s="120"/>
      <c r="B17" s="254" t="s">
        <v>12</v>
      </c>
      <c r="C17" s="123" t="s">
        <v>13</v>
      </c>
      <c r="D17" s="123" t="s">
        <v>14</v>
      </c>
      <c r="E17" s="123" t="s">
        <v>15</v>
      </c>
      <c r="F17" s="123" t="s">
        <v>16</v>
      </c>
      <c r="G17" s="118"/>
      <c r="H17" s="99"/>
      <c r="I17" s="10"/>
      <c r="J17" s="10"/>
      <c r="K17" s="105"/>
      <c r="L17" s="105"/>
      <c r="M17" s="105"/>
      <c r="N17" s="105"/>
      <c r="O17" s="105"/>
      <c r="P17" s="99"/>
      <c r="Q17" s="99"/>
      <c r="R17" s="99"/>
      <c r="S17" s="99"/>
      <c r="T17" s="99"/>
      <c r="U17" s="99"/>
      <c r="V17" s="99"/>
      <c r="W17" s="99"/>
      <c r="X17" s="99"/>
      <c r="Y17" s="99"/>
      <c r="Z17" s="99"/>
    </row>
    <row r="18" spans="1:26" ht="14">
      <c r="A18" s="120"/>
      <c r="B18" s="255"/>
      <c r="C18" s="124">
        <v>12</v>
      </c>
      <c r="D18" s="124">
        <v>12</v>
      </c>
      <c r="E18" s="124">
        <v>12</v>
      </c>
      <c r="F18" s="123" t="s">
        <v>17</v>
      </c>
      <c r="G18" s="118"/>
      <c r="H18" s="99"/>
      <c r="I18" s="10"/>
      <c r="J18" s="10"/>
      <c r="K18" s="105"/>
      <c r="L18" s="105"/>
      <c r="M18" s="105"/>
      <c r="N18" s="105"/>
      <c r="O18" s="105"/>
      <c r="P18" s="99"/>
      <c r="Q18" s="99"/>
      <c r="R18" s="99"/>
      <c r="S18" s="99"/>
      <c r="T18" s="99"/>
      <c r="U18" s="99"/>
      <c r="V18" s="99"/>
      <c r="W18" s="99"/>
      <c r="X18" s="99"/>
      <c r="Y18" s="99"/>
      <c r="Z18" s="99"/>
    </row>
    <row r="19" spans="1:26" ht="14.25" customHeight="1">
      <c r="A19" s="120"/>
      <c r="B19" s="7" t="s">
        <v>18</v>
      </c>
      <c r="C19" s="8"/>
      <c r="D19" s="8"/>
      <c r="E19" s="125"/>
      <c r="F19" s="126"/>
      <c r="G19" s="118"/>
      <c r="H19" s="99"/>
      <c r="I19" s="127"/>
      <c r="J19" s="126"/>
      <c r="K19" s="99"/>
      <c r="L19" s="99"/>
      <c r="M19" s="99"/>
      <c r="N19" s="105"/>
      <c r="O19" s="105"/>
      <c r="P19" s="99"/>
      <c r="Q19" s="99"/>
      <c r="R19" s="99"/>
      <c r="S19" s="99"/>
      <c r="T19" s="99"/>
      <c r="U19" s="99"/>
      <c r="V19" s="99"/>
      <c r="W19" s="99"/>
      <c r="X19" s="99"/>
      <c r="Y19" s="99"/>
      <c r="Z19" s="99"/>
    </row>
    <row r="20" spans="1:26" ht="14">
      <c r="A20" s="120"/>
      <c r="B20" s="254" t="s">
        <v>19</v>
      </c>
      <c r="C20" s="123" t="s">
        <v>20</v>
      </c>
      <c r="D20" s="123" t="s">
        <v>21</v>
      </c>
      <c r="E20" s="123" t="s">
        <v>16</v>
      </c>
      <c r="F20" s="125"/>
      <c r="G20" s="126"/>
      <c r="H20" s="157"/>
      <c r="I20" s="127"/>
      <c r="J20" s="127"/>
      <c r="K20" s="99"/>
      <c r="L20" s="99"/>
      <c r="M20" s="99"/>
      <c r="N20" s="105"/>
      <c r="O20" s="105"/>
      <c r="P20" s="99"/>
      <c r="Q20" s="99"/>
      <c r="R20" s="99"/>
      <c r="S20" s="99"/>
      <c r="T20" s="99"/>
      <c r="U20" s="99"/>
      <c r="V20" s="99"/>
      <c r="W20" s="99"/>
      <c r="X20" s="99"/>
      <c r="Y20" s="99"/>
      <c r="Z20" s="99"/>
    </row>
    <row r="21" spans="1:26">
      <c r="A21" s="120"/>
      <c r="B21" s="255"/>
      <c r="C21" s="128">
        <v>0</v>
      </c>
      <c r="D21" s="128">
        <v>70</v>
      </c>
      <c r="E21" s="9" t="s">
        <v>22</v>
      </c>
      <c r="F21" s="125"/>
      <c r="G21" s="126"/>
      <c r="H21" s="118"/>
      <c r="I21" s="127"/>
      <c r="J21" s="127"/>
      <c r="K21" s="126"/>
      <c r="L21" s="118"/>
      <c r="M21" s="101"/>
      <c r="N21" s="101"/>
      <c r="O21" s="101"/>
      <c r="P21" s="99"/>
      <c r="Q21" s="99"/>
      <c r="R21" s="99"/>
      <c r="S21" s="99"/>
      <c r="T21" s="99"/>
      <c r="U21" s="99"/>
      <c r="V21" s="99"/>
      <c r="W21" s="99"/>
      <c r="X21" s="99"/>
      <c r="Y21" s="99"/>
      <c r="Z21" s="99"/>
    </row>
    <row r="22" spans="1:26">
      <c r="A22" s="120"/>
      <c r="B22" s="5" t="s">
        <v>23</v>
      </c>
      <c r="C22" s="125"/>
      <c r="D22" s="125"/>
      <c r="E22" s="125"/>
      <c r="F22" s="118"/>
      <c r="G22" s="118"/>
      <c r="H22" s="118"/>
      <c r="I22" s="118"/>
      <c r="J22" s="118"/>
      <c r="K22" s="118"/>
      <c r="L22" s="118"/>
      <c r="M22" s="101"/>
      <c r="N22" s="101"/>
      <c r="O22" s="101"/>
      <c r="P22" s="99"/>
      <c r="Q22" s="99"/>
      <c r="R22" s="99"/>
      <c r="S22" s="99"/>
      <c r="T22" s="99"/>
      <c r="U22" s="99"/>
      <c r="V22" s="99"/>
      <c r="W22" s="99"/>
      <c r="X22" s="99"/>
      <c r="Y22" s="99"/>
      <c r="Z22" s="99"/>
    </row>
    <row r="23" spans="1:26">
      <c r="A23" s="120"/>
      <c r="B23" s="123" t="s">
        <v>24</v>
      </c>
      <c r="C23" s="123" t="s">
        <v>25</v>
      </c>
      <c r="D23" s="123" t="s">
        <v>26</v>
      </c>
      <c r="E23" s="123" t="s">
        <v>27</v>
      </c>
      <c r="F23" s="231" t="s">
        <v>28</v>
      </c>
      <c r="G23" s="231"/>
      <c r="H23" s="123" t="s">
        <v>29</v>
      </c>
      <c r="I23" s="33" t="s">
        <v>30</v>
      </c>
      <c r="J23" s="118"/>
      <c r="K23" s="118"/>
      <c r="L23" s="118"/>
      <c r="M23" s="101"/>
      <c r="N23" s="101"/>
      <c r="O23" s="101"/>
      <c r="P23" s="99"/>
      <c r="Q23" s="99"/>
      <c r="R23" s="99"/>
      <c r="S23" s="99"/>
      <c r="T23" s="99"/>
      <c r="U23" s="99"/>
      <c r="V23" s="99"/>
      <c r="W23" s="99"/>
      <c r="X23" s="99"/>
      <c r="Y23" s="99"/>
      <c r="Z23" s="99"/>
    </row>
    <row r="24" spans="1:26">
      <c r="A24" s="120"/>
      <c r="B24" s="123" t="s">
        <v>31</v>
      </c>
      <c r="C24" s="129">
        <v>1</v>
      </c>
      <c r="D24" s="129">
        <v>13</v>
      </c>
      <c r="E24" s="168">
        <v>500</v>
      </c>
      <c r="F24" s="232">
        <f>G93</f>
        <v>0.42307692307692307</v>
      </c>
      <c r="G24" s="233"/>
      <c r="H24" s="129">
        <v>0.36</v>
      </c>
      <c r="I24" s="130">
        <v>0</v>
      </c>
      <c r="J24" s="118"/>
      <c r="K24" s="118"/>
      <c r="L24" s="118"/>
      <c r="M24" s="101"/>
      <c r="N24" s="101"/>
      <c r="O24" s="101"/>
      <c r="P24" s="99"/>
      <c r="Q24" s="99"/>
      <c r="R24" s="99"/>
      <c r="S24" s="99"/>
      <c r="T24" s="99"/>
      <c r="U24" s="99"/>
      <c r="V24" s="99"/>
      <c r="W24" s="99"/>
      <c r="X24" s="99"/>
      <c r="Y24" s="99"/>
      <c r="Z24" s="99"/>
    </row>
    <row r="25" spans="1:26">
      <c r="A25" s="120"/>
      <c r="B25" s="123" t="s">
        <v>16</v>
      </c>
      <c r="C25" s="131" t="s">
        <v>17</v>
      </c>
      <c r="D25" s="131" t="s">
        <v>32</v>
      </c>
      <c r="E25" s="123" t="s">
        <v>33</v>
      </c>
      <c r="F25" s="231" t="s">
        <v>34</v>
      </c>
      <c r="G25" s="234"/>
      <c r="H25" s="131" t="s">
        <v>35</v>
      </c>
      <c r="I25" s="132" t="s">
        <v>36</v>
      </c>
      <c r="J25" s="118"/>
      <c r="K25" s="118"/>
      <c r="L25" s="118"/>
      <c r="M25" s="101"/>
      <c r="N25" s="101"/>
      <c r="O25" s="101"/>
      <c r="P25" s="99"/>
      <c r="Q25" s="99"/>
      <c r="R25" s="99"/>
      <c r="S25" s="99"/>
      <c r="T25" s="99"/>
      <c r="U25" s="99"/>
      <c r="V25" s="99"/>
      <c r="W25" s="99"/>
      <c r="X25" s="99"/>
      <c r="Y25" s="99"/>
      <c r="Z25" s="99"/>
    </row>
    <row r="26" spans="1:26">
      <c r="A26" s="120"/>
      <c r="B26" s="126"/>
      <c r="C26" s="133"/>
      <c r="D26" s="133"/>
      <c r="E26" s="126"/>
      <c r="F26" s="169"/>
      <c r="G26" s="170"/>
      <c r="H26" s="133"/>
      <c r="I26" s="134"/>
      <c r="J26" s="118"/>
      <c r="K26" s="118"/>
      <c r="L26" s="118"/>
      <c r="M26" s="101"/>
      <c r="N26" s="101"/>
      <c r="O26" s="101"/>
      <c r="P26" s="99"/>
      <c r="Q26" s="99"/>
      <c r="R26" s="99"/>
      <c r="S26" s="99"/>
      <c r="T26" s="99"/>
      <c r="U26" s="99"/>
      <c r="V26" s="99"/>
      <c r="W26" s="99"/>
      <c r="X26" s="99"/>
      <c r="Y26" s="99"/>
      <c r="Z26" s="99"/>
    </row>
    <row r="27" spans="1:26">
      <c r="A27" s="120"/>
      <c r="B27" s="127"/>
      <c r="C27" s="133"/>
      <c r="D27" s="133"/>
      <c r="E27" s="126"/>
      <c r="F27" s="133"/>
      <c r="G27" s="134"/>
      <c r="H27" s="118"/>
      <c r="I27" s="118"/>
      <c r="J27" s="118"/>
      <c r="K27" s="118"/>
      <c r="L27" s="118"/>
      <c r="M27" s="101"/>
      <c r="N27" s="101"/>
      <c r="O27" s="101"/>
      <c r="P27" s="99"/>
      <c r="Q27" s="99"/>
      <c r="R27" s="99"/>
      <c r="S27" s="99"/>
      <c r="T27" s="99"/>
      <c r="U27" s="99"/>
      <c r="V27" s="99"/>
      <c r="W27" s="99"/>
      <c r="X27" s="99"/>
      <c r="Y27" s="99"/>
      <c r="Z27" s="99"/>
    </row>
    <row r="28" spans="1:26" ht="15">
      <c r="A28" s="120"/>
      <c r="B28" s="29" t="s">
        <v>37</v>
      </c>
      <c r="C28" s="133"/>
      <c r="D28" s="133"/>
      <c r="E28" s="126"/>
      <c r="F28" s="133"/>
      <c r="G28" s="118"/>
      <c r="H28" s="118"/>
      <c r="I28" s="118"/>
      <c r="J28" s="118"/>
      <c r="K28" s="118"/>
      <c r="L28" s="118"/>
      <c r="M28" s="101"/>
      <c r="N28" s="101"/>
      <c r="O28" s="101"/>
      <c r="P28" s="99"/>
      <c r="Q28" s="99"/>
      <c r="R28" s="99"/>
      <c r="S28" s="99"/>
      <c r="T28" s="99"/>
      <c r="U28" s="99"/>
      <c r="V28" s="99"/>
      <c r="W28" s="99"/>
      <c r="X28" s="99"/>
      <c r="Y28" s="99"/>
      <c r="Z28" s="99"/>
    </row>
    <row r="29" spans="1:26">
      <c r="A29" s="120"/>
      <c r="B29" s="123" t="s">
        <v>24</v>
      </c>
      <c r="C29" s="131" t="s">
        <v>38</v>
      </c>
      <c r="D29" s="256" t="s">
        <v>39</v>
      </c>
      <c r="E29" s="256"/>
      <c r="F29" s="131" t="s">
        <v>40</v>
      </c>
      <c r="G29" s="264" t="s">
        <v>41</v>
      </c>
      <c r="H29" s="264"/>
      <c r="I29" s="118"/>
      <c r="J29" s="118"/>
      <c r="K29" s="118"/>
      <c r="L29" s="118"/>
      <c r="M29" s="101"/>
      <c r="N29" s="101"/>
      <c r="O29" s="101"/>
      <c r="P29" s="99"/>
      <c r="Q29" s="99"/>
      <c r="R29" s="99"/>
      <c r="S29" s="99"/>
      <c r="T29" s="99"/>
      <c r="U29" s="99"/>
      <c r="V29" s="99"/>
      <c r="W29" s="99"/>
      <c r="X29" s="99"/>
      <c r="Y29" s="99"/>
      <c r="Z29" s="99"/>
    </row>
    <row r="30" spans="1:26">
      <c r="A30" s="120"/>
      <c r="B30" s="123" t="s">
        <v>31</v>
      </c>
      <c r="C30" s="135">
        <v>7.36</v>
      </c>
      <c r="D30" s="286">
        <f>E130</f>
        <v>7.36</v>
      </c>
      <c r="E30" s="287"/>
      <c r="F30" s="135">
        <v>7.36</v>
      </c>
      <c r="G30" s="265">
        <f>E132</f>
        <v>1</v>
      </c>
      <c r="H30" s="266"/>
      <c r="I30" s="118"/>
      <c r="J30" s="118"/>
      <c r="K30" s="118"/>
      <c r="L30" s="118"/>
      <c r="M30" s="101"/>
      <c r="N30" s="101"/>
      <c r="O30" s="101"/>
      <c r="P30" s="99"/>
      <c r="Q30" s="99"/>
      <c r="R30" s="99"/>
      <c r="S30" s="99"/>
      <c r="T30" s="99"/>
      <c r="U30" s="99"/>
      <c r="V30" s="99"/>
      <c r="W30" s="99"/>
      <c r="X30" s="99"/>
      <c r="Y30" s="99"/>
      <c r="Z30" s="99"/>
    </row>
    <row r="31" spans="1:26">
      <c r="A31" s="120"/>
      <c r="B31" s="123" t="s">
        <v>16</v>
      </c>
      <c r="C31" s="131" t="s">
        <v>42</v>
      </c>
      <c r="D31" s="252" t="s">
        <v>42</v>
      </c>
      <c r="E31" s="257"/>
      <c r="F31" s="131" t="s">
        <v>42</v>
      </c>
      <c r="G31" s="226" t="s">
        <v>17</v>
      </c>
      <c r="H31" s="228"/>
      <c r="I31" s="118"/>
      <c r="J31" s="118"/>
      <c r="K31" s="118"/>
      <c r="L31" s="118"/>
      <c r="M31" s="101"/>
      <c r="N31" s="101"/>
      <c r="O31" s="101"/>
      <c r="P31" s="99"/>
      <c r="Q31" s="99"/>
      <c r="R31" s="99"/>
      <c r="S31" s="99"/>
      <c r="T31" s="99"/>
      <c r="U31" s="99"/>
      <c r="V31" s="99"/>
      <c r="W31" s="99"/>
      <c r="X31" s="99"/>
      <c r="Y31" s="99"/>
      <c r="Z31" s="99"/>
    </row>
    <row r="32" spans="1:26">
      <c r="A32" s="120"/>
      <c r="B32" s="136" t="s">
        <v>43</v>
      </c>
      <c r="C32" s="133"/>
      <c r="D32" s="133"/>
      <c r="E32" s="126"/>
      <c r="F32" s="133"/>
      <c r="G32" s="134"/>
      <c r="H32" s="118"/>
      <c r="I32" s="118"/>
      <c r="J32" s="118"/>
      <c r="K32" s="118"/>
      <c r="L32" s="118"/>
      <c r="M32" s="101"/>
      <c r="N32" s="101"/>
      <c r="O32" s="101"/>
      <c r="P32" s="99"/>
      <c r="Q32" s="99"/>
      <c r="R32" s="99"/>
      <c r="S32" s="99"/>
      <c r="T32" s="99"/>
      <c r="U32" s="99"/>
      <c r="V32" s="99"/>
      <c r="W32" s="99"/>
      <c r="X32" s="99"/>
      <c r="Y32" s="99"/>
      <c r="Z32" s="99"/>
    </row>
    <row r="33" spans="1:26">
      <c r="A33" s="120"/>
      <c r="B33" s="127"/>
      <c r="C33" s="133"/>
      <c r="D33" s="133"/>
      <c r="E33" s="126"/>
      <c r="F33" s="133"/>
      <c r="G33" s="118"/>
      <c r="H33" s="118"/>
      <c r="I33" s="118"/>
      <c r="J33" s="118"/>
      <c r="K33" s="118"/>
      <c r="L33" s="118"/>
      <c r="M33" s="101"/>
      <c r="N33" s="101"/>
      <c r="O33" s="101"/>
      <c r="P33" s="99"/>
      <c r="Q33" s="99"/>
      <c r="R33" s="99"/>
      <c r="S33" s="99"/>
      <c r="T33" s="99"/>
      <c r="U33" s="99"/>
      <c r="V33" s="99"/>
      <c r="W33" s="99"/>
      <c r="X33" s="99"/>
      <c r="Y33" s="99"/>
      <c r="Z33" s="99"/>
    </row>
    <row r="34" spans="1:26">
      <c r="A34" s="120"/>
      <c r="B34" s="127"/>
      <c r="C34" s="133"/>
      <c r="D34" s="133"/>
      <c r="E34" s="126"/>
      <c r="F34" s="133"/>
      <c r="G34" s="118"/>
      <c r="H34" s="118"/>
      <c r="I34" s="118"/>
      <c r="J34" s="118"/>
      <c r="K34" s="118"/>
      <c r="L34" s="118"/>
      <c r="M34" s="101"/>
      <c r="N34" s="101"/>
      <c r="O34" s="101"/>
      <c r="P34" s="99"/>
      <c r="Q34" s="99"/>
      <c r="R34" s="99"/>
      <c r="S34" s="99"/>
      <c r="T34" s="99"/>
      <c r="U34" s="99"/>
      <c r="V34" s="99"/>
      <c r="W34" s="99"/>
      <c r="X34" s="99"/>
      <c r="Y34" s="99"/>
      <c r="Z34" s="99"/>
    </row>
    <row r="35" spans="1:26">
      <c r="A35" s="120"/>
      <c r="B35" s="19" t="s">
        <v>44</v>
      </c>
      <c r="C35" s="133"/>
      <c r="D35" s="133"/>
      <c r="E35" s="126"/>
      <c r="F35" s="133"/>
      <c r="G35" s="118"/>
      <c r="H35" s="118"/>
      <c r="I35" s="118"/>
      <c r="J35" s="118"/>
      <c r="K35" s="118"/>
      <c r="L35" s="118"/>
      <c r="M35" s="101"/>
      <c r="N35" s="101"/>
      <c r="O35" s="101"/>
      <c r="P35" s="99"/>
      <c r="Q35" s="99"/>
      <c r="R35" s="99"/>
      <c r="S35" s="99"/>
      <c r="T35" s="99"/>
      <c r="U35" s="99"/>
      <c r="V35" s="99"/>
      <c r="W35" s="99"/>
      <c r="X35" s="99"/>
      <c r="Y35" s="99"/>
      <c r="Z35" s="99"/>
    </row>
    <row r="36" spans="1:26">
      <c r="A36" s="120"/>
      <c r="B36" s="5" t="s">
        <v>45</v>
      </c>
      <c r="C36" s="126"/>
      <c r="D36" s="126"/>
      <c r="E36" s="126"/>
      <c r="F36" s="133"/>
      <c r="G36" s="118"/>
      <c r="H36" s="118"/>
      <c r="I36" s="118"/>
      <c r="J36" s="118"/>
      <c r="K36" s="118"/>
      <c r="L36" s="118"/>
      <c r="M36" s="101"/>
      <c r="N36" s="101"/>
      <c r="O36" s="101"/>
      <c r="P36" s="99"/>
      <c r="Q36" s="99"/>
      <c r="R36" s="99"/>
      <c r="S36" s="99"/>
      <c r="T36" s="99"/>
      <c r="U36" s="99"/>
      <c r="V36" s="99"/>
      <c r="W36" s="99"/>
      <c r="X36" s="99"/>
      <c r="Y36" s="99"/>
      <c r="Z36" s="99"/>
    </row>
    <row r="37" spans="1:26" ht="14.5">
      <c r="A37" s="120"/>
      <c r="B37" s="137"/>
      <c r="C37" s="226" t="s">
        <v>345</v>
      </c>
      <c r="D37" s="228"/>
      <c r="E37" s="179" t="s">
        <v>46</v>
      </c>
      <c r="F37" s="248" t="s">
        <v>47</v>
      </c>
      <c r="G37" s="248"/>
      <c r="H37" s="123" t="s">
        <v>336</v>
      </c>
      <c r="I37" s="123" t="s">
        <v>344</v>
      </c>
      <c r="J37" s="118"/>
      <c r="K37" s="118"/>
      <c r="L37" s="118"/>
      <c r="M37" s="101"/>
      <c r="N37" s="101"/>
      <c r="O37" s="101"/>
      <c r="P37" s="99"/>
      <c r="Q37" s="99"/>
      <c r="R37" s="99"/>
      <c r="S37" s="99"/>
      <c r="T37" s="99"/>
      <c r="U37" s="99"/>
      <c r="V37" s="99"/>
      <c r="W37" s="99"/>
      <c r="X37" s="99"/>
      <c r="Y37" s="99"/>
      <c r="Z37" s="99"/>
    </row>
    <row r="38" spans="1:26">
      <c r="A38" s="120"/>
      <c r="B38" s="123" t="s">
        <v>31</v>
      </c>
      <c r="C38" s="331">
        <f>E137</f>
        <v>339.53054526271006</v>
      </c>
      <c r="D38" s="332"/>
      <c r="E38" s="182">
        <v>1560</v>
      </c>
      <c r="F38" s="250">
        <f>E138</f>
        <v>36.274630904135698</v>
      </c>
      <c r="G38" s="333"/>
      <c r="H38" s="155">
        <f>E135</f>
        <v>166.66666666666666</v>
      </c>
      <c r="I38" s="178">
        <f>E139</f>
        <v>5.7037499999999985</v>
      </c>
      <c r="J38" s="118"/>
      <c r="K38" s="118"/>
      <c r="L38" s="118"/>
      <c r="M38" s="101"/>
      <c r="N38" s="101"/>
      <c r="O38" s="101"/>
      <c r="P38" s="99"/>
      <c r="Q38" s="99"/>
      <c r="R38" s="99"/>
      <c r="S38" s="99"/>
      <c r="T38" s="99"/>
      <c r="U38" s="99"/>
      <c r="V38" s="99"/>
      <c r="W38" s="99"/>
      <c r="X38" s="99"/>
      <c r="Y38" s="99"/>
      <c r="Z38" s="99"/>
    </row>
    <row r="39" spans="1:26">
      <c r="A39" s="120"/>
      <c r="B39" s="123" t="s">
        <v>16</v>
      </c>
      <c r="C39" s="252" t="s">
        <v>48</v>
      </c>
      <c r="D39" s="257"/>
      <c r="E39" s="179" t="s">
        <v>49</v>
      </c>
      <c r="F39" s="248" t="s">
        <v>50</v>
      </c>
      <c r="G39" s="248"/>
      <c r="H39" s="123" t="s">
        <v>337</v>
      </c>
      <c r="I39" s="123" t="s">
        <v>338</v>
      </c>
      <c r="J39" s="118"/>
      <c r="K39" s="118"/>
      <c r="L39" s="118"/>
      <c r="M39" s="101"/>
      <c r="N39" s="101"/>
      <c r="O39" s="101"/>
      <c r="P39" s="99"/>
      <c r="Q39" s="99"/>
      <c r="R39" s="99"/>
      <c r="S39" s="99"/>
      <c r="T39" s="99"/>
      <c r="U39" s="99"/>
      <c r="V39" s="99"/>
      <c r="W39" s="99"/>
      <c r="X39" s="99"/>
      <c r="Y39" s="99"/>
      <c r="Z39" s="99"/>
    </row>
    <row r="40" spans="1:26">
      <c r="A40" s="120"/>
      <c r="B40" s="127" t="s">
        <v>342</v>
      </c>
      <c r="C40" s="183" t="s">
        <v>343</v>
      </c>
      <c r="D40" s="133"/>
      <c r="E40" s="184"/>
      <c r="F40" s="184"/>
      <c r="G40" s="184"/>
      <c r="H40" s="126"/>
      <c r="I40" s="126"/>
      <c r="J40" s="118"/>
      <c r="K40" s="118"/>
      <c r="L40" s="118"/>
      <c r="M40" s="101"/>
      <c r="N40" s="101"/>
      <c r="O40" s="101"/>
      <c r="P40" s="99"/>
      <c r="Q40" s="99"/>
      <c r="R40" s="99"/>
      <c r="S40" s="99"/>
      <c r="T40" s="99"/>
      <c r="U40" s="99"/>
      <c r="V40" s="99"/>
      <c r="W40" s="99"/>
      <c r="X40" s="99"/>
      <c r="Y40" s="99"/>
      <c r="Z40" s="99"/>
    </row>
    <row r="41" spans="1:26">
      <c r="A41" s="120"/>
      <c r="B41" s="126"/>
      <c r="C41" s="133"/>
      <c r="D41" s="133"/>
      <c r="E41" s="184"/>
      <c r="F41" s="184"/>
      <c r="G41" s="184"/>
      <c r="H41" s="126"/>
      <c r="I41" s="126"/>
      <c r="J41" s="118"/>
      <c r="K41" s="118"/>
      <c r="L41" s="118"/>
      <c r="M41" s="101"/>
      <c r="N41" s="101"/>
      <c r="O41" s="101"/>
      <c r="P41" s="99"/>
      <c r="Q41" s="99"/>
      <c r="R41" s="99"/>
      <c r="S41" s="99"/>
      <c r="T41" s="99"/>
      <c r="U41" s="99"/>
      <c r="V41" s="99"/>
      <c r="W41" s="99"/>
      <c r="X41" s="99"/>
      <c r="Y41" s="99"/>
      <c r="Z41" s="99"/>
    </row>
    <row r="42" spans="1:26">
      <c r="A42" s="120"/>
      <c r="B42" s="126"/>
      <c r="C42" s="133"/>
      <c r="D42" s="133"/>
      <c r="E42" s="184"/>
      <c r="F42" s="184"/>
      <c r="G42" s="184"/>
      <c r="H42" s="126"/>
      <c r="I42" s="126"/>
      <c r="J42" s="118"/>
      <c r="K42" s="118"/>
      <c r="L42" s="118"/>
      <c r="M42" s="101"/>
      <c r="N42" s="101"/>
      <c r="O42" s="101"/>
      <c r="P42" s="99"/>
      <c r="Q42" s="99"/>
      <c r="R42" s="99"/>
      <c r="S42" s="99"/>
      <c r="T42" s="99"/>
      <c r="U42" s="99"/>
      <c r="V42" s="99"/>
      <c r="W42" s="99"/>
      <c r="X42" s="99"/>
      <c r="Y42" s="99"/>
      <c r="Z42" s="99"/>
    </row>
    <row r="43" spans="1:26">
      <c r="A43" s="120"/>
      <c r="B43" s="126"/>
      <c r="C43" s="133"/>
      <c r="D43" s="133"/>
      <c r="E43" s="184"/>
      <c r="F43" s="184"/>
      <c r="G43" s="184"/>
      <c r="H43" s="126"/>
      <c r="I43" s="126"/>
      <c r="J43" s="118"/>
      <c r="K43" s="118"/>
      <c r="L43" s="118"/>
      <c r="M43" s="101"/>
      <c r="N43" s="101"/>
      <c r="O43" s="101"/>
      <c r="P43" s="99"/>
      <c r="Q43" s="99"/>
      <c r="R43" s="99"/>
      <c r="S43" s="99"/>
      <c r="T43" s="99"/>
      <c r="U43" s="99"/>
      <c r="V43" s="99"/>
      <c r="W43" s="99"/>
      <c r="X43" s="99"/>
      <c r="Y43" s="99"/>
      <c r="Z43" s="99"/>
    </row>
    <row r="44" spans="1:26">
      <c r="A44" s="120"/>
      <c r="B44" s="126"/>
      <c r="C44" s="133"/>
      <c r="D44" s="133"/>
      <c r="E44" s="184"/>
      <c r="F44" s="184"/>
      <c r="G44" s="184"/>
      <c r="H44" s="126"/>
      <c r="I44" s="126"/>
      <c r="J44" s="118"/>
      <c r="K44" s="118"/>
      <c r="L44" s="118"/>
      <c r="M44" s="101"/>
      <c r="N44" s="101"/>
      <c r="O44" s="101"/>
      <c r="P44" s="99"/>
      <c r="Q44" s="99"/>
      <c r="R44" s="99"/>
      <c r="S44" s="99"/>
      <c r="T44" s="99"/>
      <c r="U44" s="99"/>
      <c r="V44" s="99"/>
      <c r="W44" s="99"/>
      <c r="X44" s="99"/>
      <c r="Y44" s="99"/>
      <c r="Z44" s="99"/>
    </row>
    <row r="45" spans="1:26">
      <c r="A45" s="120"/>
      <c r="B45" s="126"/>
      <c r="C45" s="133"/>
      <c r="D45" s="133"/>
      <c r="E45" s="184"/>
      <c r="F45" s="105" t="s">
        <v>346</v>
      </c>
      <c r="G45" s="184"/>
      <c r="H45" s="126"/>
      <c r="I45" s="126"/>
      <c r="J45" s="118"/>
      <c r="K45" s="118"/>
      <c r="L45" s="118"/>
      <c r="M45" s="101"/>
      <c r="N45" s="101"/>
      <c r="O45" s="101"/>
      <c r="P45" s="99"/>
      <c r="Q45" s="99"/>
      <c r="R45" s="99"/>
      <c r="S45" s="99"/>
      <c r="T45" s="99"/>
      <c r="U45" s="99"/>
      <c r="V45" s="99"/>
      <c r="W45" s="99"/>
      <c r="X45" s="99"/>
      <c r="Y45" s="99"/>
      <c r="Z45" s="99"/>
    </row>
    <row r="46" spans="1:26">
      <c r="A46" s="120"/>
      <c r="B46" s="5" t="s">
        <v>51</v>
      </c>
      <c r="D46" s="99"/>
      <c r="E46" s="99"/>
      <c r="F46" s="105" t="s">
        <v>347</v>
      </c>
      <c r="G46" s="99"/>
      <c r="I46" s="126"/>
      <c r="J46" s="126"/>
      <c r="K46" s="126"/>
      <c r="L46" s="118"/>
      <c r="M46" s="101"/>
      <c r="N46" s="101"/>
      <c r="O46" s="101"/>
      <c r="P46" s="99"/>
      <c r="Q46" s="99"/>
      <c r="R46" s="99"/>
      <c r="S46" s="99"/>
      <c r="T46" s="99"/>
      <c r="U46" s="99"/>
      <c r="V46" s="99"/>
      <c r="W46" s="99"/>
      <c r="X46" s="99"/>
      <c r="Y46" s="99"/>
      <c r="Z46" s="99"/>
    </row>
    <row r="47" spans="1:26">
      <c r="A47" s="120"/>
      <c r="B47" s="137"/>
      <c r="C47" s="123" t="s">
        <v>52</v>
      </c>
      <c r="D47" s="139"/>
      <c r="E47" s="101"/>
      <c r="F47" s="101"/>
      <c r="G47" s="101"/>
      <c r="H47" s="101"/>
      <c r="I47" s="105"/>
      <c r="J47" s="105"/>
      <c r="K47" s="99"/>
      <c r="L47" s="118"/>
      <c r="M47" s="101"/>
      <c r="N47" s="101"/>
      <c r="O47" s="101"/>
      <c r="P47" s="99"/>
      <c r="Q47" s="99"/>
      <c r="R47" s="99"/>
      <c r="S47" s="99"/>
      <c r="T47" s="99"/>
      <c r="U47" s="99"/>
      <c r="V47" s="99"/>
      <c r="W47" s="99"/>
      <c r="X47" s="99"/>
      <c r="Y47" s="99"/>
      <c r="Z47" s="99"/>
    </row>
    <row r="48" spans="1:26">
      <c r="A48" s="120"/>
      <c r="B48" s="123" t="s">
        <v>31</v>
      </c>
      <c r="C48" s="129">
        <v>1</v>
      </c>
      <c r="D48" s="140"/>
      <c r="E48" s="101"/>
      <c r="F48" s="101"/>
      <c r="G48" s="101"/>
      <c r="H48" s="101"/>
      <c r="I48" s="105"/>
      <c r="J48" s="105"/>
      <c r="K48" s="99"/>
      <c r="L48" s="118"/>
      <c r="M48" s="101"/>
      <c r="N48" s="101"/>
      <c r="O48" s="101"/>
      <c r="P48" s="99"/>
      <c r="Q48" s="99"/>
      <c r="R48" s="99"/>
      <c r="S48" s="99"/>
      <c r="T48" s="99"/>
      <c r="U48" s="99"/>
      <c r="V48" s="99"/>
      <c r="W48" s="99"/>
      <c r="X48" s="99"/>
      <c r="Y48" s="99"/>
      <c r="Z48" s="99"/>
    </row>
    <row r="49" spans="1:26">
      <c r="A49" s="120"/>
      <c r="B49" s="123" t="s">
        <v>16</v>
      </c>
      <c r="C49" s="131" t="s">
        <v>53</v>
      </c>
      <c r="D49" s="140"/>
      <c r="E49" s="101"/>
      <c r="F49" s="101"/>
      <c r="G49" s="101"/>
      <c r="H49" s="101"/>
      <c r="I49" s="105"/>
      <c r="J49" s="105"/>
      <c r="K49" s="99"/>
      <c r="L49" s="118"/>
      <c r="M49" s="101"/>
      <c r="N49" s="101"/>
      <c r="O49" s="101"/>
      <c r="P49" s="99"/>
      <c r="Q49" s="99"/>
      <c r="R49" s="99"/>
      <c r="S49" s="99"/>
      <c r="T49" s="99"/>
      <c r="U49" s="99"/>
      <c r="V49" s="99"/>
      <c r="W49" s="99"/>
      <c r="X49" s="99"/>
      <c r="Y49" s="99"/>
      <c r="Z49" s="99"/>
    </row>
    <row r="50" spans="1:26">
      <c r="A50" s="120"/>
      <c r="B50" s="127"/>
      <c r="C50" s="133"/>
      <c r="D50" s="133"/>
      <c r="E50" s="126"/>
      <c r="F50" s="133"/>
      <c r="G50" s="118"/>
      <c r="H50" s="118"/>
      <c r="I50" s="118"/>
      <c r="J50" s="118"/>
      <c r="K50" s="118"/>
      <c r="L50" s="118"/>
      <c r="M50" s="101"/>
      <c r="N50" s="101"/>
      <c r="O50" s="101"/>
      <c r="P50" s="101"/>
      <c r="Q50" s="101"/>
      <c r="R50" s="99"/>
      <c r="S50" s="99"/>
      <c r="T50" s="99"/>
      <c r="U50" s="99"/>
      <c r="V50" s="99"/>
      <c r="W50" s="99"/>
      <c r="X50" s="99"/>
      <c r="Y50" s="99"/>
      <c r="Z50" s="99"/>
    </row>
    <row r="51" spans="1:26">
      <c r="A51" s="120"/>
      <c r="B51" s="29" t="s">
        <v>54</v>
      </c>
      <c r="C51" s="133"/>
      <c r="D51" s="133"/>
      <c r="E51" s="126"/>
      <c r="F51" s="133"/>
      <c r="G51" s="118"/>
      <c r="H51" s="118"/>
      <c r="I51" s="118"/>
      <c r="J51" s="118"/>
      <c r="K51" s="118"/>
      <c r="L51" s="118"/>
      <c r="M51" s="101"/>
      <c r="N51" s="101"/>
      <c r="O51" s="101"/>
      <c r="P51" s="101"/>
      <c r="Q51" s="101"/>
      <c r="R51" s="99"/>
      <c r="S51" s="99"/>
      <c r="T51" s="99"/>
      <c r="U51" s="99"/>
      <c r="V51" s="99"/>
      <c r="W51" s="99"/>
      <c r="X51" s="99"/>
      <c r="Y51" s="99"/>
      <c r="Z51" s="99"/>
    </row>
    <row r="52" spans="1:26">
      <c r="A52" s="120"/>
      <c r="B52" s="5" t="s">
        <v>55</v>
      </c>
      <c r="C52" s="118"/>
      <c r="D52" s="141"/>
      <c r="E52" s="118"/>
      <c r="F52" s="118"/>
      <c r="G52" s="118"/>
      <c r="H52" s="110"/>
      <c r="I52" s="118"/>
      <c r="J52" s="141"/>
      <c r="K52" s="118"/>
      <c r="L52" s="142"/>
      <c r="M52" s="101"/>
      <c r="N52" s="101"/>
      <c r="O52" s="101"/>
      <c r="P52" s="99"/>
      <c r="Q52" s="99"/>
      <c r="R52" s="99"/>
      <c r="S52" s="99"/>
      <c r="T52" s="99"/>
      <c r="U52" s="99"/>
      <c r="V52" s="99"/>
      <c r="W52" s="99"/>
      <c r="X52" s="99"/>
      <c r="Y52" s="99"/>
      <c r="Z52" s="99"/>
    </row>
    <row r="53" spans="1:26" ht="14.25" customHeight="1">
      <c r="A53" s="120"/>
      <c r="B53" s="243" t="s">
        <v>56</v>
      </c>
      <c r="C53" s="158" t="s">
        <v>57</v>
      </c>
      <c r="D53" s="245" t="s">
        <v>58</v>
      </c>
      <c r="E53" s="246"/>
      <c r="F53" s="246"/>
      <c r="G53" s="246"/>
      <c r="H53" s="247"/>
      <c r="I53" s="158" t="s">
        <v>59</v>
      </c>
      <c r="J53" s="99"/>
      <c r="K53" s="142"/>
      <c r="L53" s="118"/>
      <c r="M53" s="101"/>
      <c r="N53" s="101"/>
      <c r="O53" s="101"/>
      <c r="P53" s="99"/>
      <c r="Q53" s="99"/>
      <c r="R53" s="99"/>
      <c r="S53" s="99"/>
      <c r="T53" s="99"/>
      <c r="U53" s="99"/>
      <c r="V53" s="99"/>
      <c r="W53" s="99"/>
      <c r="X53" s="99"/>
      <c r="Y53" s="99"/>
      <c r="Z53" s="99"/>
    </row>
    <row r="54" spans="1:26" ht="14.5">
      <c r="A54" s="120"/>
      <c r="B54" s="244"/>
      <c r="C54" s="159" t="s">
        <v>60</v>
      </c>
      <c r="D54" s="143" t="s">
        <v>20</v>
      </c>
      <c r="E54" s="143" t="s">
        <v>61</v>
      </c>
      <c r="F54" s="143" t="s">
        <v>62</v>
      </c>
      <c r="G54" s="160" t="s">
        <v>63</v>
      </c>
      <c r="H54" s="143" t="s">
        <v>64</v>
      </c>
      <c r="I54" s="161" t="s">
        <v>65</v>
      </c>
      <c r="J54" s="99"/>
      <c r="K54" s="142"/>
      <c r="L54" s="118"/>
      <c r="M54" s="101"/>
      <c r="N54" s="101"/>
      <c r="O54" s="101"/>
      <c r="P54" s="99"/>
      <c r="Q54" s="99"/>
      <c r="R54" s="99"/>
      <c r="S54" s="99"/>
      <c r="T54" s="99"/>
      <c r="U54" s="99"/>
      <c r="V54" s="99"/>
      <c r="W54" s="99"/>
      <c r="X54" s="99"/>
      <c r="Y54" s="99"/>
      <c r="Z54" s="99"/>
    </row>
    <row r="55" spans="1:26">
      <c r="A55" s="120"/>
      <c r="B55" s="123" t="s">
        <v>31</v>
      </c>
      <c r="C55" s="145">
        <v>8</v>
      </c>
      <c r="D55" s="180">
        <f>E55^2/F55</f>
        <v>1.1428571428571428</v>
      </c>
      <c r="E55" s="145">
        <v>2</v>
      </c>
      <c r="F55" s="145">
        <v>3.5</v>
      </c>
      <c r="G55" s="1">
        <v>1</v>
      </c>
      <c r="H55" s="145">
        <v>1.3</v>
      </c>
      <c r="I55" s="145">
        <v>1</v>
      </c>
      <c r="J55" s="99"/>
      <c r="K55" s="142"/>
      <c r="L55" s="118"/>
      <c r="M55" s="101"/>
      <c r="N55" s="101"/>
      <c r="O55" s="101"/>
      <c r="P55" s="99"/>
      <c r="Q55" s="99"/>
      <c r="R55" s="99"/>
      <c r="S55" s="99"/>
      <c r="T55" s="99"/>
      <c r="U55" s="99"/>
      <c r="V55" s="99"/>
      <c r="W55" s="99"/>
      <c r="X55" s="99"/>
      <c r="Y55" s="99"/>
      <c r="Z55" s="99"/>
    </row>
    <row r="56" spans="1:26">
      <c r="A56" s="120"/>
      <c r="B56" s="123" t="s">
        <v>16</v>
      </c>
      <c r="C56" s="123" t="s">
        <v>66</v>
      </c>
      <c r="D56" s="123" t="s">
        <v>66</v>
      </c>
      <c r="E56" s="123" t="s">
        <v>66</v>
      </c>
      <c r="F56" s="123" t="s">
        <v>66</v>
      </c>
      <c r="G56" s="123" t="s">
        <v>67</v>
      </c>
      <c r="H56" s="123" t="s">
        <v>67</v>
      </c>
      <c r="I56" s="123" t="s">
        <v>66</v>
      </c>
      <c r="J56" s="99"/>
      <c r="K56" s="142"/>
      <c r="L56" s="118"/>
      <c r="M56" s="101"/>
      <c r="N56" s="101"/>
      <c r="O56" s="101"/>
      <c r="P56" s="99"/>
      <c r="Q56" s="99"/>
      <c r="R56" s="99"/>
      <c r="S56" s="99"/>
      <c r="T56" s="99"/>
      <c r="U56" s="99"/>
      <c r="V56" s="99"/>
      <c r="W56" s="99"/>
      <c r="X56" s="99"/>
      <c r="Y56" s="99"/>
      <c r="Z56" s="99"/>
    </row>
    <row r="57" spans="1:26">
      <c r="A57" s="120"/>
      <c r="B57" s="136" t="s">
        <v>68</v>
      </c>
      <c r="C57" s="126"/>
      <c r="D57" s="126"/>
      <c r="E57" s="126"/>
      <c r="F57" s="126"/>
      <c r="G57" s="126"/>
      <c r="H57" s="125"/>
      <c r="I57" s="118"/>
      <c r="J57" s="118"/>
      <c r="K57" s="118"/>
      <c r="L57" s="142"/>
      <c r="M57" s="101"/>
      <c r="N57" s="101"/>
      <c r="O57" s="101"/>
      <c r="P57" s="99"/>
      <c r="Q57" s="99"/>
      <c r="R57" s="99"/>
      <c r="S57" s="99"/>
      <c r="T57" s="99"/>
      <c r="U57" s="99"/>
      <c r="V57" s="99"/>
      <c r="W57" s="99"/>
      <c r="X57" s="99"/>
      <c r="Y57" s="99"/>
      <c r="Z57" s="99"/>
    </row>
    <row r="58" spans="1:26">
      <c r="A58" s="120"/>
      <c r="B58" s="5" t="s">
        <v>69</v>
      </c>
      <c r="C58" s="126"/>
      <c r="D58" s="126"/>
      <c r="E58" s="126"/>
      <c r="F58" s="126"/>
      <c r="G58" s="126"/>
      <c r="H58" s="110"/>
      <c r="I58" s="118"/>
      <c r="J58" s="141"/>
      <c r="K58" s="118"/>
      <c r="L58" s="142"/>
      <c r="M58" s="101"/>
      <c r="N58" s="101"/>
      <c r="O58" s="101"/>
      <c r="P58" s="99"/>
      <c r="Q58" s="99"/>
      <c r="R58" s="99"/>
      <c r="S58" s="99"/>
      <c r="T58" s="99"/>
      <c r="U58" s="99"/>
      <c r="V58" s="99"/>
      <c r="W58" s="99"/>
      <c r="X58" s="99"/>
      <c r="Y58" s="99"/>
      <c r="Z58" s="99"/>
    </row>
    <row r="59" spans="1:26" ht="14">
      <c r="A59" s="120"/>
      <c r="B59" s="137"/>
      <c r="C59" s="226" t="s">
        <v>70</v>
      </c>
      <c r="D59" s="228"/>
      <c r="E59" s="123" t="s">
        <v>71</v>
      </c>
      <c r="F59" s="126"/>
      <c r="G59" s="126"/>
      <c r="H59" s="144"/>
      <c r="I59" s="220"/>
      <c r="J59" s="220"/>
      <c r="K59" s="146"/>
      <c r="L59" s="10"/>
      <c r="M59" s="101"/>
      <c r="N59" s="101"/>
      <c r="O59" s="101"/>
      <c r="P59" s="99"/>
      <c r="Q59" s="99"/>
      <c r="R59" s="99"/>
      <c r="S59" s="99"/>
      <c r="T59" s="99"/>
      <c r="U59" s="99"/>
      <c r="V59" s="99"/>
      <c r="W59" s="99"/>
      <c r="X59" s="99"/>
      <c r="Y59" s="99"/>
      <c r="Z59" s="99"/>
    </row>
    <row r="60" spans="1:26" ht="14">
      <c r="A60" s="120"/>
      <c r="B60" s="123" t="s">
        <v>31</v>
      </c>
      <c r="C60" s="286" t="str">
        <f>"More than "&amp;TEXT(I100,"#.0")</f>
        <v>More than 32.9</v>
      </c>
      <c r="D60" s="287"/>
      <c r="E60" s="129">
        <v>30</v>
      </c>
      <c r="F60" s="125"/>
      <c r="G60" s="125"/>
      <c r="H60" s="111"/>
      <c r="I60" s="330"/>
      <c r="J60" s="330"/>
      <c r="K60" s="147"/>
      <c r="L60" s="10"/>
      <c r="M60" s="101"/>
      <c r="N60" s="101"/>
      <c r="O60" s="101"/>
      <c r="P60" s="99"/>
      <c r="Q60" s="99"/>
      <c r="R60" s="99"/>
      <c r="S60" s="99"/>
      <c r="T60" s="99"/>
      <c r="U60" s="99"/>
      <c r="V60" s="99"/>
      <c r="W60" s="99"/>
      <c r="X60" s="99"/>
      <c r="Y60" s="99"/>
      <c r="Z60" s="99"/>
    </row>
    <row r="61" spans="1:26">
      <c r="A61" s="120"/>
      <c r="B61" s="123" t="s">
        <v>16</v>
      </c>
      <c r="C61" s="252" t="s">
        <v>72</v>
      </c>
      <c r="D61" s="257"/>
      <c r="E61" s="131" t="s">
        <v>72</v>
      </c>
      <c r="F61" s="133"/>
      <c r="G61" s="133"/>
      <c r="H61" s="127"/>
      <c r="I61" s="220"/>
      <c r="J61" s="220"/>
      <c r="K61" s="126"/>
      <c r="L61" s="118"/>
      <c r="M61" s="101"/>
      <c r="N61" s="101"/>
      <c r="O61" s="101"/>
      <c r="P61" s="99"/>
      <c r="Q61" s="99"/>
      <c r="R61" s="99"/>
      <c r="S61" s="99"/>
      <c r="T61" s="99"/>
      <c r="U61" s="99"/>
      <c r="V61" s="99"/>
      <c r="W61" s="99"/>
      <c r="X61" s="99"/>
      <c r="Y61" s="99"/>
      <c r="Z61" s="99"/>
    </row>
    <row r="62" spans="1:26">
      <c r="A62" s="120"/>
      <c r="B62" s="5" t="s">
        <v>73</v>
      </c>
      <c r="C62" s="125"/>
      <c r="D62" s="125"/>
      <c r="E62" s="118"/>
      <c r="F62" s="118"/>
      <c r="G62" s="125"/>
      <c r="H62" s="110"/>
      <c r="I62" s="125"/>
      <c r="J62" s="125"/>
      <c r="K62" s="118"/>
      <c r="L62" s="118"/>
      <c r="M62" s="101"/>
      <c r="N62" s="101"/>
      <c r="O62" s="101"/>
      <c r="P62" s="99"/>
      <c r="Q62" s="99"/>
      <c r="R62" s="99"/>
      <c r="S62" s="99"/>
      <c r="T62" s="99"/>
      <c r="U62" s="99"/>
      <c r="V62" s="99"/>
      <c r="W62" s="99"/>
      <c r="X62" s="99"/>
      <c r="Y62" s="99"/>
      <c r="Z62" s="99"/>
    </row>
    <row r="63" spans="1:26" ht="14">
      <c r="A63" s="120"/>
      <c r="B63" s="218"/>
      <c r="C63" s="226" t="s">
        <v>74</v>
      </c>
      <c r="D63" s="227"/>
      <c r="E63" s="227"/>
      <c r="F63" s="228"/>
      <c r="G63" s="10"/>
      <c r="H63" s="136"/>
      <c r="I63" s="142"/>
      <c r="J63" s="142"/>
      <c r="K63" s="142"/>
      <c r="L63" s="142"/>
      <c r="M63" s="101"/>
      <c r="N63" s="101"/>
      <c r="O63" s="101"/>
      <c r="P63" s="99"/>
      <c r="Q63" s="99"/>
      <c r="R63" s="99"/>
      <c r="S63" s="99"/>
      <c r="T63" s="99"/>
      <c r="U63" s="99"/>
      <c r="V63" s="99"/>
      <c r="W63" s="99"/>
      <c r="X63" s="99"/>
      <c r="Y63" s="99"/>
      <c r="Z63" s="99"/>
    </row>
    <row r="64" spans="1:26" ht="14">
      <c r="A64" s="120"/>
      <c r="B64" s="219"/>
      <c r="C64" s="148" t="s">
        <v>75</v>
      </c>
      <c r="D64" s="149" t="s">
        <v>76</v>
      </c>
      <c r="E64" s="149" t="s">
        <v>77</v>
      </c>
      <c r="F64" s="149" t="s">
        <v>16</v>
      </c>
      <c r="G64" s="10"/>
      <c r="H64" s="126"/>
      <c r="I64" s="126"/>
      <c r="J64" s="126"/>
      <c r="K64" s="126"/>
      <c r="L64" s="126"/>
      <c r="M64" s="101"/>
      <c r="N64" s="101"/>
      <c r="O64" s="101"/>
      <c r="P64" s="99"/>
      <c r="Q64" s="99"/>
      <c r="R64" s="99"/>
      <c r="S64" s="99"/>
      <c r="T64" s="99"/>
      <c r="U64" s="99"/>
      <c r="V64" s="99"/>
      <c r="W64" s="99"/>
      <c r="X64" s="99"/>
      <c r="Y64" s="99"/>
      <c r="Z64" s="99"/>
    </row>
    <row r="65" spans="1:26" ht="14">
      <c r="A65" s="120"/>
      <c r="B65" s="97" t="s">
        <v>78</v>
      </c>
      <c r="C65" s="11">
        <f>F116</f>
        <v>21.38458708456821</v>
      </c>
      <c r="D65" s="11">
        <f>E116</f>
        <v>21.38458708456821</v>
      </c>
      <c r="E65" s="11">
        <f>G116</f>
        <v>21.38458708456821</v>
      </c>
      <c r="F65" s="150" t="s">
        <v>32</v>
      </c>
      <c r="G65" s="10"/>
      <c r="H65" s="111"/>
      <c r="I65" s="138"/>
      <c r="J65" s="138"/>
      <c r="K65" s="138"/>
      <c r="L65" s="126"/>
      <c r="M65" s="101"/>
      <c r="N65" s="101"/>
      <c r="O65" s="101"/>
      <c r="P65" s="99"/>
      <c r="Q65" s="99"/>
      <c r="R65" s="99"/>
      <c r="S65" s="99"/>
      <c r="T65" s="99"/>
      <c r="U65" s="99"/>
      <c r="V65" s="99"/>
      <c r="W65" s="99"/>
      <c r="X65" s="99"/>
      <c r="Y65" s="99"/>
      <c r="Z65" s="99"/>
    </row>
    <row r="66" spans="1:26" ht="14">
      <c r="A66" s="120"/>
      <c r="B66" s="97" t="s">
        <v>79</v>
      </c>
      <c r="C66" s="223">
        <f>E115</f>
        <v>37.5</v>
      </c>
      <c r="D66" s="224"/>
      <c r="E66" s="225"/>
      <c r="F66" s="150" t="s">
        <v>80</v>
      </c>
      <c r="G66" s="10"/>
      <c r="H66" s="111"/>
      <c r="I66" s="151"/>
      <c r="J66" s="151"/>
      <c r="K66" s="151"/>
      <c r="L66" s="138"/>
      <c r="M66" s="101"/>
      <c r="N66" s="101"/>
      <c r="O66" s="101"/>
      <c r="P66" s="99"/>
      <c r="Q66" s="99"/>
      <c r="R66" s="99"/>
      <c r="S66" s="99"/>
      <c r="T66" s="99"/>
      <c r="U66" s="99"/>
      <c r="V66" s="99"/>
      <c r="W66" s="99"/>
      <c r="X66" s="99"/>
      <c r="Y66" s="99"/>
      <c r="Z66" s="99"/>
    </row>
    <row r="67" spans="1:26">
      <c r="A67" s="120"/>
      <c r="B67" s="5" t="s">
        <v>81</v>
      </c>
      <c r="C67" s="118"/>
      <c r="D67" s="118"/>
      <c r="E67" s="142"/>
      <c r="F67" s="118"/>
      <c r="G67" s="118"/>
      <c r="H67" s="110"/>
      <c r="I67" s="118"/>
      <c r="J67" s="118"/>
      <c r="K67" s="142"/>
      <c r="L67" s="118"/>
      <c r="M67" s="101"/>
      <c r="N67" s="101"/>
      <c r="O67" s="101"/>
      <c r="P67" s="99"/>
      <c r="Q67" s="99"/>
      <c r="R67" s="99"/>
      <c r="S67" s="99"/>
      <c r="T67" s="99"/>
      <c r="U67" s="99"/>
      <c r="V67" s="99"/>
      <c r="W67" s="99"/>
      <c r="X67" s="99"/>
      <c r="Y67" s="99"/>
      <c r="Z67" s="99"/>
    </row>
    <row r="68" spans="1:26" ht="37.5" customHeight="1">
      <c r="A68" s="120"/>
      <c r="B68" s="218"/>
      <c r="C68" s="221" t="s">
        <v>82</v>
      </c>
      <c r="D68" s="222"/>
      <c r="E68" s="221" t="s">
        <v>341</v>
      </c>
      <c r="F68" s="222"/>
      <c r="G68" s="138"/>
      <c r="H68" s="136"/>
      <c r="I68" s="141"/>
      <c r="J68" s="141"/>
      <c r="K68" s="141"/>
      <c r="L68" s="10"/>
      <c r="M68" s="101"/>
      <c r="N68" s="101"/>
      <c r="O68" s="101"/>
      <c r="P68" s="99"/>
      <c r="Q68" s="99"/>
      <c r="R68" s="99"/>
      <c r="S68" s="99"/>
      <c r="T68" s="99"/>
      <c r="U68" s="99"/>
      <c r="V68" s="99"/>
      <c r="W68" s="99"/>
      <c r="X68" s="99"/>
      <c r="Y68" s="99"/>
      <c r="Z68" s="99"/>
    </row>
    <row r="69" spans="1:26" ht="14">
      <c r="A69" s="120"/>
      <c r="B69" s="219"/>
      <c r="C69" s="13" t="s">
        <v>78</v>
      </c>
      <c r="D69" s="14" t="s">
        <v>79</v>
      </c>
      <c r="E69" s="15" t="s">
        <v>78</v>
      </c>
      <c r="F69" s="14" t="s">
        <v>79</v>
      </c>
      <c r="G69" s="118"/>
      <c r="H69" s="126"/>
      <c r="I69" s="112"/>
      <c r="J69" s="112"/>
      <c r="K69" s="16"/>
      <c r="L69" s="10"/>
      <c r="M69" s="101"/>
      <c r="N69" s="101"/>
      <c r="O69" s="101"/>
      <c r="P69" s="99"/>
      <c r="Q69" s="99"/>
      <c r="R69" s="99"/>
      <c r="S69" s="99"/>
      <c r="T69" s="99"/>
      <c r="U69" s="99"/>
      <c r="V69" s="99"/>
      <c r="W69" s="99"/>
      <c r="X69" s="99"/>
      <c r="Y69" s="99"/>
      <c r="Z69" s="99"/>
    </row>
    <row r="70" spans="1:26" ht="14">
      <c r="A70" s="120"/>
      <c r="B70" s="123" t="s">
        <v>31</v>
      </c>
      <c r="C70" s="171">
        <f>E117</f>
        <v>12.089944227425356</v>
      </c>
      <c r="D70" s="106">
        <f>L112</f>
        <v>29.784375000000001</v>
      </c>
      <c r="E70" s="11">
        <f>E118</f>
        <v>39.691856682025836</v>
      </c>
      <c r="F70" s="106">
        <f>M113</f>
        <v>49.974375000000002</v>
      </c>
      <c r="G70" s="118"/>
      <c r="H70" s="111"/>
      <c r="I70" s="12"/>
      <c r="J70" s="12"/>
      <c r="K70" s="151"/>
      <c r="L70" s="10"/>
      <c r="M70" s="101"/>
      <c r="N70" s="101"/>
      <c r="O70" s="101"/>
      <c r="P70" s="99"/>
      <c r="Q70" s="99"/>
      <c r="R70" s="99"/>
      <c r="S70" s="99"/>
      <c r="T70" s="99"/>
      <c r="U70" s="99"/>
      <c r="V70" s="99"/>
      <c r="W70" s="99"/>
      <c r="X70" s="99"/>
      <c r="Y70" s="99"/>
      <c r="Z70" s="99"/>
    </row>
    <row r="71" spans="1:26" ht="14">
      <c r="A71" s="120"/>
      <c r="B71" s="149" t="s">
        <v>16</v>
      </c>
      <c r="C71" s="123" t="s">
        <v>32</v>
      </c>
      <c r="D71" s="150" t="s">
        <v>80</v>
      </c>
      <c r="E71" s="123" t="s">
        <v>32</v>
      </c>
      <c r="F71" s="150" t="s">
        <v>80</v>
      </c>
      <c r="G71" s="10"/>
      <c r="H71" s="10"/>
      <c r="I71" s="10"/>
      <c r="J71" s="10"/>
      <c r="K71" s="126"/>
      <c r="L71" s="126"/>
      <c r="M71" s="101"/>
      <c r="N71" s="101"/>
      <c r="O71" s="101"/>
      <c r="P71" s="99"/>
      <c r="Q71" s="99"/>
      <c r="R71" s="99"/>
      <c r="S71" s="99"/>
      <c r="T71" s="99"/>
      <c r="U71" s="99"/>
      <c r="V71" s="99"/>
      <c r="W71" s="99"/>
      <c r="X71" s="99"/>
      <c r="Y71" s="99"/>
      <c r="Z71" s="99"/>
    </row>
    <row r="72" spans="1:26" ht="14">
      <c r="A72" s="120"/>
      <c r="B72" s="152" t="s">
        <v>83</v>
      </c>
      <c r="C72" s="126"/>
      <c r="D72" s="138"/>
      <c r="E72" s="126"/>
      <c r="F72" s="138"/>
      <c r="G72" s="17"/>
      <c r="H72" s="10"/>
      <c r="I72" s="10"/>
      <c r="J72" s="10"/>
      <c r="K72" s="118"/>
      <c r="L72" s="153"/>
      <c r="M72" s="101"/>
      <c r="N72" s="101"/>
      <c r="O72" s="101"/>
      <c r="P72" s="99"/>
      <c r="Q72" s="99"/>
      <c r="R72" s="99"/>
      <c r="S72" s="99"/>
      <c r="T72" s="99"/>
      <c r="U72" s="99"/>
      <c r="V72" s="99"/>
      <c r="W72" s="99"/>
      <c r="X72" s="99"/>
      <c r="Y72" s="99"/>
      <c r="Z72" s="99"/>
    </row>
    <row r="73" spans="1:26" ht="14">
      <c r="A73" s="120"/>
      <c r="B73" s="152" t="s">
        <v>348</v>
      </c>
      <c r="C73" s="126"/>
      <c r="D73" s="138"/>
      <c r="E73" s="126"/>
      <c r="F73" s="138"/>
      <c r="G73" s="17"/>
      <c r="H73" s="10"/>
      <c r="I73" s="10"/>
      <c r="J73" s="10"/>
      <c r="K73" s="118"/>
      <c r="L73" s="153"/>
      <c r="M73" s="101"/>
      <c r="N73" s="101"/>
      <c r="O73" s="101"/>
      <c r="P73" s="99"/>
      <c r="Q73" s="99"/>
      <c r="R73" s="99"/>
      <c r="S73" s="99"/>
      <c r="T73" s="99"/>
      <c r="U73" s="99"/>
      <c r="V73" s="99"/>
      <c r="W73" s="99"/>
      <c r="X73" s="99"/>
      <c r="Y73" s="99"/>
      <c r="Z73" s="99"/>
    </row>
    <row r="74" spans="1:26" ht="14">
      <c r="A74" s="120"/>
      <c r="B74" s="152" t="s">
        <v>84</v>
      </c>
      <c r="C74" s="126"/>
      <c r="D74" s="138"/>
      <c r="E74" s="126"/>
      <c r="F74" s="138"/>
      <c r="G74" s="17"/>
      <c r="H74" s="10"/>
      <c r="I74" s="10"/>
      <c r="J74" s="10"/>
      <c r="K74" s="126"/>
      <c r="L74" s="133"/>
      <c r="M74" s="101"/>
      <c r="N74" s="101"/>
      <c r="O74" s="101"/>
      <c r="P74" s="99"/>
      <c r="Q74" s="99"/>
      <c r="R74" s="99"/>
      <c r="S74" s="99"/>
      <c r="T74" s="99"/>
      <c r="U74" s="99"/>
      <c r="V74" s="99"/>
      <c r="W74" s="99"/>
      <c r="X74" s="99"/>
      <c r="Y74" s="99"/>
      <c r="Z74" s="99"/>
    </row>
    <row r="75" spans="1:26">
      <c r="A75" s="120"/>
      <c r="B75" s="17" t="s">
        <v>85</v>
      </c>
      <c r="C75" s="126"/>
      <c r="D75" s="138"/>
      <c r="E75" s="126"/>
      <c r="F75" s="138"/>
      <c r="G75" s="138"/>
      <c r="H75" s="138"/>
      <c r="I75" s="138"/>
      <c r="J75" s="126"/>
      <c r="K75" s="126"/>
      <c r="L75" s="125"/>
      <c r="M75" s="101"/>
      <c r="N75" s="101"/>
      <c r="O75" s="101"/>
      <c r="P75" s="99"/>
      <c r="Q75" s="99"/>
      <c r="R75" s="99"/>
      <c r="S75" s="99"/>
      <c r="T75" s="99"/>
      <c r="U75" s="99"/>
      <c r="V75" s="99"/>
      <c r="W75" s="99"/>
      <c r="X75" s="99"/>
      <c r="Y75" s="99"/>
      <c r="Z75" s="99"/>
    </row>
    <row r="76" spans="1:26">
      <c r="A76" s="120"/>
      <c r="B76" s="18"/>
      <c r="C76" s="126"/>
      <c r="D76" s="138"/>
      <c r="E76" s="126"/>
      <c r="F76" s="138"/>
      <c r="G76" s="138"/>
      <c r="H76" s="138"/>
      <c r="I76" s="138"/>
      <c r="J76" s="126"/>
      <c r="K76" s="126"/>
      <c r="L76" s="125"/>
      <c r="M76" s="101"/>
      <c r="N76" s="101"/>
      <c r="O76" s="101"/>
      <c r="P76" s="99"/>
      <c r="Q76" s="99"/>
      <c r="R76" s="99"/>
      <c r="S76" s="99"/>
      <c r="T76" s="99"/>
      <c r="U76" s="99"/>
      <c r="V76" s="99"/>
      <c r="W76" s="99"/>
      <c r="X76" s="99"/>
      <c r="Y76" s="99"/>
      <c r="Z76" s="99"/>
    </row>
    <row r="77" spans="1:26" ht="14">
      <c r="A77" s="120"/>
      <c r="B77" s="5" t="s">
        <v>86</v>
      </c>
      <c r="C77" s="125"/>
      <c r="D77" s="125"/>
      <c r="E77" s="118"/>
      <c r="F77" s="118"/>
      <c r="G77" s="125"/>
      <c r="H77" s="5"/>
      <c r="I77" s="10"/>
      <c r="J77" s="10"/>
      <c r="K77" s="10"/>
      <c r="L77" s="10"/>
      <c r="M77" s="101"/>
      <c r="N77" s="101"/>
      <c r="O77" s="101"/>
      <c r="P77" s="99"/>
      <c r="Q77" s="99"/>
      <c r="R77" s="99"/>
      <c r="S77" s="99"/>
      <c r="T77" s="99"/>
      <c r="U77" s="99"/>
      <c r="V77" s="99"/>
      <c r="W77" s="99"/>
      <c r="X77" s="99"/>
      <c r="Y77" s="99"/>
      <c r="Z77" s="99"/>
    </row>
    <row r="78" spans="1:26" ht="14">
      <c r="A78" s="120"/>
      <c r="B78" s="275"/>
      <c r="C78" s="276"/>
      <c r="D78" s="123" t="s">
        <v>75</v>
      </c>
      <c r="E78" s="123" t="s">
        <v>76</v>
      </c>
      <c r="F78" s="123" t="s">
        <v>77</v>
      </c>
      <c r="G78" s="123" t="s">
        <v>16</v>
      </c>
      <c r="H78" s="10"/>
      <c r="I78" s="10"/>
      <c r="J78" s="10"/>
      <c r="K78" s="10"/>
      <c r="L78" s="10"/>
      <c r="M78" s="101"/>
      <c r="N78" s="101"/>
      <c r="O78" s="101"/>
      <c r="P78" s="99"/>
      <c r="Q78" s="99"/>
      <c r="R78" s="99"/>
      <c r="S78" s="99"/>
      <c r="T78" s="99"/>
      <c r="U78" s="99"/>
      <c r="V78" s="99"/>
      <c r="W78" s="99"/>
      <c r="X78" s="99"/>
      <c r="Y78" s="99"/>
      <c r="Z78" s="99"/>
    </row>
    <row r="79" spans="1:26" ht="14">
      <c r="A79" s="120"/>
      <c r="B79" s="235" t="s">
        <v>87</v>
      </c>
      <c r="C79" s="236"/>
      <c r="D79" s="11">
        <f>F108</f>
        <v>5.2691741691364227</v>
      </c>
      <c r="E79" s="11">
        <f>E108</f>
        <v>5.2691741691364227</v>
      </c>
      <c r="F79" s="11">
        <f>G108</f>
        <v>5.2691741691364227</v>
      </c>
      <c r="G79" s="154" t="s">
        <v>88</v>
      </c>
      <c r="H79" s="10"/>
      <c r="I79" s="10"/>
      <c r="J79" s="10"/>
      <c r="K79" s="10"/>
      <c r="L79" s="10"/>
      <c r="M79" s="101"/>
      <c r="N79" s="101"/>
      <c r="O79" s="101"/>
      <c r="P79" s="99"/>
      <c r="Q79" s="99"/>
      <c r="R79" s="99"/>
      <c r="S79" s="99"/>
      <c r="T79" s="99"/>
      <c r="U79" s="99"/>
      <c r="V79" s="99"/>
      <c r="W79" s="99"/>
      <c r="X79" s="99"/>
      <c r="Y79" s="99"/>
      <c r="Z79" s="99"/>
    </row>
    <row r="80" spans="1:26" ht="14">
      <c r="A80" s="120"/>
      <c r="B80" s="216" t="s">
        <v>89</v>
      </c>
      <c r="C80" s="217"/>
      <c r="D80" s="155">
        <f>F112</f>
        <v>5.2691741691364227</v>
      </c>
      <c r="E80" s="155">
        <f>E112</f>
        <v>5.2691741691364227</v>
      </c>
      <c r="F80" s="155">
        <f>G112</f>
        <v>5.2691741691364227</v>
      </c>
      <c r="G80" s="288" t="s">
        <v>80</v>
      </c>
      <c r="H80" s="10"/>
      <c r="I80" s="10"/>
      <c r="J80" s="10"/>
      <c r="K80" s="10"/>
      <c r="L80" s="10"/>
      <c r="M80" s="101"/>
      <c r="N80" s="101"/>
      <c r="O80" s="101"/>
      <c r="P80" s="99"/>
      <c r="Q80" s="99"/>
      <c r="R80" s="99"/>
      <c r="S80" s="99"/>
      <c r="T80" s="99"/>
      <c r="U80" s="99"/>
      <c r="V80" s="99"/>
      <c r="W80" s="99"/>
      <c r="X80" s="99"/>
      <c r="Y80" s="99"/>
      <c r="Z80" s="99"/>
    </row>
    <row r="81" spans="1:26" ht="14">
      <c r="A81" s="120"/>
      <c r="B81" s="216" t="s">
        <v>61</v>
      </c>
      <c r="C81" s="217"/>
      <c r="D81" s="155">
        <f>F111</f>
        <v>5.2691741691364227</v>
      </c>
      <c r="E81" s="155">
        <f>E111</f>
        <v>5.2691741691364227</v>
      </c>
      <c r="F81" s="155">
        <f>G111</f>
        <v>5.2691741691364227</v>
      </c>
      <c r="G81" s="289"/>
      <c r="H81" s="10"/>
      <c r="I81" s="10"/>
      <c r="J81" s="10"/>
      <c r="K81" s="10"/>
      <c r="L81" s="10"/>
      <c r="M81" s="101"/>
      <c r="N81" s="101"/>
      <c r="O81" s="101"/>
      <c r="P81" s="99"/>
      <c r="Q81" s="99"/>
      <c r="R81" s="99"/>
      <c r="S81" s="99"/>
      <c r="T81" s="99"/>
      <c r="U81" s="99"/>
      <c r="V81" s="99"/>
      <c r="W81" s="99"/>
      <c r="X81" s="99"/>
      <c r="Y81" s="99"/>
      <c r="Z81" s="99"/>
    </row>
    <row r="82" spans="1:26" ht="14">
      <c r="A82" s="120"/>
      <c r="B82" s="216" t="s">
        <v>21</v>
      </c>
      <c r="C82" s="217"/>
      <c r="D82" s="155">
        <f>F110</f>
        <v>5.2691741691364227</v>
      </c>
      <c r="E82" s="155">
        <f>E110</f>
        <v>5.2691741691364227</v>
      </c>
      <c r="F82" s="155">
        <f>G110</f>
        <v>5.2691741691364227</v>
      </c>
      <c r="G82" s="290"/>
      <c r="H82" s="10"/>
      <c r="I82" s="10"/>
      <c r="J82" s="10"/>
      <c r="K82" s="10"/>
      <c r="L82" s="10"/>
      <c r="M82" s="101"/>
      <c r="N82" s="101"/>
      <c r="O82" s="101"/>
      <c r="P82" s="99"/>
      <c r="Q82" s="99"/>
      <c r="R82" s="99"/>
      <c r="S82" s="99"/>
      <c r="T82" s="99"/>
      <c r="U82" s="99"/>
      <c r="V82" s="99"/>
      <c r="W82" s="99"/>
      <c r="X82" s="99"/>
      <c r="Y82" s="99"/>
      <c r="Z82" s="99"/>
    </row>
    <row r="83" spans="1:26" ht="14">
      <c r="A83" s="120"/>
      <c r="B83" s="152"/>
      <c r="C83" s="126"/>
      <c r="D83" s="138"/>
      <c r="E83" s="126"/>
      <c r="F83" s="138"/>
      <c r="G83" s="17"/>
      <c r="H83" s="138"/>
      <c r="I83" s="10"/>
      <c r="J83" s="10"/>
      <c r="K83" s="10"/>
      <c r="L83" s="10"/>
      <c r="M83" s="101"/>
      <c r="N83" s="101"/>
      <c r="O83" s="101"/>
      <c r="P83" s="99"/>
      <c r="Q83" s="99"/>
      <c r="R83" s="99"/>
      <c r="S83" s="99"/>
      <c r="T83" s="99"/>
      <c r="U83" s="99"/>
      <c r="V83" s="99"/>
      <c r="W83" s="99"/>
      <c r="X83" s="99"/>
      <c r="Y83" s="99"/>
      <c r="Z83" s="99"/>
    </row>
    <row r="84" spans="1:26" ht="14">
      <c r="A84" s="120"/>
      <c r="B84" s="17"/>
      <c r="C84" s="126"/>
      <c r="D84" s="138"/>
      <c r="E84" s="126"/>
      <c r="F84" s="138"/>
      <c r="G84" s="138"/>
      <c r="H84" s="138"/>
      <c r="I84" s="10"/>
      <c r="J84" s="10"/>
      <c r="K84" s="10"/>
      <c r="L84" s="10"/>
      <c r="M84" s="101"/>
      <c r="N84" s="101"/>
      <c r="O84" s="101"/>
      <c r="P84" s="99"/>
      <c r="Q84" s="99"/>
      <c r="R84" s="99"/>
      <c r="S84" s="99"/>
      <c r="T84" s="99"/>
      <c r="U84" s="99"/>
      <c r="V84" s="99"/>
      <c r="W84" s="99"/>
      <c r="X84" s="99"/>
      <c r="Y84" s="99"/>
      <c r="Z84" s="99"/>
    </row>
    <row r="85" spans="1:26" ht="14.5" thickBot="1">
      <c r="A85" s="120"/>
      <c r="B85" s="17"/>
      <c r="C85" s="126"/>
      <c r="D85" s="138"/>
      <c r="E85" s="126"/>
      <c r="F85" s="138"/>
      <c r="G85" s="138"/>
      <c r="H85" s="138"/>
      <c r="I85" s="10"/>
      <c r="J85" s="10"/>
      <c r="K85" s="10"/>
      <c r="L85" s="10"/>
      <c r="M85" s="101"/>
      <c r="N85" s="113"/>
      <c r="O85" s="101"/>
      <c r="P85" s="99"/>
      <c r="Q85" s="99"/>
      <c r="R85" s="99"/>
      <c r="S85" s="99"/>
      <c r="T85" s="99"/>
      <c r="U85" s="99"/>
      <c r="V85" s="99"/>
      <c r="W85" s="99"/>
      <c r="X85" s="99"/>
      <c r="Y85" s="99"/>
      <c r="Z85" s="99"/>
    </row>
    <row r="86" spans="1:26" hidden="1"/>
    <row r="87" spans="1:26" ht="14.5" hidden="1" thickBot="1">
      <c r="B87" s="34"/>
      <c r="C87" s="34"/>
      <c r="D87" s="34"/>
      <c r="E87" s="35"/>
      <c r="F87" s="36"/>
      <c r="G87" s="37"/>
      <c r="H87" s="38"/>
      <c r="I87" s="34"/>
      <c r="J87" s="34"/>
      <c r="K87" s="34"/>
      <c r="L87" s="34"/>
      <c r="M87" s="34"/>
      <c r="N87" s="34"/>
      <c r="O87" s="34"/>
      <c r="P87" s="34"/>
      <c r="Q87" s="34"/>
      <c r="R87" s="34"/>
      <c r="S87" s="34"/>
      <c r="T87" s="34"/>
    </row>
    <row r="88" spans="1:26" ht="14.5" hidden="1" thickTop="1">
      <c r="B88" s="303"/>
      <c r="C88" s="304"/>
      <c r="D88" s="305"/>
      <c r="E88" s="39" t="s">
        <v>90</v>
      </c>
      <c r="F88" s="39" t="s">
        <v>91</v>
      </c>
      <c r="G88" s="39" t="s">
        <v>92</v>
      </c>
      <c r="H88" s="40"/>
      <c r="I88" s="41"/>
      <c r="J88" s="42"/>
      <c r="K88" s="43" t="s">
        <v>93</v>
      </c>
      <c r="L88" s="43"/>
      <c r="M88" s="43"/>
      <c r="N88" s="43"/>
      <c r="O88" s="43" t="s">
        <v>94</v>
      </c>
      <c r="P88" s="43"/>
      <c r="Q88" s="43"/>
      <c r="R88" s="44"/>
      <c r="S88" s="45"/>
      <c r="T88" s="34"/>
    </row>
    <row r="89" spans="1:26" ht="14" hidden="1">
      <c r="B89" s="277" t="s">
        <v>95</v>
      </c>
      <c r="C89" s="278"/>
      <c r="D89" s="279"/>
      <c r="E89" s="46">
        <f>D18</f>
        <v>12</v>
      </c>
      <c r="F89" s="46">
        <f>C18</f>
        <v>12</v>
      </c>
      <c r="G89" s="46">
        <f>E18</f>
        <v>12</v>
      </c>
      <c r="H89" s="38"/>
      <c r="I89" s="41"/>
      <c r="J89" s="45"/>
      <c r="K89" s="47" t="s">
        <v>96</v>
      </c>
      <c r="L89" s="47"/>
      <c r="M89" s="47"/>
      <c r="N89" s="47"/>
      <c r="O89" s="47" t="s">
        <v>96</v>
      </c>
      <c r="P89" s="47"/>
      <c r="Q89" s="47"/>
      <c r="R89" s="41"/>
      <c r="S89" s="45"/>
      <c r="T89" s="34"/>
    </row>
    <row r="90" spans="1:26" ht="14" hidden="1">
      <c r="B90" s="277" t="s">
        <v>97</v>
      </c>
      <c r="C90" s="278"/>
      <c r="D90" s="279"/>
      <c r="E90" s="48">
        <f>C24</f>
        <v>1</v>
      </c>
      <c r="F90" s="49">
        <f t="shared" ref="F90:G92" si="0">E90</f>
        <v>1</v>
      </c>
      <c r="G90" s="49">
        <f t="shared" si="0"/>
        <v>1</v>
      </c>
      <c r="H90" s="38"/>
      <c r="I90" s="41"/>
      <c r="J90" s="45"/>
      <c r="K90" s="50" t="s">
        <v>98</v>
      </c>
      <c r="L90" s="51">
        <f>$F$121</f>
        <v>0</v>
      </c>
      <c r="M90" s="51">
        <f>$G$121</f>
        <v>70</v>
      </c>
      <c r="N90" s="47"/>
      <c r="O90" s="50" t="s">
        <v>98</v>
      </c>
      <c r="P90" s="51">
        <f>$F$121</f>
        <v>0</v>
      </c>
      <c r="Q90" s="51">
        <f>$G$121</f>
        <v>70</v>
      </c>
      <c r="R90" s="41"/>
      <c r="S90" s="45"/>
      <c r="T90" s="34"/>
    </row>
    <row r="91" spans="1:26" ht="14" hidden="1">
      <c r="B91" s="277" t="s">
        <v>99</v>
      </c>
      <c r="C91" s="278"/>
      <c r="D91" s="279"/>
      <c r="E91" s="48">
        <f>D24</f>
        <v>13</v>
      </c>
      <c r="F91" s="49">
        <f t="shared" si="0"/>
        <v>13</v>
      </c>
      <c r="G91" s="49">
        <f t="shared" si="0"/>
        <v>13</v>
      </c>
      <c r="H91" s="38"/>
      <c r="I91" s="41"/>
      <c r="J91" s="45"/>
      <c r="K91" s="50">
        <f>$F$120</f>
        <v>9</v>
      </c>
      <c r="L91" s="52">
        <f>8*($F$113-$F$107/2)*($F$103*(1+(L90-25)*$E$124*(0.000001)))/(K91*(1+(L90-25)*$E$122*(0.000001)))</f>
        <v>18.79281661721344</v>
      </c>
      <c r="M91" s="52">
        <f>8*($F$113-$F$107/2)*($F$103*(1+(M90-25)*$E$124*(0.000001)))/(K91*(1+(M90-25)*$E$122*(0.000001)))</f>
        <v>17.948273108942278</v>
      </c>
      <c r="N91" s="47"/>
      <c r="O91" s="50">
        <f>$F$120</f>
        <v>9</v>
      </c>
      <c r="P91" s="52">
        <f>8*($G$113-$G$107/2)*($G$103*(1+(P90-25)*$G$124*(0.000001)))/(O91*(1+(P90-25)*$G$122*(0.000001)))</f>
        <v>18.79281661721344</v>
      </c>
      <c r="Q91" s="52">
        <f>8*($G$113-$G$107/2)*($G$103*(1+(Q90-25)*$G$124*(0.000001)))/(O91*(1+(Q90-25)*$G$122*(0.000001)))</f>
        <v>17.948273108942278</v>
      </c>
      <c r="R91" s="41"/>
      <c r="S91" s="45"/>
      <c r="T91" s="34"/>
    </row>
    <row r="92" spans="1:26" ht="14" hidden="1">
      <c r="B92" s="277" t="s">
        <v>100</v>
      </c>
      <c r="C92" s="278"/>
      <c r="D92" s="279"/>
      <c r="E92" s="54">
        <f>E24</f>
        <v>500</v>
      </c>
      <c r="F92" s="49">
        <f t="shared" si="0"/>
        <v>500</v>
      </c>
      <c r="G92" s="49">
        <f t="shared" si="0"/>
        <v>500</v>
      </c>
      <c r="H92" s="38"/>
      <c r="I92" s="41"/>
      <c r="J92" s="45"/>
      <c r="K92" s="50">
        <f>$G$120</f>
        <v>11</v>
      </c>
      <c r="L92" s="52">
        <f>8*($F$113-$F$107/2)*($F$103*(1+(L90-25)*$E$124*(0.000001)))/(K92*(1+(L90-25)*$E$122*(0.000001)))</f>
        <v>15.375940868629177</v>
      </c>
      <c r="M92" s="52">
        <f>8*($F$113-$F$107/2)*($F$103*(1+(M90-25)*$E$124*(0.000001)))/(K92*(1+(M90-25)*$E$122*(0.000001)))</f>
        <v>14.684950725498229</v>
      </c>
      <c r="N92" s="47"/>
      <c r="O92" s="50">
        <f>$G$120</f>
        <v>11</v>
      </c>
      <c r="P92" s="52">
        <f>8*($G$113-$G$107/2)*($G$103*(1+(P90-25)*$G$124*(0.000001)))/(O92*(1+(P90-25)*$G$122*(0.000001)))</f>
        <v>15.375940868629177</v>
      </c>
      <c r="Q92" s="52">
        <f>8*($G$113-$G$107/2)*($G$103*(1+(Q90-25)*$G$124*(0.000001)))/(O92*(1+(Q90-25)*$G$122*(0.000001)))</f>
        <v>14.684950725498229</v>
      </c>
      <c r="R92" s="41"/>
      <c r="S92" s="45"/>
      <c r="T92" s="34"/>
    </row>
    <row r="93" spans="1:26" ht="14" hidden="1">
      <c r="B93" s="277" t="s">
        <v>101</v>
      </c>
      <c r="C93" s="278"/>
      <c r="D93" s="279"/>
      <c r="E93" s="53"/>
      <c r="F93" s="53"/>
      <c r="G93" s="100">
        <f>3*1000*(G89-G90)*G90/(G91*G92*G89)</f>
        <v>0.42307692307692307</v>
      </c>
      <c r="H93" s="38"/>
      <c r="I93" s="41"/>
      <c r="J93" s="45"/>
      <c r="K93" s="47"/>
      <c r="L93" s="47"/>
      <c r="M93" s="47"/>
      <c r="N93" s="47"/>
      <c r="O93" s="47"/>
      <c r="P93" s="47"/>
      <c r="Q93" s="47"/>
      <c r="R93" s="41"/>
      <c r="S93" s="45"/>
      <c r="T93" s="34"/>
    </row>
    <row r="94" spans="1:26" ht="14" hidden="1">
      <c r="B94" s="277" t="s">
        <v>102</v>
      </c>
      <c r="C94" s="278"/>
      <c r="D94" s="279"/>
      <c r="E94" s="48">
        <f>H24</f>
        <v>0.36</v>
      </c>
      <c r="F94" s="49">
        <f t="shared" ref="F94:G105" si="1">E94</f>
        <v>0.36</v>
      </c>
      <c r="G94" s="49">
        <f t="shared" si="1"/>
        <v>0.36</v>
      </c>
      <c r="H94" s="38"/>
      <c r="I94" s="41"/>
      <c r="J94" s="45"/>
      <c r="K94" s="50" t="s">
        <v>103</v>
      </c>
      <c r="L94" s="51">
        <f>L90</f>
        <v>0</v>
      </c>
      <c r="M94" s="51">
        <f>M90</f>
        <v>70</v>
      </c>
      <c r="N94" s="55"/>
      <c r="O94" s="51" t="s">
        <v>103</v>
      </c>
      <c r="P94" s="51">
        <f>P90</f>
        <v>0</v>
      </c>
      <c r="Q94" s="51">
        <f>Q90</f>
        <v>70</v>
      </c>
      <c r="R94" s="41"/>
      <c r="S94" s="45"/>
      <c r="T94" s="34"/>
    </row>
    <row r="95" spans="1:26" ht="14" hidden="1">
      <c r="B95" s="103" t="s">
        <v>104</v>
      </c>
      <c r="C95" s="104"/>
      <c r="D95" s="162"/>
      <c r="E95" s="163">
        <f>I24</f>
        <v>0</v>
      </c>
      <c r="F95" s="49">
        <f t="shared" si="1"/>
        <v>0</v>
      </c>
      <c r="G95" s="49">
        <f t="shared" si="1"/>
        <v>0</v>
      </c>
      <c r="H95" s="38"/>
      <c r="I95" s="41"/>
      <c r="J95" s="45"/>
      <c r="K95" s="50">
        <f>$F$120</f>
        <v>9</v>
      </c>
      <c r="L95" s="56">
        <f>8*($F$113-$F$109/2)*($F$103*(1+(L94-25)*$E$124*(0.000001)))/(K95*(1+(L94-25)*$E$122*(0.000001)))</f>
        <v>18.79281661721344</v>
      </c>
      <c r="M95" s="52">
        <f>8*($F$113-$F$109/2)*($F$103*(1+(M94-25)*$E$124*(0.000001)))/(K95*(1+(M94-25)*$E$122*(0.000001)))</f>
        <v>17.948273108942278</v>
      </c>
      <c r="N95" s="47"/>
      <c r="O95" s="50">
        <f>$F$120</f>
        <v>9</v>
      </c>
      <c r="P95" s="52">
        <f>8*($G$113-$G$109/2)*($G$103*(1+(P94-25)*$E$124*(0.000001)))/(O95*(1+(P94-25)*$E$122*(0.000001)))</f>
        <v>18.79281661721344</v>
      </c>
      <c r="Q95" s="52">
        <f>8*($G$113-$G$109/2)*($G$103*(1+(Q94-25)*$E$124*(0.000001)))/(O95*(1+(Q94-25)*$E$122*(0.000001)))</f>
        <v>17.948273108942278</v>
      </c>
      <c r="R95" s="41"/>
      <c r="S95" s="45"/>
      <c r="T95" s="34"/>
    </row>
    <row r="96" spans="1:26" ht="14" hidden="1">
      <c r="B96" s="277" t="s">
        <v>105</v>
      </c>
      <c r="C96" s="278"/>
      <c r="D96" s="279"/>
      <c r="E96" s="46">
        <f>C48</f>
        <v>1</v>
      </c>
      <c r="F96" s="49">
        <f t="shared" si="1"/>
        <v>1</v>
      </c>
      <c r="G96" s="49">
        <f t="shared" si="1"/>
        <v>1</v>
      </c>
      <c r="H96" s="38"/>
      <c r="I96" s="41"/>
      <c r="J96" s="45"/>
      <c r="K96" s="50">
        <f>$G$120</f>
        <v>11</v>
      </c>
      <c r="L96" s="52">
        <f>8*($F$113-$F$109/2)*($F$103*(1+(L94-25)*$E$124*(0.000001)))/(K96*(1+(L94-25)*$E$122*(0.000001)))</f>
        <v>15.375940868629177</v>
      </c>
      <c r="M96" s="52">
        <f>8*($F$113-$F$109/2)*($F$103*(1+(M94-25)*$E$124*(0.000001)))/(K96*(1+(M94-25)*$E$122*(0.000001)))</f>
        <v>14.684950725498229</v>
      </c>
      <c r="N96" s="47"/>
      <c r="O96" s="50">
        <f>$G$120</f>
        <v>11</v>
      </c>
      <c r="P96" s="52">
        <f>8*($G$113-$G$109/2)*($G$103*(1+(P94-25)*$E$124*(0.000001)))/(O96*(1+(P94-25)*$E$122*(0.000001)))</f>
        <v>15.375940868629177</v>
      </c>
      <c r="Q96" s="52">
        <f>8*($G$113-$G$109/2)*($G$103*(1+(Q94-25)*$E$124*(0.000001)))/(O96*(1+(Q94-25)*$E$122*(0.000001)))</f>
        <v>14.684950725498229</v>
      </c>
      <c r="R96" s="41"/>
      <c r="S96" s="45"/>
      <c r="T96" s="34"/>
    </row>
    <row r="97" spans="2:20" ht="14" hidden="1">
      <c r="B97" s="283" t="s">
        <v>106</v>
      </c>
      <c r="C97" s="284"/>
      <c r="D97" s="285"/>
      <c r="E97" s="48">
        <f>C55</f>
        <v>8</v>
      </c>
      <c r="F97" s="49">
        <f t="shared" si="1"/>
        <v>8</v>
      </c>
      <c r="G97" s="49">
        <f t="shared" si="1"/>
        <v>8</v>
      </c>
      <c r="H97" s="38"/>
      <c r="I97" s="41"/>
      <c r="J97" s="45"/>
      <c r="K97" s="47"/>
      <c r="L97" s="47"/>
      <c r="M97" s="47"/>
      <c r="N97" s="47"/>
      <c r="O97" s="47"/>
      <c r="P97" s="47"/>
      <c r="Q97" s="47"/>
      <c r="R97" s="41"/>
      <c r="S97" s="45"/>
      <c r="T97" s="34"/>
    </row>
    <row r="98" spans="2:20" ht="14" hidden="1">
      <c r="B98" s="277" t="s">
        <v>107</v>
      </c>
      <c r="C98" s="278"/>
      <c r="D98" s="279"/>
      <c r="E98" s="48">
        <f>D55</f>
        <v>1.1428571428571428</v>
      </c>
      <c r="F98" s="49">
        <f t="shared" si="1"/>
        <v>1.1428571428571428</v>
      </c>
      <c r="G98" s="49">
        <f t="shared" si="1"/>
        <v>1.1428571428571428</v>
      </c>
      <c r="H98" s="38"/>
      <c r="I98" s="41"/>
      <c r="J98" s="45"/>
      <c r="K98" s="47" t="s">
        <v>93</v>
      </c>
      <c r="L98" s="47"/>
      <c r="M98" s="47"/>
      <c r="N98" s="47"/>
      <c r="O98" s="47" t="s">
        <v>94</v>
      </c>
      <c r="P98" s="47"/>
      <c r="Q98" s="47"/>
      <c r="R98" s="41"/>
      <c r="S98" s="45"/>
      <c r="T98" s="34"/>
    </row>
    <row r="99" spans="2:20" ht="14" hidden="1">
      <c r="B99" s="277" t="s">
        <v>108</v>
      </c>
      <c r="C99" s="278"/>
      <c r="D99" s="279"/>
      <c r="E99" s="48">
        <f>E55</f>
        <v>2</v>
      </c>
      <c r="F99" s="49">
        <f t="shared" si="1"/>
        <v>2</v>
      </c>
      <c r="G99" s="49">
        <f t="shared" si="1"/>
        <v>2</v>
      </c>
      <c r="H99" s="38"/>
      <c r="I99" s="58" t="s">
        <v>109</v>
      </c>
      <c r="J99" s="45"/>
      <c r="K99" s="47" t="s">
        <v>110</v>
      </c>
      <c r="L99" s="47"/>
      <c r="M99" s="47"/>
      <c r="N99" s="47"/>
      <c r="O99" s="47" t="s">
        <v>0</v>
      </c>
      <c r="P99" s="47"/>
      <c r="Q99" s="47"/>
      <c r="R99" s="41"/>
      <c r="S99" s="45"/>
      <c r="T99" s="34"/>
    </row>
    <row r="100" spans="2:20" ht="14" hidden="1">
      <c r="B100" s="277" t="s">
        <v>111</v>
      </c>
      <c r="C100" s="278"/>
      <c r="D100" s="279"/>
      <c r="E100" s="48">
        <f>F55</f>
        <v>3.5</v>
      </c>
      <c r="F100" s="49">
        <f t="shared" si="1"/>
        <v>3.5</v>
      </c>
      <c r="G100" s="49">
        <f t="shared" si="1"/>
        <v>3.5</v>
      </c>
      <c r="H100" s="38"/>
      <c r="I100" s="59">
        <f>MAX(L91:M92,L101:M102,L95:M96,L106:M107,P91:Q92,P95:Q96,P101:Q102,P106:Q107)</f>
        <v>32.887429080123518</v>
      </c>
      <c r="J100" s="45"/>
      <c r="K100" s="50" t="s">
        <v>98</v>
      </c>
      <c r="L100" s="51">
        <f>$F$121</f>
        <v>0</v>
      </c>
      <c r="M100" s="51">
        <f>$G$121</f>
        <v>70</v>
      </c>
      <c r="N100" s="34"/>
      <c r="O100" s="50" t="s">
        <v>98</v>
      </c>
      <c r="P100" s="51">
        <f>$F$121</f>
        <v>0</v>
      </c>
      <c r="Q100" s="51">
        <f>$G$121</f>
        <v>70</v>
      </c>
      <c r="R100" s="41"/>
      <c r="S100" s="45"/>
      <c r="T100" s="34"/>
    </row>
    <row r="101" spans="2:20" ht="14" hidden="1">
      <c r="B101" s="277" t="s">
        <v>112</v>
      </c>
      <c r="C101" s="278"/>
      <c r="D101" s="279"/>
      <c r="E101" s="48">
        <f>G55</f>
        <v>1</v>
      </c>
      <c r="F101" s="49">
        <f t="shared" si="1"/>
        <v>1</v>
      </c>
      <c r="G101" s="49">
        <f t="shared" si="1"/>
        <v>1</v>
      </c>
      <c r="H101" s="38"/>
      <c r="I101" s="41"/>
      <c r="J101" s="45"/>
      <c r="K101" s="50">
        <f>$F$120</f>
        <v>9</v>
      </c>
      <c r="L101" s="52">
        <f>8*($F$113-$F$107/2)*($F$104*(1+(L100-25)*$E$124*(0.000001)))/(K101*(1+(L100-25)*$E$122*(0.000001)))</f>
        <v>32.887429080123518</v>
      </c>
      <c r="M101" s="52">
        <f>8*($F$113-$F$107/2)*($F$104*(1+(M100-25)*$E$124*(0.000001)))/(K101*(1+(M100-25)*$E$122*(0.000001)))</f>
        <v>31.409477940648987</v>
      </c>
      <c r="N101" s="47"/>
      <c r="O101" s="50">
        <f>$F$120</f>
        <v>9</v>
      </c>
      <c r="P101" s="52">
        <f>8*($G$113-$G$107/2)*($G$104*(1+(P100-25)*$G$124*(0.000001)))/(O101*(1+(P100-25)*$G$122*(0.000001)))</f>
        <v>32.887429080123518</v>
      </c>
      <c r="Q101" s="52">
        <f>8*($G$113-$G$107/2)*($G$104*(1+(Q100-25)*$G$124*(0.000001)))/(O101*(1+(Q100-25)*$G$122*(0.000001)))</f>
        <v>31.409477940648987</v>
      </c>
      <c r="R101" s="41"/>
      <c r="S101" s="45"/>
    </row>
    <row r="102" spans="2:20" ht="14" hidden="1">
      <c r="B102" s="277" t="s">
        <v>107</v>
      </c>
      <c r="C102" s="278"/>
      <c r="D102" s="279"/>
      <c r="E102" s="61">
        <f>E98/E101</f>
        <v>1.1428571428571428</v>
      </c>
      <c r="F102" s="49">
        <f t="shared" si="1"/>
        <v>1.1428571428571428</v>
      </c>
      <c r="G102" s="49">
        <f t="shared" si="1"/>
        <v>1.1428571428571428</v>
      </c>
      <c r="H102" s="38"/>
      <c r="I102" s="41"/>
      <c r="J102" s="45"/>
      <c r="K102" s="50">
        <f>$G$120</f>
        <v>11</v>
      </c>
      <c r="L102" s="52">
        <f>8*($F$113-$F$107/2)*($F$104*(1+(L100-25)*$E$124*(0.000001)))/(K102*(1+(L100-25)*$E$122*(0.000001)))</f>
        <v>26.907896520101055</v>
      </c>
      <c r="M102" s="52">
        <f>8*($F$113-$F$107/2)*($F$104*(1+(M100-25)*$E$124*(0.000001)))/(K102*(1+(M100-25)*$E$122*(0.000001)))</f>
        <v>25.698663769621902</v>
      </c>
      <c r="N102" s="47"/>
      <c r="O102" s="50">
        <f>$G$120</f>
        <v>11</v>
      </c>
      <c r="P102" s="52">
        <f>8*($G$113-$G$107/2)*($G$104*(1+(P100-25)*$G$124*(0.000001)))/(O102*(1+(P100-25)*$G$122*(0.000001)))</f>
        <v>26.907896520101055</v>
      </c>
      <c r="Q102" s="52">
        <f>8*($G$113-$G$107/2)*($G$104*(1+(Q100-25)*$G$124*(0.000001)))/(O102*(1+(Q100-25)*$G$122*(0.000001)))</f>
        <v>25.698663769621902</v>
      </c>
      <c r="R102" s="41"/>
      <c r="S102" s="34"/>
    </row>
    <row r="103" spans="2:20" ht="14" hidden="1">
      <c r="B103" s="277" t="s">
        <v>108</v>
      </c>
      <c r="C103" s="278"/>
      <c r="D103" s="279"/>
      <c r="E103" s="61">
        <f>E99/E101</f>
        <v>2</v>
      </c>
      <c r="F103" s="49">
        <f t="shared" si="1"/>
        <v>2</v>
      </c>
      <c r="G103" s="49">
        <f t="shared" si="1"/>
        <v>2</v>
      </c>
      <c r="H103" s="38"/>
      <c r="I103" s="41"/>
      <c r="J103" s="45"/>
      <c r="K103" s="47"/>
      <c r="L103" s="47"/>
      <c r="M103" s="47"/>
      <c r="N103" s="47"/>
      <c r="O103" s="47"/>
      <c r="P103" s="47"/>
      <c r="Q103" s="47"/>
      <c r="R103" s="41"/>
      <c r="S103" s="34"/>
    </row>
    <row r="104" spans="2:20" ht="14" hidden="1">
      <c r="B104" s="277" t="s">
        <v>111</v>
      </c>
      <c r="C104" s="278"/>
      <c r="D104" s="279"/>
      <c r="E104" s="61">
        <f>E100/E101</f>
        <v>3.5</v>
      </c>
      <c r="F104" s="49">
        <f t="shared" si="1"/>
        <v>3.5</v>
      </c>
      <c r="G104" s="49">
        <f t="shared" si="1"/>
        <v>3.5</v>
      </c>
      <c r="H104" s="38"/>
      <c r="I104" s="41"/>
      <c r="J104" s="45"/>
      <c r="K104" s="47"/>
      <c r="L104" s="47"/>
      <c r="M104" s="47"/>
      <c r="N104" s="47"/>
      <c r="O104" s="47"/>
      <c r="P104" s="47"/>
      <c r="Q104" s="47"/>
      <c r="R104" s="41"/>
      <c r="S104" s="34"/>
    </row>
    <row r="105" spans="2:20" ht="14" hidden="1">
      <c r="B105" s="283" t="s">
        <v>113</v>
      </c>
      <c r="C105" s="284"/>
      <c r="D105" s="285"/>
      <c r="E105" s="61">
        <f>I55</f>
        <v>1</v>
      </c>
      <c r="F105" s="49">
        <f t="shared" si="1"/>
        <v>1</v>
      </c>
      <c r="G105" s="49">
        <f t="shared" si="1"/>
        <v>1</v>
      </c>
      <c r="H105" s="65"/>
      <c r="I105" s="41"/>
      <c r="J105" s="45"/>
      <c r="K105" s="50" t="s">
        <v>103</v>
      </c>
      <c r="L105" s="51">
        <f>L100</f>
        <v>0</v>
      </c>
      <c r="M105" s="51">
        <f>M100</f>
        <v>70</v>
      </c>
      <c r="N105" s="55"/>
      <c r="O105" s="51" t="s">
        <v>103</v>
      </c>
      <c r="P105" s="51">
        <f>P100</f>
        <v>0</v>
      </c>
      <c r="Q105" s="51">
        <f>Q100</f>
        <v>70</v>
      </c>
      <c r="R105" s="41"/>
      <c r="S105" s="34"/>
    </row>
    <row r="106" spans="2:20" ht="14" hidden="1">
      <c r="B106" s="294" t="s">
        <v>114</v>
      </c>
      <c r="C106" s="295"/>
      <c r="D106" s="296"/>
      <c r="E106" s="64">
        <f>(E90+E91*(E103+E105)*0.001)/(E89-E91*(E97-E103)*0.001)</f>
        <v>8.7149807079349093E-2</v>
      </c>
      <c r="F106" s="64">
        <f>(F90+F91*(F103+F105)*0.001)/(F89-F91*(F97-F103)*0.001)</f>
        <v>8.7149807079349093E-2</v>
      </c>
      <c r="G106" s="66">
        <f>(G90+G91*(G103+G105)*0.001)/(G89-G91*(G97-G103)*0.001)</f>
        <v>8.7149807079349093E-2</v>
      </c>
      <c r="H106" s="65"/>
      <c r="I106" s="41"/>
      <c r="J106" s="45"/>
      <c r="K106" s="50">
        <f>$F$120</f>
        <v>9</v>
      </c>
      <c r="L106" s="56">
        <f>8*($F$113-$F$109/2)*($F$104*(1+(L105-25)*$E$124*(0.000001)))/(K106*(1+(L105-25)*$E$122*(0.000001)))</f>
        <v>32.887429080123518</v>
      </c>
      <c r="M106" s="52">
        <f>8*($F$113-$F$109/2)*($F$104*(1+(M105-25)*$E$124*(0.000001)))/(K106*(1+(M105-25)*$E$122*(0.000001)))</f>
        <v>31.409477940648987</v>
      </c>
      <c r="N106" s="47"/>
      <c r="O106" s="50">
        <f>$F$120</f>
        <v>9</v>
      </c>
      <c r="P106" s="52">
        <f>8*($G$113-$G$109/2)*($G$104*(1+(P105-25)*$E$124*(0.000001)))/(O106*(1+(P105-25)*$E$122*(0.000001)))</f>
        <v>32.887429080123518</v>
      </c>
      <c r="Q106" s="52">
        <f>8*($G$113-$G$109/2)*($G$104*(1+(Q105-25)*$E$124*(0.000001)))/(O106*(1+(Q105-25)*$E$122*(0.000001)))</f>
        <v>31.409477940648987</v>
      </c>
      <c r="R106" s="41"/>
      <c r="S106" s="34"/>
    </row>
    <row r="107" spans="2:20" ht="14" hidden="1">
      <c r="B107" s="297" t="s">
        <v>1</v>
      </c>
      <c r="C107" s="298"/>
      <c r="D107" s="299"/>
      <c r="E107" s="66">
        <f>(E89-E90-E91*(E97+E105)*0.001)*E106/(E94*(1-E95/100)*(0.001)*E92)</f>
        <v>5.2691741691364227</v>
      </c>
      <c r="F107" s="164">
        <f>(F89-F90-F91*(F97+F105)*0.001)*F106/(F94*(1-F95/100)*(0.001)*F92)</f>
        <v>5.2691741691364227</v>
      </c>
      <c r="G107" s="165">
        <f>(G89-G90-G91*(G97+G105)*0.001)*G106/(G94*(1-G95/100)*(0.001)*G92)</f>
        <v>5.2691741691364227</v>
      </c>
      <c r="H107" s="65"/>
      <c r="I107" s="41"/>
      <c r="J107" s="45"/>
      <c r="K107" s="50">
        <f>$G$120</f>
        <v>11</v>
      </c>
      <c r="L107" s="52">
        <f>8*($F$113-$F$109/2)*($F$104*(1+(L105-25)*$E$124*(0.000001)))/(K107*(1+(L105-25)*$E$122*(0.000001)))</f>
        <v>26.907896520101055</v>
      </c>
      <c r="M107" s="52">
        <f>8*($F$113-$F$109/2)*($F$104*(1+(M105-25)*$E$124*(0.000001)))/(K107*(1+(M105-25)*$E$122*(0.000001)))</f>
        <v>25.698663769621902</v>
      </c>
      <c r="N107" s="47"/>
      <c r="O107" s="50">
        <f>$G$120</f>
        <v>11</v>
      </c>
      <c r="P107" s="52">
        <f>8*($G$113-$G$109/2)*($G$104*(1+(P105-25)*$E$124*(0.000001)))/(O107*(1+(P105-25)*$E$122*(0.000001)))</f>
        <v>26.907896520101055</v>
      </c>
      <c r="Q107" s="52">
        <f>8*($G$113-$G$109/2)*($G$104*(1+(Q105-25)*$E$124*(0.000001)))/(O107*(1+(Q105-25)*$E$122*(0.000001)))</f>
        <v>25.698663769621902</v>
      </c>
      <c r="R107" s="41"/>
      <c r="S107" s="34"/>
    </row>
    <row r="108" spans="2:20" ht="14.5" hidden="1" thickBot="1">
      <c r="B108" s="324" t="s">
        <v>2</v>
      </c>
      <c r="C108" s="325"/>
      <c r="D108" s="326"/>
      <c r="E108" s="67">
        <f>(E89-E90-E91*(E97+E105)*0.001)*E106/(E94*(0.001)*E92)</f>
        <v>5.2691741691364227</v>
      </c>
      <c r="F108" s="67">
        <f>(F89-F90-F91*(F97+F105)*0.001)*F106/(F94*(0.001)*F92)</f>
        <v>5.2691741691364227</v>
      </c>
      <c r="G108" s="166">
        <f>(G89-G90-G91*(G97+G105)*0.001)*G106/(G94*(0.001)*G92)</f>
        <v>5.2691741691364227</v>
      </c>
      <c r="H108" s="65"/>
      <c r="I108" s="41"/>
      <c r="J108" s="69"/>
      <c r="K108" s="70"/>
      <c r="L108" s="70"/>
      <c r="M108" s="70"/>
      <c r="N108" s="70"/>
      <c r="O108" s="70"/>
      <c r="P108" s="70"/>
      <c r="Q108" s="70"/>
      <c r="R108" s="71"/>
      <c r="S108" s="34"/>
    </row>
    <row r="109" spans="2:20" ht="14.5" hidden="1" thickTop="1">
      <c r="B109" s="327" t="s">
        <v>3</v>
      </c>
      <c r="C109" s="328"/>
      <c r="D109" s="329"/>
      <c r="E109" s="68">
        <f>(E89-E90-E91*(E97+E105)*0.001)*E106/(E94*(1+E95/100)*(0.001)*E92)</f>
        <v>5.2691741691364227</v>
      </c>
      <c r="F109" s="68">
        <f>(F89-F90-F91*(F97+F105)*0.001)*F106/(F94*(1+F95/100)*(0.001)*F92)</f>
        <v>5.2691741691364227</v>
      </c>
      <c r="G109" s="68">
        <f>(G89-G90-G91*(G97+G105)*0.001)*G106/(G94*(1+G95/100)*(0.001)*G92)</f>
        <v>5.2691741691364227</v>
      </c>
      <c r="H109" s="73"/>
      <c r="I109" s="74"/>
      <c r="J109" s="42"/>
      <c r="K109" s="43"/>
      <c r="L109" s="43"/>
      <c r="M109" s="43"/>
      <c r="N109" s="43"/>
      <c r="O109" s="43"/>
      <c r="P109" s="43"/>
      <c r="Q109" s="43"/>
      <c r="R109" s="44"/>
      <c r="S109" s="34"/>
    </row>
    <row r="110" spans="2:20" ht="14" hidden="1">
      <c r="B110" s="300" t="s">
        <v>115</v>
      </c>
      <c r="C110" s="301"/>
      <c r="D110" s="302"/>
      <c r="E110" s="72">
        <f>E107*$E$96</f>
        <v>5.2691741691364227</v>
      </c>
      <c r="F110" s="72">
        <f>F107*$F$96</f>
        <v>5.2691741691364227</v>
      </c>
      <c r="G110" s="72">
        <f>G107*$G$96</f>
        <v>5.2691741691364227</v>
      </c>
      <c r="H110" s="73"/>
      <c r="I110" s="74"/>
      <c r="J110" s="45"/>
      <c r="K110" s="47" t="s">
        <v>116</v>
      </c>
      <c r="L110" s="47"/>
      <c r="M110" s="47"/>
      <c r="N110" s="47"/>
      <c r="O110" s="47"/>
      <c r="P110" s="47"/>
      <c r="Q110" s="47"/>
      <c r="R110" s="41"/>
      <c r="S110" s="45"/>
    </row>
    <row r="111" spans="2:20" ht="14" hidden="1">
      <c r="B111" s="291" t="s">
        <v>117</v>
      </c>
      <c r="C111" s="292"/>
      <c r="D111" s="293"/>
      <c r="E111" s="75">
        <f>E108*$E$96</f>
        <v>5.2691741691364227</v>
      </c>
      <c r="F111" s="75">
        <f>F108*$F$96</f>
        <v>5.2691741691364227</v>
      </c>
      <c r="G111" s="75">
        <f>G108*$G$96</f>
        <v>5.2691741691364227</v>
      </c>
      <c r="H111" s="73"/>
      <c r="I111" s="74"/>
      <c r="J111" s="45"/>
      <c r="K111" s="50"/>
      <c r="L111" s="51">
        <f>$F$121</f>
        <v>0</v>
      </c>
      <c r="M111" s="51">
        <f>$G$121</f>
        <v>70</v>
      </c>
      <c r="N111" s="55"/>
      <c r="O111" s="51"/>
      <c r="P111" s="51">
        <f>$F$121</f>
        <v>0</v>
      </c>
      <c r="Q111" s="51">
        <f>$G$121</f>
        <v>70</v>
      </c>
      <c r="R111" s="41"/>
      <c r="S111" s="45"/>
    </row>
    <row r="112" spans="2:20" ht="14" hidden="1">
      <c r="B112" s="321" t="s">
        <v>118</v>
      </c>
      <c r="C112" s="322"/>
      <c r="D112" s="323"/>
      <c r="E112" s="76">
        <f>E109*$E$96</f>
        <v>5.2691741691364227</v>
      </c>
      <c r="F112" s="76">
        <f>F109*$F$96</f>
        <v>5.2691741691364227</v>
      </c>
      <c r="G112" s="76">
        <f>G109*$G$96</f>
        <v>5.2691741691364227</v>
      </c>
      <c r="H112" s="73"/>
      <c r="I112" s="41"/>
      <c r="J112" s="45"/>
      <c r="K112" s="50">
        <f>$F$120</f>
        <v>9</v>
      </c>
      <c r="L112" s="77">
        <f>$E$114*K112*(1+(L111-25)*$E$122*0.000001)/8</f>
        <v>29.784375000000001</v>
      </c>
      <c r="M112" s="62">
        <f>$E$114*K112*(1+(M111-25)*$E$122*0.000001)/8</f>
        <v>40.888125000000002</v>
      </c>
      <c r="N112" s="47"/>
      <c r="O112" s="50">
        <f>$F$120</f>
        <v>9</v>
      </c>
      <c r="P112" s="57">
        <f>$E$114*O112*(1+(P111-25)*$E$122*0.000001)/8</f>
        <v>29.784375000000001</v>
      </c>
      <c r="Q112" s="57">
        <f>$E$114*O112*(1+(Q111-25)*$E$122*0.000001)/8</f>
        <v>40.888125000000002</v>
      </c>
      <c r="R112" s="41"/>
      <c r="S112" s="45"/>
    </row>
    <row r="113" spans="2:19" ht="14" hidden="1">
      <c r="B113" s="277" t="s">
        <v>119</v>
      </c>
      <c r="C113" s="278"/>
      <c r="D113" s="279"/>
      <c r="E113" s="79">
        <f>E91</f>
        <v>13</v>
      </c>
      <c r="F113" s="79">
        <f>E113</f>
        <v>13</v>
      </c>
      <c r="G113" s="79">
        <f>F113</f>
        <v>13</v>
      </c>
      <c r="H113" s="73"/>
      <c r="I113" s="41"/>
      <c r="J113" s="45"/>
      <c r="K113" s="50">
        <f>$G$120</f>
        <v>11</v>
      </c>
      <c r="L113" s="62">
        <f>$E$114*K113*(1+(L111-25)*$E$122*0.000001)/8</f>
        <v>36.403125000000003</v>
      </c>
      <c r="M113" s="77">
        <f>$E$114*K113*(1+(M111-25)*$E$122*0.000001)/8</f>
        <v>49.974375000000002</v>
      </c>
      <c r="N113" s="47"/>
      <c r="O113" s="50">
        <f>$G$120</f>
        <v>11</v>
      </c>
      <c r="P113" s="57">
        <f>$E$114*O113*(1+(P111-25)*$E$122*0.000001)/8</f>
        <v>36.403125000000003</v>
      </c>
      <c r="Q113" s="57">
        <f>$E$114*O113*(1+(Q111-25)*$E$122*0.000001)/8</f>
        <v>49.974375000000002</v>
      </c>
      <c r="R113" s="41"/>
      <c r="S113" s="45"/>
    </row>
    <row r="114" spans="2:19" ht="14.5" hidden="1" thickBot="1">
      <c r="B114" s="277" t="s">
        <v>120</v>
      </c>
      <c r="C114" s="278"/>
      <c r="D114" s="279"/>
      <c r="E114" s="46">
        <f>E60</f>
        <v>30</v>
      </c>
      <c r="F114" s="81"/>
      <c r="G114" s="82"/>
      <c r="H114" s="73"/>
      <c r="I114" s="34"/>
      <c r="J114" s="69"/>
      <c r="K114" s="70"/>
      <c r="L114" s="70"/>
      <c r="M114" s="70"/>
      <c r="N114" s="70"/>
      <c r="O114" s="70"/>
      <c r="P114" s="70"/>
      <c r="Q114" s="70"/>
      <c r="R114" s="71"/>
      <c r="S114" s="45"/>
    </row>
    <row r="115" spans="2:19" ht="14.5" hidden="1" thickTop="1">
      <c r="B115" s="272" t="s">
        <v>121</v>
      </c>
      <c r="C115" s="273"/>
      <c r="D115" s="274"/>
      <c r="E115" s="84">
        <f>E114*$E$120/8</f>
        <v>37.5</v>
      </c>
      <c r="F115" s="85"/>
      <c r="G115" s="80"/>
      <c r="H115" s="78"/>
      <c r="I115" s="34"/>
      <c r="J115" s="42"/>
      <c r="K115" s="43" t="s">
        <v>122</v>
      </c>
      <c r="L115" s="43"/>
      <c r="M115" s="43"/>
      <c r="N115" s="43"/>
      <c r="O115" s="43" t="s">
        <v>123</v>
      </c>
      <c r="P115" s="43"/>
      <c r="Q115" s="43"/>
      <c r="R115" s="44"/>
      <c r="S115" s="45"/>
    </row>
    <row r="116" spans="2:19" ht="14" hidden="1">
      <c r="B116" s="272" t="s">
        <v>124</v>
      </c>
      <c r="C116" s="273"/>
      <c r="D116" s="274"/>
      <c r="E116" s="84">
        <f>$E$114*$E$120/(8*E103)+E108/2</f>
        <v>21.38458708456821</v>
      </c>
      <c r="F116" s="84">
        <f>$E$114*$E$120/(8*F103)+F108/2</f>
        <v>21.38458708456821</v>
      </c>
      <c r="G116" s="84">
        <f>$E$114*$E$120/(8*G103)+G108/2</f>
        <v>21.38458708456821</v>
      </c>
      <c r="H116" s="78"/>
      <c r="I116" s="41"/>
      <c r="J116" s="45"/>
      <c r="K116" s="47" t="s">
        <v>125</v>
      </c>
      <c r="L116" s="47"/>
      <c r="M116" s="47"/>
      <c r="N116" s="47"/>
      <c r="O116" s="47" t="s">
        <v>125</v>
      </c>
      <c r="P116" s="47"/>
      <c r="Q116" s="47"/>
      <c r="R116" s="41"/>
      <c r="S116" s="45"/>
    </row>
    <row r="117" spans="2:19" ht="14" hidden="1">
      <c r="B117" s="309" t="s">
        <v>126</v>
      </c>
      <c r="C117" s="310"/>
      <c r="D117" s="311"/>
      <c r="E117" s="86">
        <f>MIN(L118:M119,P118:Q119,L122:M123,P122:Q123,L128:M129,P128:Q129,L132:M133,P132:Q133)</f>
        <v>12.089944227425356</v>
      </c>
      <c r="F117" s="87"/>
      <c r="G117" s="87"/>
      <c r="H117" s="78"/>
      <c r="I117" s="34"/>
      <c r="J117" s="45"/>
      <c r="K117" s="50" t="s">
        <v>98</v>
      </c>
      <c r="L117" s="51">
        <f>$F$121</f>
        <v>0</v>
      </c>
      <c r="M117" s="51">
        <f>$G$121</f>
        <v>70</v>
      </c>
      <c r="N117" s="55"/>
      <c r="O117" s="51" t="s">
        <v>98</v>
      </c>
      <c r="P117" s="51">
        <f>$F$121</f>
        <v>0</v>
      </c>
      <c r="Q117" s="51">
        <f>$G$121</f>
        <v>70</v>
      </c>
      <c r="R117" s="41"/>
      <c r="S117" s="45"/>
    </row>
    <row r="118" spans="2:19" ht="14" hidden="1">
      <c r="B118" s="309" t="s">
        <v>127</v>
      </c>
      <c r="C118" s="310"/>
      <c r="D118" s="311"/>
      <c r="E118" s="86">
        <f>MAX(L118:M119,P118:Q119,L122:M123,P122:Q123,L128:M129,P128:Q129,L132:M133,P132:Q133)</f>
        <v>39.691856682025836</v>
      </c>
      <c r="H118" s="80"/>
      <c r="I118" s="34"/>
      <c r="J118" s="45"/>
      <c r="K118" s="50">
        <f>$F$120</f>
        <v>9</v>
      </c>
      <c r="L118" s="52">
        <f>$E$114*K118*(1+(L117-25)*$E$122*0.000001)/(8*$E$102*(1+(L117-25)*$E$124*0.000001))+$F$107/2</f>
        <v>31.591618334568214</v>
      </c>
      <c r="M118" s="52">
        <f>$E$114*K118*(1+(M117-25)*$E$122*0.000001)/(8*$E$102*(1+(M117-25)*$E$124*0.000001))+$F$107/2</f>
        <v>32.954171300669913</v>
      </c>
      <c r="N118" s="47"/>
      <c r="O118" s="50">
        <f>$F$120</f>
        <v>9</v>
      </c>
      <c r="P118" s="52">
        <f>$E$114*O118*(1+(P117-25)*$E$122*0.000001)/(8*$E$102*(1+(P117-25)*$E$124*0.000001))+$G$107/2</f>
        <v>31.591618334568214</v>
      </c>
      <c r="Q118" s="52">
        <f>$E$114*O118*(1+(Q117-25)*$E$122*0.000001)/(8*$E$102*(1+(Q117-25)*$E$124*0.000001))+$G$107/2</f>
        <v>32.954171300669913</v>
      </c>
      <c r="R118" s="41"/>
      <c r="S118" s="45"/>
    </row>
    <row r="119" spans="2:19" ht="14" hidden="1">
      <c r="H119" s="38"/>
      <c r="I119" s="34"/>
      <c r="J119" s="45"/>
      <c r="K119" s="50">
        <f>$G$120</f>
        <v>11</v>
      </c>
      <c r="L119" s="52">
        <f>$E$114*K119*(1+(L117-25)*$E$122*0.000001)/(8*$E$102*(1+(L117-25)*$E$124*0.000001))+$F$107/2</f>
        <v>38.026514167901553</v>
      </c>
      <c r="M119" s="52">
        <f>$E$114*K119*(1+(M117-25)*$E$122*0.000001)/(8*$E$102*(1+(M117-25)*$E$124*0.000001))+$F$107/2</f>
        <v>39.691856682025836</v>
      </c>
      <c r="N119" s="47"/>
      <c r="O119" s="50">
        <f>$G$120</f>
        <v>11</v>
      </c>
      <c r="P119" s="56">
        <f>$E$114*O119*(1+(P117-25)*$E$122*0.000001)/(8*$E$102*(1+(P117-25)*$E$124*0.000001))+$G$107/2</f>
        <v>38.026514167901553</v>
      </c>
      <c r="Q119" s="83">
        <f>$E$114*O119*(1+(Q117-25)*$E$122*0.000001)/(8*$E$102*(1+(Q117-25)*$E$124*0.000001))+$G$107/2</f>
        <v>39.691856682025836</v>
      </c>
      <c r="R119" s="41"/>
      <c r="S119" s="45"/>
    </row>
    <row r="120" spans="2:19" ht="14" hidden="1">
      <c r="B120" s="318" t="s">
        <v>128</v>
      </c>
      <c r="C120" s="319"/>
      <c r="D120" s="320"/>
      <c r="E120" s="89">
        <v>10</v>
      </c>
      <c r="F120" s="89">
        <v>9</v>
      </c>
      <c r="G120" s="89">
        <v>11</v>
      </c>
      <c r="H120" s="38"/>
      <c r="I120" s="34"/>
      <c r="J120" s="45"/>
      <c r="K120" s="47"/>
      <c r="L120" s="47"/>
      <c r="M120" s="38"/>
      <c r="N120" s="38"/>
      <c r="O120" s="38"/>
      <c r="P120" s="38"/>
      <c r="Q120" s="38"/>
      <c r="R120" s="41"/>
      <c r="S120" s="45"/>
    </row>
    <row r="121" spans="2:19" ht="14" hidden="1">
      <c r="B121" s="277" t="s">
        <v>129</v>
      </c>
      <c r="C121" s="278"/>
      <c r="D121" s="279"/>
      <c r="E121" s="48">
        <v>25</v>
      </c>
      <c r="F121" s="48">
        <f>C21</f>
        <v>0</v>
      </c>
      <c r="G121" s="48">
        <f>D21</f>
        <v>70</v>
      </c>
      <c r="H121" s="80"/>
      <c r="I121" s="34"/>
      <c r="J121" s="45"/>
      <c r="K121" s="50" t="s">
        <v>103</v>
      </c>
      <c r="L121" s="51">
        <f>L117</f>
        <v>0</v>
      </c>
      <c r="M121" s="51">
        <f>M117</f>
        <v>70</v>
      </c>
      <c r="N121" s="55"/>
      <c r="O121" s="51" t="s">
        <v>103</v>
      </c>
      <c r="P121" s="51">
        <f>P117</f>
        <v>0</v>
      </c>
      <c r="Q121" s="51">
        <f>Q117</f>
        <v>70</v>
      </c>
      <c r="R121" s="41"/>
      <c r="S121" s="45"/>
    </row>
    <row r="122" spans="2:19" ht="14" hidden="1">
      <c r="B122" s="315" t="s">
        <v>130</v>
      </c>
      <c r="C122" s="316"/>
      <c r="D122" s="317"/>
      <c r="E122" s="90">
        <v>4700</v>
      </c>
      <c r="F122" s="49">
        <f>E122</f>
        <v>4700</v>
      </c>
      <c r="G122" s="49">
        <f>F122</f>
        <v>4700</v>
      </c>
      <c r="H122" s="88"/>
      <c r="I122" s="34"/>
      <c r="J122" s="45"/>
      <c r="K122" s="50">
        <f>$F$120</f>
        <v>9</v>
      </c>
      <c r="L122" s="52">
        <f>$E$114*K122*(1+(L121-25)*$E$122*0.000001)/(8*$E$102*(1+(L121-25)*$E$124*0.000001))+$F$109/2</f>
        <v>31.591618334568214</v>
      </c>
      <c r="M122" s="52">
        <f>$E$114*K122*(1+(M121-25)*$E$122*0.000001)/(8*$E$102*(1+(M121-25)*$E$124*0.000001))+$F$109/2</f>
        <v>32.954171300669913</v>
      </c>
      <c r="N122" s="47"/>
      <c r="O122" s="50">
        <f>$F$120</f>
        <v>9</v>
      </c>
      <c r="P122" s="52">
        <f>$E$114*O122*(1+(P121-25)*$E$122*0.000001)/(8*$E$102*(1+(P121-25)*$E$124*0.000001))+$G$109/2</f>
        <v>31.591618334568214</v>
      </c>
      <c r="Q122" s="52">
        <f>$E$114*O122*(1+(Q121-25)*$E$122*0.000001)/(8*$E$102*(1+(Q121-25)*$E$124*0.000001))+$G$109/2</f>
        <v>32.954171300669913</v>
      </c>
      <c r="R122" s="41"/>
      <c r="S122" s="45"/>
    </row>
    <row r="123" spans="2:19" ht="14" hidden="1">
      <c r="B123" s="312" t="s">
        <v>131</v>
      </c>
      <c r="C123" s="313"/>
      <c r="D123" s="314"/>
      <c r="E123" s="49">
        <f>E120*(1+(E121-25)*E122*(0.000001))</f>
        <v>10</v>
      </c>
      <c r="F123" s="91">
        <f>F120*(1+(F121-25)*F122*(0.000001))</f>
        <v>7.9425000000000008</v>
      </c>
      <c r="G123" s="91">
        <f>G120*(1+(G121-25)*G122*(0.000001))</f>
        <v>13.326499999999999</v>
      </c>
      <c r="H123" s="88"/>
      <c r="I123" s="34"/>
      <c r="J123" s="45"/>
      <c r="K123" s="50">
        <f>$G$120</f>
        <v>11</v>
      </c>
      <c r="L123" s="52">
        <f>$E$114*K123*(1+(L121-25)*$E$122*0.000001)/(8*$E$102*(1+(L121-25)*$E$124*0.000001))+$F$109/2</f>
        <v>38.026514167901553</v>
      </c>
      <c r="M123" s="52">
        <f>$E$114*K123*(1+(M121-25)*$E$122*0.000001)/(8*$E$102*(1+(M121-25)*$E$124*0.000001))+$F$109/2</f>
        <v>39.691856682025836</v>
      </c>
      <c r="N123" s="47"/>
      <c r="O123" s="50">
        <f>$G$120</f>
        <v>11</v>
      </c>
      <c r="P123" s="52">
        <f>$E$114*O123*(1+(P121-25)*$E$122*0.000001)/(8*$E$102*(1+(P121-25)*$E$124*0.000001))+$G$109/2</f>
        <v>38.026514167901553</v>
      </c>
      <c r="Q123" s="52">
        <f>$E$114*O123*(1+(Q121-25)*$E$122*0.000001)/(8*$E$102*(1+(Q121-25)*$E$124*0.000001))+$G$109/2</f>
        <v>39.691856682025836</v>
      </c>
      <c r="R123" s="41"/>
      <c r="S123" s="45"/>
    </row>
    <row r="124" spans="2:19" ht="14" hidden="1">
      <c r="B124" s="277" t="s">
        <v>132</v>
      </c>
      <c r="C124" s="278"/>
      <c r="D124" s="279"/>
      <c r="E124" s="48">
        <f>(H55-1)/75*1000000</f>
        <v>4000.0000000000009</v>
      </c>
      <c r="F124" s="49">
        <f>E124</f>
        <v>4000.0000000000009</v>
      </c>
      <c r="G124" s="49">
        <f>F124</f>
        <v>4000.0000000000009</v>
      </c>
      <c r="H124" s="88"/>
      <c r="I124" s="34"/>
      <c r="J124" s="45"/>
      <c r="K124" s="47"/>
      <c r="L124" s="47"/>
      <c r="M124" s="47"/>
      <c r="N124" s="47"/>
      <c r="O124" s="47"/>
      <c r="P124" s="47"/>
      <c r="Q124" s="47"/>
      <c r="R124" s="41"/>
      <c r="S124" s="45"/>
    </row>
    <row r="125" spans="2:19" ht="14" hidden="1">
      <c r="B125" s="312" t="s">
        <v>133</v>
      </c>
      <c r="C125" s="313"/>
      <c r="D125" s="314"/>
      <c r="E125" s="49">
        <f>E104*(1+(E121-25)*E124*(0.000001))</f>
        <v>3.5</v>
      </c>
      <c r="F125" s="91">
        <f>F104*(1+(F121-25)*F124*(0.000001))</f>
        <v>3.15</v>
      </c>
      <c r="G125" s="91">
        <f>G104*(1+(G121-25)*G124*(0.000001))</f>
        <v>4.13</v>
      </c>
      <c r="H125" s="88"/>
      <c r="I125" s="34"/>
      <c r="J125" s="45"/>
      <c r="K125" s="47" t="s">
        <v>122</v>
      </c>
      <c r="L125" s="47"/>
      <c r="M125" s="47"/>
      <c r="N125" s="47"/>
      <c r="O125" s="47" t="s">
        <v>123</v>
      </c>
      <c r="P125" s="47"/>
      <c r="Q125" s="38"/>
      <c r="R125" s="41"/>
      <c r="S125" s="45"/>
    </row>
    <row r="126" spans="2:19" ht="14" hidden="1">
      <c r="H126" s="38"/>
      <c r="I126" s="34"/>
      <c r="J126" s="45"/>
      <c r="K126" s="47" t="s">
        <v>134</v>
      </c>
      <c r="L126" s="47"/>
      <c r="M126" s="47"/>
      <c r="N126" s="47"/>
      <c r="O126" s="47" t="s">
        <v>134</v>
      </c>
      <c r="P126" s="47"/>
      <c r="Q126" s="47"/>
      <c r="R126" s="41"/>
      <c r="S126" s="45"/>
    </row>
    <row r="127" spans="2:19" ht="14" hidden="1">
      <c r="B127" s="34" t="s">
        <v>135</v>
      </c>
      <c r="I127" s="34"/>
      <c r="J127" s="45"/>
      <c r="K127" s="50" t="s">
        <v>98</v>
      </c>
      <c r="L127" s="51">
        <f>$F$121</f>
        <v>0</v>
      </c>
      <c r="M127" s="51">
        <f>$G$121</f>
        <v>70</v>
      </c>
      <c r="N127" s="55"/>
      <c r="O127" s="51" t="s">
        <v>98</v>
      </c>
      <c r="P127" s="51">
        <f>$F$121</f>
        <v>0</v>
      </c>
      <c r="Q127" s="51">
        <f>$G$121</f>
        <v>70</v>
      </c>
      <c r="R127" s="41"/>
      <c r="S127" s="45"/>
    </row>
    <row r="128" spans="2:19" ht="14" hidden="1">
      <c r="B128" s="283" t="s">
        <v>136</v>
      </c>
      <c r="C128" s="284"/>
      <c r="D128" s="285"/>
      <c r="E128" s="92">
        <v>2</v>
      </c>
      <c r="I128" s="34"/>
      <c r="J128" s="45"/>
      <c r="K128" s="50">
        <f>$F$120</f>
        <v>9</v>
      </c>
      <c r="L128" s="52">
        <f>$E$114*K128*(1+(L127-25)*$E$122*0.000001)/(8*$E$104*(1+(L127-25)*$E$124*0.000001))+$F$107/2</f>
        <v>12.089944227425356</v>
      </c>
      <c r="M128" s="52">
        <f>$E$114*K128*(1+(M127-25)*$E$122*0.000001)/(8*$E$104*(1+(M127-25)*$E$124*0.000001))+$F$107/2</f>
        <v>12.534859481662643</v>
      </c>
      <c r="N128" s="47"/>
      <c r="O128" s="50">
        <f>$F$120</f>
        <v>9</v>
      </c>
      <c r="P128" s="52">
        <f>$E$114*O128*(1+(P127-25)*$E$122*0.000001)/(8*$E$104*(1+(P127-25)*$E$124*0.000001))+$G$107/2</f>
        <v>12.089944227425356</v>
      </c>
      <c r="Q128" s="52">
        <f>$E$114*O128*(1+(Q127-25)*$E$122*0.000001)/(8*$E$104*(1+(Q127-25)*$E$124*0.000001))+$G$107/2</f>
        <v>12.534859481662643</v>
      </c>
      <c r="R128" s="41"/>
      <c r="S128" s="45"/>
    </row>
    <row r="129" spans="2:19" ht="14" hidden="1">
      <c r="B129" s="277" t="s">
        <v>137</v>
      </c>
      <c r="C129" s="278"/>
      <c r="D129" s="279"/>
      <c r="E129" s="48">
        <f>C30</f>
        <v>7.36</v>
      </c>
      <c r="H129" s="88"/>
      <c r="I129" s="34"/>
      <c r="J129" s="45"/>
      <c r="K129" s="50">
        <f>$G$120</f>
        <v>11</v>
      </c>
      <c r="L129" s="52">
        <f>$E$114*K129*(1+(L127-25)*$E$122*0.000001)/(8*$E$104*(1+(L127-25)*$E$124*0.000001))+$F$107/2</f>
        <v>14.191134703615832</v>
      </c>
      <c r="M129" s="52">
        <f>$E$114*K129*(1+(M127-25)*$E$122*0.000001)/(8*$E$104*(1+(M127-25)*$E$124*0.000001))+$F$107/2</f>
        <v>14.734920014350294</v>
      </c>
      <c r="N129" s="47"/>
      <c r="O129" s="50">
        <f>$G$120</f>
        <v>11</v>
      </c>
      <c r="P129" s="52">
        <f>$E$114*O129*(1+(P127-25)*$E$122*0.000001)/(8*$E$104*(1+(P127-25)*$E$124*0.000001))+$G$107/2</f>
        <v>14.191134703615832</v>
      </c>
      <c r="Q129" s="52">
        <f>$E$114*O129*(1+(Q127-25)*$E$122*0.000001)/(8*$E$104*(1+(Q127-25)*$E$124*0.000001))+$G$107/2</f>
        <v>14.734920014350294</v>
      </c>
      <c r="R129" s="41"/>
      <c r="S129" s="45"/>
    </row>
    <row r="130" spans="2:19" ht="14" hidden="1">
      <c r="B130" s="272" t="s">
        <v>138</v>
      </c>
      <c r="C130" s="273"/>
      <c r="D130" s="274"/>
      <c r="E130" s="94">
        <f>E129/(E128/E90-1)</f>
        <v>7.36</v>
      </c>
      <c r="H130" s="88"/>
      <c r="I130" s="34"/>
      <c r="J130" s="45"/>
      <c r="K130" s="47"/>
      <c r="L130" s="47"/>
      <c r="M130" s="38"/>
      <c r="N130" s="47"/>
      <c r="O130" s="38"/>
      <c r="P130" s="38"/>
      <c r="Q130" s="38"/>
      <c r="R130" s="41"/>
      <c r="S130" s="45"/>
    </row>
    <row r="131" spans="2:19" ht="14" hidden="1">
      <c r="B131" s="277" t="s">
        <v>139</v>
      </c>
      <c r="C131" s="278"/>
      <c r="D131" s="279"/>
      <c r="E131" s="96">
        <f>F30</f>
        <v>7.36</v>
      </c>
      <c r="F131" s="34"/>
      <c r="G131" s="306" t="s">
        <v>140</v>
      </c>
      <c r="H131" s="50">
        <v>500</v>
      </c>
      <c r="I131" s="34"/>
      <c r="J131" s="45"/>
      <c r="K131" s="50" t="s">
        <v>103</v>
      </c>
      <c r="L131" s="51">
        <f>L127</f>
        <v>0</v>
      </c>
      <c r="M131" s="51">
        <f>M127</f>
        <v>70</v>
      </c>
      <c r="N131" s="55"/>
      <c r="O131" s="51" t="s">
        <v>103</v>
      </c>
      <c r="P131" s="51">
        <f>P127</f>
        <v>0</v>
      </c>
      <c r="Q131" s="51">
        <f>Q127</f>
        <v>70</v>
      </c>
      <c r="R131" s="41"/>
      <c r="S131" s="45"/>
    </row>
    <row r="132" spans="2:19" ht="14" hidden="1">
      <c r="B132" s="272" t="s">
        <v>141</v>
      </c>
      <c r="C132" s="273"/>
      <c r="D132" s="274"/>
      <c r="E132" s="94">
        <f>E128*E131/(E129+E131)</f>
        <v>1</v>
      </c>
      <c r="F132" s="34"/>
      <c r="G132" s="307"/>
      <c r="H132" s="50">
        <v>670</v>
      </c>
      <c r="I132" s="34"/>
      <c r="J132" s="45"/>
      <c r="K132" s="50">
        <f>$F$120</f>
        <v>9</v>
      </c>
      <c r="L132" s="83">
        <f>$E$114*K132*(1+(L131-25)*$E$122*0.000001)/(8*$E$104*(1+(L131-25)*$E$124*0.000001))+$F$109/2</f>
        <v>12.089944227425356</v>
      </c>
      <c r="M132" s="56">
        <f>$E$114*K132*(1+(M131-25)*$E$122*0.000001)/(8*$E$104*(1+(M131-25)*$E$124*0.000001))+$F$109/2</f>
        <v>12.534859481662643</v>
      </c>
      <c r="N132" s="47"/>
      <c r="O132" s="50">
        <f>$F$120</f>
        <v>9</v>
      </c>
      <c r="P132" s="52">
        <f>$E$114*O132*(1+(P131-25)*$E$122*0.000001)/(8*$E$104*(1+(P131-25)*$E$124*0.000001))+$G$109/2</f>
        <v>12.089944227425356</v>
      </c>
      <c r="Q132" s="52">
        <f>$E$114*O132*(1+(Q131-25)*$E$122*0.000001)/(8*$E$104*(1+(Q131-25)*$E$124*0.000001))+$G$109/2</f>
        <v>12.534859481662643</v>
      </c>
      <c r="R132" s="41"/>
      <c r="S132" s="45"/>
    </row>
    <row r="133" spans="2:19" ht="14" hidden="1">
      <c r="F133" s="34"/>
      <c r="G133" s="34"/>
      <c r="H133" s="167"/>
      <c r="I133" s="93"/>
      <c r="J133" s="45"/>
      <c r="K133" s="50">
        <f>$G$120</f>
        <v>11</v>
      </c>
      <c r="L133" s="52">
        <f>$E$114*K133*(1+(L131-25)*$E$122*0.000001)/(8*$E$104*(1+(L131-25)*$E$124*0.000001))+$F$109/2</f>
        <v>14.191134703615832</v>
      </c>
      <c r="M133" s="52">
        <f>$E$114*K133*(1+(M131-25)*$E$122*0.000001)/(8*$E$104*(1+(M131-25)*$E$124*0.000001))+$F$109/2</f>
        <v>14.734920014350294</v>
      </c>
      <c r="N133" s="47"/>
      <c r="O133" s="50">
        <f>$G$120</f>
        <v>11</v>
      </c>
      <c r="P133" s="52">
        <f>$E$114*O133*(1+(P131-25)*$E$122*0.000001)/(8*$E$104*(1+(P131-25)*$E$124*0.000001))+$G$109/2</f>
        <v>14.191134703615832</v>
      </c>
      <c r="Q133" s="52">
        <f>$E$114*O133*(1+(Q131-25)*$E$122*0.000001)/(8*$E$104*(1+(Q131-25)*$E$124*0.000001))+$G$109/2</f>
        <v>14.734920014350294</v>
      </c>
      <c r="R133" s="41"/>
      <c r="S133" s="45"/>
    </row>
    <row r="134" spans="2:19" ht="14.5" hidden="1" thickBot="1">
      <c r="B134" s="34" t="s">
        <v>142</v>
      </c>
      <c r="C134" s="34"/>
      <c r="D134" s="34"/>
      <c r="E134" s="34"/>
      <c r="F134" s="34"/>
      <c r="G134" s="34"/>
      <c r="H134" s="38"/>
      <c r="I134" s="93"/>
      <c r="J134" s="69"/>
      <c r="K134" s="70"/>
      <c r="L134" s="95"/>
      <c r="M134" s="95"/>
      <c r="N134" s="95"/>
      <c r="O134" s="70"/>
      <c r="P134" s="70"/>
      <c r="Q134" s="70"/>
      <c r="R134" s="71"/>
      <c r="S134" s="45"/>
    </row>
    <row r="135" spans="2:19" ht="14.5" hidden="1" thickTop="1">
      <c r="B135" s="269" t="s">
        <v>143</v>
      </c>
      <c r="C135" s="270"/>
      <c r="D135" s="271"/>
      <c r="E135" s="86">
        <f>E92/3</f>
        <v>166.66666666666666</v>
      </c>
      <c r="F135" s="34"/>
      <c r="G135" s="50" t="s">
        <v>144</v>
      </c>
      <c r="H135" s="50" t="s">
        <v>340</v>
      </c>
      <c r="I135" s="93"/>
      <c r="J135" s="34"/>
      <c r="K135" s="34"/>
      <c r="L135" s="34"/>
      <c r="M135" s="34"/>
      <c r="N135" s="34"/>
      <c r="O135" s="34"/>
      <c r="P135" s="34"/>
      <c r="Q135" s="34"/>
      <c r="R135" s="43"/>
      <c r="S135" s="47"/>
    </row>
    <row r="136" spans="2:19" ht="14.25" hidden="1" customHeight="1">
      <c r="B136" s="308" t="s">
        <v>145</v>
      </c>
      <c r="C136" s="308"/>
      <c r="D136" s="308"/>
      <c r="E136" s="50">
        <f>IF($E$92=500,32,23)</f>
        <v>32</v>
      </c>
      <c r="F136" s="34"/>
      <c r="G136" s="50">
        <v>500</v>
      </c>
      <c r="H136" s="50">
        <v>32</v>
      </c>
      <c r="I136" s="93"/>
      <c r="J136" s="47"/>
      <c r="M136" s="34"/>
      <c r="N136" s="34"/>
      <c r="O136" s="34"/>
      <c r="P136" s="34"/>
      <c r="Q136" s="34"/>
      <c r="R136" s="47"/>
      <c r="S136" s="38"/>
    </row>
    <row r="137" spans="2:19" ht="14" hidden="1">
      <c r="B137" s="269" t="s">
        <v>146</v>
      </c>
      <c r="C137" s="270"/>
      <c r="D137" s="271"/>
      <c r="E137" s="86">
        <f>3*E136/(2*PI()*0.25*E94*E92*0.001)</f>
        <v>339.53054526271006</v>
      </c>
      <c r="F137" s="34"/>
      <c r="G137" s="50">
        <v>670</v>
      </c>
      <c r="H137" s="50">
        <v>23</v>
      </c>
      <c r="I137" s="93"/>
      <c r="O137" s="34"/>
      <c r="P137" s="34"/>
      <c r="Q137" s="34"/>
      <c r="R137" s="34"/>
      <c r="S137" s="34"/>
    </row>
    <row r="138" spans="2:19" ht="14" hidden="1">
      <c r="B138" s="334" t="s">
        <v>147</v>
      </c>
      <c r="C138" s="334"/>
      <c r="D138" s="334"/>
      <c r="E138" s="86">
        <f>E136*1000/(2*PI()*0.25*E38*E94)</f>
        <v>36.274630904135698</v>
      </c>
      <c r="F138" s="34"/>
      <c r="G138" s="47"/>
      <c r="H138" s="47"/>
      <c r="I138" s="93"/>
      <c r="O138" s="34"/>
      <c r="P138" s="34"/>
      <c r="Q138" s="34"/>
      <c r="R138" s="34"/>
      <c r="S138" s="34"/>
    </row>
    <row r="139" spans="2:19" ht="14" hidden="1">
      <c r="B139" s="267" t="s">
        <v>148</v>
      </c>
      <c r="C139" s="267"/>
      <c r="D139" s="267"/>
      <c r="E139" s="50">
        <f>0.00013*10*1000000/(2*PI()*E138)</f>
        <v>5.7037499999999985</v>
      </c>
      <c r="F139" s="34"/>
      <c r="I139" s="93"/>
      <c r="J139" s="34"/>
      <c r="K139" s="34"/>
      <c r="L139" s="34"/>
      <c r="M139" s="34"/>
      <c r="N139" s="34"/>
      <c r="O139" s="34"/>
      <c r="P139" s="34"/>
      <c r="Q139" s="34"/>
      <c r="R139" s="34"/>
      <c r="S139" s="34"/>
    </row>
    <row r="140" spans="2:19" ht="14" hidden="1">
      <c r="B140" s="34"/>
      <c r="C140" s="34"/>
      <c r="D140" s="34"/>
      <c r="E140" s="34"/>
      <c r="F140" s="34"/>
      <c r="I140" s="93"/>
      <c r="J140" s="34"/>
      <c r="K140" s="34"/>
      <c r="L140" s="34"/>
      <c r="M140" s="34"/>
      <c r="N140" s="34"/>
      <c r="O140" s="34"/>
      <c r="P140" s="34"/>
      <c r="Q140" s="34"/>
      <c r="R140" s="34"/>
      <c r="S140" s="34"/>
    </row>
    <row r="141" spans="2:19" ht="14" hidden="1">
      <c r="B141" s="109" t="s">
        <v>149</v>
      </c>
      <c r="C141" s="109"/>
      <c r="D141" s="109"/>
      <c r="F141" s="34"/>
      <c r="G141" s="34"/>
      <c r="J141" s="34"/>
      <c r="K141" s="34"/>
      <c r="L141" s="34"/>
      <c r="M141" s="34"/>
      <c r="N141" s="34"/>
      <c r="O141" s="34"/>
      <c r="P141" s="34"/>
      <c r="Q141" s="34"/>
      <c r="R141" s="34"/>
      <c r="S141" s="34"/>
    </row>
    <row r="142" spans="2:19" ht="14" hidden="1">
      <c r="B142" s="267" t="s">
        <v>150</v>
      </c>
      <c r="C142" s="267"/>
      <c r="D142" s="267"/>
      <c r="E142" s="98" t="e">
        <f>#REF!</f>
        <v>#REF!</v>
      </c>
      <c r="F142" s="156" t="e">
        <f t="shared" ref="F142:G145" si="2">E142</f>
        <v>#REF!</v>
      </c>
      <c r="G142" s="156" t="e">
        <f t="shared" si="2"/>
        <v>#REF!</v>
      </c>
      <c r="H142" s="34"/>
      <c r="I142" s="34"/>
      <c r="J142" s="34"/>
      <c r="K142" s="34"/>
      <c r="L142" s="34"/>
      <c r="M142" s="34"/>
      <c r="N142" s="34"/>
      <c r="O142" s="34"/>
      <c r="P142" s="34"/>
      <c r="Q142" s="34"/>
      <c r="R142" s="34"/>
      <c r="S142" s="34"/>
    </row>
    <row r="143" spans="2:19" ht="14" hidden="1">
      <c r="B143" s="267" t="s">
        <v>151</v>
      </c>
      <c r="C143" s="267"/>
      <c r="D143" s="267"/>
      <c r="E143" s="98" t="e">
        <f>#REF!</f>
        <v>#REF!</v>
      </c>
      <c r="F143" s="156" t="e">
        <f t="shared" si="2"/>
        <v>#REF!</v>
      </c>
      <c r="G143" s="156" t="e">
        <f t="shared" si="2"/>
        <v>#REF!</v>
      </c>
      <c r="H143" s="34"/>
      <c r="I143" s="34"/>
      <c r="J143" s="34"/>
      <c r="K143" s="34"/>
      <c r="L143" s="34"/>
      <c r="M143" s="34"/>
      <c r="N143" s="34"/>
      <c r="O143" s="34"/>
      <c r="P143" s="34"/>
      <c r="Q143" s="34"/>
      <c r="R143" s="34"/>
      <c r="S143" s="34"/>
    </row>
    <row r="144" spans="2:19" ht="14" hidden="1">
      <c r="B144" s="267" t="s">
        <v>152</v>
      </c>
      <c r="C144" s="267"/>
      <c r="D144" s="267"/>
      <c r="E144" s="57" t="e">
        <f>#REF!</f>
        <v>#REF!</v>
      </c>
      <c r="F144" s="156" t="e">
        <f t="shared" si="2"/>
        <v>#REF!</v>
      </c>
      <c r="G144" s="156" t="e">
        <f t="shared" si="2"/>
        <v>#REF!</v>
      </c>
      <c r="H144" s="34"/>
      <c r="I144" s="34"/>
      <c r="J144" s="34"/>
      <c r="K144" s="34"/>
      <c r="L144" s="34"/>
      <c r="M144" s="34"/>
      <c r="N144" s="34"/>
      <c r="O144" s="34"/>
      <c r="P144" s="34"/>
      <c r="Q144" s="34"/>
      <c r="R144" s="34"/>
      <c r="S144" s="34"/>
    </row>
    <row r="145" spans="2:20" ht="14" hidden="1">
      <c r="B145" s="267" t="s">
        <v>153</v>
      </c>
      <c r="C145" s="267"/>
      <c r="D145" s="267"/>
      <c r="E145" s="98" t="e">
        <f>#REF!</f>
        <v>#REF!</v>
      </c>
      <c r="F145" s="156" t="e">
        <f t="shared" si="2"/>
        <v>#REF!</v>
      </c>
      <c r="G145" s="156" t="e">
        <f t="shared" si="2"/>
        <v>#REF!</v>
      </c>
      <c r="H145" s="34"/>
      <c r="I145" s="34"/>
      <c r="J145" s="34"/>
      <c r="K145" s="34"/>
      <c r="L145" s="34"/>
      <c r="M145" s="34"/>
      <c r="N145" s="34"/>
      <c r="O145" s="34"/>
      <c r="P145" s="34"/>
      <c r="Q145" s="34"/>
      <c r="R145" s="34"/>
      <c r="S145" s="34"/>
    </row>
    <row r="146" spans="2:20" ht="14" hidden="1">
      <c r="B146" s="267" t="s">
        <v>154</v>
      </c>
      <c r="C146" s="267"/>
      <c r="D146" s="267"/>
      <c r="E146" s="50" t="e">
        <f>(E142-E143)^2/(E144*2)</f>
        <v>#REF!</v>
      </c>
      <c r="F146" s="50" t="e">
        <f>(F142-F143)^2/(F144*2)</f>
        <v>#REF!</v>
      </c>
      <c r="G146" s="50" t="e">
        <f>(G142-G143)^2/(G144*2)</f>
        <v>#REF!</v>
      </c>
      <c r="H146" s="34"/>
      <c r="I146" s="34"/>
      <c r="J146" s="34"/>
      <c r="K146" s="34"/>
      <c r="L146" s="34"/>
      <c r="M146" s="34"/>
      <c r="N146" s="34"/>
      <c r="O146" s="34"/>
      <c r="P146" s="34"/>
      <c r="Q146" s="34"/>
      <c r="R146" s="34"/>
      <c r="S146" s="34"/>
    </row>
    <row r="147" spans="2:20" ht="14" hidden="1">
      <c r="B147" s="267" t="s">
        <v>155</v>
      </c>
      <c r="C147" s="267"/>
      <c r="D147" s="267"/>
      <c r="E147" s="57" t="e">
        <f>(E142-E143+E107/2)^2*E94*(1+E95/100)/(E90*2)</f>
        <v>#REF!</v>
      </c>
      <c r="F147" s="57" t="e">
        <f>(F142-F143+F107/2)^2*F94*(1+F95/100)/(F90*2)</f>
        <v>#REF!</v>
      </c>
      <c r="G147" s="57" t="e">
        <f>(G142-G143+G107/2)^2*G94*(1+G95/100)/(G90*2)</f>
        <v>#REF!</v>
      </c>
      <c r="H147" s="34"/>
      <c r="I147" s="34"/>
      <c r="J147" s="34"/>
      <c r="K147" s="34"/>
      <c r="L147" s="34"/>
      <c r="M147" s="34"/>
      <c r="N147" s="34"/>
      <c r="O147" s="34"/>
      <c r="P147" s="34"/>
      <c r="Q147" s="34"/>
      <c r="R147" s="34"/>
      <c r="S147" s="34"/>
    </row>
    <row r="148" spans="2:20" ht="14" hidden="1">
      <c r="B148" s="268" t="s">
        <v>156</v>
      </c>
      <c r="C148" s="268"/>
      <c r="D148" s="268"/>
      <c r="E148" s="57" t="e">
        <f>(E142-E143)*(1000/E92)*(E90/E89)</f>
        <v>#REF!</v>
      </c>
      <c r="F148" s="57" t="e">
        <f>(F142-F143)*(1000/F92)*(F90/F89)</f>
        <v>#REF!</v>
      </c>
      <c r="G148" s="57" t="e">
        <f>(G142-G143)*(1000/G92)*(G90/G89)</f>
        <v>#REF!</v>
      </c>
      <c r="H148" s="34"/>
      <c r="I148" s="34"/>
      <c r="J148" s="34"/>
      <c r="K148" s="34"/>
      <c r="L148" s="34"/>
      <c r="M148" s="34"/>
      <c r="N148" s="34"/>
      <c r="O148" s="34"/>
      <c r="P148" s="34"/>
      <c r="Q148" s="34"/>
      <c r="R148" s="34"/>
      <c r="S148" s="34"/>
    </row>
    <row r="149" spans="2:20" ht="14" hidden="1">
      <c r="B149" s="267" t="s">
        <v>157</v>
      </c>
      <c r="C149" s="267"/>
      <c r="D149" s="267"/>
      <c r="E149" s="57" t="e">
        <f>(E147+E148-E146)*100/(E145*E90)</f>
        <v>#REF!</v>
      </c>
      <c r="F149" s="57" t="e">
        <f>(F147+F148-F146)*100/(F145*F90)</f>
        <v>#REF!</v>
      </c>
      <c r="G149" s="57" t="e">
        <f>(G147+G148-G146)*100/(G145*G90)</f>
        <v>#REF!</v>
      </c>
      <c r="H149" s="34"/>
      <c r="I149" s="34"/>
      <c r="J149" s="34"/>
      <c r="K149" s="34"/>
      <c r="L149" s="34"/>
      <c r="M149" s="34"/>
      <c r="N149" s="34"/>
      <c r="O149" s="34"/>
      <c r="P149" s="34"/>
      <c r="Q149" s="34"/>
      <c r="R149" s="34"/>
      <c r="S149" s="34"/>
    </row>
    <row r="150" spans="2:20" ht="14" hidden="1">
      <c r="B150" s="267"/>
      <c r="C150" s="267"/>
      <c r="D150" s="267"/>
      <c r="E150" s="57" t="e">
        <f>IF(E149&lt;0,10, E149)</f>
        <v>#REF!</v>
      </c>
      <c r="F150" s="57" t="e">
        <f>IF(F149&lt;0,10, F149)</f>
        <v>#REF!</v>
      </c>
      <c r="G150" s="57" t="e">
        <f>IF(G149&lt;0,10, G149)</f>
        <v>#REF!</v>
      </c>
      <c r="H150" s="34"/>
      <c r="I150" s="34"/>
      <c r="J150" s="34"/>
      <c r="K150" s="34"/>
      <c r="L150" s="34"/>
      <c r="M150" s="34"/>
      <c r="N150" s="34"/>
      <c r="O150" s="34"/>
      <c r="P150" s="34"/>
      <c r="Q150" s="34"/>
      <c r="R150" s="34"/>
      <c r="S150" s="34"/>
    </row>
    <row r="151" spans="2:20" ht="14" hidden="1">
      <c r="B151" s="268" t="s">
        <v>158</v>
      </c>
      <c r="C151" s="268"/>
      <c r="D151" s="268"/>
      <c r="E151" s="108" t="e">
        <f>MAX(E150:G150)</f>
        <v>#REF!</v>
      </c>
      <c r="F151" s="107"/>
      <c r="G151" s="107"/>
      <c r="H151" s="34"/>
      <c r="I151" s="34"/>
      <c r="J151" s="34"/>
      <c r="K151" s="34"/>
      <c r="L151" s="34"/>
      <c r="M151" s="34"/>
      <c r="N151" s="34"/>
      <c r="O151" s="34"/>
      <c r="P151" s="34"/>
      <c r="Q151" s="34"/>
      <c r="R151" s="34"/>
      <c r="S151" s="34"/>
    </row>
    <row r="152" spans="2:20" ht="14" hidden="1">
      <c r="B152" s="267" t="s">
        <v>159</v>
      </c>
      <c r="C152" s="267"/>
      <c r="D152" s="267"/>
      <c r="E152" s="108" t="e">
        <f>#REF!</f>
        <v>#REF!</v>
      </c>
      <c r="F152" s="107"/>
      <c r="G152" s="107"/>
      <c r="H152" s="34"/>
      <c r="I152" s="34"/>
      <c r="J152" s="34"/>
      <c r="K152" s="34"/>
      <c r="L152" s="34"/>
      <c r="M152" s="34"/>
      <c r="N152" s="34"/>
      <c r="O152" s="34"/>
      <c r="P152" s="34"/>
      <c r="Q152" s="34"/>
      <c r="R152" s="34"/>
      <c r="S152" s="34"/>
    </row>
    <row r="153" spans="2:20" ht="14" hidden="1">
      <c r="B153" s="267" t="s">
        <v>160</v>
      </c>
      <c r="C153" s="267"/>
      <c r="D153" s="267"/>
      <c r="E153" s="50">
        <f>L48</f>
        <v>0</v>
      </c>
      <c r="F153" s="34"/>
      <c r="G153" s="34"/>
      <c r="H153" s="34"/>
      <c r="I153" s="34"/>
      <c r="J153" s="34"/>
      <c r="K153" s="34"/>
      <c r="L153" s="34"/>
      <c r="M153" s="34"/>
      <c r="N153" s="34"/>
      <c r="O153" s="34"/>
      <c r="P153" s="34"/>
      <c r="Q153" s="34"/>
      <c r="R153" s="34"/>
      <c r="S153" s="34"/>
    </row>
    <row r="154" spans="2:20" ht="14" hidden="1">
      <c r="B154" s="34"/>
      <c r="C154" s="34"/>
      <c r="D154" s="34"/>
      <c r="E154" s="34"/>
      <c r="F154" s="34"/>
      <c r="G154" s="34"/>
      <c r="L154" s="34"/>
      <c r="M154" s="34"/>
      <c r="N154" s="34"/>
      <c r="O154" s="34"/>
      <c r="P154" s="34"/>
      <c r="Q154" s="34"/>
      <c r="R154" s="34"/>
      <c r="S154" s="34"/>
    </row>
    <row r="155" spans="2:20" ht="14" hidden="1">
      <c r="B155" s="269" t="s">
        <v>161</v>
      </c>
      <c r="C155" s="270"/>
      <c r="D155" s="271"/>
      <c r="E155" s="86" t="e">
        <f>E136/(2*PI()*0.25*E94*E152*0.001)</f>
        <v>#REF!</v>
      </c>
      <c r="F155" s="34"/>
      <c r="G155" s="34"/>
      <c r="L155" s="34"/>
      <c r="M155" s="34"/>
      <c r="N155" s="34"/>
      <c r="O155" s="34"/>
      <c r="P155" s="34"/>
      <c r="Q155" s="34"/>
      <c r="R155" s="34"/>
      <c r="S155" s="34"/>
    </row>
    <row r="156" spans="2:20" ht="14" hidden="1">
      <c r="B156" s="181"/>
      <c r="C156" s="181"/>
      <c r="D156" s="181"/>
      <c r="E156" s="181"/>
      <c r="F156" s="34"/>
      <c r="G156" s="34"/>
      <c r="L156" s="34"/>
      <c r="M156" s="34"/>
      <c r="N156" s="34"/>
      <c r="O156" s="93"/>
      <c r="P156" s="93"/>
      <c r="Q156" s="93"/>
      <c r="R156" s="34"/>
      <c r="S156" s="34"/>
    </row>
    <row r="157" spans="2:20" ht="14">
      <c r="B157" s="34"/>
      <c r="C157" s="34"/>
      <c r="D157" s="34"/>
      <c r="E157" s="34"/>
      <c r="F157" s="34"/>
      <c r="G157" s="93"/>
      <c r="H157" s="34"/>
      <c r="I157" s="34"/>
      <c r="J157" s="34"/>
      <c r="K157" s="34"/>
      <c r="L157" s="34"/>
      <c r="M157" s="34"/>
      <c r="N157" s="34"/>
      <c r="O157" s="93"/>
      <c r="P157" s="93"/>
      <c r="Q157" s="93"/>
      <c r="R157" s="34"/>
      <c r="S157" s="34"/>
      <c r="T157" s="34"/>
    </row>
    <row r="158" spans="2:20" ht="14">
      <c r="F158" s="34"/>
      <c r="G158" s="93"/>
      <c r="H158" s="34"/>
      <c r="I158" s="34"/>
      <c r="J158" s="93"/>
      <c r="K158" s="93"/>
      <c r="L158" s="93"/>
      <c r="M158" s="93"/>
      <c r="N158" s="93"/>
      <c r="O158" s="93"/>
      <c r="P158" s="93"/>
      <c r="Q158" s="93"/>
      <c r="R158" s="34"/>
      <c r="S158" s="34"/>
      <c r="T158" s="34"/>
    </row>
    <row r="159" spans="2:20" ht="14">
      <c r="F159" s="34"/>
      <c r="G159" s="93"/>
      <c r="H159" s="34"/>
      <c r="I159" s="34"/>
      <c r="J159" s="93"/>
      <c r="K159" s="93"/>
      <c r="L159" s="93"/>
      <c r="M159" s="93"/>
      <c r="N159" s="93"/>
      <c r="O159" s="93"/>
      <c r="P159" s="93"/>
      <c r="Q159" s="93"/>
      <c r="R159" s="34"/>
      <c r="S159" s="34"/>
      <c r="T159" s="34"/>
    </row>
    <row r="160" spans="2:20" ht="14">
      <c r="F160" s="34"/>
      <c r="G160" s="93"/>
      <c r="H160" s="34"/>
      <c r="I160" s="34"/>
      <c r="J160" s="93"/>
      <c r="K160" s="93"/>
      <c r="L160" s="93"/>
      <c r="M160" s="93"/>
      <c r="N160" s="93"/>
      <c r="O160" s="93"/>
      <c r="P160" s="93"/>
      <c r="Q160" s="93"/>
      <c r="R160" s="34"/>
      <c r="S160" s="34"/>
      <c r="T160" s="34"/>
    </row>
    <row r="161" spans="7:23">
      <c r="G161" s="32"/>
      <c r="J161" s="32"/>
      <c r="K161" s="32"/>
      <c r="L161" s="32"/>
      <c r="M161" s="32"/>
      <c r="N161" s="32"/>
      <c r="O161" s="32"/>
      <c r="P161" s="32"/>
      <c r="Q161" s="32"/>
    </row>
    <row r="162" spans="7:23">
      <c r="G162" s="32"/>
      <c r="J162" s="32"/>
      <c r="K162" s="32"/>
      <c r="L162" s="32"/>
      <c r="M162" s="32"/>
      <c r="N162" s="32"/>
      <c r="O162" s="32"/>
      <c r="P162" s="32"/>
      <c r="Q162" s="32"/>
    </row>
    <row r="163" spans="7:23">
      <c r="G163" s="32"/>
      <c r="J163" s="32"/>
      <c r="K163" s="32"/>
      <c r="L163" s="32"/>
      <c r="M163" s="32"/>
      <c r="N163" s="32"/>
      <c r="O163" s="32"/>
      <c r="P163" s="32"/>
      <c r="Q163" s="32"/>
      <c r="R163" s="32"/>
      <c r="S163" s="32"/>
      <c r="T163" s="32"/>
      <c r="W163" s="32"/>
    </row>
    <row r="164" spans="7:23">
      <c r="G164" s="32"/>
      <c r="J164" s="32"/>
      <c r="K164" s="32"/>
      <c r="L164" s="32"/>
      <c r="M164" s="32"/>
      <c r="N164" s="32"/>
      <c r="O164" s="32"/>
      <c r="P164" s="32"/>
      <c r="Q164" s="32"/>
      <c r="R164" s="32"/>
      <c r="S164" s="32"/>
      <c r="T164" s="32"/>
      <c r="U164" s="32"/>
      <c r="V164" s="32"/>
      <c r="W164" s="32"/>
    </row>
    <row r="165" spans="7:23">
      <c r="G165" s="32"/>
      <c r="J165" s="32"/>
      <c r="K165" s="32"/>
      <c r="L165" s="32"/>
      <c r="M165" s="32"/>
      <c r="N165" s="32"/>
      <c r="O165" s="32"/>
      <c r="P165" s="32"/>
      <c r="Q165" s="32"/>
      <c r="R165" s="32"/>
      <c r="S165" s="32"/>
      <c r="T165" s="32"/>
      <c r="U165" s="32"/>
      <c r="V165" s="32"/>
      <c r="W165" s="32"/>
    </row>
    <row r="166" spans="7:23">
      <c r="G166" s="32"/>
      <c r="J166" s="32"/>
      <c r="K166" s="32"/>
      <c r="L166" s="32"/>
      <c r="M166" s="32"/>
      <c r="N166" s="32"/>
      <c r="O166" s="32"/>
      <c r="P166" s="32"/>
      <c r="Q166" s="32"/>
      <c r="R166" s="32"/>
      <c r="S166" s="32"/>
      <c r="T166" s="32"/>
      <c r="U166" s="32"/>
      <c r="V166" s="32"/>
      <c r="W166" s="32"/>
    </row>
    <row r="167" spans="7:23">
      <c r="G167" s="32"/>
      <c r="J167" s="32"/>
      <c r="K167" s="32"/>
      <c r="L167" s="32"/>
      <c r="M167" s="32"/>
      <c r="N167" s="32"/>
      <c r="O167" s="32"/>
      <c r="P167" s="32"/>
      <c r="Q167" s="32"/>
      <c r="R167" s="32"/>
      <c r="S167" s="32"/>
      <c r="T167" s="32"/>
      <c r="U167" s="32"/>
      <c r="V167" s="32"/>
      <c r="W167" s="32"/>
    </row>
    <row r="168" spans="7:23">
      <c r="G168" s="32"/>
      <c r="J168" s="32"/>
      <c r="K168" s="32"/>
      <c r="L168" s="32"/>
      <c r="M168" s="32"/>
      <c r="N168" s="32"/>
      <c r="O168" s="32"/>
      <c r="P168" s="32"/>
      <c r="Q168" s="32"/>
      <c r="R168" s="32"/>
      <c r="S168" s="32"/>
      <c r="T168" s="32"/>
      <c r="U168" s="32"/>
      <c r="V168" s="32"/>
      <c r="W168" s="32"/>
    </row>
    <row r="169" spans="7:23">
      <c r="G169" s="32"/>
      <c r="J169" s="32"/>
      <c r="K169" s="32"/>
      <c r="L169" s="32"/>
      <c r="M169" s="32"/>
      <c r="N169" s="32"/>
      <c r="O169" s="32"/>
      <c r="P169" s="32"/>
      <c r="Q169" s="32"/>
      <c r="R169" s="32"/>
      <c r="S169" s="32"/>
      <c r="T169" s="32"/>
      <c r="U169" s="32"/>
      <c r="V169" s="32"/>
      <c r="W169" s="32"/>
    </row>
    <row r="212" spans="5:7" ht="14">
      <c r="E212" s="60" t="s">
        <v>162</v>
      </c>
      <c r="F212" s="60" t="s">
        <v>163</v>
      </c>
      <c r="G212" s="60" t="s">
        <v>163</v>
      </c>
    </row>
    <row r="213" spans="5:7" ht="14">
      <c r="E213" s="62">
        <v>3</v>
      </c>
      <c r="F213" s="63">
        <f t="shared" ref="F213:F244" si="3">(E213-$E$90)*$E$90/(E213*$E$94*$E$92*0.001*$E$91)</f>
        <v>0.28490028490028491</v>
      </c>
      <c r="G213" s="63">
        <f t="shared" ref="G213:G244" si="4">IF(AND(E213&gt;=$F$89,E213&lt;=$G$89),F213,-1)</f>
        <v>-1</v>
      </c>
    </row>
    <row r="214" spans="5:7" ht="14">
      <c r="E214" s="62">
        <v>3.5</v>
      </c>
      <c r="F214" s="63">
        <f t="shared" si="3"/>
        <v>0.30525030525030528</v>
      </c>
      <c r="G214" s="63">
        <f t="shared" si="4"/>
        <v>-1</v>
      </c>
    </row>
    <row r="215" spans="5:7" ht="14">
      <c r="E215" s="62">
        <v>4</v>
      </c>
      <c r="F215" s="63">
        <f t="shared" si="3"/>
        <v>0.32051282051282054</v>
      </c>
      <c r="G215" s="63">
        <f t="shared" si="4"/>
        <v>-1</v>
      </c>
    </row>
    <row r="216" spans="5:7" ht="14">
      <c r="E216" s="62">
        <v>4.5</v>
      </c>
      <c r="F216" s="63">
        <f t="shared" si="3"/>
        <v>0.33238366571699907</v>
      </c>
      <c r="G216" s="63">
        <f t="shared" si="4"/>
        <v>-1</v>
      </c>
    </row>
    <row r="217" spans="5:7" ht="14">
      <c r="E217" s="62">
        <v>5</v>
      </c>
      <c r="F217" s="63">
        <f t="shared" si="3"/>
        <v>0.34188034188034189</v>
      </c>
      <c r="G217" s="63">
        <f t="shared" si="4"/>
        <v>-1</v>
      </c>
    </row>
    <row r="218" spans="5:7" ht="14">
      <c r="E218" s="62">
        <v>5.5</v>
      </c>
      <c r="F218" s="63">
        <f t="shared" si="3"/>
        <v>0.34965034965034969</v>
      </c>
      <c r="G218" s="63">
        <f t="shared" si="4"/>
        <v>-1</v>
      </c>
    </row>
    <row r="219" spans="5:7" ht="14">
      <c r="E219" s="62">
        <v>6</v>
      </c>
      <c r="F219" s="63">
        <f t="shared" si="3"/>
        <v>0.35612535612535612</v>
      </c>
      <c r="G219" s="63">
        <f t="shared" si="4"/>
        <v>-1</v>
      </c>
    </row>
    <row r="220" spans="5:7" ht="14">
      <c r="E220" s="62">
        <v>6.5</v>
      </c>
      <c r="F220" s="63">
        <f t="shared" si="3"/>
        <v>0.36160420775805391</v>
      </c>
      <c r="G220" s="63">
        <f t="shared" si="4"/>
        <v>-1</v>
      </c>
    </row>
    <row r="221" spans="5:7" ht="14">
      <c r="E221" s="62">
        <v>7</v>
      </c>
      <c r="F221" s="63">
        <f t="shared" si="3"/>
        <v>0.36630036630036633</v>
      </c>
      <c r="G221" s="63">
        <f t="shared" si="4"/>
        <v>-1</v>
      </c>
    </row>
    <row r="222" spans="5:7" ht="14">
      <c r="E222" s="62">
        <v>7.5</v>
      </c>
      <c r="F222" s="63">
        <f t="shared" si="3"/>
        <v>0.37037037037037041</v>
      </c>
      <c r="G222" s="63">
        <f t="shared" si="4"/>
        <v>-1</v>
      </c>
    </row>
    <row r="223" spans="5:7" ht="14">
      <c r="E223" s="62">
        <v>8</v>
      </c>
      <c r="F223" s="63">
        <f t="shared" si="3"/>
        <v>0.37393162393162394</v>
      </c>
      <c r="G223" s="63">
        <f t="shared" si="4"/>
        <v>-1</v>
      </c>
    </row>
    <row r="224" spans="5:7" ht="14">
      <c r="E224" s="62">
        <v>8.5</v>
      </c>
      <c r="F224" s="63">
        <f t="shared" si="3"/>
        <v>0.37707390648567118</v>
      </c>
      <c r="G224" s="63">
        <f t="shared" si="4"/>
        <v>-1</v>
      </c>
    </row>
    <row r="225" spans="5:7" ht="14">
      <c r="E225" s="62">
        <v>9</v>
      </c>
      <c r="F225" s="63">
        <f t="shared" si="3"/>
        <v>0.37986704653371323</v>
      </c>
      <c r="G225" s="63">
        <f t="shared" si="4"/>
        <v>-1</v>
      </c>
    </row>
    <row r="226" spans="5:7" ht="14">
      <c r="E226" s="62">
        <v>9.5</v>
      </c>
      <c r="F226" s="63">
        <f t="shared" si="3"/>
        <v>0.38236617183985605</v>
      </c>
      <c r="G226" s="63">
        <f t="shared" si="4"/>
        <v>-1</v>
      </c>
    </row>
    <row r="227" spans="5:7" ht="14">
      <c r="E227" s="62">
        <v>10</v>
      </c>
      <c r="F227" s="63">
        <f t="shared" si="3"/>
        <v>0.38461538461538464</v>
      </c>
      <c r="G227" s="63">
        <f t="shared" si="4"/>
        <v>-1</v>
      </c>
    </row>
    <row r="228" spans="5:7" ht="14">
      <c r="E228" s="62">
        <v>10.5</v>
      </c>
      <c r="F228" s="63">
        <f t="shared" si="3"/>
        <v>0.38665038665038665</v>
      </c>
      <c r="G228" s="63">
        <f t="shared" si="4"/>
        <v>-1</v>
      </c>
    </row>
    <row r="229" spans="5:7" ht="14">
      <c r="E229" s="62">
        <v>11</v>
      </c>
      <c r="F229" s="63">
        <f t="shared" si="3"/>
        <v>0.38850038850038854</v>
      </c>
      <c r="G229" s="63">
        <f t="shared" si="4"/>
        <v>-1</v>
      </c>
    </row>
    <row r="230" spans="5:7" ht="14">
      <c r="E230" s="62">
        <v>11.5</v>
      </c>
      <c r="F230" s="63">
        <f t="shared" si="3"/>
        <v>0.39018952062430329</v>
      </c>
      <c r="G230" s="63">
        <f t="shared" si="4"/>
        <v>-1</v>
      </c>
    </row>
    <row r="231" spans="5:7" ht="14">
      <c r="E231" s="62">
        <v>12</v>
      </c>
      <c r="F231" s="63">
        <f t="shared" si="3"/>
        <v>0.3917378917378917</v>
      </c>
      <c r="G231" s="63">
        <f t="shared" si="4"/>
        <v>0.3917378917378917</v>
      </c>
    </row>
    <row r="232" spans="5:7" ht="14">
      <c r="E232" s="62">
        <v>12.5</v>
      </c>
      <c r="F232" s="63">
        <f t="shared" si="3"/>
        <v>0.39316239316239315</v>
      </c>
      <c r="G232" s="63">
        <f t="shared" si="4"/>
        <v>-1</v>
      </c>
    </row>
    <row r="233" spans="5:7" ht="14">
      <c r="E233" s="62">
        <v>13</v>
      </c>
      <c r="F233" s="63">
        <f t="shared" si="3"/>
        <v>0.39447731755424065</v>
      </c>
      <c r="G233" s="63">
        <f t="shared" si="4"/>
        <v>-1</v>
      </c>
    </row>
    <row r="234" spans="5:7" ht="14">
      <c r="E234" s="62">
        <v>13.5</v>
      </c>
      <c r="F234" s="63">
        <f t="shared" si="3"/>
        <v>0.39569484013928463</v>
      </c>
      <c r="G234" s="63">
        <f t="shared" si="4"/>
        <v>-1</v>
      </c>
    </row>
    <row r="235" spans="5:7" ht="14">
      <c r="E235" s="62">
        <v>14</v>
      </c>
      <c r="F235" s="63">
        <f t="shared" si="3"/>
        <v>0.39682539682539686</v>
      </c>
      <c r="G235" s="63">
        <f t="shared" si="4"/>
        <v>-1</v>
      </c>
    </row>
    <row r="236" spans="5:7" ht="14">
      <c r="E236" s="62">
        <v>14.5</v>
      </c>
      <c r="F236" s="63">
        <f t="shared" si="3"/>
        <v>0.39787798408488062</v>
      </c>
      <c r="G236" s="63">
        <f t="shared" si="4"/>
        <v>-1</v>
      </c>
    </row>
    <row r="237" spans="5:7" ht="14">
      <c r="E237" s="62">
        <v>15</v>
      </c>
      <c r="F237" s="63">
        <f t="shared" si="3"/>
        <v>0.39886039886039892</v>
      </c>
      <c r="G237" s="63">
        <f t="shared" si="4"/>
        <v>-1</v>
      </c>
    </row>
    <row r="238" spans="5:7" ht="14">
      <c r="E238" s="62">
        <v>15.5</v>
      </c>
      <c r="F238" s="63">
        <f t="shared" si="3"/>
        <v>0.3997794320374965</v>
      </c>
      <c r="G238" s="63">
        <f t="shared" si="4"/>
        <v>-1</v>
      </c>
    </row>
    <row r="239" spans="5:7" ht="14">
      <c r="E239" s="62">
        <v>16</v>
      </c>
      <c r="F239" s="63">
        <f t="shared" si="3"/>
        <v>0.40064102564102566</v>
      </c>
      <c r="G239" s="63">
        <f t="shared" si="4"/>
        <v>-1</v>
      </c>
    </row>
    <row r="240" spans="5:7" ht="14">
      <c r="E240" s="62">
        <v>16.5</v>
      </c>
      <c r="F240" s="63">
        <f t="shared" si="3"/>
        <v>0.40145040145040145</v>
      </c>
      <c r="G240" s="63">
        <f t="shared" si="4"/>
        <v>-1</v>
      </c>
    </row>
    <row r="241" spans="5:7" ht="14">
      <c r="E241" s="62">
        <v>17</v>
      </c>
      <c r="F241" s="63">
        <f t="shared" si="3"/>
        <v>0.40221216691804929</v>
      </c>
      <c r="G241" s="63">
        <f t="shared" si="4"/>
        <v>-1</v>
      </c>
    </row>
    <row r="242" spans="5:7" ht="14">
      <c r="E242" s="62">
        <v>17.5</v>
      </c>
      <c r="F242" s="63">
        <f t="shared" si="3"/>
        <v>0.402930402930403</v>
      </c>
      <c r="G242" s="63">
        <f t="shared" si="4"/>
        <v>-1</v>
      </c>
    </row>
    <row r="243" spans="5:7" ht="14">
      <c r="E243" s="62">
        <v>18</v>
      </c>
      <c r="F243" s="63">
        <f t="shared" si="3"/>
        <v>0.40360873694207028</v>
      </c>
      <c r="G243" s="63">
        <f t="shared" si="4"/>
        <v>-1</v>
      </c>
    </row>
    <row r="244" spans="5:7" ht="14">
      <c r="E244" s="62">
        <v>18.5</v>
      </c>
      <c r="F244" s="63">
        <f t="shared" si="3"/>
        <v>0.40425040425040426</v>
      </c>
      <c r="G244" s="63">
        <f t="shared" si="4"/>
        <v>-1</v>
      </c>
    </row>
    <row r="245" spans="5:7" ht="14">
      <c r="E245" s="62">
        <v>19</v>
      </c>
      <c r="F245" s="63">
        <f t="shared" ref="F245:F263" si="5">(E245-$E$90)*$E$90/(E245*$E$94*$E$92*0.001*$E$91)</f>
        <v>0.40485829959514169</v>
      </c>
      <c r="G245" s="63">
        <f t="shared" ref="G245:G263" si="6">IF(AND(E245&gt;=$F$89,E245&lt;=$G$89),F245,-1)</f>
        <v>-1</v>
      </c>
    </row>
    <row r="246" spans="5:7" ht="14">
      <c r="E246" s="62">
        <v>19.5</v>
      </c>
      <c r="F246" s="63">
        <f t="shared" si="5"/>
        <v>0.40543502081963617</v>
      </c>
      <c r="G246" s="63">
        <f t="shared" si="6"/>
        <v>-1</v>
      </c>
    </row>
    <row r="247" spans="5:7" ht="14">
      <c r="E247" s="62">
        <v>20</v>
      </c>
      <c r="F247" s="63">
        <f t="shared" si="5"/>
        <v>0.40598290598290598</v>
      </c>
      <c r="G247" s="63">
        <f t="shared" si="6"/>
        <v>-1</v>
      </c>
    </row>
    <row r="248" spans="5:7" ht="14">
      <c r="E248" s="62">
        <v>20.5</v>
      </c>
      <c r="F248" s="63">
        <f t="shared" si="5"/>
        <v>0.4065040650406504</v>
      </c>
      <c r="G248" s="63">
        <f t="shared" si="6"/>
        <v>-1</v>
      </c>
    </row>
    <row r="249" spans="5:7" ht="14">
      <c r="E249" s="62">
        <v>21</v>
      </c>
      <c r="F249" s="63">
        <f t="shared" si="5"/>
        <v>0.40700040700040702</v>
      </c>
      <c r="G249" s="63">
        <f t="shared" si="6"/>
        <v>-1</v>
      </c>
    </row>
    <row r="250" spans="5:7" ht="14">
      <c r="E250" s="62">
        <v>21.5</v>
      </c>
      <c r="F250" s="63">
        <f t="shared" si="5"/>
        <v>0.40747366328761681</v>
      </c>
      <c r="G250" s="63">
        <f t="shared" si="6"/>
        <v>-1</v>
      </c>
    </row>
    <row r="251" spans="5:7" ht="14">
      <c r="E251" s="62">
        <v>22</v>
      </c>
      <c r="F251" s="63">
        <f t="shared" si="5"/>
        <v>0.40792540792540793</v>
      </c>
      <c r="G251" s="63">
        <f t="shared" si="6"/>
        <v>-1</v>
      </c>
    </row>
    <row r="252" spans="5:7" ht="14">
      <c r="E252" s="62">
        <v>22.5</v>
      </c>
      <c r="F252" s="63">
        <f t="shared" si="5"/>
        <v>0.40835707502374169</v>
      </c>
      <c r="G252" s="63">
        <f t="shared" si="6"/>
        <v>-1</v>
      </c>
    </row>
    <row r="253" spans="5:7" ht="14">
      <c r="E253" s="62">
        <v>23</v>
      </c>
      <c r="F253" s="63">
        <f t="shared" si="5"/>
        <v>0.40876997398736536</v>
      </c>
      <c r="G253" s="63">
        <f t="shared" si="6"/>
        <v>-1</v>
      </c>
    </row>
    <row r="254" spans="5:7" ht="14">
      <c r="E254" s="62">
        <v>23.5</v>
      </c>
      <c r="F254" s="63">
        <f t="shared" si="5"/>
        <v>0.4091653027823241</v>
      </c>
      <c r="G254" s="63">
        <f t="shared" si="6"/>
        <v>-1</v>
      </c>
    </row>
    <row r="255" spans="5:7" ht="14">
      <c r="E255" s="62">
        <v>24</v>
      </c>
      <c r="F255" s="63">
        <f t="shared" si="5"/>
        <v>0.40954415954415951</v>
      </c>
      <c r="G255" s="63">
        <f t="shared" si="6"/>
        <v>-1</v>
      </c>
    </row>
    <row r="256" spans="5:7" ht="14">
      <c r="E256" s="62">
        <v>24.5</v>
      </c>
      <c r="F256" s="63">
        <f t="shared" si="5"/>
        <v>0.40990755276469565</v>
      </c>
      <c r="G256" s="63">
        <f t="shared" si="6"/>
        <v>-1</v>
      </c>
    </row>
    <row r="257" spans="5:7" ht="14">
      <c r="E257" s="62">
        <v>25</v>
      </c>
      <c r="F257" s="63">
        <f t="shared" si="5"/>
        <v>0.41025641025641024</v>
      </c>
      <c r="G257" s="63">
        <f t="shared" si="6"/>
        <v>-1</v>
      </c>
    </row>
    <row r="258" spans="5:7" ht="14">
      <c r="E258" s="62">
        <v>25.5</v>
      </c>
      <c r="F258" s="63">
        <f t="shared" si="5"/>
        <v>0.4105915870621753</v>
      </c>
      <c r="G258" s="63">
        <f t="shared" si="6"/>
        <v>-1</v>
      </c>
    </row>
    <row r="259" spans="5:7" ht="14">
      <c r="E259" s="62">
        <v>26</v>
      </c>
      <c r="F259" s="63">
        <f t="shared" si="5"/>
        <v>0.41091387245233402</v>
      </c>
      <c r="G259" s="63">
        <f t="shared" si="6"/>
        <v>-1</v>
      </c>
    </row>
    <row r="260" spans="5:7" ht="14">
      <c r="E260" s="62">
        <v>26.5</v>
      </c>
      <c r="F260" s="63">
        <f t="shared" si="5"/>
        <v>0.41122399612965649</v>
      </c>
      <c r="G260" s="63">
        <f t="shared" si="6"/>
        <v>-1</v>
      </c>
    </row>
    <row r="261" spans="5:7" ht="14">
      <c r="E261" s="62">
        <v>27</v>
      </c>
      <c r="F261" s="63">
        <f t="shared" si="5"/>
        <v>0.41152263374485604</v>
      </c>
      <c r="G261" s="63">
        <f t="shared" si="6"/>
        <v>-1</v>
      </c>
    </row>
    <row r="262" spans="5:7" ht="14">
      <c r="E262" s="62">
        <v>27.5</v>
      </c>
      <c r="F262" s="63">
        <f t="shared" si="5"/>
        <v>0.41181041181041178</v>
      </c>
      <c r="G262" s="63">
        <f t="shared" si="6"/>
        <v>-1</v>
      </c>
    </row>
    <row r="263" spans="5:7" ht="14">
      <c r="E263" s="62">
        <v>28</v>
      </c>
      <c r="F263" s="63">
        <f t="shared" si="5"/>
        <v>0.41208791208791212</v>
      </c>
      <c r="G263" s="63">
        <f t="shared" si="6"/>
        <v>-1</v>
      </c>
    </row>
  </sheetData>
  <sheetProtection password="CCD8" sheet="1" objects="1" scenarios="1"/>
  <mergeCells count="113">
    <mergeCell ref="L3:M3"/>
    <mergeCell ref="O3:P3"/>
    <mergeCell ref="L4:M4"/>
    <mergeCell ref="O4:P5"/>
    <mergeCell ref="L5:M5"/>
    <mergeCell ref="K14:L14"/>
    <mergeCell ref="N14:O15"/>
    <mergeCell ref="K15:L15"/>
    <mergeCell ref="L6:M6"/>
    <mergeCell ref="O6:P7"/>
    <mergeCell ref="L7:M7"/>
    <mergeCell ref="K13:L13"/>
    <mergeCell ref="K11:L11"/>
    <mergeCell ref="N11:O11"/>
    <mergeCell ref="K12:L12"/>
    <mergeCell ref="I61:J61"/>
    <mergeCell ref="C68:D68"/>
    <mergeCell ref="E68:F68"/>
    <mergeCell ref="C66:E66"/>
    <mergeCell ref="C63:F63"/>
    <mergeCell ref="B92:D92"/>
    <mergeCell ref="B94:D94"/>
    <mergeCell ref="B97:D97"/>
    <mergeCell ref="N12:O13"/>
    <mergeCell ref="B17:B18"/>
    <mergeCell ref="B20:B21"/>
    <mergeCell ref="C59:D59"/>
    <mergeCell ref="C61:D61"/>
    <mergeCell ref="D30:E30"/>
    <mergeCell ref="B53:B54"/>
    <mergeCell ref="B96:D96"/>
    <mergeCell ref="B91:D91"/>
    <mergeCell ref="B155:D155"/>
    <mergeCell ref="F23:G23"/>
    <mergeCell ref="F24:G24"/>
    <mergeCell ref="F25:G25"/>
    <mergeCell ref="B144:D144"/>
    <mergeCell ref="G131:G132"/>
    <mergeCell ref="G29:H29"/>
    <mergeCell ref="G30:H30"/>
    <mergeCell ref="B88:D88"/>
    <mergeCell ref="B68:B69"/>
    <mergeCell ref="B81:C81"/>
    <mergeCell ref="F37:G37"/>
    <mergeCell ref="F38:G38"/>
    <mergeCell ref="F39:G39"/>
    <mergeCell ref="B135:D135"/>
    <mergeCell ref="B78:C78"/>
    <mergeCell ref="B79:C79"/>
    <mergeCell ref="G80:G82"/>
    <mergeCell ref="B80:C80"/>
    <mergeCell ref="B82:C82"/>
    <mergeCell ref="B63:B64"/>
    <mergeCell ref="B138:D138"/>
    <mergeCell ref="B139:D139"/>
    <mergeCell ref="B152:D152"/>
    <mergeCell ref="B153:D153"/>
    <mergeCell ref="B148:D148"/>
    <mergeCell ref="B149:D149"/>
    <mergeCell ref="B137:D137"/>
    <mergeCell ref="B150:D150"/>
    <mergeCell ref="B145:D145"/>
    <mergeCell ref="B146:D146"/>
    <mergeCell ref="B147:D147"/>
    <mergeCell ref="B142:D142"/>
    <mergeCell ref="B143:D143"/>
    <mergeCell ref="B132:D132"/>
    <mergeCell ref="B136:D136"/>
    <mergeCell ref="B151:D151"/>
    <mergeCell ref="I59:J59"/>
    <mergeCell ref="C60:D60"/>
    <mergeCell ref="I60:J60"/>
    <mergeCell ref="D29:E29"/>
    <mergeCell ref="D31:E31"/>
    <mergeCell ref="C37:D37"/>
    <mergeCell ref="C38:D38"/>
    <mergeCell ref="C39:D39"/>
    <mergeCell ref="G31:H31"/>
    <mergeCell ref="D53:H53"/>
    <mergeCell ref="B100:D100"/>
    <mergeCell ref="B101:D101"/>
    <mergeCell ref="B98:D98"/>
    <mergeCell ref="B103:D103"/>
    <mergeCell ref="B104:D104"/>
    <mergeCell ref="B106:D106"/>
    <mergeCell ref="B102:D102"/>
    <mergeCell ref="B105:D105"/>
    <mergeCell ref="B89:D89"/>
    <mergeCell ref="B90:D90"/>
    <mergeCell ref="B93:D93"/>
    <mergeCell ref="B99:D99"/>
    <mergeCell ref="B107:D107"/>
    <mergeCell ref="B120:D120"/>
    <mergeCell ref="B112:D112"/>
    <mergeCell ref="B108:D108"/>
    <mergeCell ref="B109:D109"/>
    <mergeCell ref="B110:D110"/>
    <mergeCell ref="B111:D111"/>
    <mergeCell ref="B117:D117"/>
    <mergeCell ref="B118:D118"/>
    <mergeCell ref="B113:D113"/>
    <mergeCell ref="B114:D114"/>
    <mergeCell ref="B115:D115"/>
    <mergeCell ref="B116:D116"/>
    <mergeCell ref="B131:D131"/>
    <mergeCell ref="B125:D125"/>
    <mergeCell ref="B128:D128"/>
    <mergeCell ref="B121:D121"/>
    <mergeCell ref="B122:D122"/>
    <mergeCell ref="B124:D124"/>
    <mergeCell ref="B123:D123"/>
    <mergeCell ref="B129:D129"/>
    <mergeCell ref="B130:D130"/>
  </mergeCells>
  <phoneticPr fontId="2"/>
  <conditionalFormatting sqref="L112:M113 P112:Q113">
    <cfRule type="cellIs" dxfId="2" priority="1" stopIfTrue="1" operator="greaterThan">
      <formula>375</formula>
    </cfRule>
  </conditionalFormatting>
  <conditionalFormatting sqref="D70 F70 C66:E66">
    <cfRule type="cellIs" dxfId="1" priority="2" stopIfTrue="1" operator="lessThan">
      <formula>25</formula>
    </cfRule>
    <cfRule type="cellIs" dxfId="0" priority="3" stopIfTrue="1" operator="greaterThan">
      <formula>375</formula>
    </cfRule>
  </conditionalFormatting>
  <dataValidations count="3">
    <dataValidation operator="greaterThanOrEqual" allowBlank="1" showInputMessage="1" showErrorMessage="1" sqref="C48" xr:uid="{00000000-0002-0000-0100-000000000000}"/>
    <dataValidation type="decimal" allowBlank="1" showInputMessage="1" showErrorMessage="1" sqref="C18:E18" xr:uid="{00000000-0002-0000-0100-000001000000}">
      <formula1>3</formula1>
      <formula2>28</formula2>
    </dataValidation>
    <dataValidation type="list" operator="greaterThan" showInputMessage="1" showErrorMessage="1" sqref="E24" xr:uid="{00000000-0002-0000-0100-000002000000}">
      <formula1>$H$131:$H$132</formula1>
    </dataValidation>
  </dataValidations>
  <pageMargins left="0.63" right="0.15" top="0.98399999999999999" bottom="0.98399999999999999" header="0.51200000000000001" footer="0.51200000000000001"/>
  <pageSetup paperSize="9" scale="33" orientation="portrait" horizontalDpi="1200" verticalDpi="1200" r:id="rId1"/>
  <headerFooter alignWithMargins="0">
    <oddHeader>&amp;LTI Information – Selective Disclosure</oddHeader>
    <oddFooter>&amp;LTI Information – Selective Disclosure</oddFooter>
  </headerFooter>
  <colBreaks count="1" manualBreakCount="1">
    <brk id="26" max="82" man="1"/>
  </colBreaks>
  <drawing r:id="rId2"/>
  <legacyDrawing r:id="rId3"/>
  <oleObjects>
    <mc:AlternateContent xmlns:mc="http://schemas.openxmlformats.org/markup-compatibility/2006">
      <mc:Choice Requires="x14">
        <oleObject progId="Equation.3" shapeId="20608" r:id="rId4">
          <objectPr defaultSize="0" autoPict="0" r:id="rId5">
            <anchor moveWithCells="1">
              <from>
                <xdr:col>5</xdr:col>
                <xdr:colOff>6350</xdr:colOff>
                <xdr:row>41</xdr:row>
                <xdr:rowOff>25400</xdr:rowOff>
              </from>
              <to>
                <xdr:col>6</xdr:col>
                <xdr:colOff>520700</xdr:colOff>
                <xdr:row>43</xdr:row>
                <xdr:rowOff>88900</xdr:rowOff>
              </to>
            </anchor>
          </objectPr>
        </oleObject>
      </mc:Choice>
      <mc:Fallback>
        <oleObject progId="Equation.3" shapeId="20608" r:id="rId4"/>
      </mc:Fallback>
    </mc:AlternateContent>
    <mc:AlternateContent xmlns:mc="http://schemas.openxmlformats.org/markup-compatibility/2006">
      <mc:Choice Requires="x14">
        <oleObject progId="Equation.3" shapeId="20609" r:id="rId6">
          <objectPr defaultSize="0" autoPict="0" r:id="rId7">
            <anchor moveWithCells="1">
              <from>
                <xdr:col>1</xdr:col>
                <xdr:colOff>450850</xdr:colOff>
                <xdr:row>41</xdr:row>
                <xdr:rowOff>31750</xdr:rowOff>
              </from>
              <to>
                <xdr:col>4</xdr:col>
                <xdr:colOff>120650</xdr:colOff>
                <xdr:row>43</xdr:row>
                <xdr:rowOff>82550</xdr:rowOff>
              </to>
            </anchor>
          </objectPr>
        </oleObject>
      </mc:Choice>
      <mc:Fallback>
        <oleObject progId="Equation.3" shapeId="20609" r:id="rId6"/>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07CFBB1BD6794F9E0B064697BC0F97" ma:contentTypeVersion="0" ma:contentTypeDescription="Create a new document." ma:contentTypeScope="" ma:versionID="f51c27aa4cd5ed4c563776673dd6d329">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8AF502FD-F9FB-4D41-948B-F8A2F0CFB7B7}">
  <ds:schemaRefs>
    <ds:schemaRef ds:uri="http://schemas.microsoft.com/sharepoint/v3/contenttype/forms"/>
  </ds:schemaRefs>
</ds:datastoreItem>
</file>

<file path=customXml/itemProps2.xml><?xml version="1.0" encoding="utf-8"?>
<ds:datastoreItem xmlns:ds="http://schemas.openxmlformats.org/officeDocument/2006/customXml" ds:itemID="{361DD19E-732D-4521-9543-CABEDFB723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25E49B0-CCA9-4F34-A274-7EB6E03FD9E7}">
  <ds:schemaRefs>
    <ds:schemaRef ds:uri="http://purl.org/dc/term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DCAP</vt:lpstr>
      <vt:lpstr>DCAP2</vt:lpstr>
      <vt:lpstr>DCAP!Print_Area</vt:lpstr>
      <vt:lpstr>DCAP2!Print_Area</vt:lpstr>
    </vt:vector>
  </TitlesOfParts>
  <Company>Texas Instruments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Shuichi Ishikawa</dc:creator>
  <cp:lastModifiedBy>Tie, Aurora</cp:lastModifiedBy>
  <cp:lastPrinted>2009-08-26T09:05:34Z</cp:lastPrinted>
  <dcterms:created xsi:type="dcterms:W3CDTF">2008-09-25T09:11:17Z</dcterms:created>
  <dcterms:modified xsi:type="dcterms:W3CDTF">2024-03-18T06:44:24Z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0x0101001707CFBB1BD6794F9E0B064697BC0F97</vt:lpwstr>
  </property>
</Properties>
</file>