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93" yWindow="473" windowWidth="3321" windowHeight="8436"/>
  </bookViews>
  <sheets>
    <sheet name="2010-05" sheetId="13" r:id="rId1"/>
    <sheet name="Checklist" sheetId="10" r:id="rId2"/>
  </sheets>
  <externalReferences>
    <externalReference r:id="rId3"/>
  </externalReferences>
  <definedNames>
    <definedName name="_xlnm._FilterDatabase" localSheetId="0" hidden="1">'2010-05'!$B$10:$L$32</definedName>
    <definedName name="_xlnm._FilterDatabase" localSheetId="1" hidden="1">Checklist!$A$6:$F$93</definedName>
    <definedName name="B_cons">[1]NTC_5!$H$6</definedName>
    <definedName name="DCR_20">[1]NTC_5!$H$8</definedName>
    <definedName name="_xlnm.Print_Area" localSheetId="0">'2010-05'!$A$1:$N$184</definedName>
    <definedName name="_xlnm.Print_Area" localSheetId="1">Checklist!$B$1:$F$93</definedName>
    <definedName name="_xlnm.Print_Titles" localSheetId="1">Checklist!$6:$6</definedName>
    <definedName name="R_c1">[1]NTC_5!$M$6</definedName>
    <definedName name="R_c2">[1]NTC_5!$M$7</definedName>
    <definedName name="Rntc_20">[1]NTC_5!$H$5</definedName>
    <definedName name="Rx">[1]NTC_5!$M$5</definedName>
    <definedName name="solver_adj" localSheetId="0" hidden="1">'2010-05'!$B$388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'2010-05'!$AD$388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Ta">[1]NTC_5!$D$8</definedName>
    <definedName name="Target_Rthe">[1]NTC_5!$M$8</definedName>
    <definedName name="Tc_cu">[1]NTC_5!$H$9</definedName>
    <definedName name="Tc_NTC">[1]NTC_5!$D$9</definedName>
  </definedNames>
  <calcPr calcId="145621"/>
</workbook>
</file>

<file path=xl/calcChain.xml><?xml version="1.0" encoding="utf-8"?>
<calcChain xmlns="http://schemas.openxmlformats.org/spreadsheetml/2006/main">
  <c r="C301" i="13" l="1"/>
  <c r="C304" i="13"/>
  <c r="D301" i="13"/>
  <c r="D319" i="13"/>
  <c r="D304" i="13"/>
  <c r="C325" i="13"/>
  <c r="C324" i="13" s="1"/>
  <c r="C323" i="13"/>
  <c r="C329" i="13"/>
  <c r="D329" i="13" s="1"/>
  <c r="C332" i="13"/>
  <c r="C330" i="13"/>
  <c r="K646" i="13" s="1"/>
  <c r="C337" i="13"/>
  <c r="D332" i="13"/>
  <c r="B425" i="13" s="1"/>
  <c r="B426" i="13" s="1"/>
  <c r="D337" i="13"/>
  <c r="C822" i="13"/>
  <c r="J36" i="13" s="1"/>
  <c r="J37" i="13"/>
  <c r="B40" i="13"/>
  <c r="C470" i="13"/>
  <c r="C468" i="13"/>
  <c r="C471" i="13"/>
  <c r="B41" i="13"/>
  <c r="D806" i="13"/>
  <c r="D468" i="13"/>
  <c r="D470" i="13"/>
  <c r="D471" i="13"/>
  <c r="C336" i="13"/>
  <c r="C338" i="13"/>
  <c r="D336" i="13"/>
  <c r="D338" i="13"/>
  <c r="C608" i="13"/>
  <c r="C610" i="13"/>
  <c r="C466" i="13"/>
  <c r="C788" i="13"/>
  <c r="D788" i="13" s="1"/>
  <c r="C469" i="13"/>
  <c r="D608" i="13"/>
  <c r="D610" i="13"/>
  <c r="D466" i="13"/>
  <c r="D469" i="13"/>
  <c r="D784" i="13"/>
  <c r="D563" i="13" s="1"/>
  <c r="D339" i="13"/>
  <c r="D661" i="13"/>
  <c r="D1259" i="13"/>
  <c r="C57" i="13" s="1"/>
  <c r="E1259" i="13"/>
  <c r="E163" i="13" s="1"/>
  <c r="F1259" i="13"/>
  <c r="E57" i="13" s="1"/>
  <c r="C571" i="13"/>
  <c r="C573" i="13"/>
  <c r="C328" i="13"/>
  <c r="C807" i="13"/>
  <c r="D807" i="13" s="1"/>
  <c r="C805" i="13"/>
  <c r="C787" i="13"/>
  <c r="D787" i="13" s="1"/>
  <c r="D571" i="13"/>
  <c r="D573" i="13"/>
  <c r="D805" i="13"/>
  <c r="C642" i="13"/>
  <c r="C644" i="13"/>
  <c r="D797" i="13"/>
  <c r="D642" i="13"/>
  <c r="D644" i="13"/>
  <c r="C681" i="13"/>
  <c r="C685" i="13"/>
  <c r="D681" i="13"/>
  <c r="D685" i="13"/>
  <c r="C482" i="13"/>
  <c r="C491" i="13"/>
  <c r="D482" i="13"/>
  <c r="T415" i="13" s="1"/>
  <c r="U415" i="13" s="1"/>
  <c r="V415" i="13" s="1"/>
  <c r="D491" i="13"/>
  <c r="C485" i="13"/>
  <c r="C486" i="13" s="1"/>
  <c r="D485" i="13"/>
  <c r="C487" i="13"/>
  <c r="C489" i="13"/>
  <c r="D487" i="13"/>
  <c r="D490" i="13" s="1"/>
  <c r="D107" i="13" s="1"/>
  <c r="D489" i="13"/>
  <c r="C483" i="13"/>
  <c r="D483" i="13"/>
  <c r="D794" i="13"/>
  <c r="D793" i="13"/>
  <c r="C741" i="13"/>
  <c r="C742" i="13"/>
  <c r="D741" i="13"/>
  <c r="D742" i="13"/>
  <c r="C727" i="13"/>
  <c r="C732" i="13"/>
  <c r="C730" i="13"/>
  <c r="C734" i="13"/>
  <c r="D727" i="13"/>
  <c r="D732" i="13"/>
  <c r="D730" i="13"/>
  <c r="D734" i="13"/>
  <c r="C760" i="13"/>
  <c r="C764" i="13"/>
  <c r="D760" i="13"/>
  <c r="D765" i="13" s="1"/>
  <c r="J139" i="13" s="1"/>
  <c r="D764" i="13"/>
  <c r="C703" i="13"/>
  <c r="D703" i="13"/>
  <c r="C768" i="13"/>
  <c r="D768" i="13"/>
  <c r="D1257" i="13"/>
  <c r="D172" i="13" s="1"/>
  <c r="G1257" i="13"/>
  <c r="G172" i="13" s="1"/>
  <c r="D1258" i="13"/>
  <c r="D173" i="13" s="1"/>
  <c r="G1258" i="13"/>
  <c r="G173" i="13" s="1"/>
  <c r="C819" i="13"/>
  <c r="E181" i="13" s="1"/>
  <c r="C825" i="13"/>
  <c r="E182" i="13" s="1"/>
  <c r="C305" i="13"/>
  <c r="C302" i="13"/>
  <c r="D320" i="13"/>
  <c r="D305" i="13"/>
  <c r="D302" i="13"/>
  <c r="C225" i="13"/>
  <c r="C638" i="13" s="1"/>
  <c r="D225" i="13"/>
  <c r="CJ334" i="13"/>
  <c r="CK336" i="13" s="1"/>
  <c r="CE336" i="13"/>
  <c r="CG336" i="13"/>
  <c r="CE337" i="13"/>
  <c r="CG337" i="13"/>
  <c r="C339" i="13"/>
  <c r="C843" i="13" s="1"/>
  <c r="BM339" i="13"/>
  <c r="BN339" i="13"/>
  <c r="BO339" i="13"/>
  <c r="BO350" i="13" s="1"/>
  <c r="BP339" i="13"/>
  <c r="BP350" i="13" s="1"/>
  <c r="BQ339" i="13"/>
  <c r="BR339" i="13"/>
  <c r="BR350" i="13" s="1"/>
  <c r="BS339" i="13"/>
  <c r="BS350" i="13" s="1"/>
  <c r="BT339" i="13"/>
  <c r="BT350" i="13" s="1"/>
  <c r="BU339" i="13"/>
  <c r="BN350" i="13"/>
  <c r="BM360" i="13"/>
  <c r="BM463" i="13" s="1"/>
  <c r="BN360" i="13"/>
  <c r="BN362" i="13" s="1"/>
  <c r="BO360" i="13"/>
  <c r="BO463" i="13" s="1"/>
  <c r="BO351" i="13" s="1"/>
  <c r="BP360" i="13"/>
  <c r="BP463" i="13" s="1"/>
  <c r="BQ360" i="13"/>
  <c r="BR360" i="13"/>
  <c r="BR463" i="13" s="1"/>
  <c r="BS360" i="13"/>
  <c r="BS463" i="13" s="1"/>
  <c r="BS351" i="13" s="1"/>
  <c r="BT360" i="13"/>
  <c r="BU360" i="13"/>
  <c r="BU463" i="13" s="1"/>
  <c r="BM361" i="13"/>
  <c r="BM467" i="13" s="1"/>
  <c r="BN361" i="13"/>
  <c r="BN467" i="13" s="1"/>
  <c r="BN352" i="13" s="1"/>
  <c r="BO361" i="13"/>
  <c r="BP361" i="13"/>
  <c r="BP467" i="13" s="1"/>
  <c r="BP352" i="13" s="1"/>
  <c r="BQ361" i="13"/>
  <c r="BQ467" i="13" s="1"/>
  <c r="BR361" i="13"/>
  <c r="BR467" i="13" s="1"/>
  <c r="BR352" i="13" s="1"/>
  <c r="BS361" i="13"/>
  <c r="BT361" i="13"/>
  <c r="BT467" i="13" s="1"/>
  <c r="BT352" i="13" s="1"/>
  <c r="BU361" i="13"/>
  <c r="BU467" i="13"/>
  <c r="BM473" i="13"/>
  <c r="BN473" i="13"/>
  <c r="BN353" i="13" s="1"/>
  <c r="BO473" i="13"/>
  <c r="BO353" i="13" s="1"/>
  <c r="BP473" i="13"/>
  <c r="BQ473" i="13"/>
  <c r="BR473" i="13"/>
  <c r="BR353" i="13" s="1"/>
  <c r="BS473" i="13"/>
  <c r="BS353" i="13" s="1"/>
  <c r="BT473" i="13"/>
  <c r="BU473" i="13"/>
  <c r="BM357" i="13"/>
  <c r="BN357" i="13"/>
  <c r="BO357" i="13"/>
  <c r="BP357" i="13"/>
  <c r="BQ357" i="13"/>
  <c r="BR357" i="13"/>
  <c r="BS357" i="13"/>
  <c r="BT357" i="13"/>
  <c r="BU357" i="13"/>
  <c r="BM362" i="13"/>
  <c r="BP362" i="13"/>
  <c r="BR362" i="13"/>
  <c r="C366" i="13"/>
  <c r="D366" i="13"/>
  <c r="S366" i="13"/>
  <c r="T366" i="13"/>
  <c r="U366" i="13" s="1"/>
  <c r="C387" i="13"/>
  <c r="D387" i="13"/>
  <c r="T387" i="13"/>
  <c r="U387" i="13" s="1"/>
  <c r="V387" i="13" s="1"/>
  <c r="C388" i="13"/>
  <c r="D388" i="13"/>
  <c r="T388" i="13"/>
  <c r="U388" i="13" s="1"/>
  <c r="C389" i="13"/>
  <c r="D389" i="13"/>
  <c r="T389" i="13"/>
  <c r="U389" i="13" s="1"/>
  <c r="C415" i="13"/>
  <c r="D415" i="13"/>
  <c r="S415" i="13"/>
  <c r="C436" i="13"/>
  <c r="D436" i="13"/>
  <c r="S436" i="13"/>
  <c r="C437" i="13"/>
  <c r="D437" i="13"/>
  <c r="S437" i="13"/>
  <c r="C438" i="13"/>
  <c r="D438" i="13"/>
  <c r="S438" i="13"/>
  <c r="T438" i="13"/>
  <c r="U438" i="13" s="1"/>
  <c r="V438" i="13" s="1"/>
  <c r="C465" i="13"/>
  <c r="D465" i="13"/>
  <c r="BO465" i="13"/>
  <c r="BP465" i="13"/>
  <c r="BS465" i="13"/>
  <c r="BM466" i="13"/>
  <c r="BN466" i="13"/>
  <c r="BP466" i="13"/>
  <c r="BQ466" i="13"/>
  <c r="BR466" i="13"/>
  <c r="BU466" i="13"/>
  <c r="BN468" i="13"/>
  <c r="BR468" i="13"/>
  <c r="BT468" i="13"/>
  <c r="BM469" i="13"/>
  <c r="BN469" i="13"/>
  <c r="BO469" i="13"/>
  <c r="BP469" i="13"/>
  <c r="BQ469" i="13"/>
  <c r="BR469" i="13"/>
  <c r="BS469" i="13"/>
  <c r="BT469" i="13"/>
  <c r="BU469" i="13"/>
  <c r="BO474" i="13"/>
  <c r="BP474" i="13"/>
  <c r="BS474" i="13"/>
  <c r="BM478" i="13"/>
  <c r="BM598" i="13" s="1"/>
  <c r="BN478" i="13"/>
  <c r="BN489" i="13" s="1"/>
  <c r="BO478" i="13"/>
  <c r="BP478" i="13"/>
  <c r="BQ478" i="13"/>
  <c r="BR478" i="13"/>
  <c r="BR489" i="13" s="1"/>
  <c r="BS478" i="13"/>
  <c r="BT478" i="13"/>
  <c r="BU478" i="13"/>
  <c r="BU598" i="13" s="1"/>
  <c r="BM480" i="13"/>
  <c r="BN480" i="13"/>
  <c r="BO480" i="13"/>
  <c r="BP480" i="13"/>
  <c r="BQ480" i="13"/>
  <c r="BR480" i="13"/>
  <c r="BS480" i="13"/>
  <c r="BT480" i="13"/>
  <c r="BU480" i="13"/>
  <c r="C493" i="13"/>
  <c r="BN518" i="13"/>
  <c r="BR518" i="13"/>
  <c r="BN534" i="13"/>
  <c r="BN535" i="13" s="1"/>
  <c r="BN536" i="13"/>
  <c r="BR536" i="13"/>
  <c r="BX537" i="13"/>
  <c r="BY537" i="13" s="1"/>
  <c r="BN538" i="13"/>
  <c r="BR538" i="13"/>
  <c r="BX538" i="13"/>
  <c r="BZ538" i="13"/>
  <c r="BM612" i="13"/>
  <c r="BN612" i="13"/>
  <c r="BO612" i="13"/>
  <c r="BP612" i="13"/>
  <c r="BQ612" i="13"/>
  <c r="BR612" i="13"/>
  <c r="BR539" i="13" s="1"/>
  <c r="BS612" i="13"/>
  <c r="BT612" i="13"/>
  <c r="BU612" i="13"/>
  <c r="BX539" i="13"/>
  <c r="BZ539" i="13" s="1"/>
  <c r="CC539" i="13"/>
  <c r="CF539" i="13" s="1"/>
  <c r="BX540" i="13"/>
  <c r="BR541" i="13"/>
  <c r="BM609" i="13"/>
  <c r="BN613" i="13"/>
  <c r="BN614" i="13" s="1"/>
  <c r="BN609" i="13"/>
  <c r="BO609" i="13"/>
  <c r="BP613" i="13"/>
  <c r="BP609" i="13"/>
  <c r="BQ609" i="13"/>
  <c r="BR613" i="13"/>
  <c r="BR609" i="13"/>
  <c r="BS609" i="13"/>
  <c r="C789" i="13"/>
  <c r="BT609" i="13"/>
  <c r="BU609" i="13"/>
  <c r="BM608" i="13"/>
  <c r="BN608" i="13"/>
  <c r="BO608" i="13"/>
  <c r="BP608" i="13"/>
  <c r="BP576" i="13" s="1"/>
  <c r="BQ563" i="13"/>
  <c r="BQ608" i="13" s="1"/>
  <c r="BR563" i="13"/>
  <c r="BR608" i="13" s="1"/>
  <c r="BS563" i="13"/>
  <c r="BS608" i="13" s="1"/>
  <c r="BS576" i="13" s="1"/>
  <c r="BS577" i="13" s="1"/>
  <c r="BT563" i="13"/>
  <c r="BT608" i="13" s="1"/>
  <c r="BU563" i="13"/>
  <c r="BU608" i="13"/>
  <c r="CU545" i="13"/>
  <c r="CV545" i="13"/>
  <c r="CU546" i="13"/>
  <c r="CV546" i="13"/>
  <c r="CU547" i="13"/>
  <c r="CV547" i="13"/>
  <c r="CU548" i="13"/>
  <c r="CV548" i="13"/>
  <c r="CC549" i="13"/>
  <c r="CF549" i="13" s="1"/>
  <c r="CU549" i="13"/>
  <c r="CV549" i="13"/>
  <c r="CC550" i="13"/>
  <c r="CJ550" i="13" s="1"/>
  <c r="CM550" i="13" s="1"/>
  <c r="CU550" i="13"/>
  <c r="CV550" i="13"/>
  <c r="CU551" i="13"/>
  <c r="CV551" i="13"/>
  <c r="CT552" i="13"/>
  <c r="CU552" i="13"/>
  <c r="CT553" i="13"/>
  <c r="CU553" i="13"/>
  <c r="BW554" i="13"/>
  <c r="CT554" i="13"/>
  <c r="CU554" i="13"/>
  <c r="BQ557" i="13"/>
  <c r="BM563" i="13"/>
  <c r="BN563" i="13"/>
  <c r="BO563" i="13"/>
  <c r="BO565" i="13" s="1"/>
  <c r="BP563" i="13"/>
  <c r="BP565" i="13" s="1"/>
  <c r="BM565" i="13"/>
  <c r="BN565" i="13"/>
  <c r="BQ565" i="13"/>
  <c r="BR565" i="13"/>
  <c r="BS565" i="13"/>
  <c r="BT565" i="13"/>
  <c r="BU565" i="13"/>
  <c r="BQ567" i="13"/>
  <c r="BM576" i="13"/>
  <c r="BO576" i="13"/>
  <c r="BM589" i="13"/>
  <c r="BN589" i="13"/>
  <c r="BO589" i="13"/>
  <c r="BP589" i="13"/>
  <c r="BQ589" i="13"/>
  <c r="BR589" i="13"/>
  <c r="BS589" i="13"/>
  <c r="BT589" i="13"/>
  <c r="BU589" i="13"/>
  <c r="BR596" i="13"/>
  <c r="BN598" i="13"/>
  <c r="BO598" i="13"/>
  <c r="BQ598" i="13"/>
  <c r="BR598" i="13"/>
  <c r="BS598" i="13"/>
  <c r="BR599" i="13"/>
  <c r="BN602" i="13"/>
  <c r="BR604" i="13"/>
  <c r="BN606" i="13"/>
  <c r="BN610" i="13"/>
  <c r="BM616" i="13"/>
  <c r="BM617" i="13" s="1"/>
  <c r="BN616" i="13"/>
  <c r="BN617" i="13" s="1"/>
  <c r="BO616" i="13"/>
  <c r="BO617" i="13" s="1"/>
  <c r="BP616" i="13"/>
  <c r="BP617" i="13" s="1"/>
  <c r="BQ616" i="13"/>
  <c r="BQ617" i="13" s="1"/>
  <c r="BR616" i="13"/>
  <c r="BR617" i="13" s="1"/>
  <c r="BS616" i="13"/>
  <c r="BS617" i="13" s="1"/>
  <c r="BT616" i="13"/>
  <c r="BT617" i="13" s="1"/>
  <c r="BU616" i="13"/>
  <c r="BU617" i="13" s="1"/>
  <c r="L628" i="13"/>
  <c r="M628" i="13"/>
  <c r="Y636" i="13" s="1"/>
  <c r="Y635" i="13" s="1"/>
  <c r="L630" i="13"/>
  <c r="X646" i="13" s="1"/>
  <c r="X647" i="13" s="1"/>
  <c r="M630" i="13"/>
  <c r="Y646" i="13" s="1"/>
  <c r="Y647" i="13" s="1"/>
  <c r="L631" i="13"/>
  <c r="M631" i="13"/>
  <c r="Z638" i="13"/>
  <c r="AA638" i="13"/>
  <c r="AA660" i="13" s="1"/>
  <c r="AB638" i="13"/>
  <c r="AC638" i="13"/>
  <c r="Z639" i="13"/>
  <c r="AA639" i="13"/>
  <c r="AA650" i="13" s="1"/>
  <c r="AB639" i="13"/>
  <c r="AC639" i="13"/>
  <c r="C640" i="13"/>
  <c r="D640" i="13"/>
  <c r="Z640" i="13"/>
  <c r="AA640" i="13"/>
  <c r="AB640" i="13"/>
  <c r="AC640" i="13"/>
  <c r="Z648" i="13"/>
  <c r="AA648" i="13"/>
  <c r="AB648" i="13"/>
  <c r="AC648" i="13"/>
  <c r="Z649" i="13"/>
  <c r="AA649" i="13"/>
  <c r="AB649" i="13"/>
  <c r="AC649" i="13"/>
  <c r="Z651" i="13"/>
  <c r="Z652" i="13" s="1"/>
  <c r="Z654" i="13"/>
  <c r="AA654" i="13"/>
  <c r="AB654" i="13"/>
  <c r="AC654" i="13"/>
  <c r="Z655" i="13"/>
  <c r="AA655" i="13"/>
  <c r="AB655" i="13"/>
  <c r="AC655" i="13"/>
  <c r="AC656" i="13" s="1"/>
  <c r="AC657" i="13" s="1"/>
  <c r="Z656" i="13"/>
  <c r="AA656" i="13"/>
  <c r="AB656" i="13"/>
  <c r="Z657" i="13"/>
  <c r="AA657" i="13"/>
  <c r="AB657" i="13"/>
  <c r="Z658" i="13"/>
  <c r="AA658" i="13"/>
  <c r="AB658" i="13"/>
  <c r="AC658" i="13"/>
  <c r="Z659" i="13"/>
  <c r="AA659" i="13"/>
  <c r="AB659" i="13"/>
  <c r="AC659" i="13"/>
  <c r="Z661" i="13"/>
  <c r="Z662" i="13" s="1"/>
  <c r="AB661" i="13"/>
  <c r="AB662" i="13" s="1"/>
  <c r="D662" i="13"/>
  <c r="Z664" i="13"/>
  <c r="AA664" i="13"/>
  <c r="AB664" i="13"/>
  <c r="AC664" i="13"/>
  <c r="AC666" i="13" s="1"/>
  <c r="AC667" i="13" s="1"/>
  <c r="Z665" i="13"/>
  <c r="AA665" i="13"/>
  <c r="AB665" i="13"/>
  <c r="AC665" i="13"/>
  <c r="Z666" i="13"/>
  <c r="AA666" i="13"/>
  <c r="AB666" i="13"/>
  <c r="AB667" i="13" s="1"/>
  <c r="Z667" i="13"/>
  <c r="AA667" i="13"/>
  <c r="T672" i="13"/>
  <c r="U672" i="13"/>
  <c r="V672" i="13"/>
  <c r="W672" i="13"/>
  <c r="D780" i="13"/>
  <c r="R673" i="13"/>
  <c r="S673" i="13"/>
  <c r="T674" i="13"/>
  <c r="U674" i="13"/>
  <c r="V674" i="13"/>
  <c r="W674" i="13"/>
  <c r="R675" i="13"/>
  <c r="S675" i="13"/>
  <c r="T675" i="13"/>
  <c r="U675" i="13"/>
  <c r="V675" i="13"/>
  <c r="W675" i="13"/>
  <c r="D781" i="13"/>
  <c r="R676" i="13"/>
  <c r="S676" i="13"/>
  <c r="T676" i="13"/>
  <c r="U676" i="13"/>
  <c r="V676" i="13"/>
  <c r="W676" i="13"/>
  <c r="R677" i="13"/>
  <c r="S677" i="13"/>
  <c r="T677" i="13"/>
  <c r="U677" i="13"/>
  <c r="V677" i="13"/>
  <c r="W677" i="13"/>
  <c r="C678" i="13"/>
  <c r="D678" i="13"/>
  <c r="R678" i="13"/>
  <c r="S678" i="13"/>
  <c r="T679" i="13"/>
  <c r="U679" i="13"/>
  <c r="V679" i="13"/>
  <c r="W679" i="13"/>
  <c r="R680" i="13"/>
  <c r="S680" i="13"/>
  <c r="T680" i="13"/>
  <c r="T681" i="13" s="1"/>
  <c r="T673" i="13" s="1"/>
  <c r="T678" i="13" s="1"/>
  <c r="U680" i="13"/>
  <c r="V680" i="13"/>
  <c r="V681" i="13" s="1"/>
  <c r="V673" i="13" s="1"/>
  <c r="V678" i="13" s="1"/>
  <c r="W680" i="13"/>
  <c r="W687" i="13" s="1"/>
  <c r="W683" i="13" s="1"/>
  <c r="W686" i="13" s="1"/>
  <c r="R681" i="13"/>
  <c r="R682" i="13" s="1"/>
  <c r="R674" i="13" s="1"/>
  <c r="R679" i="13" s="1"/>
  <c r="S681" i="13"/>
  <c r="V687" i="13"/>
  <c r="V683" i="13" s="1"/>
  <c r="V686" i="13" s="1"/>
  <c r="T684" i="13"/>
  <c r="U684" i="13"/>
  <c r="V684" i="13"/>
  <c r="W684" i="13"/>
  <c r="R685" i="13"/>
  <c r="S685" i="13"/>
  <c r="T685" i="13"/>
  <c r="U685" i="13"/>
  <c r="V685" i="13"/>
  <c r="W685" i="13"/>
  <c r="R686" i="13"/>
  <c r="S686" i="13"/>
  <c r="T688" i="13"/>
  <c r="U688" i="13"/>
  <c r="V688" i="13"/>
  <c r="W688" i="13"/>
  <c r="R689" i="13"/>
  <c r="S689" i="13"/>
  <c r="V690" i="13"/>
  <c r="S691" i="13"/>
  <c r="X692" i="13"/>
  <c r="X693" i="13"/>
  <c r="X698" i="13"/>
  <c r="X699" i="13"/>
  <c r="C710" i="13"/>
  <c r="D710" i="13"/>
  <c r="C711" i="13"/>
  <c r="C721" i="13" s="1"/>
  <c r="D711" i="13"/>
  <c r="D721" i="13" s="1"/>
  <c r="R711" i="13"/>
  <c r="C714" i="13"/>
  <c r="D714" i="13"/>
  <c r="O727" i="13"/>
  <c r="Q781" i="13" s="1"/>
  <c r="P727" i="13"/>
  <c r="R727" i="13"/>
  <c r="S727" i="13"/>
  <c r="U781" i="13" s="1"/>
  <c r="W906" i="13" s="1"/>
  <c r="U727" i="13"/>
  <c r="O734" i="13"/>
  <c r="P734" i="13"/>
  <c r="Q734" i="13"/>
  <c r="S1214" i="13" s="1"/>
  <c r="R734" i="13"/>
  <c r="S734" i="13"/>
  <c r="T734" i="13"/>
  <c r="U734" i="13"/>
  <c r="O735" i="13"/>
  <c r="O738" i="13" s="1"/>
  <c r="P735" i="13"/>
  <c r="P738" i="13" s="1"/>
  <c r="Q735" i="13"/>
  <c r="R735" i="13"/>
  <c r="R738" i="13" s="1"/>
  <c r="S735" i="13"/>
  <c r="T735" i="13"/>
  <c r="U735" i="13"/>
  <c r="O736" i="13"/>
  <c r="P736" i="13"/>
  <c r="Q736" i="13"/>
  <c r="R736" i="13"/>
  <c r="S736" i="13"/>
  <c r="U1196" i="13" s="1"/>
  <c r="T736" i="13"/>
  <c r="U736" i="13"/>
  <c r="S738" i="13"/>
  <c r="U738" i="13"/>
  <c r="U930" i="13" s="1"/>
  <c r="O739" i="13"/>
  <c r="O746" i="13"/>
  <c r="P746" i="13"/>
  <c r="Q746" i="13"/>
  <c r="R746" i="13"/>
  <c r="R747" i="13" s="1"/>
  <c r="S746" i="13"/>
  <c r="T746" i="13"/>
  <c r="U746" i="13"/>
  <c r="U747" i="13" s="1"/>
  <c r="Q755" i="13"/>
  <c r="P759" i="13" s="1"/>
  <c r="Q759" i="13"/>
  <c r="Q758" i="13" s="1"/>
  <c r="P763" i="13" s="1"/>
  <c r="T755" i="13"/>
  <c r="S759" i="13" s="1"/>
  <c r="T759" i="13"/>
  <c r="R749" i="13"/>
  <c r="U749" i="13"/>
  <c r="O789" i="13"/>
  <c r="P750" i="13" s="1"/>
  <c r="S789" i="13"/>
  <c r="T797" i="13" s="1"/>
  <c r="D847" i="13"/>
  <c r="O752" i="13"/>
  <c r="P752" i="13"/>
  <c r="Q752" i="13"/>
  <c r="R752" i="13"/>
  <c r="S752" i="13"/>
  <c r="T752" i="13"/>
  <c r="U752" i="13"/>
  <c r="U753" i="13" s="1"/>
  <c r="R753" i="13"/>
  <c r="O754" i="13"/>
  <c r="P754" i="13"/>
  <c r="S754" i="13"/>
  <c r="O755" i="13"/>
  <c r="P755" i="13"/>
  <c r="R755" i="13"/>
  <c r="S755" i="13"/>
  <c r="U755" i="13"/>
  <c r="C757" i="13"/>
  <c r="D757" i="13"/>
  <c r="O758" i="13"/>
  <c r="P758" i="13"/>
  <c r="S758" i="13"/>
  <c r="O759" i="13"/>
  <c r="O760" i="13"/>
  <c r="P760" i="13"/>
  <c r="S760" i="13"/>
  <c r="O761" i="13"/>
  <c r="P761" i="13"/>
  <c r="S761" i="13"/>
  <c r="O765" i="13"/>
  <c r="P765" i="13"/>
  <c r="Q765" i="13"/>
  <c r="S765" i="13"/>
  <c r="T765" i="13"/>
  <c r="O766" i="13"/>
  <c r="P766" i="13"/>
  <c r="Q766" i="13"/>
  <c r="S766" i="13"/>
  <c r="T766" i="13"/>
  <c r="O771" i="13"/>
  <c r="P771" i="13"/>
  <c r="S771" i="13"/>
  <c r="R772" i="13"/>
  <c r="U772" i="13"/>
  <c r="Q773" i="13"/>
  <c r="T773" i="13"/>
  <c r="O775" i="13"/>
  <c r="P775" i="13"/>
  <c r="Q776" i="13"/>
  <c r="T776" i="13"/>
  <c r="O777" i="13"/>
  <c r="P777" i="13"/>
  <c r="Q777" i="13"/>
  <c r="S777" i="13"/>
  <c r="Q778" i="13"/>
  <c r="S778" i="13"/>
  <c r="O779" i="13"/>
  <c r="P779" i="13"/>
  <c r="Q779" i="13"/>
  <c r="S779" i="13"/>
  <c r="O780" i="13"/>
  <c r="P780" i="13"/>
  <c r="Q780" i="13"/>
  <c r="R780" i="13"/>
  <c r="O781" i="13"/>
  <c r="R906" i="13" s="1"/>
  <c r="P781" i="13"/>
  <c r="R781" i="13"/>
  <c r="T906" i="13" s="1"/>
  <c r="S781" i="13"/>
  <c r="U906" i="13" s="1"/>
  <c r="O785" i="13"/>
  <c r="P785" i="13"/>
  <c r="Q785" i="13"/>
  <c r="R785" i="13"/>
  <c r="S785" i="13"/>
  <c r="T785" i="13"/>
  <c r="U785" i="13"/>
  <c r="O787" i="13"/>
  <c r="P787" i="13"/>
  <c r="Q787" i="13"/>
  <c r="S787" i="13"/>
  <c r="T787" i="13"/>
  <c r="O788" i="13"/>
  <c r="P788" i="13"/>
  <c r="Q788" i="13"/>
  <c r="S788" i="13"/>
  <c r="T788" i="13"/>
  <c r="P789" i="13"/>
  <c r="P801" i="13" s="1"/>
  <c r="C790" i="13"/>
  <c r="D790" i="13" s="1"/>
  <c r="D795" i="13"/>
  <c r="D796" i="13"/>
  <c r="O797" i="13"/>
  <c r="P797" i="13"/>
  <c r="S797" i="13"/>
  <c r="D798" i="13"/>
  <c r="R798" i="13"/>
  <c r="U798" i="13"/>
  <c r="D799" i="13"/>
  <c r="P799" i="13"/>
  <c r="Q799" i="13"/>
  <c r="T799" i="13"/>
  <c r="D800" i="13"/>
  <c r="O800" i="13"/>
  <c r="P800" i="13"/>
  <c r="S800" i="13"/>
  <c r="D801" i="13"/>
  <c r="Q801" i="13"/>
  <c r="T801" i="13"/>
  <c r="D802" i="13"/>
  <c r="O802" i="13"/>
  <c r="P802" i="13"/>
  <c r="Q802" i="13"/>
  <c r="S802" i="13"/>
  <c r="T802" i="13"/>
  <c r="D803" i="13"/>
  <c r="O803" i="13"/>
  <c r="R803" i="13" s="1"/>
  <c r="P803" i="13"/>
  <c r="S803" i="13"/>
  <c r="U803" i="13" s="1"/>
  <c r="O804" i="13"/>
  <c r="P804" i="13"/>
  <c r="S804" i="13"/>
  <c r="O805" i="13"/>
  <c r="P805" i="13"/>
  <c r="Q805" i="13"/>
  <c r="R805" i="13"/>
  <c r="S805" i="13"/>
  <c r="T805" i="13"/>
  <c r="U805" i="13"/>
  <c r="S812" i="13"/>
  <c r="R813" i="13"/>
  <c r="T813" i="13"/>
  <c r="U813" i="13"/>
  <c r="W813" i="13"/>
  <c r="S814" i="13"/>
  <c r="T814" i="13" s="1"/>
  <c r="V814" i="13"/>
  <c r="R818" i="13"/>
  <c r="R1196" i="13" s="1"/>
  <c r="S818" i="13"/>
  <c r="T818" i="13"/>
  <c r="U818" i="13"/>
  <c r="V818" i="13"/>
  <c r="V1196" i="13" s="1"/>
  <c r="W818" i="13"/>
  <c r="R819" i="13"/>
  <c r="S819" i="13"/>
  <c r="T819" i="13"/>
  <c r="U819" i="13"/>
  <c r="V819" i="13"/>
  <c r="W819" i="13"/>
  <c r="R820" i="13"/>
  <c r="T820" i="13"/>
  <c r="V820" i="13"/>
  <c r="R823" i="13"/>
  <c r="T823" i="13"/>
  <c r="V823" i="13"/>
  <c r="S853" i="13"/>
  <c r="S1020" i="13" s="1"/>
  <c r="T1020" i="13" s="1"/>
  <c r="T853" i="13"/>
  <c r="V853" i="13"/>
  <c r="W853" i="13" s="1"/>
  <c r="W1171" i="13" s="1"/>
  <c r="R827" i="13"/>
  <c r="S827" i="13"/>
  <c r="T827" i="13"/>
  <c r="U827" i="13"/>
  <c r="V827" i="13"/>
  <c r="W827" i="13"/>
  <c r="W830" i="13" s="1"/>
  <c r="B829" i="13"/>
  <c r="R829" i="13"/>
  <c r="R830" i="13" s="1"/>
  <c r="S829" i="13"/>
  <c r="T829" i="13"/>
  <c r="U829" i="13"/>
  <c r="V829" i="13"/>
  <c r="V830" i="13" s="1"/>
  <c r="W829" i="13"/>
  <c r="B830" i="13"/>
  <c r="R831" i="13"/>
  <c r="T831" i="13"/>
  <c r="U831" i="13"/>
  <c r="W831" i="13"/>
  <c r="B832" i="13"/>
  <c r="R832" i="13"/>
  <c r="T832" i="13"/>
  <c r="U832" i="13"/>
  <c r="W832" i="13"/>
  <c r="B833" i="13"/>
  <c r="B834" i="13"/>
  <c r="B835" i="13"/>
  <c r="B836" i="13"/>
  <c r="S1115" i="13"/>
  <c r="S845" i="13"/>
  <c r="T845" i="13" s="1"/>
  <c r="V868" i="13"/>
  <c r="V1006" i="13" s="1"/>
  <c r="V1009" i="13"/>
  <c r="U1009" i="13" s="1"/>
  <c r="B837" i="13"/>
  <c r="S840" i="13"/>
  <c r="B841" i="13"/>
  <c r="S841" i="13"/>
  <c r="B842" i="13"/>
  <c r="S842" i="13"/>
  <c r="D843" i="13"/>
  <c r="R843" i="13"/>
  <c r="S843" i="13"/>
  <c r="T843" i="13"/>
  <c r="U843" i="13"/>
  <c r="V843" i="13"/>
  <c r="W843" i="13"/>
  <c r="S844" i="13"/>
  <c r="S846" i="13"/>
  <c r="V846" i="13" s="1"/>
  <c r="R847" i="13"/>
  <c r="T847" i="13"/>
  <c r="V847" i="13"/>
  <c r="W847" i="13" s="1"/>
  <c r="B849" i="13"/>
  <c r="B850" i="13"/>
  <c r="B851" i="13"/>
  <c r="S851" i="13"/>
  <c r="T851" i="13" s="1"/>
  <c r="R851" i="13"/>
  <c r="V851" i="13"/>
  <c r="W851" i="13" s="1"/>
  <c r="S854" i="13"/>
  <c r="S868" i="13"/>
  <c r="S859" i="13"/>
  <c r="V859" i="13"/>
  <c r="R859" i="13"/>
  <c r="T859" i="13"/>
  <c r="U859" i="13"/>
  <c r="W859" i="13"/>
  <c r="R861" i="13"/>
  <c r="S861" i="13"/>
  <c r="T861" i="13"/>
  <c r="U861" i="13"/>
  <c r="V861" i="13"/>
  <c r="W861" i="13"/>
  <c r="R862" i="13"/>
  <c r="S862" i="13"/>
  <c r="T862" i="13"/>
  <c r="U862" i="13"/>
  <c r="V862" i="13"/>
  <c r="W862" i="13"/>
  <c r="R868" i="13"/>
  <c r="T868" i="13"/>
  <c r="U868" i="13"/>
  <c r="W868" i="13"/>
  <c r="S872" i="13"/>
  <c r="S874" i="13"/>
  <c r="V874" i="13"/>
  <c r="S875" i="13"/>
  <c r="V875" i="13"/>
  <c r="S877" i="13"/>
  <c r="V877" i="13"/>
  <c r="S878" i="13"/>
  <c r="T878" i="13" s="1"/>
  <c r="V878" i="13"/>
  <c r="S880" i="13"/>
  <c r="V880" i="13"/>
  <c r="S892" i="13"/>
  <c r="S906" i="13"/>
  <c r="S907" i="13"/>
  <c r="V907" i="13"/>
  <c r="U907" i="13" s="1"/>
  <c r="S915" i="13"/>
  <c r="R915" i="13" s="1"/>
  <c r="R930" i="13"/>
  <c r="T941" i="13"/>
  <c r="S971" i="13"/>
  <c r="S985" i="13"/>
  <c r="R985" i="13" s="1"/>
  <c r="V985" i="13"/>
  <c r="U985" i="13" s="1"/>
  <c r="W985" i="13"/>
  <c r="T1006" i="13"/>
  <c r="S1007" i="13"/>
  <c r="V1007" i="13"/>
  <c r="S1009" i="13"/>
  <c r="S1011" i="13"/>
  <c r="V1011" i="13"/>
  <c r="S1012" i="13"/>
  <c r="T1012" i="13" s="1"/>
  <c r="S1021" i="13"/>
  <c r="R1021" i="13" s="1"/>
  <c r="V1021" i="13"/>
  <c r="U1021" i="13" s="1"/>
  <c r="W1021" i="13"/>
  <c r="S1025" i="13"/>
  <c r="R1025" i="13" s="1"/>
  <c r="T1025" i="13"/>
  <c r="V1025" i="13"/>
  <c r="W1025" i="13" s="1"/>
  <c r="V1073" i="13"/>
  <c r="W1073" i="13" s="1"/>
  <c r="V1075" i="13"/>
  <c r="U1075" i="13" s="1"/>
  <c r="S1038" i="13"/>
  <c r="R1038" i="13" s="1"/>
  <c r="T1038" i="13"/>
  <c r="V1038" i="13"/>
  <c r="S1040" i="13"/>
  <c r="S1042" i="13" s="1"/>
  <c r="V1040" i="13"/>
  <c r="S1043" i="13"/>
  <c r="V1043" i="13"/>
  <c r="S1045" i="13"/>
  <c r="R1045" i="13" s="1"/>
  <c r="V1045" i="13"/>
  <c r="W1045" i="13" s="1"/>
  <c r="U1045" i="13"/>
  <c r="S1047" i="13"/>
  <c r="R1047" i="13" s="1"/>
  <c r="V1047" i="13"/>
  <c r="W1047" i="13" s="1"/>
  <c r="S1048" i="13"/>
  <c r="R1048" i="13" s="1"/>
  <c r="T1048" i="13"/>
  <c r="S1056" i="13"/>
  <c r="R1056" i="13" s="1"/>
  <c r="V1056" i="13"/>
  <c r="W1056" i="13" s="1"/>
  <c r="S1063" i="13"/>
  <c r="R1063" i="13" s="1"/>
  <c r="V1063" i="13"/>
  <c r="W1063" i="13" s="1"/>
  <c r="S1066" i="13"/>
  <c r="R1066" i="13" s="1"/>
  <c r="V1066" i="13"/>
  <c r="U1066" i="13" s="1"/>
  <c r="S1073" i="13"/>
  <c r="R1073" i="13" s="1"/>
  <c r="T1073" i="13"/>
  <c r="S1075" i="13"/>
  <c r="S1086" i="13"/>
  <c r="V1086" i="13"/>
  <c r="S1088" i="13"/>
  <c r="R1088" i="13" s="1"/>
  <c r="V1088" i="13"/>
  <c r="W1088" i="13" s="1"/>
  <c r="S1091" i="13"/>
  <c r="V1091" i="13"/>
  <c r="U1091" i="13" s="1"/>
  <c r="S1092" i="13"/>
  <c r="R1092" i="13" s="1"/>
  <c r="T1092" i="13"/>
  <c r="S1099" i="13"/>
  <c r="S1100" i="13"/>
  <c r="S1101" i="13"/>
  <c r="V1101" i="13"/>
  <c r="S1102" i="13"/>
  <c r="R1102" i="13" s="1"/>
  <c r="R1145" i="13" s="1"/>
  <c r="R1103" i="13"/>
  <c r="R1104" i="13"/>
  <c r="S1104" i="13"/>
  <c r="T1104" i="13"/>
  <c r="R1105" i="13"/>
  <c r="S1105" i="13"/>
  <c r="T1105" i="13"/>
  <c r="R1106" i="13"/>
  <c r="S1106" i="13"/>
  <c r="T1106" i="13"/>
  <c r="S1107" i="13"/>
  <c r="S1108" i="13"/>
  <c r="R1109" i="13"/>
  <c r="T1109" i="13"/>
  <c r="V1109" i="13"/>
  <c r="W1109" i="13" s="1"/>
  <c r="S1114" i="13"/>
  <c r="R1116" i="13"/>
  <c r="R1117" i="13"/>
  <c r="R1118" i="13"/>
  <c r="S1119" i="13"/>
  <c r="R1120" i="13"/>
  <c r="S1120" i="13"/>
  <c r="T1120" i="13"/>
  <c r="S1123" i="13"/>
  <c r="T1123" i="13" s="1"/>
  <c r="V1123" i="13"/>
  <c r="W1123" i="13" s="1"/>
  <c r="R1125" i="13"/>
  <c r="T1125" i="13"/>
  <c r="V1125" i="13"/>
  <c r="W1125" i="13" s="1"/>
  <c r="R1129" i="13"/>
  <c r="S1129" i="13"/>
  <c r="T1129" i="13" s="1"/>
  <c r="V1129" i="13"/>
  <c r="W1129" i="13" s="1"/>
  <c r="S1133" i="13"/>
  <c r="R1133" i="13" s="1"/>
  <c r="V1133" i="13"/>
  <c r="W1133" i="13" s="1"/>
  <c r="R1135" i="13"/>
  <c r="T1135" i="13"/>
  <c r="V1135" i="13"/>
  <c r="U1135" i="13" s="1"/>
  <c r="R1140" i="13"/>
  <c r="T1140" i="13"/>
  <c r="U1140" i="13"/>
  <c r="W1140" i="13"/>
  <c r="S1143" i="13"/>
  <c r="R1143" i="13" s="1"/>
  <c r="V1143" i="13"/>
  <c r="U1143" i="13" s="1"/>
  <c r="S1144" i="13"/>
  <c r="T1144" i="13" s="1"/>
  <c r="V1144" i="13"/>
  <c r="R1146" i="13"/>
  <c r="T1146" i="13"/>
  <c r="U1146" i="13"/>
  <c r="W1146" i="13"/>
  <c r="S1149" i="13"/>
  <c r="T1149" i="13" s="1"/>
  <c r="V1149" i="13"/>
  <c r="W1149" i="13" s="1"/>
  <c r="S1154" i="13"/>
  <c r="R1154" i="13" s="1"/>
  <c r="V1154" i="13"/>
  <c r="U1154" i="13" s="1"/>
  <c r="T1168" i="13"/>
  <c r="T1189" i="13" s="1"/>
  <c r="V1168" i="13"/>
  <c r="V1189" i="13" s="1"/>
  <c r="T1171" i="13"/>
  <c r="S1175" i="13"/>
  <c r="V1175" i="13"/>
  <c r="S1176" i="13"/>
  <c r="V1176" i="13"/>
  <c r="S1177" i="13"/>
  <c r="V1177" i="13"/>
  <c r="S1178" i="13"/>
  <c r="V1178" i="13" s="1"/>
  <c r="S1179" i="13"/>
  <c r="V1179" i="13"/>
  <c r="S1180" i="13"/>
  <c r="V1180" i="13"/>
  <c r="R1184" i="13"/>
  <c r="T1184" i="13"/>
  <c r="T1185" i="13" s="1"/>
  <c r="U1184" i="13"/>
  <c r="U1185" i="13" s="1"/>
  <c r="W1184" i="13"/>
  <c r="W1185" i="13" s="1"/>
  <c r="R1185" i="13"/>
  <c r="S1185" i="13"/>
  <c r="V1185" i="13"/>
  <c r="R1188" i="13"/>
  <c r="T1188" i="13"/>
  <c r="U1188" i="13"/>
  <c r="W1188" i="13"/>
  <c r="R1195" i="13"/>
  <c r="T1195" i="13"/>
  <c r="U1195" i="13"/>
  <c r="W1195" i="13"/>
  <c r="S1196" i="13"/>
  <c r="T1196" i="13"/>
  <c r="W1196" i="13"/>
  <c r="R1205" i="13"/>
  <c r="T1205" i="13"/>
  <c r="U1205" i="13"/>
  <c r="W1205" i="13"/>
  <c r="R1206" i="13"/>
  <c r="T1206" i="13"/>
  <c r="U1206" i="13"/>
  <c r="W1206" i="13"/>
  <c r="R1207" i="13"/>
  <c r="T1207" i="13"/>
  <c r="U1207" i="13"/>
  <c r="W1207" i="13"/>
  <c r="R1208" i="13"/>
  <c r="T1208" i="13"/>
  <c r="U1208" i="13"/>
  <c r="W1208" i="13"/>
  <c r="R1209" i="13"/>
  <c r="T1209" i="13"/>
  <c r="U1209" i="13"/>
  <c r="W1209" i="13"/>
  <c r="R1210" i="13"/>
  <c r="T1210" i="13"/>
  <c r="U1210" i="13"/>
  <c r="W1210" i="13"/>
  <c r="R1211" i="13"/>
  <c r="T1211" i="13"/>
  <c r="U1211" i="13"/>
  <c r="W1211" i="13"/>
  <c r="R1214" i="13"/>
  <c r="T1214" i="13"/>
  <c r="Q1236" i="13"/>
  <c r="Q1229" i="13" s="1"/>
  <c r="R1234" i="13"/>
  <c r="R1235" i="13"/>
  <c r="R1236" i="13" s="1"/>
  <c r="S1235" i="13"/>
  <c r="S1236" i="13" s="1"/>
  <c r="U1236" i="13"/>
  <c r="V1235" i="13"/>
  <c r="V1236" i="13" s="1"/>
  <c r="R1239" i="13"/>
  <c r="Q1240" i="13"/>
  <c r="Q1246" i="13"/>
  <c r="R1246" i="13"/>
  <c r="S1246" i="13"/>
  <c r="T1246" i="13"/>
  <c r="U1246" i="13"/>
  <c r="V1246" i="13"/>
  <c r="W1246" i="13"/>
  <c r="G1259" i="13"/>
  <c r="H1259" i="13"/>
  <c r="I1259" i="13"/>
  <c r="D1262" i="13"/>
  <c r="E1262" i="13"/>
  <c r="F1262" i="13"/>
  <c r="G1262" i="13"/>
  <c r="H1262" i="13"/>
  <c r="I1262" i="13"/>
  <c r="F1271" i="13"/>
  <c r="G1271" i="13"/>
  <c r="F1272" i="13"/>
  <c r="G1272" i="13"/>
  <c r="C1280" i="13"/>
  <c r="F1280" i="13"/>
  <c r="G1280" i="13"/>
  <c r="K1280" i="13"/>
  <c r="C1281" i="13"/>
  <c r="F1281" i="13"/>
  <c r="G1281" i="13"/>
  <c r="K1281" i="13"/>
  <c r="D1286" i="13"/>
  <c r="E1286" i="13"/>
  <c r="F1286" i="13"/>
  <c r="D1287" i="13"/>
  <c r="E1287" i="13"/>
  <c r="F1287" i="13"/>
  <c r="D1288" i="13"/>
  <c r="E1288" i="13"/>
  <c r="F1288" i="13"/>
  <c r="D1289" i="13"/>
  <c r="E1289" i="13"/>
  <c r="F1289" i="13"/>
  <c r="C1294" i="13"/>
  <c r="H1294" i="13"/>
  <c r="I1294" i="13"/>
  <c r="J1294" i="13"/>
  <c r="C1295" i="13"/>
  <c r="H1295" i="13"/>
  <c r="I1295" i="13"/>
  <c r="J1295" i="13"/>
  <c r="E96" i="10"/>
  <c r="D97" i="10"/>
  <c r="D330" i="13" l="1"/>
  <c r="K647" i="13"/>
  <c r="C690" i="13"/>
  <c r="I149" i="13" s="1"/>
  <c r="C677" i="13"/>
  <c r="I71" i="13" s="1"/>
  <c r="S839" i="13"/>
  <c r="W846" i="13"/>
  <c r="U846" i="13"/>
  <c r="V983" i="13"/>
  <c r="T760" i="13"/>
  <c r="T761" i="13"/>
  <c r="AC661" i="13"/>
  <c r="AC662" i="13" s="1"/>
  <c r="BQ615" i="13"/>
  <c r="R1168" i="13"/>
  <c r="R1189" i="13" s="1"/>
  <c r="S1134" i="13"/>
  <c r="V1022" i="13"/>
  <c r="W1022" i="13" s="1"/>
  <c r="V1020" i="13"/>
  <c r="U1020" i="13" s="1"/>
  <c r="U1006" i="13"/>
  <c r="V876" i="13"/>
  <c r="V1100" i="13" s="1"/>
  <c r="R1006" i="13"/>
  <c r="R846" i="13"/>
  <c r="R983" i="13" s="1"/>
  <c r="U830" i="13"/>
  <c r="U853" i="13"/>
  <c r="U1171" i="13" s="1"/>
  <c r="O801" i="13"/>
  <c r="R801" i="13" s="1"/>
  <c r="Q803" i="13" s="1"/>
  <c r="Q789" i="13"/>
  <c r="T781" i="13"/>
  <c r="V906" i="13" s="1"/>
  <c r="O750" i="13"/>
  <c r="S931" i="13"/>
  <c r="R932" i="13" s="1"/>
  <c r="BR615" i="13"/>
  <c r="BN615" i="13"/>
  <c r="BP614" i="13"/>
  <c r="CC540" i="13"/>
  <c r="CD539" i="13"/>
  <c r="BP538" i="13"/>
  <c r="BR474" i="13"/>
  <c r="BU362" i="13"/>
  <c r="BN463" i="13"/>
  <c r="BN465" i="13" s="1"/>
  <c r="F366" i="13"/>
  <c r="H366" i="13" s="1"/>
  <c r="C148" i="13"/>
  <c r="D493" i="13"/>
  <c r="U1168" i="13"/>
  <c r="U1189" i="13" s="1"/>
  <c r="S983" i="13"/>
  <c r="V881" i="13"/>
  <c r="W881" i="13" s="1"/>
  <c r="O799" i="13"/>
  <c r="Q798" i="13"/>
  <c r="O798" i="13" s="1"/>
  <c r="Q797" i="13"/>
  <c r="R797" i="13" s="1"/>
  <c r="R750" i="13"/>
  <c r="BP615" i="13"/>
  <c r="CJ539" i="13"/>
  <c r="CM539" i="13" s="1"/>
  <c r="BY539" i="13"/>
  <c r="BR534" i="13"/>
  <c r="D494" i="13"/>
  <c r="BT537" i="13"/>
  <c r="BT572" i="13" s="1"/>
  <c r="BT474" i="13"/>
  <c r="BT466" i="13"/>
  <c r="T437" i="13"/>
  <c r="U437" i="13" s="1"/>
  <c r="V437" i="13" s="1"/>
  <c r="T436" i="13"/>
  <c r="U436" i="13" s="1"/>
  <c r="V436" i="13" s="1"/>
  <c r="W436" i="13" s="1"/>
  <c r="BP351" i="13"/>
  <c r="R1134" i="13"/>
  <c r="S1173" i="13"/>
  <c r="U1109" i="13"/>
  <c r="T1102" i="13"/>
  <c r="T1145" i="13" s="1"/>
  <c r="W1091" i="13"/>
  <c r="T1088" i="13"/>
  <c r="S1084" i="13"/>
  <c r="W1066" i="13"/>
  <c r="U1025" i="13"/>
  <c r="W907" i="13"/>
  <c r="R799" i="13"/>
  <c r="U765" i="13"/>
  <c r="Q750" i="13"/>
  <c r="AB651" i="13"/>
  <c r="AB652" i="13" s="1"/>
  <c r="BS615" i="13"/>
  <c r="BS613" i="13"/>
  <c r="BQ613" i="13"/>
  <c r="BO613" i="13"/>
  <c r="BO614" i="13" s="1"/>
  <c r="BO574" i="13" s="1"/>
  <c r="BM613" i="13"/>
  <c r="BM615" i="13" s="1"/>
  <c r="CI539" i="13"/>
  <c r="BN539" i="13"/>
  <c r="BT536" i="13"/>
  <c r="BT539" i="13" s="1"/>
  <c r="BN474" i="13"/>
  <c r="BP468" i="13"/>
  <c r="BT353" i="13"/>
  <c r="BP353" i="13"/>
  <c r="D303" i="13"/>
  <c r="E20" i="13" s="1"/>
  <c r="D574" i="13"/>
  <c r="C574" i="13"/>
  <c r="T872" i="13"/>
  <c r="T963" i="13"/>
  <c r="T923" i="13"/>
  <c r="T948" i="13"/>
  <c r="T1026" i="13"/>
  <c r="AB650" i="13"/>
  <c r="AB653" i="13" s="1"/>
  <c r="BN596" i="13"/>
  <c r="BN599" i="13"/>
  <c r="C844" i="13"/>
  <c r="BR351" i="13"/>
  <c r="BR465" i="13"/>
  <c r="BU350" i="13"/>
  <c r="BU537" i="13"/>
  <c r="BU572" i="13" s="1"/>
  <c r="BU465" i="13"/>
  <c r="BU468" i="13"/>
  <c r="BU489" i="13"/>
  <c r="BU534" i="13"/>
  <c r="BM350" i="13"/>
  <c r="BM534" i="13"/>
  <c r="BM537" i="13"/>
  <c r="BM572" i="13" s="1"/>
  <c r="BM465" i="13"/>
  <c r="BM594" i="13"/>
  <c r="BM489" i="13"/>
  <c r="CC538" i="13"/>
  <c r="CJ538" i="13" s="1"/>
  <c r="D328" i="13"/>
  <c r="K635" i="13"/>
  <c r="P635" i="13" s="1"/>
  <c r="W1134" i="13"/>
  <c r="W1075" i="13"/>
  <c r="W1084" i="13" s="1"/>
  <c r="S750" i="13"/>
  <c r="T798" i="13"/>
  <c r="S798" i="13" s="1"/>
  <c r="S801" i="13"/>
  <c r="U801" i="13" s="1"/>
  <c r="T803" i="13" s="1"/>
  <c r="BN604" i="13"/>
  <c r="BM588" i="13"/>
  <c r="BQ568" i="13"/>
  <c r="BQ569" i="13"/>
  <c r="BU576" i="13"/>
  <c r="BU577" i="13" s="1"/>
  <c r="BN547" i="13"/>
  <c r="BN574" i="13"/>
  <c r="BN570" i="13"/>
  <c r="BN576" i="13"/>
  <c r="BT613" i="13"/>
  <c r="D844" i="13"/>
  <c r="D789" i="13"/>
  <c r="BU519" i="13"/>
  <c r="E415" i="13"/>
  <c r="G415" i="13" s="1"/>
  <c r="BQ463" i="13"/>
  <c r="BQ362" i="13"/>
  <c r="U823" i="13"/>
  <c r="W823" i="13"/>
  <c r="R812" i="13"/>
  <c r="T812" i="13"/>
  <c r="CL539" i="13"/>
  <c r="BN351" i="13"/>
  <c r="BQ350" i="13"/>
  <c r="BQ489" i="13"/>
  <c r="BQ519" i="13"/>
  <c r="BQ601" i="13" s="1"/>
  <c r="BQ537" i="13"/>
  <c r="T1235" i="13"/>
  <c r="T1236" i="13" s="1"/>
  <c r="W1154" i="13"/>
  <c r="T1091" i="13"/>
  <c r="R1091" i="13"/>
  <c r="T1075" i="13"/>
  <c r="R1075" i="13"/>
  <c r="T907" i="13"/>
  <c r="R907" i="13"/>
  <c r="U878" i="13"/>
  <c r="W878" i="13"/>
  <c r="S876" i="13"/>
  <c r="S856" i="13"/>
  <c r="R842" i="13"/>
  <c r="T842" i="13"/>
  <c r="S830" i="13"/>
  <c r="S833" i="13"/>
  <c r="U814" i="13"/>
  <c r="W814" i="13"/>
  <c r="BZ540" i="13"/>
  <c r="BY540" i="13"/>
  <c r="BM519" i="13"/>
  <c r="BT489" i="13"/>
  <c r="BT534" i="13"/>
  <c r="BT538" i="13"/>
  <c r="BT518" i="13"/>
  <c r="BT519" i="13"/>
  <c r="BT598" i="13"/>
  <c r="BP518" i="13"/>
  <c r="BP519" i="13"/>
  <c r="BP536" i="13"/>
  <c r="BP537" i="13"/>
  <c r="BP572" i="13" s="1"/>
  <c r="BP534" i="13"/>
  <c r="BP598" i="13"/>
  <c r="BU474" i="13"/>
  <c r="BQ474" i="13"/>
  <c r="BM474" i="13"/>
  <c r="BU353" i="13"/>
  <c r="BQ353" i="13"/>
  <c r="BM353" i="13"/>
  <c r="BS467" i="13"/>
  <c r="BS466" i="13"/>
  <c r="BO467" i="13"/>
  <c r="BO466" i="13"/>
  <c r="BT463" i="13"/>
  <c r="BT362" i="13"/>
  <c r="C496" i="13"/>
  <c r="L95" i="13" s="1"/>
  <c r="C494" i="13"/>
  <c r="P646" i="13"/>
  <c r="S646" i="13" s="1"/>
  <c r="Q646" i="13"/>
  <c r="W1135" i="13"/>
  <c r="V1134" i="13"/>
  <c r="U1129" i="13"/>
  <c r="T1084" i="13"/>
  <c r="U1038" i="13"/>
  <c r="W1038" i="13"/>
  <c r="V1078" i="13"/>
  <c r="R1009" i="13"/>
  <c r="T1009" i="13"/>
  <c r="T854" i="13"/>
  <c r="R854" i="13"/>
  <c r="R845" i="13"/>
  <c r="R923" i="13" s="1"/>
  <c r="S912" i="13"/>
  <c r="S994" i="13"/>
  <c r="S1026" i="13"/>
  <c r="S975" i="13"/>
  <c r="W820" i="13"/>
  <c r="U820" i="13"/>
  <c r="AA661" i="13"/>
  <c r="AA662" i="13" s="1"/>
  <c r="K636" i="13"/>
  <c r="N636" i="13" s="1"/>
  <c r="BP580" i="13"/>
  <c r="BP588" i="13"/>
  <c r="BP592" i="13"/>
  <c r="BP577" i="13"/>
  <c r="BP582" i="13"/>
  <c r="BP587" i="13"/>
  <c r="BP594" i="13"/>
  <c r="BQ534" i="13"/>
  <c r="BP489" i="13"/>
  <c r="R853" i="13"/>
  <c r="R1171" i="13" s="1"/>
  <c r="R814" i="13"/>
  <c r="AA663" i="13"/>
  <c r="AC651" i="13"/>
  <c r="AC652" i="13" s="1"/>
  <c r="CI549" i="13"/>
  <c r="CL549" i="13" s="1"/>
  <c r="BS614" i="13"/>
  <c r="BR614" i="13"/>
  <c r="BR548" i="13" s="1"/>
  <c r="CC541" i="13"/>
  <c r="CD540" i="13"/>
  <c r="CE539" i="13"/>
  <c r="BY538" i="13"/>
  <c r="E437" i="13"/>
  <c r="G437" i="13" s="1"/>
  <c r="V388" i="13"/>
  <c r="W388" i="13" s="1"/>
  <c r="BU352" i="13"/>
  <c r="C765" i="13"/>
  <c r="J138" i="13" s="1"/>
  <c r="C847" i="13"/>
  <c r="C848" i="13" s="1"/>
  <c r="C840" i="13" s="1"/>
  <c r="AB660" i="13"/>
  <c r="AB663" i="13" s="1"/>
  <c r="BM580" i="13"/>
  <c r="CH539" i="13"/>
  <c r="V389" i="13"/>
  <c r="BM351" i="13"/>
  <c r="T910" i="13"/>
  <c r="S855" i="13"/>
  <c r="T855" i="13" s="1"/>
  <c r="T955" i="13" s="1"/>
  <c r="R766" i="13"/>
  <c r="AA651" i="13"/>
  <c r="AA652" i="13" s="1"/>
  <c r="BN541" i="13"/>
  <c r="CI540" i="13"/>
  <c r="BU518" i="13"/>
  <c r="BU596" i="13" s="1"/>
  <c r="BQ518" i="13"/>
  <c r="BM518" i="13"/>
  <c r="V366" i="13"/>
  <c r="BU351" i="13"/>
  <c r="D575" i="13"/>
  <c r="D686" i="13"/>
  <c r="J84" i="13" s="1"/>
  <c r="D174" i="13"/>
  <c r="G174" i="13" s="1"/>
  <c r="F148" i="13"/>
  <c r="S849" i="13"/>
  <c r="V849" i="13" s="1"/>
  <c r="V1139" i="13" s="1"/>
  <c r="C575" i="13"/>
  <c r="D756" i="13"/>
  <c r="I127" i="13" s="1"/>
  <c r="C756" i="13"/>
  <c r="I126" i="13" s="1"/>
  <c r="C476" i="13"/>
  <c r="C46" i="13" s="1"/>
  <c r="BQ576" i="13"/>
  <c r="BQ572" i="13"/>
  <c r="S955" i="13"/>
  <c r="BP570" i="13"/>
  <c r="BP574" i="13"/>
  <c r="BQ352" i="13"/>
  <c r="BQ468" i="13"/>
  <c r="BM352" i="13"/>
  <c r="BM468" i="13"/>
  <c r="R1229" i="13"/>
  <c r="V1172" i="13"/>
  <c r="R1098" i="13"/>
  <c r="R1054" i="13"/>
  <c r="R967" i="13"/>
  <c r="R765" i="13"/>
  <c r="W1006" i="13"/>
  <c r="L629" i="13"/>
  <c r="BT540" i="13"/>
  <c r="BP539" i="13"/>
  <c r="D728" i="13"/>
  <c r="C728" i="13"/>
  <c r="C490" i="13"/>
  <c r="D106" i="13" s="1"/>
  <c r="C492" i="13"/>
  <c r="K95" i="13" s="1"/>
  <c r="C686" i="13"/>
  <c r="J83" i="13" s="1"/>
  <c r="F438" i="13"/>
  <c r="H438" i="13" s="1"/>
  <c r="E366" i="13"/>
  <c r="G366" i="13" s="1"/>
  <c r="V1171" i="13"/>
  <c r="S1171" i="13"/>
  <c r="S1172" i="13"/>
  <c r="S1145" i="13"/>
  <c r="W1143" i="13"/>
  <c r="U1133" i="13"/>
  <c r="U1134" i="13" s="1"/>
  <c r="T1133" i="13"/>
  <c r="T1134" i="13" s="1"/>
  <c r="U1125" i="13"/>
  <c r="S1098" i="13"/>
  <c r="T1098" i="13"/>
  <c r="U1073" i="13"/>
  <c r="R1084" i="13"/>
  <c r="T1063" i="13"/>
  <c r="V1058" i="13"/>
  <c r="T1056" i="13"/>
  <c r="U1047" i="13"/>
  <c r="T1047" i="13"/>
  <c r="V1042" i="13"/>
  <c r="U1084" i="13"/>
  <c r="S1022" i="13"/>
  <c r="R1022" i="13" s="1"/>
  <c r="T1021" i="13"/>
  <c r="T994" i="13"/>
  <c r="T1002" i="13" s="1"/>
  <c r="S989" i="13"/>
  <c r="R989" i="13" s="1"/>
  <c r="T985" i="13"/>
  <c r="T971" i="13"/>
  <c r="S967" i="13"/>
  <c r="S963" i="13"/>
  <c r="S923" i="13"/>
  <c r="T920" i="13"/>
  <c r="T912" i="13"/>
  <c r="S911" i="13"/>
  <c r="U881" i="13"/>
  <c r="S881" i="13"/>
  <c r="R881" i="13" s="1"/>
  <c r="R878" i="13"/>
  <c r="R856" i="13"/>
  <c r="V915" i="13"/>
  <c r="V917" i="13" s="1"/>
  <c r="V855" i="13"/>
  <c r="S835" i="13"/>
  <c r="S828" i="13"/>
  <c r="T830" i="13"/>
  <c r="S852" i="13"/>
  <c r="V812" i="13"/>
  <c r="V834" i="13" s="1"/>
  <c r="U799" i="13"/>
  <c r="S799" i="13"/>
  <c r="U797" i="13"/>
  <c r="T750" i="13"/>
  <c r="T758" i="13"/>
  <c r="X694" i="13"/>
  <c r="AA653" i="13"/>
  <c r="AC650" i="13"/>
  <c r="AC653" i="13" s="1"/>
  <c r="Y637" i="13"/>
  <c r="X636" i="13"/>
  <c r="M629" i="13"/>
  <c r="BT615" i="13"/>
  <c r="BP584" i="13"/>
  <c r="CE549" i="13"/>
  <c r="BU613" i="13"/>
  <c r="BU614" i="13" s="1"/>
  <c r="BU546" i="13" s="1"/>
  <c r="BT541" i="13"/>
  <c r="BP541" i="13"/>
  <c r="BQ540" i="13"/>
  <c r="D848" i="13"/>
  <c r="D840" i="13" s="1"/>
  <c r="C473" i="13"/>
  <c r="C615" i="13" s="1"/>
  <c r="E438" i="13"/>
  <c r="G438" i="13" s="1"/>
  <c r="F437" i="13"/>
  <c r="H437" i="13" s="1"/>
  <c r="F415" i="13"/>
  <c r="H415" i="13" s="1"/>
  <c r="C563" i="13"/>
  <c r="C509" i="13"/>
  <c r="C426" i="13"/>
  <c r="T426" i="13"/>
  <c r="U426" i="13" s="1"/>
  <c r="V426" i="13" s="1"/>
  <c r="W426" i="13" s="1"/>
  <c r="D426" i="13"/>
  <c r="F426" i="13" s="1"/>
  <c r="C425" i="13"/>
  <c r="B416" i="13"/>
  <c r="T416" i="13" s="1"/>
  <c r="U416" i="13" s="1"/>
  <c r="V416" i="13" s="1"/>
  <c r="W416" i="13" s="1"/>
  <c r="S425" i="13"/>
  <c r="M646" i="13"/>
  <c r="B427" i="13"/>
  <c r="L647" i="13"/>
  <c r="C716" i="13"/>
  <c r="B376" i="13"/>
  <c r="F25" i="13"/>
  <c r="C675" i="13"/>
  <c r="C510" i="13"/>
  <c r="C755" i="13"/>
  <c r="D132" i="13" s="1"/>
  <c r="C654" i="13"/>
  <c r="D654" i="13"/>
  <c r="C715" i="13"/>
  <c r="C754" i="13"/>
  <c r="E132" i="13" s="1"/>
  <c r="C676" i="13"/>
  <c r="D77" i="13" s="1"/>
  <c r="C831" i="13"/>
  <c r="D325" i="13"/>
  <c r="D324" i="13" s="1"/>
  <c r="D704" i="13" s="1"/>
  <c r="D268" i="13"/>
  <c r="D272" i="13" s="1"/>
  <c r="D226" i="13"/>
  <c r="D270" i="13" s="1"/>
  <c r="D269" i="13"/>
  <c r="D274" i="13" s="1"/>
  <c r="C704" i="13"/>
  <c r="U849" i="13"/>
  <c r="M647" i="13"/>
  <c r="E148" i="13"/>
  <c r="N646" i="13"/>
  <c r="F174" i="13"/>
  <c r="I174" i="13" s="1"/>
  <c r="H148" i="13"/>
  <c r="P647" i="13"/>
  <c r="S647" i="13" s="1"/>
  <c r="L646" i="13"/>
  <c r="F163" i="13"/>
  <c r="D163" i="13"/>
  <c r="W983" i="13"/>
  <c r="W855" i="13"/>
  <c r="W952" i="13" s="1"/>
  <c r="V952" i="13"/>
  <c r="V1108" i="13" s="1"/>
  <c r="U855" i="13"/>
  <c r="U952" i="13" s="1"/>
  <c r="T844" i="13"/>
  <c r="S950" i="13"/>
  <c r="T833" i="13"/>
  <c r="S836" i="13"/>
  <c r="S824" i="13"/>
  <c r="S1006" i="13"/>
  <c r="T738" i="13"/>
  <c r="S739" i="13" s="1"/>
  <c r="Z650" i="13"/>
  <c r="Z653" i="13" s="1"/>
  <c r="Z660" i="13"/>
  <c r="Z663" i="13" s="1"/>
  <c r="C269" i="13"/>
  <c r="C268" i="13"/>
  <c r="C226" i="13"/>
  <c r="C293" i="13" s="1"/>
  <c r="T846" i="13"/>
  <c r="S1000" i="13"/>
  <c r="V845" i="13"/>
  <c r="S885" i="13"/>
  <c r="S886" i="13" s="1"/>
  <c r="S920" i="13"/>
  <c r="S948" i="13"/>
  <c r="S688" i="13"/>
  <c r="S684" i="13" s="1"/>
  <c r="S687" i="13" s="1"/>
  <c r="S682" i="13"/>
  <c r="S674" i="13" s="1"/>
  <c r="S679" i="13" s="1"/>
  <c r="U687" i="13"/>
  <c r="U683" i="13" s="1"/>
  <c r="U686" i="13" s="1"/>
  <c r="U681" i="13"/>
  <c r="U673" i="13" s="1"/>
  <c r="U678" i="13" s="1"/>
  <c r="CF550" i="13"/>
  <c r="CI550" i="13"/>
  <c r="CE550" i="13"/>
  <c r="CD550" i="13"/>
  <c r="BR576" i="13"/>
  <c r="BR547" i="13"/>
  <c r="BR574" i="13"/>
  <c r="BR545" i="13"/>
  <c r="W1235" i="13"/>
  <c r="W1236" i="13" s="1"/>
  <c r="V1173" i="13"/>
  <c r="T1154" i="13"/>
  <c r="U1149" i="13"/>
  <c r="R1149" i="13"/>
  <c r="U1144" i="13"/>
  <c r="R1144" i="13"/>
  <c r="T1143" i="13"/>
  <c r="U1123" i="13"/>
  <c r="R1123" i="13"/>
  <c r="U1088" i="13"/>
  <c r="V1084" i="13"/>
  <c r="S1077" i="13"/>
  <c r="S1067" i="13"/>
  <c r="T1066" i="13"/>
  <c r="T1045" i="13"/>
  <c r="U1022" i="13"/>
  <c r="R1012" i="13"/>
  <c r="W1009" i="13"/>
  <c r="S990" i="13"/>
  <c r="T989" i="13"/>
  <c r="T975" i="13"/>
  <c r="T967" i="13"/>
  <c r="V931" i="13"/>
  <c r="U932" i="13" s="1"/>
  <c r="S917" i="13"/>
  <c r="S916" i="13"/>
  <c r="S914" i="13"/>
  <c r="R913" i="13"/>
  <c r="S910" i="13"/>
  <c r="T881" i="13"/>
  <c r="S879" i="13"/>
  <c r="V854" i="13"/>
  <c r="V852" i="13"/>
  <c r="U851" i="13"/>
  <c r="U847" i="13"/>
  <c r="R844" i="13"/>
  <c r="R833" i="13"/>
  <c r="S834" i="13"/>
  <c r="V824" i="13"/>
  <c r="R1020" i="13"/>
  <c r="S1039" i="13"/>
  <c r="S1058" i="13"/>
  <c r="U983" i="13"/>
  <c r="R912" i="13"/>
  <c r="V856" i="13"/>
  <c r="V879" i="13"/>
  <c r="T763" i="13"/>
  <c r="S763" i="13"/>
  <c r="X637" i="13"/>
  <c r="X635" i="13"/>
  <c r="BS582" i="13"/>
  <c r="BS580" i="13"/>
  <c r="BS584" i="13"/>
  <c r="BS592" i="13"/>
  <c r="BS587" i="13"/>
  <c r="BS588" i="13"/>
  <c r="BS594" i="13"/>
  <c r="W1168" i="13"/>
  <c r="W1189" i="13" s="1"/>
  <c r="S1168" i="13"/>
  <c r="S1189" i="13" s="1"/>
  <c r="W1144" i="13"/>
  <c r="S1061" i="13"/>
  <c r="S1041" i="13"/>
  <c r="S1018" i="13"/>
  <c r="V989" i="13"/>
  <c r="S979" i="13"/>
  <c r="S913" i="13"/>
  <c r="S873" i="13"/>
  <c r="V844" i="13"/>
  <c r="V833" i="13"/>
  <c r="U766" i="13"/>
  <c r="T911" i="13"/>
  <c r="O763" i="13"/>
  <c r="P767" i="13"/>
  <c r="O767" i="13"/>
  <c r="R763" i="13"/>
  <c r="Y638" i="13"/>
  <c r="BO582" i="13"/>
  <c r="BO580" i="13"/>
  <c r="BO584" i="13"/>
  <c r="BO587" i="13"/>
  <c r="BO588" i="13"/>
  <c r="BO592" i="13"/>
  <c r="BO594" i="13"/>
  <c r="BO577" i="13"/>
  <c r="BU582" i="13"/>
  <c r="BQ605" i="13"/>
  <c r="S1234" i="13"/>
  <c r="S1078" i="13"/>
  <c r="S1079" i="13" s="1"/>
  <c r="V1067" i="13"/>
  <c r="U1063" i="13"/>
  <c r="U1056" i="13"/>
  <c r="S1054" i="13"/>
  <c r="V1039" i="13"/>
  <c r="V1076" i="13"/>
  <c r="S1023" i="13"/>
  <c r="T1022" i="13"/>
  <c r="T1039" i="13" s="1"/>
  <c r="S1010" i="13"/>
  <c r="V916" i="13"/>
  <c r="T915" i="13"/>
  <c r="T914" i="13" s="1"/>
  <c r="S883" i="13"/>
  <c r="BT576" i="13"/>
  <c r="BN548" i="13"/>
  <c r="BN545" i="13"/>
  <c r="BS518" i="13"/>
  <c r="BS536" i="13"/>
  <c r="BS538" i="13"/>
  <c r="BS489" i="13"/>
  <c r="BS519" i="13"/>
  <c r="BS537" i="13"/>
  <c r="BS534" i="13"/>
  <c r="BO518" i="13"/>
  <c r="BO536" i="13"/>
  <c r="BO538" i="13"/>
  <c r="BO489" i="13"/>
  <c r="BO519" i="13"/>
  <c r="BO537" i="13"/>
  <c r="BO534" i="13"/>
  <c r="D785" i="13"/>
  <c r="D792" i="13"/>
  <c r="D791" i="13"/>
  <c r="D786" i="13"/>
  <c r="D558" i="13" s="1"/>
  <c r="D564" i="13" s="1"/>
  <c r="W415" i="13"/>
  <c r="W437" i="13"/>
  <c r="W438" i="13"/>
  <c r="T789" i="13"/>
  <c r="U750" i="13"/>
  <c r="R688" i="13"/>
  <c r="R684" i="13" s="1"/>
  <c r="R687" i="13" s="1"/>
  <c r="T687" i="13"/>
  <c r="T683" i="13" s="1"/>
  <c r="T686" i="13" s="1"/>
  <c r="W681" i="13"/>
  <c r="W673" i="13" s="1"/>
  <c r="W678" i="13" s="1"/>
  <c r="AC660" i="13"/>
  <c r="AC663" i="13" s="1"/>
  <c r="N647" i="13"/>
  <c r="BN594" i="13"/>
  <c r="BQ592" i="13"/>
  <c r="BM592" i="13"/>
  <c r="BQ588" i="13"/>
  <c r="BQ584" i="13"/>
  <c r="BM584" i="13"/>
  <c r="BM582" i="13"/>
  <c r="BT614" i="13"/>
  <c r="BQ577" i="13"/>
  <c r="BQ587" i="13"/>
  <c r="BM577" i="13"/>
  <c r="BM587" i="13"/>
  <c r="BO546" i="13"/>
  <c r="BP545" i="13"/>
  <c r="BP547" i="13"/>
  <c r="BS546" i="13"/>
  <c r="D716" i="13"/>
  <c r="D720" i="13"/>
  <c r="CD549" i="13"/>
  <c r="CH549" i="13" s="1"/>
  <c r="CJ549" i="13"/>
  <c r="F436" i="13"/>
  <c r="H436" i="13" s="1"/>
  <c r="E436" i="13"/>
  <c r="G436" i="13" s="1"/>
  <c r="Q647" i="13"/>
  <c r="BS547" i="13"/>
  <c r="BQ614" i="13"/>
  <c r="BQ546" i="13" s="1"/>
  <c r="BM614" i="13"/>
  <c r="BP548" i="13"/>
  <c r="D425" i="13"/>
  <c r="T425" i="13"/>
  <c r="U425" i="13" s="1"/>
  <c r="V425" i="13" s="1"/>
  <c r="W425" i="13" s="1"/>
  <c r="F388" i="13"/>
  <c r="H388" i="13" s="1"/>
  <c r="E388" i="13"/>
  <c r="G388" i="13" s="1"/>
  <c r="D100" i="13"/>
  <c r="C488" i="13"/>
  <c r="E106" i="13" s="1"/>
  <c r="D511" i="13"/>
  <c r="D509" i="13"/>
  <c r="BS574" i="13"/>
  <c r="CC542" i="13"/>
  <c r="BU538" i="13"/>
  <c r="BQ538" i="13"/>
  <c r="BQ541" i="13" s="1"/>
  <c r="BM538" i="13"/>
  <c r="BM541" i="13" s="1"/>
  <c r="BM548" i="13" s="1"/>
  <c r="BR537" i="13"/>
  <c r="BR540" i="13" s="1"/>
  <c r="BN537" i="13"/>
  <c r="BN546" i="13" s="1"/>
  <c r="BU536" i="13"/>
  <c r="BQ536" i="13"/>
  <c r="BQ539" i="13" s="1"/>
  <c r="BM536" i="13"/>
  <c r="BM539" i="13" s="1"/>
  <c r="BR519" i="13"/>
  <c r="BN519" i="13"/>
  <c r="C228" i="13"/>
  <c r="C792" i="13"/>
  <c r="C506" i="13" s="1"/>
  <c r="D612" i="13"/>
  <c r="D611" i="13"/>
  <c r="S426" i="13"/>
  <c r="C791" i="13"/>
  <c r="C502" i="13" s="1"/>
  <c r="C785" i="13"/>
  <c r="C520" i="13"/>
  <c r="W366" i="13"/>
  <c r="C786" i="13"/>
  <c r="C597" i="13" s="1"/>
  <c r="W387" i="13"/>
  <c r="W389" i="13"/>
  <c r="F389" i="13"/>
  <c r="H389" i="13" s="1"/>
  <c r="E389" i="13"/>
  <c r="G389" i="13" s="1"/>
  <c r="F387" i="13"/>
  <c r="H387" i="13" s="1"/>
  <c r="E387" i="13"/>
  <c r="G387" i="13" s="1"/>
  <c r="D229" i="13"/>
  <c r="D231" i="13" s="1"/>
  <c r="D228" i="13"/>
  <c r="D279" i="13"/>
  <c r="D294" i="13"/>
  <c r="D690" i="13"/>
  <c r="I150" i="13" s="1"/>
  <c r="D677" i="13"/>
  <c r="I72" i="13" s="1"/>
  <c r="C474" i="13"/>
  <c r="C475" i="13"/>
  <c r="C472" i="13"/>
  <c r="C609" i="13" s="1"/>
  <c r="G52" i="13" s="1"/>
  <c r="D486" i="13"/>
  <c r="D111" i="13"/>
  <c r="D57" i="13"/>
  <c r="D148" i="13"/>
  <c r="E174" i="13"/>
  <c r="H174" i="13" s="1"/>
  <c r="C611" i="13"/>
  <c r="C612" i="13"/>
  <c r="D474" i="13"/>
  <c r="D472" i="13"/>
  <c r="D476" i="13"/>
  <c r="D475" i="13"/>
  <c r="D473" i="13"/>
  <c r="D267" i="13"/>
  <c r="C279" i="13"/>
  <c r="C267" i="13"/>
  <c r="C229" i="13"/>
  <c r="D497" i="13"/>
  <c r="D492" i="13"/>
  <c r="D498" i="13"/>
  <c r="D496" i="13"/>
  <c r="L96" i="13" s="1"/>
  <c r="D323" i="13"/>
  <c r="D326" i="13" s="1"/>
  <c r="C326" i="13"/>
  <c r="D26" i="13" s="1"/>
  <c r="G148" i="13"/>
  <c r="C497" i="13"/>
  <c r="C511" i="13"/>
  <c r="C498" i="13"/>
  <c r="C111" i="13"/>
  <c r="D638" i="13"/>
  <c r="C303" i="13"/>
  <c r="E19" i="13" s="1"/>
  <c r="BS362" i="13"/>
  <c r="BO362" i="13"/>
  <c r="E111" i="13"/>
  <c r="V1137" i="13" l="1"/>
  <c r="S1190" i="13"/>
  <c r="V1190" i="13"/>
  <c r="V1191" i="13" s="1"/>
  <c r="V1192" i="13" s="1"/>
  <c r="W849" i="13"/>
  <c r="V1197" i="13"/>
  <c r="V1198" i="13" s="1"/>
  <c r="V1199" i="13" s="1"/>
  <c r="S1137" i="13"/>
  <c r="T849" i="13"/>
  <c r="T1197" i="13" s="1"/>
  <c r="T1198" i="13" s="1"/>
  <c r="T1199" i="13" s="1"/>
  <c r="M366" i="13"/>
  <c r="H426" i="13"/>
  <c r="S635" i="13"/>
  <c r="M415" i="13"/>
  <c r="C477" i="13"/>
  <c r="D46" i="13" s="1"/>
  <c r="E426" i="13"/>
  <c r="M426" i="13" s="1"/>
  <c r="S1139" i="13"/>
  <c r="R849" i="13"/>
  <c r="R1190" i="13" s="1"/>
  <c r="R1191" i="13" s="1"/>
  <c r="R1192" i="13" s="1"/>
  <c r="S1197" i="13"/>
  <c r="S1198" i="13" s="1"/>
  <c r="S1199" i="13" s="1"/>
  <c r="S848" i="13"/>
  <c r="S929" i="13"/>
  <c r="S1090" i="13" s="1"/>
  <c r="C505" i="13"/>
  <c r="M438" i="13"/>
  <c r="C845" i="13"/>
  <c r="D510" i="13"/>
  <c r="D508" i="13" s="1"/>
  <c r="D754" i="13"/>
  <c r="J438" i="13"/>
  <c r="K415" i="13"/>
  <c r="AB415" i="13" s="1"/>
  <c r="K437" i="13"/>
  <c r="R437" i="13" s="1"/>
  <c r="S1016" i="13"/>
  <c r="V929" i="13"/>
  <c r="V1090" i="13" s="1"/>
  <c r="S850" i="13"/>
  <c r="T850" i="13" s="1"/>
  <c r="L636" i="13"/>
  <c r="V908" i="13"/>
  <c r="V909" i="13" s="1"/>
  <c r="V934" i="13"/>
  <c r="V1031" i="13" s="1"/>
  <c r="V935" i="13"/>
  <c r="V981" i="13" s="1"/>
  <c r="V944" i="13"/>
  <c r="V945" i="13" s="1"/>
  <c r="D524" i="13"/>
  <c r="D355" i="13"/>
  <c r="D565" i="13" s="1"/>
  <c r="D566" i="13" s="1"/>
  <c r="D293" i="13"/>
  <c r="L425" i="13"/>
  <c r="Q425" i="13" s="1"/>
  <c r="BU570" i="13"/>
  <c r="D356" i="13"/>
  <c r="BO547" i="13"/>
  <c r="BU592" i="13"/>
  <c r="R883" i="13"/>
  <c r="R994" i="13"/>
  <c r="W1020" i="13"/>
  <c r="W1039" i="13" s="1"/>
  <c r="R911" i="13"/>
  <c r="R971" i="13"/>
  <c r="R1026" i="13"/>
  <c r="S952" i="13"/>
  <c r="J425" i="13"/>
  <c r="X425" i="13" s="1"/>
  <c r="D295" i="13"/>
  <c r="D896" i="13"/>
  <c r="BU540" i="13"/>
  <c r="CO539" i="13"/>
  <c r="CP539" i="13" s="1"/>
  <c r="CP551" i="13" s="1"/>
  <c r="BP540" i="13"/>
  <c r="R920" i="13"/>
  <c r="L436" i="13"/>
  <c r="Q436" i="13" s="1"/>
  <c r="L415" i="13"/>
  <c r="AA415" i="13" s="1"/>
  <c r="D354" i="13"/>
  <c r="D717" i="13"/>
  <c r="BQ597" i="13"/>
  <c r="BU587" i="13"/>
  <c r="V1077" i="13"/>
  <c r="V1079" i="13" s="1"/>
  <c r="R910" i="13"/>
  <c r="R885" i="13"/>
  <c r="R963" i="13"/>
  <c r="L437" i="13"/>
  <c r="D271" i="13"/>
  <c r="D334" i="13"/>
  <c r="D31" i="13" s="1"/>
  <c r="D845" i="13"/>
  <c r="R914" i="13"/>
  <c r="BP546" i="13"/>
  <c r="V1061" i="13"/>
  <c r="V1065" i="13" s="1"/>
  <c r="CK539" i="13"/>
  <c r="CF540" i="13"/>
  <c r="CE540" i="13"/>
  <c r="CH540" i="13" s="1"/>
  <c r="CJ540" i="13"/>
  <c r="CM540" i="13" s="1"/>
  <c r="D351" i="13"/>
  <c r="D693" i="13" s="1"/>
  <c r="H1261" i="13" s="1"/>
  <c r="H176" i="13" s="1"/>
  <c r="D230" i="13"/>
  <c r="D521" i="13"/>
  <c r="BT545" i="13"/>
  <c r="R975" i="13"/>
  <c r="S1044" i="13"/>
  <c r="R948" i="13"/>
  <c r="R996" i="13" s="1"/>
  <c r="V1041" i="13"/>
  <c r="R872" i="13"/>
  <c r="J437" i="13"/>
  <c r="D261" i="13"/>
  <c r="CE538" i="13"/>
  <c r="Q636" i="13"/>
  <c r="T1010" i="13"/>
  <c r="R1023" i="13"/>
  <c r="R1046" i="13" s="1"/>
  <c r="M636" i="13"/>
  <c r="P636" i="13"/>
  <c r="S636" i="13" s="1"/>
  <c r="S648" i="13" s="1"/>
  <c r="S649" i="13" s="1"/>
  <c r="BO615" i="13"/>
  <c r="P798" i="13"/>
  <c r="S1008" i="13"/>
  <c r="BR570" i="13"/>
  <c r="BR535" i="13"/>
  <c r="BR602" i="13"/>
  <c r="BR610" i="13"/>
  <c r="BR606" i="13"/>
  <c r="L635" i="13"/>
  <c r="V646" i="13"/>
  <c r="W646" i="13" s="1"/>
  <c r="BM605" i="13"/>
  <c r="BM601" i="13"/>
  <c r="K40" i="13"/>
  <c r="CK549" i="13"/>
  <c r="CN549" i="13" s="1"/>
  <c r="C846" i="13"/>
  <c r="M635" i="13"/>
  <c r="S1002" i="13"/>
  <c r="R1003" i="13" s="1"/>
  <c r="T646" i="13"/>
  <c r="S1014" i="13"/>
  <c r="R855" i="13"/>
  <c r="BQ604" i="13"/>
  <c r="BQ599" i="13"/>
  <c r="BR544" i="13"/>
  <c r="BR542" i="13"/>
  <c r="BM597" i="13"/>
  <c r="BT351" i="13"/>
  <c r="BT465" i="13"/>
  <c r="BS352" i="13"/>
  <c r="BS468" i="13"/>
  <c r="BP535" i="13"/>
  <c r="BP602" i="13"/>
  <c r="BP610" i="13"/>
  <c r="BP606" i="13"/>
  <c r="BP604" i="13"/>
  <c r="BP596" i="13"/>
  <c r="BP599" i="13"/>
  <c r="T856" i="13"/>
  <c r="T959" i="13" s="1"/>
  <c r="S959" i="13"/>
  <c r="BM610" i="13"/>
  <c r="BM606" i="13"/>
  <c r="BM535" i="13"/>
  <c r="BM602" i="13"/>
  <c r="BU535" i="13"/>
  <c r="BU602" i="13"/>
  <c r="BU610" i="13"/>
  <c r="BU606" i="13"/>
  <c r="BM599" i="13"/>
  <c r="BM604" i="13"/>
  <c r="CL540" i="13"/>
  <c r="BP597" i="13"/>
  <c r="BP601" i="13"/>
  <c r="BP605" i="13"/>
  <c r="C558" i="13"/>
  <c r="C564" i="13" s="1"/>
  <c r="M437" i="13"/>
  <c r="N635" i="13"/>
  <c r="T636" i="13"/>
  <c r="BM540" i="13"/>
  <c r="R646" i="13"/>
  <c r="BU604" i="13"/>
  <c r="BU599" i="13"/>
  <c r="BT535" i="13"/>
  <c r="BT602" i="13"/>
  <c r="BT610" i="13"/>
  <c r="BT606" i="13"/>
  <c r="BQ351" i="13"/>
  <c r="BQ465" i="13"/>
  <c r="BU580" i="13"/>
  <c r="BU584" i="13"/>
  <c r="BU588" i="13"/>
  <c r="BU594" i="13"/>
  <c r="K637" i="13"/>
  <c r="BQ596" i="13"/>
  <c r="CF541" i="13"/>
  <c r="CI541" i="13"/>
  <c r="CJ541" i="13"/>
  <c r="CM541" i="13" s="1"/>
  <c r="CD541" i="13"/>
  <c r="BQ535" i="13"/>
  <c r="BQ606" i="13"/>
  <c r="BQ602" i="13"/>
  <c r="BQ610" i="13"/>
  <c r="BT596" i="13"/>
  <c r="BT599" i="13"/>
  <c r="BT604" i="13"/>
  <c r="BU605" i="13"/>
  <c r="BU601" i="13"/>
  <c r="BN588" i="13"/>
  <c r="BN577" i="13"/>
  <c r="BN582" i="13"/>
  <c r="BN587" i="13"/>
  <c r="BN580" i="13"/>
  <c r="BN592" i="13"/>
  <c r="BN584" i="13"/>
  <c r="CE541" i="13"/>
  <c r="R647" i="13"/>
  <c r="U647" i="13" s="1"/>
  <c r="Q635" i="13"/>
  <c r="V635" i="13" s="1"/>
  <c r="T1054" i="13"/>
  <c r="BO352" i="13"/>
  <c r="BO468" i="13"/>
  <c r="BT597" i="13"/>
  <c r="BT601" i="13"/>
  <c r="BT605" i="13"/>
  <c r="CD538" i="13"/>
  <c r="CF538" i="13"/>
  <c r="CI538" i="13"/>
  <c r="CL538" i="13" s="1"/>
  <c r="BM596" i="13"/>
  <c r="BU597" i="13"/>
  <c r="D846" i="13"/>
  <c r="R1036" i="13"/>
  <c r="U812" i="13"/>
  <c r="W812" i="13"/>
  <c r="V828" i="13"/>
  <c r="T835" i="13"/>
  <c r="R835" i="13"/>
  <c r="S838" i="13"/>
  <c r="R959" i="13"/>
  <c r="R1000" i="13"/>
  <c r="BQ580" i="13"/>
  <c r="BQ582" i="13"/>
  <c r="BQ594" i="13"/>
  <c r="D519" i="13"/>
  <c r="BT547" i="13"/>
  <c r="CG549" i="13"/>
  <c r="J436" i="13"/>
  <c r="X436" i="13" s="1"/>
  <c r="J426" i="13"/>
  <c r="X426" i="13" s="1"/>
  <c r="U763" i="13"/>
  <c r="S767" i="13"/>
  <c r="R852" i="13"/>
  <c r="T852" i="13"/>
  <c r="U915" i="13"/>
  <c r="W915" i="13"/>
  <c r="BM570" i="13"/>
  <c r="BT548" i="13"/>
  <c r="BT557" i="13" s="1"/>
  <c r="CH550" i="13"/>
  <c r="D890" i="13"/>
  <c r="D350" i="13"/>
  <c r="D692" i="13" s="1"/>
  <c r="D700" i="13" s="1"/>
  <c r="D701" i="13" s="1"/>
  <c r="D702" i="13" s="1"/>
  <c r="D708" i="13" s="1"/>
  <c r="C158" i="13" s="1"/>
  <c r="K425" i="13"/>
  <c r="R425" i="13" s="1"/>
  <c r="D292" i="13"/>
  <c r="K436" i="13"/>
  <c r="G20" i="13"/>
  <c r="G1256" i="13" s="1"/>
  <c r="G171" i="13" s="1"/>
  <c r="D880" i="13"/>
  <c r="D273" i="13"/>
  <c r="J415" i="13"/>
  <c r="D886" i="13"/>
  <c r="D297" i="13"/>
  <c r="D258" i="13" s="1"/>
  <c r="D291" i="13"/>
  <c r="D352" i="13"/>
  <c r="D694" i="13" s="1"/>
  <c r="E150" i="13" s="1"/>
  <c r="D296" i="13"/>
  <c r="V835" i="13"/>
  <c r="S1076" i="13"/>
  <c r="C495" i="13"/>
  <c r="G95" i="13" s="1"/>
  <c r="BU615" i="13"/>
  <c r="C479" i="13"/>
  <c r="F46" i="13" s="1"/>
  <c r="C578" i="13"/>
  <c r="C590" i="13" s="1"/>
  <c r="C309" i="13" s="1"/>
  <c r="C307" i="13" s="1"/>
  <c r="C308" i="13" s="1"/>
  <c r="M436" i="13"/>
  <c r="C508" i="13"/>
  <c r="M388" i="13"/>
  <c r="M389" i="13"/>
  <c r="T427" i="13"/>
  <c r="U427" i="13" s="1"/>
  <c r="V427" i="13" s="1"/>
  <c r="W427" i="13" s="1"/>
  <c r="C427" i="13"/>
  <c r="S427" i="13"/>
  <c r="D427" i="13"/>
  <c r="B428" i="13"/>
  <c r="S416" i="13"/>
  <c r="B417" i="13"/>
  <c r="C416" i="13"/>
  <c r="L426" i="13"/>
  <c r="Q426" i="13" s="1"/>
  <c r="D416" i="13"/>
  <c r="E416" i="13" s="1"/>
  <c r="B367" i="13"/>
  <c r="D376" i="13"/>
  <c r="T376" i="13"/>
  <c r="U376" i="13" s="1"/>
  <c r="V376" i="13" s="1"/>
  <c r="W376" i="13" s="1"/>
  <c r="C376" i="13"/>
  <c r="L376" i="13" s="1"/>
  <c r="S376" i="13"/>
  <c r="B377" i="13"/>
  <c r="E77" i="13"/>
  <c r="J149" i="13"/>
  <c r="D715" i="13"/>
  <c r="D755" i="13"/>
  <c r="D676" i="13"/>
  <c r="D831" i="13"/>
  <c r="G1255" i="13"/>
  <c r="G170" i="13" s="1"/>
  <c r="D1255" i="13"/>
  <c r="D170" i="13" s="1"/>
  <c r="D675" i="13"/>
  <c r="F189" i="13"/>
  <c r="L438" i="13"/>
  <c r="D766" i="13"/>
  <c r="D285" i="13"/>
  <c r="D335" i="13"/>
  <c r="K438" i="13"/>
  <c r="D238" i="13"/>
  <c r="C189" i="13" s="1"/>
  <c r="D298" i="13"/>
  <c r="K426" i="13"/>
  <c r="Y437" i="13"/>
  <c r="C720" i="13"/>
  <c r="C517" i="13"/>
  <c r="C499" i="13" s="1"/>
  <c r="I95" i="13" s="1"/>
  <c r="C334" i="13"/>
  <c r="D30" i="13" s="1"/>
  <c r="U1190" i="13"/>
  <c r="U1191" i="13" s="1"/>
  <c r="U1192" i="13" s="1"/>
  <c r="U1197" i="13"/>
  <c r="U1198" i="13" s="1"/>
  <c r="U1199" i="13" s="1"/>
  <c r="R1197" i="13"/>
  <c r="R1198" i="13" s="1"/>
  <c r="R1199" i="13" s="1"/>
  <c r="T1016" i="13"/>
  <c r="R1017" i="13" s="1"/>
  <c r="T1190" i="13"/>
  <c r="T1191" i="13" s="1"/>
  <c r="T1192" i="13" s="1"/>
  <c r="R1137" i="13"/>
  <c r="V848" i="13"/>
  <c r="R848" i="13"/>
  <c r="T848" i="13"/>
  <c r="T1137" i="13"/>
  <c r="R1138" i="13" s="1"/>
  <c r="U1137" i="13"/>
  <c r="CM538" i="13"/>
  <c r="R1044" i="13"/>
  <c r="T1044" i="13"/>
  <c r="D280" i="13"/>
  <c r="D282" i="13"/>
  <c r="D283" i="13"/>
  <c r="D281" i="13"/>
  <c r="R1016" i="13"/>
  <c r="R1010" i="13"/>
  <c r="R1002" i="13"/>
  <c r="T834" i="13"/>
  <c r="S935" i="13"/>
  <c r="S825" i="13" s="1"/>
  <c r="S826" i="13" s="1"/>
  <c r="S837" i="13"/>
  <c r="S934" i="13"/>
  <c r="S939" i="13"/>
  <c r="S949" i="13" s="1"/>
  <c r="R834" i="13"/>
  <c r="S938" i="13"/>
  <c r="S951" i="13" s="1"/>
  <c r="S933" i="13"/>
  <c r="S1071" i="13" s="1"/>
  <c r="S942" i="13"/>
  <c r="S943" i="13" s="1"/>
  <c r="S936" i="13"/>
  <c r="S969" i="13" s="1"/>
  <c r="S944" i="13"/>
  <c r="S945" i="13" s="1"/>
  <c r="S1110" i="13"/>
  <c r="S908" i="13"/>
  <c r="S909" i="13" s="1"/>
  <c r="S1121" i="13"/>
  <c r="S1150" i="13"/>
  <c r="C625" i="13"/>
  <c r="C626" i="13" s="1"/>
  <c r="D251" i="13"/>
  <c r="I41" i="13"/>
  <c r="D609" i="13"/>
  <c r="G53" i="13" s="1"/>
  <c r="D478" i="13"/>
  <c r="E47" i="13" s="1"/>
  <c r="D614" i="13"/>
  <c r="D577" i="13"/>
  <c r="D572" i="13"/>
  <c r="D839" i="13"/>
  <c r="D52" i="13"/>
  <c r="I366" i="13"/>
  <c r="I367" i="13" s="1"/>
  <c r="I368" i="13" s="1"/>
  <c r="I369" i="13" s="1"/>
  <c r="I370" i="13" s="1"/>
  <c r="I371" i="13" s="1"/>
  <c r="I372" i="13" s="1"/>
  <c r="I373" i="13" s="1"/>
  <c r="I374" i="13" s="1"/>
  <c r="I375" i="13" s="1"/>
  <c r="I376" i="13" s="1"/>
  <c r="I377" i="13" s="1"/>
  <c r="I378" i="13" s="1"/>
  <c r="I379" i="13" s="1"/>
  <c r="I380" i="13" s="1"/>
  <c r="I381" i="13" s="1"/>
  <c r="I382" i="13" s="1"/>
  <c r="I383" i="13" s="1"/>
  <c r="I384" i="13" s="1"/>
  <c r="D488" i="13"/>
  <c r="E107" i="13" s="1"/>
  <c r="D101" i="13"/>
  <c r="C617" i="13"/>
  <c r="C632" i="13"/>
  <c r="C580" i="13"/>
  <c r="C596" i="13"/>
  <c r="C501" i="13"/>
  <c r="C512" i="13"/>
  <c r="C557" i="13"/>
  <c r="C594" i="13"/>
  <c r="C561" i="13"/>
  <c r="C559" i="13"/>
  <c r="BM542" i="13"/>
  <c r="BM544" i="13"/>
  <c r="BM543" i="13"/>
  <c r="CE542" i="13"/>
  <c r="CD542" i="13"/>
  <c r="CJ542" i="13"/>
  <c r="CM542" i="13" s="1"/>
  <c r="CC543" i="13"/>
  <c r="CI542" i="13"/>
  <c r="CF542" i="13"/>
  <c r="E425" i="13"/>
  <c r="F425" i="13"/>
  <c r="H425" i="13" s="1"/>
  <c r="BP542" i="13"/>
  <c r="BP544" i="13"/>
  <c r="BP543" i="13"/>
  <c r="BT543" i="13"/>
  <c r="BS606" i="13"/>
  <c r="BS535" i="13"/>
  <c r="BS602" i="13"/>
  <c r="BS610" i="13"/>
  <c r="BS570" i="13"/>
  <c r="BS541" i="13"/>
  <c r="BS548" i="13" s="1"/>
  <c r="W916" i="13"/>
  <c r="U916" i="13"/>
  <c r="U1076" i="13"/>
  <c r="W1076" i="13"/>
  <c r="U833" i="13"/>
  <c r="W833" i="13"/>
  <c r="R1058" i="13"/>
  <c r="R1039" i="13"/>
  <c r="W854" i="13"/>
  <c r="U854" i="13"/>
  <c r="R916" i="13"/>
  <c r="T916" i="13"/>
  <c r="T996" i="13"/>
  <c r="T998" i="13"/>
  <c r="R1067" i="13"/>
  <c r="T1067" i="13"/>
  <c r="S1068" i="13"/>
  <c r="BR588" i="13"/>
  <c r="BR577" i="13"/>
  <c r="BR580" i="13"/>
  <c r="BR584" i="13"/>
  <c r="BR592" i="13"/>
  <c r="BR582" i="13"/>
  <c r="BR587" i="13"/>
  <c r="BR594" i="13"/>
  <c r="T952" i="13"/>
  <c r="T983" i="13"/>
  <c r="T1000" i="13"/>
  <c r="C274" i="13"/>
  <c r="R836" i="13"/>
  <c r="T836" i="13"/>
  <c r="BQ570" i="13"/>
  <c r="C271" i="13"/>
  <c r="C297" i="13"/>
  <c r="C258" i="13" s="1"/>
  <c r="C524" i="13"/>
  <c r="C292" i="13"/>
  <c r="C729" i="13"/>
  <c r="C717" i="13"/>
  <c r="C719" i="13" s="1"/>
  <c r="M387" i="13"/>
  <c r="C230" i="13"/>
  <c r="C523" i="13"/>
  <c r="BQ545" i="13"/>
  <c r="BR543" i="13"/>
  <c r="D527" i="13"/>
  <c r="D520" i="13"/>
  <c r="D517" i="13"/>
  <c r="D545" i="13" s="1"/>
  <c r="S1191" i="13"/>
  <c r="S1192" i="13" s="1"/>
  <c r="S1046" i="13"/>
  <c r="C280" i="13"/>
  <c r="C294" i="13"/>
  <c r="S1147" i="13"/>
  <c r="R1148" i="13" s="1"/>
  <c r="D495" i="13"/>
  <c r="G96" i="13" s="1"/>
  <c r="K96" i="13"/>
  <c r="C47" i="13"/>
  <c r="D477" i="13"/>
  <c r="BO596" i="13"/>
  <c r="BO604" i="13"/>
  <c r="BO599" i="13"/>
  <c r="W1197" i="13"/>
  <c r="W1198" i="13" s="1"/>
  <c r="W1199" i="13" s="1"/>
  <c r="R1008" i="13"/>
  <c r="T1008" i="13"/>
  <c r="U852" i="13"/>
  <c r="W852" i="13"/>
  <c r="S996" i="13"/>
  <c r="S998" i="13"/>
  <c r="C526" i="13"/>
  <c r="C528" i="13"/>
  <c r="D617" i="13"/>
  <c r="D580" i="13"/>
  <c r="D632" i="13"/>
  <c r="C507" i="13"/>
  <c r="C595" i="13"/>
  <c r="C598" i="13" s="1"/>
  <c r="C513" i="13"/>
  <c r="C519" i="13"/>
  <c r="C560" i="13"/>
  <c r="C562" i="13"/>
  <c r="C733" i="13"/>
  <c r="C753" i="13"/>
  <c r="C761" i="13"/>
  <c r="C315" i="13"/>
  <c r="C247" i="13" s="1"/>
  <c r="C731" i="13"/>
  <c r="BN597" i="13"/>
  <c r="BN605" i="13"/>
  <c r="BN601" i="13"/>
  <c r="BN540" i="13"/>
  <c r="BN572" i="13"/>
  <c r="BU541" i="13"/>
  <c r="BU548" i="13" s="1"/>
  <c r="BU547" i="13"/>
  <c r="BM547" i="13"/>
  <c r="BM546" i="13"/>
  <c r="BM574" i="13"/>
  <c r="BM545" i="13"/>
  <c r="CM549" i="13"/>
  <c r="CO549" i="13"/>
  <c r="CP549" i="13" s="1"/>
  <c r="BO572" i="13"/>
  <c r="BO540" i="13"/>
  <c r="BO539" i="13"/>
  <c r="BO545" i="13"/>
  <c r="BS601" i="13"/>
  <c r="BS597" i="13"/>
  <c r="BS605" i="13"/>
  <c r="BS596" i="13"/>
  <c r="BS604" i="13"/>
  <c r="BS599" i="13"/>
  <c r="BT580" i="13"/>
  <c r="BT584" i="13"/>
  <c r="BT587" i="13"/>
  <c r="BT588" i="13"/>
  <c r="BT594" i="13"/>
  <c r="BT582" i="13"/>
  <c r="BT577" i="13"/>
  <c r="BT592" i="13"/>
  <c r="T1023" i="13"/>
  <c r="W1067" i="13"/>
  <c r="U1067" i="13"/>
  <c r="Y639" i="13"/>
  <c r="P748" i="13"/>
  <c r="Q767" i="13"/>
  <c r="Q768" i="13"/>
  <c r="U768" i="13"/>
  <c r="R769" i="13"/>
  <c r="O774" i="13"/>
  <c r="O748" i="13"/>
  <c r="P768" i="13"/>
  <c r="T768" i="13"/>
  <c r="Q769" i="13"/>
  <c r="U769" i="13"/>
  <c r="P773" i="13"/>
  <c r="O768" i="13"/>
  <c r="S768" i="13"/>
  <c r="P769" i="13"/>
  <c r="T769" i="13"/>
  <c r="R771" i="13"/>
  <c r="O773" i="13"/>
  <c r="S769" i="13"/>
  <c r="O769" i="13"/>
  <c r="R748" i="13"/>
  <c r="R768" i="13"/>
  <c r="P774" i="13"/>
  <c r="S1065" i="13"/>
  <c r="X638" i="13"/>
  <c r="W856" i="13"/>
  <c r="V1000" i="13"/>
  <c r="U856" i="13"/>
  <c r="U834" i="13"/>
  <c r="V942" i="13"/>
  <c r="V943" i="13" s="1"/>
  <c r="W834" i="13"/>
  <c r="U1058" i="13"/>
  <c r="U1039" i="13"/>
  <c r="C272" i="13"/>
  <c r="W1190" i="13"/>
  <c r="W1191" i="13" s="1"/>
  <c r="W1192" i="13" s="1"/>
  <c r="C282" i="13"/>
  <c r="C296" i="13"/>
  <c r="C231" i="13"/>
  <c r="C516" i="13"/>
  <c r="C537" i="13" s="1"/>
  <c r="C518" i="13"/>
  <c r="C547" i="13" s="1"/>
  <c r="C527" i="13"/>
  <c r="D595" i="13"/>
  <c r="D598" i="13" s="1"/>
  <c r="CH541" i="13"/>
  <c r="D523" i="13"/>
  <c r="D518" i="13"/>
  <c r="D551" i="13" s="1"/>
  <c r="D502" i="13"/>
  <c r="T913" i="13"/>
  <c r="V933" i="13"/>
  <c r="V961" i="13" s="1"/>
  <c r="S1004" i="13"/>
  <c r="BR546" i="13"/>
  <c r="C281" i="13"/>
  <c r="T1061" i="13"/>
  <c r="BR597" i="13"/>
  <c r="BR605" i="13"/>
  <c r="BR601" i="13"/>
  <c r="S775" i="13"/>
  <c r="T779" i="13"/>
  <c r="T780" i="13"/>
  <c r="V1012" i="13"/>
  <c r="V1048" i="13"/>
  <c r="S780" i="13"/>
  <c r="V1092" i="13"/>
  <c r="U780" i="13"/>
  <c r="D507" i="13"/>
  <c r="D505" i="13"/>
  <c r="D562" i="13"/>
  <c r="D560" i="13"/>
  <c r="D513" i="13"/>
  <c r="BO601" i="13"/>
  <c r="BO605" i="13"/>
  <c r="BO597" i="13"/>
  <c r="S1032" i="13"/>
  <c r="S1035" i="13" s="1"/>
  <c r="S1050" i="13"/>
  <c r="S1036" i="13"/>
  <c r="R1037" i="13" s="1"/>
  <c r="S1052" i="13"/>
  <c r="R950" i="13"/>
  <c r="R979" i="13"/>
  <c r="T883" i="13"/>
  <c r="T885" i="13"/>
  <c r="C355" i="13"/>
  <c r="C261" i="13"/>
  <c r="C273" i="13"/>
  <c r="C285" i="13"/>
  <c r="L366" i="13"/>
  <c r="C356" i="13"/>
  <c r="C350" i="13"/>
  <c r="C829" i="13" s="1"/>
  <c r="C238" i="13"/>
  <c r="C188" i="13" s="1"/>
  <c r="C335" i="13"/>
  <c r="K366" i="13"/>
  <c r="Y366" i="13" s="1"/>
  <c r="G19" i="13"/>
  <c r="F188" i="13"/>
  <c r="C298" i="13"/>
  <c r="C354" i="13"/>
  <c r="C521" i="13"/>
  <c r="C522" i="13" s="1"/>
  <c r="K387" i="13"/>
  <c r="C351" i="13"/>
  <c r="C830" i="13" s="1"/>
  <c r="J387" i="13"/>
  <c r="X387" i="13" s="1"/>
  <c r="J388" i="13"/>
  <c r="J389" i="13"/>
  <c r="L389" i="13"/>
  <c r="Z389" i="13" s="1"/>
  <c r="K389" i="13"/>
  <c r="J366" i="13"/>
  <c r="L387" i="13"/>
  <c r="L388" i="13"/>
  <c r="K388" i="13"/>
  <c r="C766" i="13"/>
  <c r="C896" i="13"/>
  <c r="C880" i="13"/>
  <c r="C886" i="13"/>
  <c r="C890" i="13"/>
  <c r="T824" i="13"/>
  <c r="R824" i="13"/>
  <c r="T979" i="13"/>
  <c r="D528" i="13"/>
  <c r="D526" i="13"/>
  <c r="K41" i="13"/>
  <c r="D578" i="13"/>
  <c r="D615" i="13"/>
  <c r="D616" i="13"/>
  <c r="D579" i="13"/>
  <c r="D633" i="13"/>
  <c r="I40" i="13"/>
  <c r="C614" i="13"/>
  <c r="C663" i="13" s="1"/>
  <c r="C478" i="13"/>
  <c r="E46" i="13" s="1"/>
  <c r="C572" i="13"/>
  <c r="C577" i="13"/>
  <c r="C839" i="13"/>
  <c r="C616" i="13"/>
  <c r="C579" i="13"/>
  <c r="C633" i="13"/>
  <c r="D53" i="13"/>
  <c r="I415" i="13"/>
  <c r="I416" i="13" s="1"/>
  <c r="I417" i="13" s="1"/>
  <c r="I418" i="13" s="1"/>
  <c r="I419" i="13" s="1"/>
  <c r="I420" i="13" s="1"/>
  <c r="I421" i="13" s="1"/>
  <c r="I422" i="13" s="1"/>
  <c r="I423" i="13" s="1"/>
  <c r="I424" i="13" s="1"/>
  <c r="I425" i="13" s="1"/>
  <c r="I426" i="13" s="1"/>
  <c r="I427" i="13" s="1"/>
  <c r="I428" i="13" s="1"/>
  <c r="I429" i="13" s="1"/>
  <c r="I430" i="13" s="1"/>
  <c r="I431" i="13" s="1"/>
  <c r="I432" i="13" s="1"/>
  <c r="I433" i="13" s="1"/>
  <c r="I434" i="13" s="1"/>
  <c r="I435" i="13" s="1"/>
  <c r="I436" i="13" s="1"/>
  <c r="I437" i="13" s="1"/>
  <c r="I438" i="13" s="1"/>
  <c r="BU539" i="13"/>
  <c r="BU574" i="13"/>
  <c r="BT574" i="13"/>
  <c r="BT570" i="13"/>
  <c r="BT546" i="13"/>
  <c r="U917" i="13"/>
  <c r="U918" i="13" s="1"/>
  <c r="W917" i="13"/>
  <c r="W918" i="13" s="1"/>
  <c r="V918" i="13"/>
  <c r="D596" i="13"/>
  <c r="D503" i="13"/>
  <c r="D501" i="13"/>
  <c r="D512" i="13"/>
  <c r="D594" i="13"/>
  <c r="O728" i="13"/>
  <c r="S728" i="13"/>
  <c r="P729" i="13"/>
  <c r="T729" i="13"/>
  <c r="U730" i="13"/>
  <c r="R728" i="13"/>
  <c r="O729" i="13"/>
  <c r="S729" i="13"/>
  <c r="T730" i="13"/>
  <c r="D557" i="13"/>
  <c r="D559" i="13"/>
  <c r="D561" i="13"/>
  <c r="Q728" i="13"/>
  <c r="U728" i="13"/>
  <c r="R729" i="13"/>
  <c r="R730" i="13"/>
  <c r="S860" i="13"/>
  <c r="W860" i="13"/>
  <c r="P728" i="13"/>
  <c r="V860" i="13"/>
  <c r="V922" i="13" s="1"/>
  <c r="R860" i="13"/>
  <c r="U729" i="13"/>
  <c r="U860" i="13"/>
  <c r="Q730" i="13"/>
  <c r="Q729" i="13"/>
  <c r="T860" i="13"/>
  <c r="T884" i="13" s="1"/>
  <c r="T728" i="13"/>
  <c r="BO535" i="13"/>
  <c r="BO606" i="13"/>
  <c r="BO602" i="13"/>
  <c r="BO610" i="13"/>
  <c r="BO541" i="13"/>
  <c r="BO548" i="13" s="1"/>
  <c r="BO570" i="13"/>
  <c r="BS540" i="13"/>
  <c r="BS572" i="13"/>
  <c r="BS539" i="13"/>
  <c r="BS545" i="13"/>
  <c r="BN543" i="13"/>
  <c r="BN542" i="13"/>
  <c r="BN544" i="13"/>
  <c r="S1229" i="13"/>
  <c r="T1234" i="13"/>
  <c r="U844" i="13"/>
  <c r="V979" i="13"/>
  <c r="V950" i="13"/>
  <c r="W844" i="13"/>
  <c r="U1136" i="13"/>
  <c r="U989" i="13"/>
  <c r="W989" i="13"/>
  <c r="W1058" i="13"/>
  <c r="U824" i="13"/>
  <c r="W824" i="13"/>
  <c r="S918" i="13"/>
  <c r="T917" i="13"/>
  <c r="T918" i="13" s="1"/>
  <c r="R917" i="13"/>
  <c r="R918" i="13" s="1"/>
  <c r="CL550" i="13"/>
  <c r="CK550" i="13"/>
  <c r="CN550" i="13" s="1"/>
  <c r="CO550" i="13"/>
  <c r="CP550" i="13" s="1"/>
  <c r="U845" i="13"/>
  <c r="V910" i="13"/>
  <c r="V1081" i="13"/>
  <c r="V994" i="13"/>
  <c r="V869" i="13"/>
  <c r="V923" i="13"/>
  <c r="V872" i="13"/>
  <c r="V873" i="13" s="1"/>
  <c r="V911" i="13"/>
  <c r="V955" i="13"/>
  <c r="V963" i="13"/>
  <c r="V971" i="13"/>
  <c r="V920" i="13"/>
  <c r="V959" i="13"/>
  <c r="V967" i="13"/>
  <c r="V975" i="13"/>
  <c r="V885" i="13"/>
  <c r="V886" i="13" s="1"/>
  <c r="V1068" i="13"/>
  <c r="V883" i="13"/>
  <c r="V948" i="13"/>
  <c r="V1023" i="13"/>
  <c r="W845" i="13"/>
  <c r="V1026" i="13"/>
  <c r="BQ574" i="13"/>
  <c r="D506" i="13"/>
  <c r="BQ547" i="13"/>
  <c r="C352" i="13"/>
  <c r="C503" i="13"/>
  <c r="D597" i="13"/>
  <c r="C291" i="13"/>
  <c r="C525" i="13"/>
  <c r="BQ548" i="13"/>
  <c r="D479" i="13"/>
  <c r="BU545" i="13"/>
  <c r="D525" i="13"/>
  <c r="D516" i="13"/>
  <c r="V647" i="13"/>
  <c r="W647" i="13" s="1"/>
  <c r="V939" i="13"/>
  <c r="V949" i="13" s="1"/>
  <c r="V1104" i="13" s="1"/>
  <c r="T647" i="13"/>
  <c r="BR572" i="13"/>
  <c r="C295" i="13"/>
  <c r="C270" i="13"/>
  <c r="C283" i="13"/>
  <c r="V1156" i="13"/>
  <c r="T1058" i="13"/>
  <c r="W1137" i="13"/>
  <c r="U1138" i="13" s="1"/>
  <c r="D357" i="13" l="1"/>
  <c r="D829" i="13"/>
  <c r="CH538" i="13"/>
  <c r="CK538" i="13"/>
  <c r="P366" i="13"/>
  <c r="N366" i="13"/>
  <c r="J376" i="13"/>
  <c r="X376" i="13" s="1"/>
  <c r="AA436" i="13"/>
  <c r="V965" i="13"/>
  <c r="R1051" i="13"/>
  <c r="R1136" i="13"/>
  <c r="V1069" i="13"/>
  <c r="R1015" i="13"/>
  <c r="CO538" i="13"/>
  <c r="CP538" i="13" s="1"/>
  <c r="N415" i="13"/>
  <c r="O647" i="13"/>
  <c r="C504" i="13"/>
  <c r="AC376" i="13" s="1"/>
  <c r="P438" i="13"/>
  <c r="G426" i="13"/>
  <c r="V871" i="13"/>
  <c r="V1057" i="13"/>
  <c r="V953" i="13"/>
  <c r="S937" i="13"/>
  <c r="S973" i="13" s="1"/>
  <c r="V850" i="13"/>
  <c r="V938" i="13" s="1"/>
  <c r="V951" i="13" s="1"/>
  <c r="V1106" i="13" s="1"/>
  <c r="Y415" i="13"/>
  <c r="Q415" i="13"/>
  <c r="D235" i="13"/>
  <c r="D256" i="13"/>
  <c r="D260" i="13" s="1"/>
  <c r="Z425" i="13"/>
  <c r="AB437" i="13"/>
  <c r="C234" i="13"/>
  <c r="C239" i="13" s="1"/>
  <c r="Z376" i="13"/>
  <c r="C567" i="13"/>
  <c r="C568" i="13" s="1"/>
  <c r="C569" i="13" s="1"/>
  <c r="C576" i="13" s="1"/>
  <c r="K376" i="13"/>
  <c r="AB376" i="13" s="1"/>
  <c r="AA425" i="13"/>
  <c r="D719" i="13"/>
  <c r="D722" i="13" s="1"/>
  <c r="D723" i="13" s="1"/>
  <c r="D252" i="13"/>
  <c r="D236" i="13"/>
  <c r="H196" i="13" s="1"/>
  <c r="O437" i="13"/>
  <c r="W635" i="13"/>
  <c r="Z415" i="13"/>
  <c r="S1070" i="13"/>
  <c r="S1082" i="13" s="1"/>
  <c r="R1083" i="13" s="1"/>
  <c r="V1027" i="13"/>
  <c r="V1028" i="13" s="1"/>
  <c r="V957" i="13"/>
  <c r="V1013" i="13"/>
  <c r="V1120" i="13" s="1"/>
  <c r="V1121" i="13" s="1"/>
  <c r="V1030" i="13"/>
  <c r="V1024" i="13" s="1"/>
  <c r="V947" i="13"/>
  <c r="V976" i="13" s="1"/>
  <c r="V1085" i="13"/>
  <c r="V986" i="13"/>
  <c r="V987" i="13" s="1"/>
  <c r="R850" i="13"/>
  <c r="R937" i="13" s="1"/>
  <c r="R973" i="13" s="1"/>
  <c r="D150" i="13"/>
  <c r="D833" i="13"/>
  <c r="D830" i="13"/>
  <c r="D696" i="13"/>
  <c r="G150" i="13" s="1"/>
  <c r="D743" i="13"/>
  <c r="D744" i="13" s="1"/>
  <c r="F121" i="13" s="1"/>
  <c r="D360" i="13"/>
  <c r="D835" i="13"/>
  <c r="D361" i="13"/>
  <c r="G1261" i="13"/>
  <c r="G176" i="13" s="1"/>
  <c r="D695" i="13"/>
  <c r="F150" i="13" s="1"/>
  <c r="Y425" i="13"/>
  <c r="R415" i="13"/>
  <c r="AB425" i="13"/>
  <c r="O415" i="13"/>
  <c r="X415" i="13"/>
  <c r="D567" i="13"/>
  <c r="D568" i="13" s="1"/>
  <c r="D569" i="13" s="1"/>
  <c r="D576" i="13" s="1"/>
  <c r="P415" i="13"/>
  <c r="P426" i="13"/>
  <c r="D362" i="13"/>
  <c r="D706" i="13"/>
  <c r="I158" i="13" s="1"/>
  <c r="D836" i="13"/>
  <c r="D358" i="13"/>
  <c r="D712" i="13"/>
  <c r="H1260" i="13"/>
  <c r="H175" i="13" s="1"/>
  <c r="V636" i="13"/>
  <c r="W636" i="13" s="1"/>
  <c r="T635" i="13"/>
  <c r="V999" i="13"/>
  <c r="V1124" i="13"/>
  <c r="V1126" i="13" s="1"/>
  <c r="U1128" i="13" s="1"/>
  <c r="R998" i="13"/>
  <c r="R1052" i="13"/>
  <c r="N436" i="13"/>
  <c r="R1050" i="13"/>
  <c r="CK540" i="13"/>
  <c r="CN540" i="13" s="1"/>
  <c r="CO540" i="13"/>
  <c r="CP540" i="13" s="1"/>
  <c r="CN539" i="13"/>
  <c r="CG539" i="13"/>
  <c r="V1080" i="13"/>
  <c r="V1093" i="13"/>
  <c r="V1141" i="13"/>
  <c r="D897" i="13"/>
  <c r="D898" i="13" s="1"/>
  <c r="D899" i="13" s="1"/>
  <c r="D881" i="13"/>
  <c r="D883" i="13" s="1"/>
  <c r="D884" i="13" s="1"/>
  <c r="R635" i="13"/>
  <c r="V1070" i="13"/>
  <c r="V1082" i="13" s="1"/>
  <c r="U1083" i="13" s="1"/>
  <c r="V825" i="13"/>
  <c r="V826" i="13" s="1"/>
  <c r="V977" i="13"/>
  <c r="T950" i="13"/>
  <c r="V940" i="13"/>
  <c r="V941" i="13" s="1"/>
  <c r="R636" i="13"/>
  <c r="C544" i="13"/>
  <c r="I1261" i="13"/>
  <c r="I176" i="13" s="1"/>
  <c r="I1260" i="13"/>
  <c r="I175" i="13" s="1"/>
  <c r="D834" i="13"/>
  <c r="C256" i="13"/>
  <c r="C263" i="13" s="1"/>
  <c r="C235" i="13"/>
  <c r="C264" i="13"/>
  <c r="C687" i="13"/>
  <c r="BT544" i="13"/>
  <c r="CL541" i="13"/>
  <c r="CO541" i="13"/>
  <c r="CP541" i="13" s="1"/>
  <c r="CK541" i="13"/>
  <c r="U646" i="13"/>
  <c r="O646" i="13"/>
  <c r="C276" i="13"/>
  <c r="N426" i="13"/>
  <c r="BT542" i="13"/>
  <c r="R952" i="13"/>
  <c r="R955" i="13"/>
  <c r="C643" i="13"/>
  <c r="C647" i="13" s="1"/>
  <c r="C649" i="13" s="1"/>
  <c r="C83" i="13" s="1"/>
  <c r="C251" i="13"/>
  <c r="P637" i="13"/>
  <c r="L637" i="13"/>
  <c r="K638" i="13"/>
  <c r="Q637" i="13"/>
  <c r="T637" i="13" s="1"/>
  <c r="M637" i="13"/>
  <c r="N637" i="13"/>
  <c r="C641" i="13"/>
  <c r="C682" i="13"/>
  <c r="K83" i="13" s="1"/>
  <c r="C311" i="13"/>
  <c r="D697" i="13"/>
  <c r="H150" i="13" s="1"/>
  <c r="D353" i="13"/>
  <c r="J31" i="13" s="1"/>
  <c r="D837" i="13"/>
  <c r="D705" i="13"/>
  <c r="H158" i="13" s="1"/>
  <c r="D707" i="13"/>
  <c r="J158" i="13" s="1"/>
  <c r="D253" i="13"/>
  <c r="D254" i="13"/>
  <c r="D233" i="13"/>
  <c r="D237" i="13" s="1"/>
  <c r="D234" i="13"/>
  <c r="G196" i="13" s="1"/>
  <c r="C150" i="13"/>
  <c r="D257" i="13"/>
  <c r="D262" i="13" s="1"/>
  <c r="D259" i="13"/>
  <c r="D891" i="13"/>
  <c r="D893" i="13" s="1"/>
  <c r="D894" i="13" s="1"/>
  <c r="G1260" i="13"/>
  <c r="G175" i="13" s="1"/>
  <c r="D832" i="13"/>
  <c r="D841" i="13"/>
  <c r="D887" i="13"/>
  <c r="D888" i="13" s="1"/>
  <c r="D889" i="13" s="1"/>
  <c r="W835" i="13"/>
  <c r="U835" i="13"/>
  <c r="S1081" i="13"/>
  <c r="R1076" i="13"/>
  <c r="R1081" i="13" s="1"/>
  <c r="T1076" i="13"/>
  <c r="T1081" i="13" s="1"/>
  <c r="S773" i="13"/>
  <c r="T767" i="13"/>
  <c r="U748" i="13"/>
  <c r="U773" i="13"/>
  <c r="S776" i="13"/>
  <c r="T771" i="13"/>
  <c r="U771" i="13" s="1"/>
  <c r="T772" i="13"/>
  <c r="S772" i="13" s="1"/>
  <c r="S748" i="13"/>
  <c r="T838" i="13"/>
  <c r="R838" i="13"/>
  <c r="C288" i="13"/>
  <c r="C639" i="13"/>
  <c r="C310" i="13"/>
  <c r="H71" i="13" s="1"/>
  <c r="C480" i="13"/>
  <c r="C242" i="13"/>
  <c r="I188" i="13" s="1"/>
  <c r="C591" i="13"/>
  <c r="C674" i="13"/>
  <c r="C77" i="13" s="1"/>
  <c r="C275" i="13"/>
  <c r="C277" i="13"/>
  <c r="L427" i="13"/>
  <c r="K427" i="13"/>
  <c r="J427" i="13"/>
  <c r="X427" i="13" s="1"/>
  <c r="C417" i="13"/>
  <c r="B418" i="13"/>
  <c r="T417" i="13"/>
  <c r="U417" i="13" s="1"/>
  <c r="V417" i="13" s="1"/>
  <c r="W417" i="13" s="1"/>
  <c r="D417" i="13"/>
  <c r="S417" i="13"/>
  <c r="Z426" i="13"/>
  <c r="F416" i="13"/>
  <c r="H416" i="13" s="1"/>
  <c r="D428" i="13"/>
  <c r="S428" i="13"/>
  <c r="C428" i="13"/>
  <c r="B429" i="13"/>
  <c r="T428" i="13"/>
  <c r="U428" i="13" s="1"/>
  <c r="K416" i="13"/>
  <c r="L416" i="13"/>
  <c r="J416" i="13"/>
  <c r="X416" i="13" s="1"/>
  <c r="F427" i="13"/>
  <c r="H427" i="13" s="1"/>
  <c r="E427" i="13"/>
  <c r="AA426" i="13"/>
  <c r="C367" i="13"/>
  <c r="T367" i="13"/>
  <c r="U367" i="13" s="1"/>
  <c r="V367" i="13" s="1"/>
  <c r="W367" i="13" s="1"/>
  <c r="D367" i="13"/>
  <c r="S367" i="13"/>
  <c r="E376" i="13"/>
  <c r="F376" i="13"/>
  <c r="H376" i="13" s="1"/>
  <c r="B368" i="13"/>
  <c r="D377" i="13"/>
  <c r="C377" i="13"/>
  <c r="T377" i="13"/>
  <c r="U377" i="13" s="1"/>
  <c r="V377" i="13" s="1"/>
  <c r="W377" i="13" s="1"/>
  <c r="S377" i="13"/>
  <c r="B378" i="13"/>
  <c r="C622" i="13"/>
  <c r="G59" i="13" s="1"/>
  <c r="C536" i="13"/>
  <c r="AB426" i="13"/>
  <c r="R426" i="13"/>
  <c r="Z438" i="13"/>
  <c r="O426" i="13"/>
  <c r="Y426" i="13"/>
  <c r="C535" i="13"/>
  <c r="C541" i="13"/>
  <c r="C543" i="13"/>
  <c r="X366" i="13"/>
  <c r="C540" i="13"/>
  <c r="C747" i="13"/>
  <c r="C750" i="13" s="1"/>
  <c r="C545" i="13"/>
  <c r="Z366" i="13"/>
  <c r="O366" i="13"/>
  <c r="C542" i="13"/>
  <c r="D113" i="13"/>
  <c r="C253" i="13"/>
  <c r="C722" i="13"/>
  <c r="C723" i="13" s="1"/>
  <c r="U848" i="13"/>
  <c r="U936" i="13" s="1"/>
  <c r="U969" i="13" s="1"/>
  <c r="W848" i="13"/>
  <c r="W939" i="13" s="1"/>
  <c r="W949" i="13" s="1"/>
  <c r="W1104" i="13" s="1"/>
  <c r="V936" i="13"/>
  <c r="V969" i="13" s="1"/>
  <c r="V1071" i="13"/>
  <c r="CN538" i="13"/>
  <c r="CG538" i="13"/>
  <c r="C114" i="13"/>
  <c r="D536" i="13"/>
  <c r="D748" i="13"/>
  <c r="D751" i="13" s="1"/>
  <c r="D537" i="13"/>
  <c r="D534" i="13"/>
  <c r="D535" i="13"/>
  <c r="F47" i="13"/>
  <c r="D480" i="13"/>
  <c r="C694" i="13"/>
  <c r="C771" i="13"/>
  <c r="C774" i="13" s="1"/>
  <c r="C353" i="13"/>
  <c r="J30" i="13" s="1"/>
  <c r="F1260" i="13"/>
  <c r="F175" i="13" s="1"/>
  <c r="C834" i="13"/>
  <c r="C881" i="13"/>
  <c r="C883" i="13" s="1"/>
  <c r="C884" i="13" s="1"/>
  <c r="C837" i="13"/>
  <c r="C841" i="13"/>
  <c r="C887" i="13"/>
  <c r="C888" i="13" s="1"/>
  <c r="C889" i="13" s="1"/>
  <c r="V1044" i="13"/>
  <c r="V1032" i="13"/>
  <c r="V1035" i="13" s="1"/>
  <c r="V1036" i="13"/>
  <c r="U1037" i="13" s="1"/>
  <c r="V1046" i="13"/>
  <c r="V1052" i="13"/>
  <c r="V1050" i="13"/>
  <c r="U1051" i="13" s="1"/>
  <c r="V1107" i="13"/>
  <c r="V998" i="13"/>
  <c r="V996" i="13"/>
  <c r="V1059" i="13"/>
  <c r="V1060" i="13"/>
  <c r="U869" i="13"/>
  <c r="U872" i="13"/>
  <c r="U882" i="13"/>
  <c r="U883" i="13"/>
  <c r="U884" i="13"/>
  <c r="U919" i="13"/>
  <c r="U921" i="13"/>
  <c r="U923" i="13"/>
  <c r="U955" i="13"/>
  <c r="U959" i="13"/>
  <c r="U963" i="13"/>
  <c r="U967" i="13"/>
  <c r="U971" i="13"/>
  <c r="U975" i="13"/>
  <c r="U1023" i="13"/>
  <c r="U1026" i="13"/>
  <c r="U1068" i="13"/>
  <c r="U871" i="13"/>
  <c r="U885" i="13"/>
  <c r="U910" i="13"/>
  <c r="U911" i="13"/>
  <c r="U924" i="13"/>
  <c r="U922" i="13"/>
  <c r="U1081" i="13"/>
  <c r="U948" i="13"/>
  <c r="U994" i="13"/>
  <c r="U920" i="13"/>
  <c r="R1033" i="13"/>
  <c r="R1034" i="13"/>
  <c r="R1089" i="13"/>
  <c r="R1094" i="13"/>
  <c r="R1096" i="13"/>
  <c r="W950" i="13"/>
  <c r="W979" i="13"/>
  <c r="U979" i="13"/>
  <c r="U950" i="13"/>
  <c r="BO542" i="13"/>
  <c r="BO543" i="13"/>
  <c r="BO544" i="13"/>
  <c r="BO618" i="13"/>
  <c r="BS618" i="13"/>
  <c r="BN619" i="13"/>
  <c r="BR619" i="13"/>
  <c r="BO620" i="13"/>
  <c r="BS620" i="13"/>
  <c r="BN618" i="13"/>
  <c r="BR618" i="13"/>
  <c r="BM619" i="13"/>
  <c r="BQ619" i="13"/>
  <c r="BU619" i="13"/>
  <c r="BN620" i="13"/>
  <c r="BR620" i="13"/>
  <c r="BM618" i="13"/>
  <c r="BQ618" i="13"/>
  <c r="BU618" i="13"/>
  <c r="BP619" i="13"/>
  <c r="BT619" i="13"/>
  <c r="BM620" i="13"/>
  <c r="BQ620" i="13"/>
  <c r="BU620" i="13"/>
  <c r="C849" i="13"/>
  <c r="D850" i="13"/>
  <c r="C851" i="13"/>
  <c r="BT618" i="13"/>
  <c r="BP620" i="13"/>
  <c r="BP618" i="13"/>
  <c r="C850" i="13"/>
  <c r="D849" i="13"/>
  <c r="BS619" i="13"/>
  <c r="D851" i="13"/>
  <c r="BO619" i="13"/>
  <c r="BT620" i="13"/>
  <c r="P762" i="13"/>
  <c r="O762" i="13"/>
  <c r="Q762" i="13"/>
  <c r="R764" i="13"/>
  <c r="Q764" i="13"/>
  <c r="P782" i="13"/>
  <c r="O784" i="13"/>
  <c r="Q786" i="13"/>
  <c r="R782" i="13"/>
  <c r="Q783" i="13" s="1"/>
  <c r="Q784" i="13"/>
  <c r="O786" i="13"/>
  <c r="P786" i="13"/>
  <c r="O782" i="13"/>
  <c r="R784" i="13"/>
  <c r="Q782" i="13"/>
  <c r="P784" i="13"/>
  <c r="R786" i="13"/>
  <c r="Y388" i="13"/>
  <c r="AB388" i="13"/>
  <c r="R388" i="13"/>
  <c r="D627" i="13"/>
  <c r="D603" i="13"/>
  <c r="D605" i="13" s="1"/>
  <c r="D613" i="13" s="1"/>
  <c r="I53" i="13" s="1"/>
  <c r="W871" i="13"/>
  <c r="W885" i="13"/>
  <c r="W920" i="13"/>
  <c r="W922" i="13"/>
  <c r="W924" i="13"/>
  <c r="W948" i="13"/>
  <c r="W994" i="13"/>
  <c r="W921" i="13"/>
  <c r="W959" i="13"/>
  <c r="W967" i="13"/>
  <c r="W975" i="13"/>
  <c r="W869" i="13"/>
  <c r="W884" i="13"/>
  <c r="W883" i="13"/>
  <c r="W919" i="13"/>
  <c r="W1023" i="13"/>
  <c r="W1081" i="13"/>
  <c r="W882" i="13"/>
  <c r="W910" i="13"/>
  <c r="W872" i="13"/>
  <c r="W911" i="13"/>
  <c r="W955" i="13"/>
  <c r="W963" i="13"/>
  <c r="W971" i="13"/>
  <c r="W1026" i="13"/>
  <c r="W1068" i="13"/>
  <c r="W923" i="13"/>
  <c r="S919" i="13"/>
  <c r="S869" i="13"/>
  <c r="S921" i="13"/>
  <c r="S922" i="13"/>
  <c r="S884" i="13"/>
  <c r="S871" i="13"/>
  <c r="S924" i="13"/>
  <c r="S882" i="13"/>
  <c r="D618" i="13"/>
  <c r="D625" i="13"/>
  <c r="D626" i="13" s="1"/>
  <c r="D620" i="13"/>
  <c r="D619" i="13"/>
  <c r="C359" i="13"/>
  <c r="C357" i="13"/>
  <c r="C360" i="13"/>
  <c r="C362" i="13"/>
  <c r="C361" i="13"/>
  <c r="C582" i="13"/>
  <c r="U1048" i="13"/>
  <c r="U1054" i="13" s="1"/>
  <c r="W1048" i="13"/>
  <c r="W1054" i="13" s="1"/>
  <c r="V1054" i="13"/>
  <c r="C289" i="13"/>
  <c r="C286" i="13"/>
  <c r="E114" i="13"/>
  <c r="D746" i="13"/>
  <c r="D749" i="13" s="1"/>
  <c r="D550" i="13"/>
  <c r="E113" i="13"/>
  <c r="C746" i="13"/>
  <c r="C749" i="13" s="1"/>
  <c r="C113" i="13"/>
  <c r="C748" i="13"/>
  <c r="C751" i="13" s="1"/>
  <c r="X639" i="13"/>
  <c r="Y640" i="13"/>
  <c r="T1036" i="13"/>
  <c r="T1046" i="13"/>
  <c r="T1052" i="13"/>
  <c r="R1053" i="13" s="1"/>
  <c r="T1032" i="13"/>
  <c r="T1050" i="13"/>
  <c r="C762" i="13"/>
  <c r="C763" i="13" s="1"/>
  <c r="G138" i="13" s="1"/>
  <c r="K138" i="13"/>
  <c r="T1068" i="13"/>
  <c r="CH542" i="13"/>
  <c r="R935" i="13"/>
  <c r="R1070" i="13" s="1"/>
  <c r="R1082" i="13" s="1"/>
  <c r="R933" i="13"/>
  <c r="R1071" i="13" s="1"/>
  <c r="R942" i="13"/>
  <c r="R943" i="13" s="1"/>
  <c r="R1121" i="13"/>
  <c r="R934" i="13"/>
  <c r="R1069" i="13" s="1"/>
  <c r="R939" i="13"/>
  <c r="R949" i="13" s="1"/>
  <c r="R944" i="13"/>
  <c r="R945" i="13" s="1"/>
  <c r="R1032" i="13"/>
  <c r="R1110" i="13"/>
  <c r="R936" i="13"/>
  <c r="R969" i="13" s="1"/>
  <c r="R1147" i="13"/>
  <c r="R908" i="13"/>
  <c r="R909" i="13" s="1"/>
  <c r="R837" i="13"/>
  <c r="T837" i="13"/>
  <c r="V1089" i="13"/>
  <c r="V1033" i="13"/>
  <c r="V1034" i="13"/>
  <c r="V1087" i="13"/>
  <c r="V1094" i="13"/>
  <c r="U1095" i="13" s="1"/>
  <c r="V1096" i="13"/>
  <c r="T1229" i="13"/>
  <c r="U1234" i="13"/>
  <c r="T869" i="13"/>
  <c r="T871" i="13"/>
  <c r="T924" i="13"/>
  <c r="T919" i="13"/>
  <c r="T922" i="13"/>
  <c r="T921" i="13"/>
  <c r="C589" i="13"/>
  <c r="C585" i="13"/>
  <c r="AA376" i="13"/>
  <c r="Q376" i="13"/>
  <c r="C358" i="13"/>
  <c r="C583" i="13"/>
  <c r="AB366" i="13"/>
  <c r="R366" i="13"/>
  <c r="C692" i="13"/>
  <c r="C769" i="13"/>
  <c r="C772" i="13" s="1"/>
  <c r="D1260" i="13"/>
  <c r="D175" i="13" s="1"/>
  <c r="C835" i="13"/>
  <c r="C891" i="13"/>
  <c r="C893" i="13" s="1"/>
  <c r="C894" i="13" s="1"/>
  <c r="C897" i="13"/>
  <c r="C898" i="13" s="1"/>
  <c r="C899" i="13" s="1"/>
  <c r="C832" i="13"/>
  <c r="AC387" i="13"/>
  <c r="W935" i="13"/>
  <c r="W1027" i="13" s="1"/>
  <c r="W1028" i="13" s="1"/>
  <c r="W934" i="13"/>
  <c r="W965" i="13" s="1"/>
  <c r="W908" i="13"/>
  <c r="W909" i="13" s="1"/>
  <c r="W933" i="13"/>
  <c r="W1029" i="13" s="1"/>
  <c r="W942" i="13"/>
  <c r="W943" i="13" s="1"/>
  <c r="W944" i="13"/>
  <c r="W945" i="13" s="1"/>
  <c r="U933" i="13"/>
  <c r="U1029" i="13" s="1"/>
  <c r="U942" i="13"/>
  <c r="U943" i="13" s="1"/>
  <c r="U944" i="13"/>
  <c r="U945" i="13" s="1"/>
  <c r="U908" i="13"/>
  <c r="U909" i="13" s="1"/>
  <c r="U934" i="13"/>
  <c r="U965" i="13" s="1"/>
  <c r="U935" i="13"/>
  <c r="U953" i="13" s="1"/>
  <c r="W1000" i="13"/>
  <c r="C316" i="13"/>
  <c r="H126" i="13" s="1"/>
  <c r="C313" i="13"/>
  <c r="C314" i="13" s="1"/>
  <c r="C317" i="13"/>
  <c r="C287" i="13"/>
  <c r="C284" i="13"/>
  <c r="M425" i="13"/>
  <c r="G425" i="13"/>
  <c r="D663" i="13"/>
  <c r="D655" i="13"/>
  <c r="D658" i="13" s="1"/>
  <c r="D656" i="13"/>
  <c r="D657" i="13" s="1"/>
  <c r="S1152" i="13"/>
  <c r="R1153" i="13" s="1"/>
  <c r="S1151" i="13"/>
  <c r="S1155" i="13"/>
  <c r="S965" i="13"/>
  <c r="S1031" i="13"/>
  <c r="S1069" i="13"/>
  <c r="M416" i="13"/>
  <c r="G416" i="13"/>
  <c r="D286" i="13"/>
  <c r="D284" i="13"/>
  <c r="V921" i="13"/>
  <c r="V882" i="13"/>
  <c r="D500" i="13"/>
  <c r="C539" i="13"/>
  <c r="V1049" i="13"/>
  <c r="C538" i="13"/>
  <c r="C233" i="13"/>
  <c r="V1029" i="13"/>
  <c r="V884" i="13"/>
  <c r="D622" i="13"/>
  <c r="C548" i="13"/>
  <c r="C546" i="13"/>
  <c r="C552" i="13" s="1"/>
  <c r="T882" i="13"/>
  <c r="D539" i="13"/>
  <c r="C257" i="13"/>
  <c r="CG550" i="13"/>
  <c r="C551" i="13"/>
  <c r="C619" i="13"/>
  <c r="P389" i="13"/>
  <c r="C621" i="13"/>
  <c r="C259" i="13"/>
  <c r="S762" i="13"/>
  <c r="T764" i="13"/>
  <c r="U762" i="13"/>
  <c r="S764" i="13"/>
  <c r="T762" i="13"/>
  <c r="U764" i="13"/>
  <c r="D581" i="13"/>
  <c r="D583" i="13"/>
  <c r="D582" i="13"/>
  <c r="D590" i="13"/>
  <c r="BQ542" i="13"/>
  <c r="BQ544" i="13"/>
  <c r="BQ543" i="13"/>
  <c r="BQ559" i="13"/>
  <c r="R921" i="13"/>
  <c r="R869" i="13"/>
  <c r="R919" i="13"/>
  <c r="R922" i="13"/>
  <c r="R882" i="13"/>
  <c r="R924" i="13"/>
  <c r="R871" i="13"/>
  <c r="R884" i="13"/>
  <c r="T782" i="13"/>
  <c r="S784" i="13"/>
  <c r="U786" i="13"/>
  <c r="U784" i="13"/>
  <c r="S786" i="13"/>
  <c r="U782" i="13"/>
  <c r="T783" i="13" s="1"/>
  <c r="T784" i="13"/>
  <c r="S782" i="13"/>
  <c r="T786" i="13"/>
  <c r="Q387" i="13"/>
  <c r="AA387" i="13"/>
  <c r="Q366" i="13"/>
  <c r="AA366" i="13"/>
  <c r="V1016" i="13"/>
  <c r="V1002" i="13"/>
  <c r="U1003" i="13" s="1"/>
  <c r="U1103" i="13" s="1"/>
  <c r="V1004" i="13"/>
  <c r="V1005" i="13" s="1"/>
  <c r="V1014" i="13"/>
  <c r="V1008" i="13"/>
  <c r="V1102" i="13"/>
  <c r="V1010" i="13"/>
  <c r="V1115" i="13" s="1"/>
  <c r="D585" i="13"/>
  <c r="D589" i="13"/>
  <c r="C655" i="13"/>
  <c r="C658" i="13" s="1"/>
  <c r="C656" i="13"/>
  <c r="C657" i="13" s="1"/>
  <c r="D1256" i="13"/>
  <c r="D171" i="13" s="1"/>
  <c r="W1092" i="13"/>
  <c r="W1098" i="13" s="1"/>
  <c r="U1092" i="13"/>
  <c r="U1098" i="13" s="1"/>
  <c r="V1098" i="13"/>
  <c r="D601" i="13"/>
  <c r="D599" i="13"/>
  <c r="D600" i="13" s="1"/>
  <c r="D604" i="13" s="1"/>
  <c r="D607" i="13" s="1"/>
  <c r="D602" i="13"/>
  <c r="C737" i="13"/>
  <c r="C739" i="13" s="1"/>
  <c r="C138" i="13" s="1"/>
  <c r="C735" i="13"/>
  <c r="C738" i="13"/>
  <c r="C601" i="13"/>
  <c r="C599" i="13"/>
  <c r="C600" i="13" s="1"/>
  <c r="C604" i="13" s="1"/>
  <c r="C607" i="13" s="1"/>
  <c r="C602" i="13"/>
  <c r="D47" i="13"/>
  <c r="D733" i="13"/>
  <c r="D729" i="13"/>
  <c r="D315" i="13"/>
  <c r="D761" i="13"/>
  <c r="D753" i="13"/>
  <c r="D731" i="13"/>
  <c r="R1068" i="13"/>
  <c r="CI543" i="13"/>
  <c r="CF543" i="13"/>
  <c r="CD543" i="13"/>
  <c r="CC544" i="13"/>
  <c r="CJ543" i="13"/>
  <c r="CM543" i="13" s="1"/>
  <c r="CE543" i="13"/>
  <c r="I387" i="13"/>
  <c r="I385" i="13"/>
  <c r="S1111" i="13"/>
  <c r="S1112" i="13"/>
  <c r="S961" i="13"/>
  <c r="S1029" i="13"/>
  <c r="T938" i="13"/>
  <c r="T951" i="13" s="1"/>
  <c r="T939" i="13"/>
  <c r="T949" i="13" s="1"/>
  <c r="T935" i="13"/>
  <c r="T825" i="13" s="1"/>
  <c r="T826" i="13" s="1"/>
  <c r="T936" i="13"/>
  <c r="T969" i="13" s="1"/>
  <c r="T937" i="13"/>
  <c r="T973" i="13" s="1"/>
  <c r="T944" i="13"/>
  <c r="T945" i="13" s="1"/>
  <c r="T1004" i="13"/>
  <c r="T908" i="13"/>
  <c r="T909" i="13" s="1"/>
  <c r="T933" i="13"/>
  <c r="T934" i="13"/>
  <c r="T1069" i="13" s="1"/>
  <c r="T942" i="13"/>
  <c r="T943" i="13" s="1"/>
  <c r="T1150" i="13"/>
  <c r="T1110" i="13"/>
  <c r="T1147" i="13"/>
  <c r="T1121" i="13"/>
  <c r="D538" i="13"/>
  <c r="C252" i="13"/>
  <c r="C603" i="13"/>
  <c r="C605" i="13" s="1"/>
  <c r="V919" i="13"/>
  <c r="V924" i="13"/>
  <c r="C565" i="13"/>
  <c r="C566" i="13" s="1"/>
  <c r="C549" i="13"/>
  <c r="C718" i="13"/>
  <c r="C534" i="13"/>
  <c r="C236" i="13"/>
  <c r="S1005" i="13"/>
  <c r="O388" i="13"/>
  <c r="C627" i="13"/>
  <c r="D359" i="13"/>
  <c r="D621" i="13"/>
  <c r="C254" i="13"/>
  <c r="R1150" i="13"/>
  <c r="D522" i="13"/>
  <c r="N387" i="13"/>
  <c r="C620" i="13"/>
  <c r="R1004" i="13"/>
  <c r="C770" i="13"/>
  <c r="C773" i="13" s="1"/>
  <c r="C693" i="13"/>
  <c r="E1260" i="13"/>
  <c r="E175" i="13" s="1"/>
  <c r="C833" i="13"/>
  <c r="C836" i="13"/>
  <c r="C712" i="13"/>
  <c r="C743" i="13"/>
  <c r="C744" i="13" s="1"/>
  <c r="F120" i="13" s="1"/>
  <c r="U1012" i="13"/>
  <c r="V1018" i="13"/>
  <c r="V1119" i="13" s="1"/>
  <c r="W1012" i="13"/>
  <c r="G188" i="13"/>
  <c r="U1000" i="13"/>
  <c r="BU544" i="13"/>
  <c r="BU543" i="13"/>
  <c r="BU557" i="13"/>
  <c r="BU542" i="13"/>
  <c r="C132" i="13"/>
  <c r="C752" i="13"/>
  <c r="D588" i="13"/>
  <c r="D584" i="13"/>
  <c r="D499" i="13"/>
  <c r="I96" i="13" s="1"/>
  <c r="D114" i="13"/>
  <c r="D543" i="13"/>
  <c r="D549" i="13"/>
  <c r="D546" i="13"/>
  <c r="D552" i="13" s="1"/>
  <c r="D747" i="13"/>
  <c r="D750" i="13" s="1"/>
  <c r="D547" i="13"/>
  <c r="D548" i="13"/>
  <c r="D540" i="13"/>
  <c r="D544" i="13"/>
  <c r="D542" i="13"/>
  <c r="D541" i="13"/>
  <c r="BS542" i="13"/>
  <c r="BS544" i="13"/>
  <c r="BS543" i="13"/>
  <c r="CK542" i="13"/>
  <c r="CN542" i="13" s="1"/>
  <c r="CL542" i="13"/>
  <c r="CO542" i="13"/>
  <c r="CP542" i="13" s="1"/>
  <c r="C584" i="13"/>
  <c r="C588" i="13"/>
  <c r="H189" i="13"/>
  <c r="S1013" i="13"/>
  <c r="S1049" i="13"/>
  <c r="S940" i="13"/>
  <c r="S941" i="13" s="1"/>
  <c r="S957" i="13"/>
  <c r="S981" i="13"/>
  <c r="S1030" i="13"/>
  <c r="S1024" i="13" s="1"/>
  <c r="S1080" i="13"/>
  <c r="S1085" i="13"/>
  <c r="S1093" i="13"/>
  <c r="S1156" i="13"/>
  <c r="S947" i="13"/>
  <c r="S1141" i="13"/>
  <c r="S1057" i="13"/>
  <c r="S986" i="13"/>
  <c r="S987" i="13" s="1"/>
  <c r="S999" i="13"/>
  <c r="S1124" i="13"/>
  <c r="S1027" i="13"/>
  <c r="S1028" i="13" s="1"/>
  <c r="S977" i="13"/>
  <c r="S953" i="13"/>
  <c r="S954" i="13" s="1"/>
  <c r="D504" i="13"/>
  <c r="C550" i="13"/>
  <c r="C500" i="13"/>
  <c r="C618" i="13"/>
  <c r="C581" i="13"/>
  <c r="G195" i="13" l="1"/>
  <c r="C243" i="13"/>
  <c r="AC366" i="13"/>
  <c r="C530" i="13"/>
  <c r="C532" i="13" s="1"/>
  <c r="H113" i="13" s="1"/>
  <c r="V978" i="13"/>
  <c r="V960" i="13"/>
  <c r="V982" i="13"/>
  <c r="V958" i="13"/>
  <c r="V1105" i="13"/>
  <c r="V970" i="13"/>
  <c r="U850" i="13"/>
  <c r="U938" i="13" s="1"/>
  <c r="U951" i="13" s="1"/>
  <c r="U1106" i="13" s="1"/>
  <c r="V962" i="13"/>
  <c r="V937" i="13"/>
  <c r="V973" i="13" s="1"/>
  <c r="V974" i="13" s="1"/>
  <c r="W850" i="13"/>
  <c r="W938" i="13" s="1"/>
  <c r="W951" i="13" s="1"/>
  <c r="W1106" i="13" s="1"/>
  <c r="V972" i="13"/>
  <c r="V980" i="13"/>
  <c r="V1001" i="13"/>
  <c r="Y376" i="13"/>
  <c r="R376" i="13"/>
  <c r="C570" i="13"/>
  <c r="D246" i="13"/>
  <c r="D249" i="13" s="1"/>
  <c r="D724" i="13"/>
  <c r="F66" i="13" s="1"/>
  <c r="V1130" i="13"/>
  <c r="V1131" i="13" s="1"/>
  <c r="V1132" i="13" s="1"/>
  <c r="D713" i="13"/>
  <c r="V966" i="13"/>
  <c r="V954" i="13"/>
  <c r="V997" i="13"/>
  <c r="V984" i="13"/>
  <c r="V968" i="13"/>
  <c r="W825" i="13"/>
  <c r="W826" i="13" s="1"/>
  <c r="V964" i="13"/>
  <c r="V956" i="13"/>
  <c r="V995" i="13"/>
  <c r="C260" i="13"/>
  <c r="R825" i="13"/>
  <c r="R826" i="13" s="1"/>
  <c r="W936" i="13"/>
  <c r="W969" i="13" s="1"/>
  <c r="R938" i="13"/>
  <c r="R951" i="13" s="1"/>
  <c r="D570" i="13"/>
  <c r="U999" i="13"/>
  <c r="U939" i="13"/>
  <c r="U949" i="13" s="1"/>
  <c r="U1104" i="13" s="1"/>
  <c r="U636" i="13"/>
  <c r="U648" i="13" s="1"/>
  <c r="O636" i="13"/>
  <c r="D239" i="13"/>
  <c r="D189" i="13" s="1"/>
  <c r="CG540" i="13"/>
  <c r="G189" i="13"/>
  <c r="U635" i="13"/>
  <c r="O635" i="13"/>
  <c r="C645" i="13"/>
  <c r="C648" i="13"/>
  <c r="C683" i="13"/>
  <c r="C684" i="13" s="1"/>
  <c r="G83" i="13" s="1"/>
  <c r="T1005" i="13"/>
  <c r="W986" i="13"/>
  <c r="W987" i="13" s="1"/>
  <c r="U988" i="13" s="1"/>
  <c r="V1099" i="13" s="1"/>
  <c r="W999" i="13"/>
  <c r="CN541" i="13"/>
  <c r="CG541" i="13"/>
  <c r="R637" i="13"/>
  <c r="U637" i="13" s="1"/>
  <c r="V637" i="13"/>
  <c r="W637" i="13" s="1"/>
  <c r="S637" i="13"/>
  <c r="R1005" i="13"/>
  <c r="Q638" i="13"/>
  <c r="T638" i="13" s="1"/>
  <c r="M638" i="13"/>
  <c r="K639" i="13"/>
  <c r="P638" i="13"/>
  <c r="L638" i="13"/>
  <c r="N638" i="13"/>
  <c r="C673" i="13"/>
  <c r="T778" i="13"/>
  <c r="T777" i="13"/>
  <c r="U986" i="13"/>
  <c r="U987" i="13" s="1"/>
  <c r="T1096" i="13"/>
  <c r="R1097" i="13" s="1"/>
  <c r="T1034" i="13"/>
  <c r="T1094" i="13"/>
  <c r="T1033" i="13"/>
  <c r="T1089" i="13"/>
  <c r="S1033" i="13"/>
  <c r="S1096" i="13"/>
  <c r="S1094" i="13"/>
  <c r="R1095" i="13" s="1"/>
  <c r="S1089" i="13"/>
  <c r="S1087" i="13"/>
  <c r="S1034" i="13"/>
  <c r="C624" i="13"/>
  <c r="I59" i="13" s="1"/>
  <c r="D587" i="13"/>
  <c r="G427" i="13"/>
  <c r="M427" i="13"/>
  <c r="AB416" i="13"/>
  <c r="Y416" i="13"/>
  <c r="Q427" i="13"/>
  <c r="AA427" i="13"/>
  <c r="Z416" i="13"/>
  <c r="AA416" i="13"/>
  <c r="V428" i="13"/>
  <c r="W428" i="13" s="1"/>
  <c r="E428" i="13"/>
  <c r="F428" i="13"/>
  <c r="J417" i="13"/>
  <c r="X417" i="13" s="1"/>
  <c r="L417" i="13"/>
  <c r="AC417" i="13" s="1"/>
  <c r="K417" i="13"/>
  <c r="R417" i="13" s="1"/>
  <c r="R416" i="13"/>
  <c r="Z427" i="13"/>
  <c r="C418" i="13"/>
  <c r="D418" i="13"/>
  <c r="S418" i="13"/>
  <c r="B419" i="13"/>
  <c r="T418" i="13"/>
  <c r="U418" i="13" s="1"/>
  <c r="L428" i="13"/>
  <c r="Q428" i="13" s="1"/>
  <c r="H428" i="13"/>
  <c r="J428" i="13"/>
  <c r="K428" i="13"/>
  <c r="R428" i="13" s="1"/>
  <c r="AB427" i="13"/>
  <c r="Y427" i="13"/>
  <c r="R427" i="13"/>
  <c r="C429" i="13"/>
  <c r="B430" i="13"/>
  <c r="T429" i="13"/>
  <c r="U429" i="13" s="1"/>
  <c r="D429" i="13"/>
  <c r="S429" i="13"/>
  <c r="E417" i="13"/>
  <c r="F417" i="13"/>
  <c r="H417" i="13" s="1"/>
  <c r="Q416" i="13"/>
  <c r="F367" i="13"/>
  <c r="H367" i="13" s="1"/>
  <c r="E367" i="13"/>
  <c r="S378" i="13"/>
  <c r="D378" i="13"/>
  <c r="C378" i="13"/>
  <c r="T378" i="13"/>
  <c r="U378" i="13" s="1"/>
  <c r="B379" i="13"/>
  <c r="L377" i="13"/>
  <c r="K377" i="13"/>
  <c r="Y377" i="13" s="1"/>
  <c r="J377" i="13"/>
  <c r="G376" i="13"/>
  <c r="M376" i="13"/>
  <c r="K367" i="13"/>
  <c r="AB367" i="13" s="1"/>
  <c r="L367" i="13"/>
  <c r="AA367" i="13" s="1"/>
  <c r="J367" i="13"/>
  <c r="X367" i="13" s="1"/>
  <c r="T368" i="13"/>
  <c r="U368" i="13" s="1"/>
  <c r="V368" i="13" s="1"/>
  <c r="W368" i="13" s="1"/>
  <c r="D368" i="13"/>
  <c r="S368" i="13"/>
  <c r="C368" i="13"/>
  <c r="B369" i="13"/>
  <c r="F377" i="13"/>
  <c r="H377" i="13" s="1"/>
  <c r="E377" i="13"/>
  <c r="C736" i="13"/>
  <c r="D126" i="13" s="1"/>
  <c r="C646" i="13"/>
  <c r="D71" i="13" s="1"/>
  <c r="D606" i="13"/>
  <c r="E53" i="13" s="1"/>
  <c r="C587" i="13"/>
  <c r="U1071" i="13"/>
  <c r="U937" i="13"/>
  <c r="U973" i="13" s="1"/>
  <c r="U1080" i="13"/>
  <c r="S982" i="13"/>
  <c r="S966" i="13"/>
  <c r="W1057" i="13"/>
  <c r="W1059" i="13" s="1"/>
  <c r="U1027" i="13"/>
  <c r="U1028" i="13" s="1"/>
  <c r="U947" i="13"/>
  <c r="U954" i="13" s="1"/>
  <c r="W947" i="13"/>
  <c r="U1057" i="13"/>
  <c r="U1060" i="13" s="1"/>
  <c r="C586" i="13"/>
  <c r="D586" i="13"/>
  <c r="D553" i="13"/>
  <c r="C696" i="13"/>
  <c r="G149" i="13" s="1"/>
  <c r="D149" i="13"/>
  <c r="C706" i="13"/>
  <c r="I157" i="13" s="1"/>
  <c r="E1261" i="13"/>
  <c r="E176" i="13" s="1"/>
  <c r="H188" i="13"/>
  <c r="H195" i="13"/>
  <c r="V838" i="13"/>
  <c r="V836" i="13"/>
  <c r="V837" i="13"/>
  <c r="D624" i="13"/>
  <c r="I60" i="13" s="1"/>
  <c r="G60" i="13"/>
  <c r="AD437" i="13"/>
  <c r="AD427" i="13"/>
  <c r="AD415" i="13"/>
  <c r="AD426" i="13"/>
  <c r="AD416" i="13"/>
  <c r="AD425" i="13"/>
  <c r="D529" i="13"/>
  <c r="P425" i="13"/>
  <c r="O425" i="13"/>
  <c r="N425" i="13"/>
  <c r="C240" i="13"/>
  <c r="C195" i="13"/>
  <c r="D188" i="13"/>
  <c r="C248" i="13"/>
  <c r="F60" i="13"/>
  <c r="D623" i="13"/>
  <c r="H60" i="13" s="1"/>
  <c r="T1111" i="13"/>
  <c r="T1112" i="13"/>
  <c r="T961" i="13"/>
  <c r="T1029" i="13"/>
  <c r="CO543" i="13"/>
  <c r="CL543" i="13"/>
  <c r="CK543" i="13"/>
  <c r="CN543" i="13" s="1"/>
  <c r="C133" i="13"/>
  <c r="D752" i="13"/>
  <c r="D737" i="13"/>
  <c r="D739" i="13" s="1"/>
  <c r="C139" i="13" s="1"/>
  <c r="D735" i="13"/>
  <c r="D738" i="13"/>
  <c r="U1015" i="13"/>
  <c r="U1117" i="13" s="1"/>
  <c r="U1116" i="13"/>
  <c r="D639" i="13"/>
  <c r="D643" i="13"/>
  <c r="D309" i="13"/>
  <c r="D674" i="13"/>
  <c r="D682" i="13"/>
  <c r="D771" i="13"/>
  <c r="D774" i="13" s="1"/>
  <c r="D777" i="13" s="1"/>
  <c r="F165" i="13" s="1"/>
  <c r="D769" i="13"/>
  <c r="D772" i="13" s="1"/>
  <c r="D775" i="13" s="1"/>
  <c r="D165" i="13" s="1"/>
  <c r="D687" i="13"/>
  <c r="D641" i="13"/>
  <c r="D591" i="13"/>
  <c r="D770" i="13"/>
  <c r="D773" i="13" s="1"/>
  <c r="D776" i="13" s="1"/>
  <c r="E165" i="13" s="1"/>
  <c r="X640" i="13"/>
  <c r="W1002" i="13"/>
  <c r="W1004" i="13"/>
  <c r="W1005" i="13" s="1"/>
  <c r="W1016" i="13"/>
  <c r="U1017" i="13" s="1"/>
  <c r="U1118" i="13" s="1"/>
  <c r="W1010" i="13"/>
  <c r="U1036" i="13"/>
  <c r="U1046" i="13"/>
  <c r="U1050" i="13"/>
  <c r="U1052" i="13"/>
  <c r="U1032" i="13"/>
  <c r="U1035" i="13" s="1"/>
  <c r="S978" i="13"/>
  <c r="C553" i="13"/>
  <c r="U825" i="13"/>
  <c r="U826" i="13" s="1"/>
  <c r="W1070" i="13"/>
  <c r="W1082" i="13" s="1"/>
  <c r="W1085" i="13"/>
  <c r="W1069" i="13"/>
  <c r="U1085" i="13"/>
  <c r="U961" i="13"/>
  <c r="S1060" i="13"/>
  <c r="S1059" i="13"/>
  <c r="I386" i="13"/>
  <c r="I389" i="13" s="1"/>
  <c r="I388" i="13"/>
  <c r="K139" i="13"/>
  <c r="D762" i="13"/>
  <c r="D763" i="13" s="1"/>
  <c r="G139" i="13" s="1"/>
  <c r="D628" i="13"/>
  <c r="D630" i="13" s="1"/>
  <c r="D629" i="13"/>
  <c r="D631" i="13" s="1"/>
  <c r="W1044" i="13"/>
  <c r="U1044" i="13"/>
  <c r="F1263" i="13"/>
  <c r="F177" i="13" s="1"/>
  <c r="E59" i="13"/>
  <c r="C667" i="13"/>
  <c r="C670" i="13" s="1"/>
  <c r="C777" i="13"/>
  <c r="F164" i="13" s="1"/>
  <c r="S997" i="13"/>
  <c r="S995" i="13"/>
  <c r="S1001" i="13"/>
  <c r="S984" i="13"/>
  <c r="S972" i="13"/>
  <c r="S956" i="13"/>
  <c r="S960" i="13"/>
  <c r="S976" i="13"/>
  <c r="S968" i="13"/>
  <c r="S964" i="13"/>
  <c r="S980" i="13"/>
  <c r="T965" i="13"/>
  <c r="T1031" i="13"/>
  <c r="CP543" i="13"/>
  <c r="W1008" i="13"/>
  <c r="V1114" i="13"/>
  <c r="U1008" i="13"/>
  <c r="E60" i="13"/>
  <c r="I1263" i="13"/>
  <c r="I177" i="13" s="1"/>
  <c r="D667" i="13"/>
  <c r="D670" i="13" s="1"/>
  <c r="U940" i="13"/>
  <c r="U941" i="13" s="1"/>
  <c r="U1013" i="13"/>
  <c r="U1120" i="13" s="1"/>
  <c r="U1121" i="13" s="1"/>
  <c r="U1093" i="13"/>
  <c r="U1124" i="13"/>
  <c r="U1049" i="13"/>
  <c r="U1141" i="13"/>
  <c r="U981" i="13"/>
  <c r="U1156" i="13"/>
  <c r="D1261" i="13"/>
  <c r="D176" i="13" s="1"/>
  <c r="C695" i="13"/>
  <c r="F149" i="13" s="1"/>
  <c r="C705" i="13"/>
  <c r="H157" i="13" s="1"/>
  <c r="C149" i="13"/>
  <c r="C700" i="13"/>
  <c r="C701" i="13" s="1"/>
  <c r="C702" i="13" s="1"/>
  <c r="C708" i="13" s="1"/>
  <c r="C157" i="13" s="1"/>
  <c r="D59" i="13"/>
  <c r="E1263" i="13"/>
  <c r="E177" i="13" s="1"/>
  <c r="C668" i="13"/>
  <c r="C671" i="13" s="1"/>
  <c r="C776" i="13"/>
  <c r="E164" i="13" s="1"/>
  <c r="W1032" i="13"/>
  <c r="W1035" i="13" s="1"/>
  <c r="W1036" i="13"/>
  <c r="W1050" i="13"/>
  <c r="W1046" i="13"/>
  <c r="W1052" i="13"/>
  <c r="U1053" i="13" s="1"/>
  <c r="U998" i="13"/>
  <c r="U996" i="13"/>
  <c r="U1034" i="13"/>
  <c r="U1033" i="13"/>
  <c r="U1089" i="13"/>
  <c r="U1094" i="13"/>
  <c r="U1096" i="13"/>
  <c r="V1072" i="13"/>
  <c r="V1074" i="13"/>
  <c r="W1031" i="13"/>
  <c r="S974" i="13"/>
  <c r="C659" i="13"/>
  <c r="C660" i="13" s="1"/>
  <c r="L52" i="13" s="1"/>
  <c r="S970" i="13"/>
  <c r="R1035" i="13"/>
  <c r="T1071" i="13"/>
  <c r="W1080" i="13"/>
  <c r="W1071" i="13"/>
  <c r="AD376" i="13"/>
  <c r="AD366" i="13"/>
  <c r="AD388" i="13"/>
  <c r="C529" i="13"/>
  <c r="C724" i="13"/>
  <c r="F65" i="13" s="1"/>
  <c r="C713" i="13"/>
  <c r="CF544" i="13"/>
  <c r="CC545" i="13"/>
  <c r="CE544" i="13"/>
  <c r="CJ544" i="13"/>
  <c r="CM544" i="13" s="1"/>
  <c r="CI544" i="13"/>
  <c r="CD544" i="13"/>
  <c r="H1263" i="13"/>
  <c r="H177" i="13" s="1"/>
  <c r="D60" i="13"/>
  <c r="D668" i="13"/>
  <c r="D671" i="13" s="1"/>
  <c r="C265" i="13"/>
  <c r="C262" i="13"/>
  <c r="R1029" i="13"/>
  <c r="R961" i="13"/>
  <c r="W1033" i="13"/>
  <c r="W1034" i="13"/>
  <c r="W1094" i="13"/>
  <c r="W1096" i="13"/>
  <c r="U1097" i="13" s="1"/>
  <c r="W1089" i="13"/>
  <c r="AC426" i="13"/>
  <c r="AC415" i="13"/>
  <c r="AC436" i="13"/>
  <c r="AC416" i="13"/>
  <c r="AC427" i="13"/>
  <c r="D530" i="13"/>
  <c r="AC425" i="13"/>
  <c r="S1126" i="13"/>
  <c r="R1128" i="13" s="1"/>
  <c r="S1130" i="13"/>
  <c r="S1131" i="13" s="1"/>
  <c r="S1132" i="13" s="1"/>
  <c r="C628" i="13"/>
  <c r="C630" i="13" s="1"/>
  <c r="C629" i="13"/>
  <c r="C631" i="13" s="1"/>
  <c r="C613" i="13"/>
  <c r="I52" i="13" s="1"/>
  <c r="C606" i="13"/>
  <c r="E52" i="13" s="1"/>
  <c r="T947" i="13"/>
  <c r="T1027" i="13"/>
  <c r="T1028" i="13" s="1"/>
  <c r="T1049" i="13"/>
  <c r="T1141" i="13"/>
  <c r="T940" i="13"/>
  <c r="T953" i="13"/>
  <c r="T1013" i="13"/>
  <c r="T1057" i="13"/>
  <c r="T1093" i="13"/>
  <c r="T1124" i="13"/>
  <c r="T957" i="13"/>
  <c r="T1156" i="13"/>
  <c r="T1085" i="13"/>
  <c r="T1080" i="13"/>
  <c r="T986" i="13"/>
  <c r="T987" i="13" s="1"/>
  <c r="R988" i="13" s="1"/>
  <c r="T981" i="13"/>
  <c r="T999" i="13"/>
  <c r="T1030" i="13"/>
  <c r="T1024" i="13" s="1"/>
  <c r="T977" i="13"/>
  <c r="D247" i="13"/>
  <c r="D313" i="13"/>
  <c r="D314" i="13" s="1"/>
  <c r="D317" i="13"/>
  <c r="D316" i="13"/>
  <c r="H127" i="13" s="1"/>
  <c r="V1145" i="13"/>
  <c r="W1102" i="13"/>
  <c r="U1102" i="13"/>
  <c r="V1110" i="13"/>
  <c r="C60" i="13"/>
  <c r="G1263" i="13"/>
  <c r="G177" i="13" s="1"/>
  <c r="D669" i="13"/>
  <c r="D672" i="13" s="1"/>
  <c r="F59" i="13"/>
  <c r="C623" i="13"/>
  <c r="H59" i="13" s="1"/>
  <c r="C237" i="13"/>
  <c r="C246" i="13"/>
  <c r="C241" i="13"/>
  <c r="P416" i="13"/>
  <c r="N416" i="13"/>
  <c r="O416" i="13"/>
  <c r="W1013" i="13"/>
  <c r="W1120" i="13" s="1"/>
  <c r="W1121" i="13" s="1"/>
  <c r="W1049" i="13"/>
  <c r="W940" i="13"/>
  <c r="W941" i="13" s="1"/>
  <c r="W1141" i="13"/>
  <c r="W1093" i="13"/>
  <c r="W1124" i="13"/>
  <c r="W981" i="13"/>
  <c r="W1156" i="13"/>
  <c r="C59" i="13"/>
  <c r="D1263" i="13"/>
  <c r="D177" i="13" s="1"/>
  <c r="C669" i="13"/>
  <c r="C672" i="13" s="1"/>
  <c r="C775" i="13"/>
  <c r="D164" i="13" s="1"/>
  <c r="V1234" i="13"/>
  <c r="U1229" i="13"/>
  <c r="U1087" i="13"/>
  <c r="W1087" i="13"/>
  <c r="R1111" i="13"/>
  <c r="R1112" i="13"/>
  <c r="R1031" i="13"/>
  <c r="R965" i="13"/>
  <c r="R986" i="13"/>
  <c r="R987" i="13" s="1"/>
  <c r="R1030" i="13"/>
  <c r="R1024" i="13" s="1"/>
  <c r="R1093" i="13"/>
  <c r="R1124" i="13"/>
  <c r="R953" i="13"/>
  <c r="R940" i="13"/>
  <c r="R941" i="13" s="1"/>
  <c r="R1049" i="13"/>
  <c r="R1013" i="13"/>
  <c r="R1141" i="13"/>
  <c r="R1057" i="13"/>
  <c r="R1027" i="13"/>
  <c r="R1028" i="13" s="1"/>
  <c r="R1085" i="13"/>
  <c r="R947" i="13"/>
  <c r="R970" i="13" s="1"/>
  <c r="R957" i="13"/>
  <c r="R981" i="13"/>
  <c r="R999" i="13"/>
  <c r="R977" i="13"/>
  <c r="R978" i="13" s="1"/>
  <c r="R1080" i="13"/>
  <c r="R1156" i="13"/>
  <c r="Y641" i="13"/>
  <c r="W996" i="13"/>
  <c r="W998" i="13"/>
  <c r="U1016" i="13"/>
  <c r="U1002" i="13"/>
  <c r="U1010" i="13"/>
  <c r="U1004" i="13"/>
  <c r="U1005" i="13" s="1"/>
  <c r="F1261" i="13"/>
  <c r="F176" i="13" s="1"/>
  <c r="C697" i="13"/>
  <c r="H149" i="13" s="1"/>
  <c r="C707" i="13"/>
  <c r="J157" i="13" s="1"/>
  <c r="E149" i="13"/>
  <c r="U1069" i="13"/>
  <c r="S958" i="13"/>
  <c r="S962" i="13"/>
  <c r="CH543" i="13"/>
  <c r="D659" i="13"/>
  <c r="D660" i="13" s="1"/>
  <c r="L53" i="13" s="1"/>
  <c r="CG542" i="13"/>
  <c r="T1070" i="13"/>
  <c r="T1082" i="13" s="1"/>
  <c r="T1035" i="13"/>
  <c r="W961" i="13"/>
  <c r="W1030" i="13"/>
  <c r="W1024" i="13" s="1"/>
  <c r="W957" i="13"/>
  <c r="W953" i="13"/>
  <c r="U977" i="13"/>
  <c r="W977" i="13"/>
  <c r="U1070" i="13"/>
  <c r="U1082" i="13" s="1"/>
  <c r="U1030" i="13"/>
  <c r="U1024" i="13" s="1"/>
  <c r="U1031" i="13"/>
  <c r="U957" i="13"/>
  <c r="W937" i="13" l="1"/>
  <c r="W973" i="13" s="1"/>
  <c r="W974" i="13" s="1"/>
  <c r="F113" i="13"/>
  <c r="I196" i="13"/>
  <c r="D248" i="13"/>
  <c r="U962" i="13"/>
  <c r="W1105" i="13"/>
  <c r="W960" i="13"/>
  <c r="W976" i="13"/>
  <c r="W972" i="13"/>
  <c r="W984" i="13"/>
  <c r="W997" i="13"/>
  <c r="W968" i="13"/>
  <c r="W954" i="13"/>
  <c r="W962" i="13"/>
  <c r="W982" i="13"/>
  <c r="W1001" i="13"/>
  <c r="W978" i="13"/>
  <c r="W958" i="13"/>
  <c r="W995" i="13"/>
  <c r="W964" i="13"/>
  <c r="W980" i="13"/>
  <c r="W956" i="13"/>
  <c r="AC428" i="13"/>
  <c r="U982" i="13"/>
  <c r="U1001" i="13"/>
  <c r="AD417" i="13"/>
  <c r="AB417" i="13"/>
  <c r="AB377" i="13"/>
  <c r="AD377" i="13"/>
  <c r="D240" i="13"/>
  <c r="E189" i="13" s="1"/>
  <c r="C196" i="13"/>
  <c r="AD367" i="13"/>
  <c r="S638" i="13"/>
  <c r="V638" i="13"/>
  <c r="W638" i="13" s="1"/>
  <c r="R638" i="13"/>
  <c r="U638" i="13" s="1"/>
  <c r="T958" i="13"/>
  <c r="O637" i="13"/>
  <c r="T978" i="13"/>
  <c r="AD428" i="13"/>
  <c r="L639" i="13"/>
  <c r="Q639" i="13"/>
  <c r="T639" i="13" s="1"/>
  <c r="N639" i="13"/>
  <c r="K640" i="13"/>
  <c r="M639" i="13"/>
  <c r="P639" i="13"/>
  <c r="W966" i="13"/>
  <c r="R1087" i="13"/>
  <c r="T1087" i="13"/>
  <c r="W970" i="13"/>
  <c r="AB428" i="13"/>
  <c r="T962" i="13"/>
  <c r="V429" i="13"/>
  <c r="W429" i="13" s="1"/>
  <c r="M417" i="13"/>
  <c r="G417" i="13"/>
  <c r="T430" i="13"/>
  <c r="U430" i="13" s="1"/>
  <c r="C430" i="13"/>
  <c r="D430" i="13"/>
  <c r="B431" i="13"/>
  <c r="S430" i="13"/>
  <c r="E418" i="13"/>
  <c r="F418" i="13"/>
  <c r="H418" i="13" s="1"/>
  <c r="G428" i="13"/>
  <c r="M428" i="13"/>
  <c r="Y417" i="13"/>
  <c r="E429" i="13"/>
  <c r="M429" i="13" s="1"/>
  <c r="F429" i="13"/>
  <c r="H429" i="13" s="1"/>
  <c r="B420" i="13"/>
  <c r="S419" i="13"/>
  <c r="C419" i="13"/>
  <c r="T419" i="13"/>
  <c r="U419" i="13" s="1"/>
  <c r="V419" i="13" s="1"/>
  <c r="W419" i="13" s="1"/>
  <c r="D419" i="13"/>
  <c r="Y428" i="13"/>
  <c r="X428" i="13"/>
  <c r="Z428" i="13"/>
  <c r="O427" i="13"/>
  <c r="P427" i="13"/>
  <c r="N427" i="13"/>
  <c r="K429" i="13"/>
  <c r="R429" i="13" s="1"/>
  <c r="J429" i="13"/>
  <c r="L429" i="13"/>
  <c r="V418" i="13"/>
  <c r="W418" i="13" s="1"/>
  <c r="J418" i="13"/>
  <c r="K418" i="13"/>
  <c r="L418" i="13"/>
  <c r="AC418" i="13" s="1"/>
  <c r="AA417" i="13"/>
  <c r="Q417" i="13"/>
  <c r="Z417" i="13"/>
  <c r="AA428" i="13"/>
  <c r="G377" i="13"/>
  <c r="M377" i="13"/>
  <c r="P377" i="13" s="1"/>
  <c r="Q367" i="13"/>
  <c r="Z367" i="13"/>
  <c r="M367" i="13"/>
  <c r="G367" i="13"/>
  <c r="J368" i="13"/>
  <c r="X368" i="13" s="1"/>
  <c r="L368" i="13"/>
  <c r="K368" i="13"/>
  <c r="D379" i="13"/>
  <c r="S379" i="13"/>
  <c r="C379" i="13"/>
  <c r="T379" i="13"/>
  <c r="U379" i="13" s="1"/>
  <c r="B380" i="13"/>
  <c r="E368" i="13"/>
  <c r="F368" i="13"/>
  <c r="H368" i="13" s="1"/>
  <c r="Y367" i="13"/>
  <c r="R367" i="13"/>
  <c r="R377" i="13"/>
  <c r="K378" i="13"/>
  <c r="AB378" i="13" s="1"/>
  <c r="J378" i="13"/>
  <c r="L378" i="13"/>
  <c r="V378" i="13"/>
  <c r="W378" i="13" s="1"/>
  <c r="B370" i="13"/>
  <c r="D369" i="13"/>
  <c r="T369" i="13"/>
  <c r="U369" i="13" s="1"/>
  <c r="V369" i="13" s="1"/>
  <c r="W369" i="13" s="1"/>
  <c r="S369" i="13"/>
  <c r="C369" i="13"/>
  <c r="O376" i="13"/>
  <c r="P376" i="13"/>
  <c r="N376" i="13"/>
  <c r="Z377" i="13"/>
  <c r="AC377" i="13"/>
  <c r="Q377" i="13"/>
  <c r="AA377" i="13"/>
  <c r="E378" i="13"/>
  <c r="F378" i="13"/>
  <c r="H378" i="13" s="1"/>
  <c r="X377" i="13"/>
  <c r="AC367" i="13"/>
  <c r="D736" i="13"/>
  <c r="D127" i="13" s="1"/>
  <c r="U974" i="13"/>
  <c r="R958" i="13"/>
  <c r="U1105" i="13"/>
  <c r="U1059" i="13"/>
  <c r="U1074" i="13" s="1"/>
  <c r="U980" i="13"/>
  <c r="U978" i="13"/>
  <c r="R982" i="13"/>
  <c r="U964" i="13"/>
  <c r="U984" i="13"/>
  <c r="U995" i="13"/>
  <c r="W1060" i="13"/>
  <c r="V1064" i="13" s="1"/>
  <c r="U976" i="13"/>
  <c r="U960" i="13"/>
  <c r="U966" i="13"/>
  <c r="U972" i="13"/>
  <c r="U958" i="13"/>
  <c r="R966" i="13"/>
  <c r="U956" i="13"/>
  <c r="U997" i="13"/>
  <c r="U970" i="13"/>
  <c r="U968" i="13"/>
  <c r="R1126" i="13"/>
  <c r="R1127" i="13" s="1"/>
  <c r="R1130" i="13"/>
  <c r="R1131" i="13" s="1"/>
  <c r="R1132" i="13" s="1"/>
  <c r="C531" i="13"/>
  <c r="I113" i="13" s="1"/>
  <c r="G113" i="13"/>
  <c r="U1130" i="13"/>
  <c r="U1131" i="13" s="1"/>
  <c r="U1132" i="13" s="1"/>
  <c r="U1126" i="13"/>
  <c r="U1127" i="13" s="1"/>
  <c r="R1060" i="13"/>
  <c r="R1059" i="13"/>
  <c r="W1234" i="13"/>
  <c r="W1229" i="13" s="1"/>
  <c r="V1229" i="13"/>
  <c r="C244" i="13"/>
  <c r="J188" i="13"/>
  <c r="E195" i="13"/>
  <c r="U1145" i="13"/>
  <c r="U1110" i="13"/>
  <c r="T956" i="13"/>
  <c r="T964" i="13"/>
  <c r="T972" i="13"/>
  <c r="T995" i="13"/>
  <c r="T1001" i="13"/>
  <c r="T997" i="13"/>
  <c r="T960" i="13"/>
  <c r="T968" i="13"/>
  <c r="T976" i="13"/>
  <c r="T984" i="13"/>
  <c r="T980" i="13"/>
  <c r="CK544" i="13"/>
  <c r="CN544" i="13" s="1"/>
  <c r="CO544" i="13"/>
  <c r="CP544" i="13" s="1"/>
  <c r="CL544" i="13"/>
  <c r="C78" i="13"/>
  <c r="D673" i="13"/>
  <c r="G114" i="13"/>
  <c r="D531" i="13"/>
  <c r="I114" i="13" s="1"/>
  <c r="R974" i="13"/>
  <c r="S1074" i="13"/>
  <c r="S1072" i="13"/>
  <c r="W1130" i="13"/>
  <c r="W1131" i="13" s="1"/>
  <c r="W1132" i="13" s="1"/>
  <c r="W1126" i="13"/>
  <c r="S1215" i="13"/>
  <c r="R1218" i="13" s="1"/>
  <c r="V1111" i="13"/>
  <c r="S1216" i="13" s="1"/>
  <c r="T1126" i="13"/>
  <c r="T1130" i="13"/>
  <c r="T1131" i="13" s="1"/>
  <c r="T1132" i="13" s="1"/>
  <c r="F114" i="13"/>
  <c r="D532" i="13"/>
  <c r="H114" i="13" s="1"/>
  <c r="CI545" i="13"/>
  <c r="CF545" i="13"/>
  <c r="CC546" i="13"/>
  <c r="CJ545" i="13"/>
  <c r="CM545" i="13" s="1"/>
  <c r="CE545" i="13"/>
  <c r="CD545" i="13"/>
  <c r="X641" i="13"/>
  <c r="D683" i="13"/>
  <c r="D684" i="13" s="1"/>
  <c r="G84" i="13" s="1"/>
  <c r="K84" i="13"/>
  <c r="W838" i="13"/>
  <c r="U838" i="13"/>
  <c r="T954" i="13"/>
  <c r="R962" i="13"/>
  <c r="CH544" i="13"/>
  <c r="T966" i="13"/>
  <c r="Y642" i="13"/>
  <c r="V1150" i="13"/>
  <c r="V1147" i="13"/>
  <c r="U1148" i="13" s="1"/>
  <c r="D647" i="13"/>
  <c r="D649" i="13" s="1"/>
  <c r="C84" i="13" s="1"/>
  <c r="D645" i="13"/>
  <c r="D648" i="13"/>
  <c r="E188" i="13"/>
  <c r="D195" i="13"/>
  <c r="W836" i="13"/>
  <c r="U836" i="13"/>
  <c r="R1001" i="13"/>
  <c r="R997" i="13"/>
  <c r="R995" i="13"/>
  <c r="R968" i="13"/>
  <c r="R960" i="13"/>
  <c r="R972" i="13"/>
  <c r="R956" i="13"/>
  <c r="R984" i="13"/>
  <c r="R976" i="13"/>
  <c r="R964" i="13"/>
  <c r="R980" i="13"/>
  <c r="C249" i="13"/>
  <c r="I195" i="13"/>
  <c r="W1145" i="13"/>
  <c r="W1110" i="13"/>
  <c r="T1059" i="13"/>
  <c r="T1060" i="13"/>
  <c r="T1062" i="13"/>
  <c r="W1074" i="13"/>
  <c r="W1072" i="13"/>
  <c r="D310" i="13"/>
  <c r="H72" i="13" s="1"/>
  <c r="D264" i="13"/>
  <c r="D276" i="13"/>
  <c r="D288" i="13"/>
  <c r="D311" i="13"/>
  <c r="D307" i="13"/>
  <c r="D308" i="13" s="1"/>
  <c r="D242" i="13"/>
  <c r="I189" i="13" s="1"/>
  <c r="D275" i="13"/>
  <c r="D277" i="13"/>
  <c r="D243" i="13"/>
  <c r="D241" i="13"/>
  <c r="D287" i="13"/>
  <c r="D289" i="13"/>
  <c r="D265" i="13"/>
  <c r="D263" i="13"/>
  <c r="U837" i="13"/>
  <c r="W837" i="13"/>
  <c r="R954" i="13"/>
  <c r="T982" i="13"/>
  <c r="T970" i="13"/>
  <c r="CG543" i="13"/>
  <c r="T974" i="13"/>
  <c r="O638" i="13" l="1"/>
  <c r="U1072" i="13"/>
  <c r="D196" i="13"/>
  <c r="Z378" i="13"/>
  <c r="AC378" i="13"/>
  <c r="S639" i="13"/>
  <c r="V639" i="13"/>
  <c r="W639" i="13" s="1"/>
  <c r="R639" i="13"/>
  <c r="U639" i="13" s="1"/>
  <c r="V1062" i="13"/>
  <c r="K641" i="13"/>
  <c r="L640" i="13"/>
  <c r="N640" i="13"/>
  <c r="M640" i="13"/>
  <c r="Q640" i="13"/>
  <c r="T640" i="13" s="1"/>
  <c r="P640" i="13"/>
  <c r="AD378" i="13"/>
  <c r="G429" i="13"/>
  <c r="R378" i="13"/>
  <c r="Q378" i="13"/>
  <c r="CH545" i="13"/>
  <c r="AD429" i="13"/>
  <c r="X378" i="13"/>
  <c r="B432" i="13"/>
  <c r="T431" i="13"/>
  <c r="U431" i="13" s="1"/>
  <c r="D431" i="13"/>
  <c r="S431" i="13"/>
  <c r="C431" i="13"/>
  <c r="Z429" i="13"/>
  <c r="X429" i="13"/>
  <c r="Y429" i="13"/>
  <c r="R418" i="13"/>
  <c r="AD418" i="13"/>
  <c r="AB418" i="13"/>
  <c r="Q429" i="13"/>
  <c r="AC429" i="13"/>
  <c r="J419" i="13"/>
  <c r="X419" i="13" s="1"/>
  <c r="K419" i="13"/>
  <c r="L419" i="13"/>
  <c r="P429" i="13"/>
  <c r="N429" i="13"/>
  <c r="O429" i="13"/>
  <c r="V430" i="13"/>
  <c r="W430" i="13" s="1"/>
  <c r="P428" i="13"/>
  <c r="O428" i="13"/>
  <c r="N428" i="13"/>
  <c r="K430" i="13"/>
  <c r="R430" i="13" s="1"/>
  <c r="J430" i="13"/>
  <c r="L430" i="13"/>
  <c r="Q430" i="13" s="1"/>
  <c r="AA429" i="13"/>
  <c r="AA418" i="13"/>
  <c r="Q418" i="13"/>
  <c r="AB429" i="13"/>
  <c r="Y418" i="13"/>
  <c r="X418" i="13"/>
  <c r="Z418" i="13"/>
  <c r="E419" i="13"/>
  <c r="M419" i="13" s="1"/>
  <c r="F419" i="13"/>
  <c r="H419" i="13" s="1"/>
  <c r="C420" i="13"/>
  <c r="B421" i="13"/>
  <c r="T420" i="13"/>
  <c r="U420" i="13" s="1"/>
  <c r="V420" i="13" s="1"/>
  <c r="W420" i="13" s="1"/>
  <c r="D420" i="13"/>
  <c r="S420" i="13"/>
  <c r="M418" i="13"/>
  <c r="G418" i="13"/>
  <c r="F430" i="13"/>
  <c r="H430" i="13" s="1"/>
  <c r="E430" i="13"/>
  <c r="M430" i="13" s="1"/>
  <c r="N417" i="13"/>
  <c r="P417" i="13"/>
  <c r="O417" i="13"/>
  <c r="D380" i="13"/>
  <c r="C380" i="13"/>
  <c r="T380" i="13"/>
  <c r="U380" i="13" s="1"/>
  <c r="S380" i="13"/>
  <c r="B381" i="13"/>
  <c r="F379" i="13"/>
  <c r="H379" i="13" s="1"/>
  <c r="E379" i="13"/>
  <c r="M368" i="13"/>
  <c r="G368" i="13"/>
  <c r="G378" i="13"/>
  <c r="M378" i="13"/>
  <c r="L369" i="13"/>
  <c r="AC369" i="13" s="1"/>
  <c r="K369" i="13"/>
  <c r="R369" i="13" s="1"/>
  <c r="J369" i="13"/>
  <c r="X369" i="13" s="1"/>
  <c r="S370" i="13"/>
  <c r="C370" i="13"/>
  <c r="D370" i="13"/>
  <c r="B371" i="13"/>
  <c r="T370" i="13"/>
  <c r="U370" i="13" s="1"/>
  <c r="V370" i="13" s="1"/>
  <c r="W370" i="13" s="1"/>
  <c r="V379" i="13"/>
  <c r="W379" i="13" s="1"/>
  <c r="AB368" i="13"/>
  <c r="R368" i="13"/>
  <c r="AD368" i="13"/>
  <c r="Y368" i="13"/>
  <c r="O367" i="13"/>
  <c r="N367" i="13"/>
  <c r="P367" i="13"/>
  <c r="O377" i="13"/>
  <c r="Y378" i="13"/>
  <c r="F369" i="13"/>
  <c r="H369" i="13" s="1"/>
  <c r="E369" i="13"/>
  <c r="L379" i="13"/>
  <c r="Q379" i="13" s="1"/>
  <c r="K379" i="13"/>
  <c r="R379" i="13" s="1"/>
  <c r="J379" i="13"/>
  <c r="AC368" i="13"/>
  <c r="Q368" i="13"/>
  <c r="AA368" i="13"/>
  <c r="Z368" i="13"/>
  <c r="AA378" i="13"/>
  <c r="N377" i="13"/>
  <c r="D646" i="13"/>
  <c r="D72" i="13" s="1"/>
  <c r="S1064" i="13"/>
  <c r="S1062" i="13"/>
  <c r="X642" i="13"/>
  <c r="CD546" i="13"/>
  <c r="CJ546" i="13"/>
  <c r="CM546" i="13" s="1"/>
  <c r="CI546" i="13"/>
  <c r="CE546" i="13"/>
  <c r="CF546" i="13"/>
  <c r="CC547" i="13"/>
  <c r="R1219" i="13"/>
  <c r="T1218" i="13"/>
  <c r="K188" i="13"/>
  <c r="F195" i="13"/>
  <c r="W1150" i="13"/>
  <c r="W1147" i="13"/>
  <c r="J196" i="13"/>
  <c r="J195" i="13"/>
  <c r="U1150" i="13"/>
  <c r="U1147" i="13"/>
  <c r="R1072" i="13"/>
  <c r="R1074" i="13"/>
  <c r="CG544" i="13"/>
  <c r="T1072" i="13"/>
  <c r="T1074" i="13"/>
  <c r="Y643" i="13"/>
  <c r="E196" i="13"/>
  <c r="D244" i="13"/>
  <c r="J189" i="13"/>
  <c r="W1111" i="13"/>
  <c r="T1216" i="13" s="1"/>
  <c r="T1215" i="13"/>
  <c r="V1152" i="13"/>
  <c r="U1153" i="13" s="1"/>
  <c r="V1151" i="13"/>
  <c r="V1155" i="13"/>
  <c r="CO545" i="13"/>
  <c r="CP545" i="13" s="1"/>
  <c r="CK545" i="13"/>
  <c r="CN545" i="13" s="1"/>
  <c r="CL545" i="13"/>
  <c r="R1215" i="13"/>
  <c r="U1111" i="13"/>
  <c r="R1216" i="13" s="1"/>
  <c r="R640" i="13" l="1"/>
  <c r="U640" i="13" s="1"/>
  <c r="S640" i="13"/>
  <c r="V640" i="13"/>
  <c r="W640" i="13" s="1"/>
  <c r="N641" i="13"/>
  <c r="Q641" i="13"/>
  <c r="T641" i="13" s="1"/>
  <c r="M641" i="13"/>
  <c r="P641" i="13"/>
  <c r="L641" i="13"/>
  <c r="K642" i="13"/>
  <c r="O639" i="13"/>
  <c r="AA430" i="13"/>
  <c r="AD379" i="13"/>
  <c r="CH546" i="13"/>
  <c r="AA379" i="13"/>
  <c r="G430" i="13"/>
  <c r="G419" i="13"/>
  <c r="O418" i="13"/>
  <c r="P418" i="13"/>
  <c r="N418" i="13"/>
  <c r="S432" i="13"/>
  <c r="T432" i="13"/>
  <c r="U432" i="13" s="1"/>
  <c r="D432" i="13"/>
  <c r="B433" i="13"/>
  <c r="C432" i="13"/>
  <c r="Y430" i="13"/>
  <c r="Z430" i="13"/>
  <c r="X430" i="13"/>
  <c r="V431" i="13"/>
  <c r="W431" i="13" s="1"/>
  <c r="F420" i="13"/>
  <c r="H420" i="13" s="1"/>
  <c r="E420" i="13"/>
  <c r="AB419" i="13"/>
  <c r="R419" i="13"/>
  <c r="Y419" i="13"/>
  <c r="AD419" i="13"/>
  <c r="E431" i="13"/>
  <c r="M431" i="13" s="1"/>
  <c r="F431" i="13"/>
  <c r="H431" i="13" s="1"/>
  <c r="AC430" i="13"/>
  <c r="T421" i="13"/>
  <c r="U421" i="13" s="1"/>
  <c r="V421" i="13" s="1"/>
  <c r="W421" i="13" s="1"/>
  <c r="D421" i="13"/>
  <c r="S421" i="13"/>
  <c r="C421" i="13"/>
  <c r="B422" i="13"/>
  <c r="J431" i="13"/>
  <c r="K431" i="13"/>
  <c r="AB431" i="13" s="1"/>
  <c r="L431" i="13"/>
  <c r="AA431" i="13" s="1"/>
  <c r="P419" i="13"/>
  <c r="O419" i="13"/>
  <c r="N419" i="13"/>
  <c r="N430" i="13"/>
  <c r="O430" i="13"/>
  <c r="P430" i="13"/>
  <c r="L420" i="13"/>
  <c r="J420" i="13"/>
  <c r="X420" i="13" s="1"/>
  <c r="K420" i="13"/>
  <c r="AB420" i="13" s="1"/>
  <c r="AA419" i="13"/>
  <c r="AC419" i="13"/>
  <c r="Z419" i="13"/>
  <c r="Q419" i="13"/>
  <c r="AB430" i="13"/>
  <c r="AD430" i="13"/>
  <c r="L370" i="13"/>
  <c r="K370" i="13"/>
  <c r="Y370" i="13" s="1"/>
  <c r="J370" i="13"/>
  <c r="X370" i="13" s="1"/>
  <c r="E380" i="13"/>
  <c r="M380" i="13" s="1"/>
  <c r="F380" i="13"/>
  <c r="H380" i="13" s="1"/>
  <c r="D371" i="13"/>
  <c r="S371" i="13"/>
  <c r="C371" i="13"/>
  <c r="T371" i="13"/>
  <c r="U371" i="13" s="1"/>
  <c r="V371" i="13" s="1"/>
  <c r="W371" i="13" s="1"/>
  <c r="B372" i="13"/>
  <c r="P378" i="13"/>
  <c r="O378" i="13"/>
  <c r="N378" i="13"/>
  <c r="G379" i="13"/>
  <c r="M379" i="13"/>
  <c r="V380" i="13"/>
  <c r="W380" i="13" s="1"/>
  <c r="X379" i="13"/>
  <c r="AB379" i="13"/>
  <c r="M369" i="13"/>
  <c r="G369" i="13"/>
  <c r="Q369" i="13"/>
  <c r="AA369" i="13"/>
  <c r="Z369" i="13"/>
  <c r="P368" i="13"/>
  <c r="O368" i="13"/>
  <c r="N368" i="13"/>
  <c r="Y379" i="13"/>
  <c r="Z379" i="13"/>
  <c r="AD369" i="13"/>
  <c r="Y369" i="13"/>
  <c r="AB369" i="13"/>
  <c r="C381" i="13"/>
  <c r="T381" i="13"/>
  <c r="U381" i="13" s="1"/>
  <c r="D381" i="13"/>
  <c r="B382" i="13"/>
  <c r="S381" i="13"/>
  <c r="F370" i="13"/>
  <c r="H370" i="13" s="1"/>
  <c r="E370" i="13"/>
  <c r="M370" i="13" s="1"/>
  <c r="J380" i="13"/>
  <c r="K380" i="13"/>
  <c r="L380" i="13"/>
  <c r="Q380" i="13" s="1"/>
  <c r="AC379" i="13"/>
  <c r="X643" i="13"/>
  <c r="Y644" i="13"/>
  <c r="CE547" i="13"/>
  <c r="CD547" i="13"/>
  <c r="CJ547" i="13"/>
  <c r="CM547" i="13" s="1"/>
  <c r="CI547" i="13"/>
  <c r="CF547" i="13"/>
  <c r="CC548" i="13"/>
  <c r="K189" i="13"/>
  <c r="F196" i="13"/>
  <c r="T1219" i="13"/>
  <c r="R1220" i="13"/>
  <c r="CL546" i="13"/>
  <c r="CO546" i="13"/>
  <c r="CP546" i="13" s="1"/>
  <c r="CK546" i="13"/>
  <c r="CN546" i="13" s="1"/>
  <c r="CG545" i="13"/>
  <c r="O640" i="13" l="1"/>
  <c r="S641" i="13"/>
  <c r="V641" i="13"/>
  <c r="R641" i="13"/>
  <c r="U641" i="13" s="1"/>
  <c r="Q642" i="13"/>
  <c r="T642" i="13" s="1"/>
  <c r="M642" i="13"/>
  <c r="P642" i="13"/>
  <c r="N642" i="13"/>
  <c r="L642" i="13"/>
  <c r="K643" i="13"/>
  <c r="W641" i="13"/>
  <c r="Y380" i="13"/>
  <c r="AA380" i="13"/>
  <c r="AD431" i="13"/>
  <c r="Q420" i="13"/>
  <c r="Z420" i="13"/>
  <c r="AC420" i="13"/>
  <c r="K421" i="13"/>
  <c r="AB421" i="13" s="1"/>
  <c r="J421" i="13"/>
  <c r="X421" i="13" s="1"/>
  <c r="L421" i="13"/>
  <c r="O431" i="13"/>
  <c r="N431" i="13"/>
  <c r="P431" i="13"/>
  <c r="V432" i="13"/>
  <c r="W432" i="13" s="1"/>
  <c r="T422" i="13"/>
  <c r="U422" i="13" s="1"/>
  <c r="B423" i="13"/>
  <c r="D422" i="13"/>
  <c r="S422" i="13"/>
  <c r="C422" i="13"/>
  <c r="R420" i="13"/>
  <c r="Y420" i="13"/>
  <c r="AD420" i="13"/>
  <c r="M420" i="13"/>
  <c r="G420" i="13"/>
  <c r="X431" i="13"/>
  <c r="Y431" i="13"/>
  <c r="Z431" i="13"/>
  <c r="K432" i="13"/>
  <c r="R432" i="13" s="1"/>
  <c r="L432" i="13"/>
  <c r="Q432" i="13" s="1"/>
  <c r="J432" i="13"/>
  <c r="G431" i="13"/>
  <c r="Q431" i="13"/>
  <c r="R431" i="13"/>
  <c r="F432" i="13"/>
  <c r="H432" i="13" s="1"/>
  <c r="E432" i="13"/>
  <c r="M432" i="13" s="1"/>
  <c r="E421" i="13"/>
  <c r="M421" i="13" s="1"/>
  <c r="F421" i="13"/>
  <c r="H421" i="13" s="1"/>
  <c r="C433" i="13"/>
  <c r="S433" i="13"/>
  <c r="T433" i="13"/>
  <c r="U433" i="13" s="1"/>
  <c r="D433" i="13"/>
  <c r="B434" i="13"/>
  <c r="AC431" i="13"/>
  <c r="AA420" i="13"/>
  <c r="P379" i="13"/>
  <c r="O379" i="13"/>
  <c r="N379" i="13"/>
  <c r="AA370" i="13"/>
  <c r="AC370" i="13"/>
  <c r="Q370" i="13"/>
  <c r="Z370" i="13"/>
  <c r="N370" i="13"/>
  <c r="P370" i="13"/>
  <c r="O370" i="13"/>
  <c r="K371" i="13"/>
  <c r="L371" i="13"/>
  <c r="J371" i="13"/>
  <c r="X371" i="13" s="1"/>
  <c r="L381" i="13"/>
  <c r="AA381" i="13" s="1"/>
  <c r="K381" i="13"/>
  <c r="AB381" i="13" s="1"/>
  <c r="J381" i="13"/>
  <c r="D372" i="13"/>
  <c r="C372" i="13"/>
  <c r="T372" i="13"/>
  <c r="U372" i="13" s="1"/>
  <c r="V372" i="13" s="1"/>
  <c r="W372" i="13" s="1"/>
  <c r="S372" i="13"/>
  <c r="B373" i="13"/>
  <c r="F371" i="13"/>
  <c r="H371" i="13" s="1"/>
  <c r="E371" i="13"/>
  <c r="M371" i="13" s="1"/>
  <c r="Z380" i="13"/>
  <c r="AB380" i="13"/>
  <c r="V381" i="13"/>
  <c r="W381" i="13" s="1"/>
  <c r="AD381" i="13"/>
  <c r="N380" i="13"/>
  <c r="P380" i="13"/>
  <c r="O380" i="13"/>
  <c r="R381" i="13"/>
  <c r="E381" i="13"/>
  <c r="M381" i="13" s="1"/>
  <c r="F381" i="13"/>
  <c r="H381" i="13" s="1"/>
  <c r="D382" i="13"/>
  <c r="B383" i="13"/>
  <c r="C382" i="13"/>
  <c r="T382" i="13"/>
  <c r="U382" i="13" s="1"/>
  <c r="S382" i="13"/>
  <c r="N369" i="13"/>
  <c r="O369" i="13"/>
  <c r="P369" i="13"/>
  <c r="AD370" i="13"/>
  <c r="R370" i="13"/>
  <c r="AB370" i="13"/>
  <c r="AD380" i="13"/>
  <c r="G380" i="13"/>
  <c r="X380" i="13"/>
  <c r="G370" i="13"/>
  <c r="AC380" i="13"/>
  <c r="R380" i="13"/>
  <c r="R1221" i="13"/>
  <c r="T1220" i="13"/>
  <c r="Y645" i="13"/>
  <c r="CL547" i="13"/>
  <c r="CK547" i="13"/>
  <c r="CN547" i="13" s="1"/>
  <c r="CO547" i="13"/>
  <c r="CP547" i="13" s="1"/>
  <c r="CG546" i="13"/>
  <c r="CF548" i="13"/>
  <c r="CI548" i="13"/>
  <c r="CE548" i="13"/>
  <c r="CE551" i="13" s="1"/>
  <c r="CD548" i="13"/>
  <c r="CJ548" i="13"/>
  <c r="CM548" i="13" s="1"/>
  <c r="CM551" i="13" s="1"/>
  <c r="X644" i="13"/>
  <c r="CH547" i="13"/>
  <c r="G421" i="13" l="1"/>
  <c r="O641" i="13"/>
  <c r="L643" i="13"/>
  <c r="N643" i="13"/>
  <c r="Q643" i="13"/>
  <c r="T643" i="13" s="1"/>
  <c r="K644" i="13"/>
  <c r="P643" i="13"/>
  <c r="M643" i="13"/>
  <c r="V642" i="13"/>
  <c r="W642" i="13" s="1"/>
  <c r="S642" i="13"/>
  <c r="R642" i="13"/>
  <c r="U642" i="13" s="1"/>
  <c r="Q381" i="13"/>
  <c r="AC381" i="13"/>
  <c r="AB432" i="13"/>
  <c r="AC432" i="13"/>
  <c r="G432" i="13"/>
  <c r="G381" i="13"/>
  <c r="G371" i="13"/>
  <c r="O421" i="13"/>
  <c r="P421" i="13"/>
  <c r="N421" i="13"/>
  <c r="E422" i="13"/>
  <c r="M422" i="13" s="1"/>
  <c r="F422" i="13"/>
  <c r="H422" i="13" s="1"/>
  <c r="Y432" i="13"/>
  <c r="X432" i="13"/>
  <c r="Z432" i="13"/>
  <c r="N432" i="13"/>
  <c r="O432" i="13"/>
  <c r="P432" i="13"/>
  <c r="T423" i="13"/>
  <c r="U423" i="13" s="1"/>
  <c r="V423" i="13" s="1"/>
  <c r="W423" i="13" s="1"/>
  <c r="C423" i="13"/>
  <c r="B424" i="13"/>
  <c r="D423" i="13"/>
  <c r="S423" i="13"/>
  <c r="AD421" i="13"/>
  <c r="Y421" i="13"/>
  <c r="R421" i="13"/>
  <c r="AD432" i="13"/>
  <c r="V433" i="13"/>
  <c r="W433" i="13" s="1"/>
  <c r="E433" i="13"/>
  <c r="M433" i="13" s="1"/>
  <c r="F433" i="13"/>
  <c r="H433" i="13" s="1"/>
  <c r="AC421" i="13"/>
  <c r="AA421" i="13"/>
  <c r="Q421" i="13"/>
  <c r="Z421" i="13"/>
  <c r="D434" i="13"/>
  <c r="B435" i="13"/>
  <c r="T434" i="13"/>
  <c r="U434" i="13" s="1"/>
  <c r="S434" i="13"/>
  <c r="C434" i="13"/>
  <c r="K433" i="13"/>
  <c r="AD433" i="13" s="1"/>
  <c r="L433" i="13"/>
  <c r="AC433" i="13" s="1"/>
  <c r="J433" i="13"/>
  <c r="P420" i="13"/>
  <c r="N420" i="13"/>
  <c r="O420" i="13"/>
  <c r="K422" i="13"/>
  <c r="AB422" i="13" s="1"/>
  <c r="G422" i="13"/>
  <c r="L422" i="13"/>
  <c r="J422" i="13"/>
  <c r="V422" i="13"/>
  <c r="W422" i="13" s="1"/>
  <c r="AA432" i="13"/>
  <c r="V382" i="13"/>
  <c r="W382" i="13" s="1"/>
  <c r="C373" i="13"/>
  <c r="B374" i="13"/>
  <c r="D373" i="13"/>
  <c r="S373" i="13"/>
  <c r="T373" i="13"/>
  <c r="U373" i="13" s="1"/>
  <c r="V373" i="13" s="1"/>
  <c r="W373" i="13" s="1"/>
  <c r="S383" i="13"/>
  <c r="D383" i="13"/>
  <c r="B384" i="13"/>
  <c r="C383" i="13"/>
  <c r="T383" i="13"/>
  <c r="U383" i="13" s="1"/>
  <c r="N381" i="13"/>
  <c r="O381" i="13"/>
  <c r="P381" i="13"/>
  <c r="Y381" i="13"/>
  <c r="X381" i="13"/>
  <c r="Z381" i="13"/>
  <c r="O371" i="13"/>
  <c r="P371" i="13"/>
  <c r="N371" i="13"/>
  <c r="J382" i="13"/>
  <c r="K382" i="13"/>
  <c r="R382" i="13" s="1"/>
  <c r="L382" i="13"/>
  <c r="Q382" i="13" s="1"/>
  <c r="E372" i="13"/>
  <c r="F372" i="13"/>
  <c r="H372" i="13" s="1"/>
  <c r="AB371" i="13"/>
  <c r="AD371" i="13"/>
  <c r="R371" i="13"/>
  <c r="Y371" i="13"/>
  <c r="E382" i="13"/>
  <c r="M382" i="13" s="1"/>
  <c r="F382" i="13"/>
  <c r="H382" i="13" s="1"/>
  <c r="K372" i="13"/>
  <c r="J372" i="13"/>
  <c r="X372" i="13" s="1"/>
  <c r="L372" i="13"/>
  <c r="AA371" i="13"/>
  <c r="Z371" i="13"/>
  <c r="AC371" i="13"/>
  <c r="Q371" i="13"/>
  <c r="CH548" i="13"/>
  <c r="CH551" i="13" s="1"/>
  <c r="CD551" i="13"/>
  <c r="CG547" i="13"/>
  <c r="T1221" i="13"/>
  <c r="R1222" i="13"/>
  <c r="X645" i="13"/>
  <c r="CL548" i="13"/>
  <c r="CL551" i="13" s="1"/>
  <c r="CK548" i="13"/>
  <c r="CN548" i="13" s="1"/>
  <c r="CN551" i="13" s="1"/>
  <c r="CO548" i="13"/>
  <c r="CP548" i="13" s="1"/>
  <c r="CG548" i="13" l="1"/>
  <c r="CG551" i="13" s="1"/>
  <c r="S643" i="13"/>
  <c r="V643" i="13"/>
  <c r="W643" i="13" s="1"/>
  <c r="R643" i="13"/>
  <c r="P644" i="13"/>
  <c r="L644" i="13"/>
  <c r="Q644" i="13"/>
  <c r="T644" i="13" s="1"/>
  <c r="N644" i="13"/>
  <c r="K645" i="13"/>
  <c r="M644" i="13"/>
  <c r="O642" i="13"/>
  <c r="AB382" i="13"/>
  <c r="AC382" i="13"/>
  <c r="G433" i="13"/>
  <c r="G382" i="13"/>
  <c r="S435" i="13"/>
  <c r="D435" i="13"/>
  <c r="C435" i="13"/>
  <c r="T435" i="13"/>
  <c r="U435" i="13" s="1"/>
  <c r="D424" i="13"/>
  <c r="S424" i="13"/>
  <c r="T424" i="13"/>
  <c r="U424" i="13" s="1"/>
  <c r="V424" i="13" s="1"/>
  <c r="W424" i="13" s="1"/>
  <c r="C424" i="13"/>
  <c r="Z422" i="13"/>
  <c r="X422" i="13"/>
  <c r="Y422" i="13"/>
  <c r="R422" i="13"/>
  <c r="AD422" i="13"/>
  <c r="J434" i="13"/>
  <c r="K434" i="13"/>
  <c r="AB434" i="13" s="1"/>
  <c r="L434" i="13"/>
  <c r="Q434" i="13" s="1"/>
  <c r="E434" i="13"/>
  <c r="M434" i="13" s="1"/>
  <c r="F434" i="13"/>
  <c r="H434" i="13" s="1"/>
  <c r="O433" i="13"/>
  <c r="N433" i="13"/>
  <c r="P433" i="13"/>
  <c r="J423" i="13"/>
  <c r="X423" i="13" s="1"/>
  <c r="L423" i="13"/>
  <c r="K423" i="13"/>
  <c r="R423" i="13" s="1"/>
  <c r="AB433" i="13"/>
  <c r="Y433" i="13"/>
  <c r="X433" i="13"/>
  <c r="Z433" i="13"/>
  <c r="AC422" i="13"/>
  <c r="AA422" i="13"/>
  <c r="V434" i="13"/>
  <c r="W434" i="13" s="1"/>
  <c r="AC434" i="13"/>
  <c r="E423" i="13"/>
  <c r="F423" i="13"/>
  <c r="H423" i="13" s="1"/>
  <c r="N422" i="13"/>
  <c r="P422" i="13"/>
  <c r="O422" i="13"/>
  <c r="Q433" i="13"/>
  <c r="R433" i="13"/>
  <c r="AA433" i="13"/>
  <c r="Q422" i="13"/>
  <c r="Y382" i="13"/>
  <c r="Z382" i="13"/>
  <c r="X382" i="13"/>
  <c r="R372" i="13"/>
  <c r="AB372" i="13"/>
  <c r="Y372" i="13"/>
  <c r="AD372" i="13"/>
  <c r="M372" i="13"/>
  <c r="G372" i="13"/>
  <c r="K383" i="13"/>
  <c r="R383" i="13" s="1"/>
  <c r="J383" i="13"/>
  <c r="L383" i="13"/>
  <c r="AA383" i="13" s="1"/>
  <c r="L373" i="13"/>
  <c r="Z373" i="13" s="1"/>
  <c r="K373" i="13"/>
  <c r="J373" i="13"/>
  <c r="X373" i="13" s="1"/>
  <c r="AC372" i="13"/>
  <c r="AA372" i="13"/>
  <c r="Z372" i="13"/>
  <c r="O382" i="13"/>
  <c r="P382" i="13"/>
  <c r="N382" i="13"/>
  <c r="E383" i="13"/>
  <c r="M383" i="13" s="1"/>
  <c r="F383" i="13"/>
  <c r="H383" i="13" s="1"/>
  <c r="F373" i="13"/>
  <c r="H373" i="13" s="1"/>
  <c r="E373" i="13"/>
  <c r="M373" i="13" s="1"/>
  <c r="AA382" i="13"/>
  <c r="Q372" i="13"/>
  <c r="S384" i="13"/>
  <c r="C384" i="13"/>
  <c r="D384" i="13"/>
  <c r="B385" i="13"/>
  <c r="T384" i="13"/>
  <c r="U384" i="13" s="1"/>
  <c r="V383" i="13"/>
  <c r="W383" i="13" s="1"/>
  <c r="AD383" i="13"/>
  <c r="B375" i="13"/>
  <c r="S374" i="13"/>
  <c r="C374" i="13"/>
  <c r="D374" i="13"/>
  <c r="T374" i="13"/>
  <c r="U374" i="13" s="1"/>
  <c r="V374" i="13" s="1"/>
  <c r="W374" i="13" s="1"/>
  <c r="AD382" i="13"/>
  <c r="R1223" i="13"/>
  <c r="T1222" i="13"/>
  <c r="AC383" i="13" l="1"/>
  <c r="AB383" i="13"/>
  <c r="R644" i="13"/>
  <c r="S644" i="13"/>
  <c r="V644" i="13"/>
  <c r="W644" i="13" s="1"/>
  <c r="M645" i="13"/>
  <c r="M648" i="13" s="1"/>
  <c r="M649" i="13" s="1"/>
  <c r="N645" i="13"/>
  <c r="L645" i="13"/>
  <c r="L648" i="13" s="1"/>
  <c r="L649" i="13" s="1"/>
  <c r="P645" i="13"/>
  <c r="Q645" i="13"/>
  <c r="T645" i="13" s="1"/>
  <c r="T648" i="13" s="1"/>
  <c r="T649" i="13" s="1"/>
  <c r="U643" i="13"/>
  <c r="O643" i="13"/>
  <c r="AC373" i="13"/>
  <c r="AA434" i="13"/>
  <c r="AD434" i="13"/>
  <c r="Z434" i="13"/>
  <c r="X434" i="13"/>
  <c r="Y434" i="13"/>
  <c r="O434" i="13"/>
  <c r="P434" i="13"/>
  <c r="N434" i="13"/>
  <c r="E435" i="13"/>
  <c r="M435" i="13" s="1"/>
  <c r="F435" i="13"/>
  <c r="H435" i="13" s="1"/>
  <c r="F424" i="13"/>
  <c r="H424" i="13" s="1"/>
  <c r="E424" i="13"/>
  <c r="M424" i="13" s="1"/>
  <c r="G434" i="13"/>
  <c r="M423" i="13"/>
  <c r="G423" i="13"/>
  <c r="Q423" i="13"/>
  <c r="AA423" i="13"/>
  <c r="AC423" i="13"/>
  <c r="Z423" i="13"/>
  <c r="AB423" i="13"/>
  <c r="Y423" i="13"/>
  <c r="AD423" i="13"/>
  <c r="J435" i="13"/>
  <c r="K435" i="13"/>
  <c r="R435" i="13" s="1"/>
  <c r="L435" i="13"/>
  <c r="AC435" i="13" s="1"/>
  <c r="K424" i="13"/>
  <c r="AD424" i="13" s="1"/>
  <c r="L424" i="13"/>
  <c r="Z424" i="13" s="1"/>
  <c r="J424" i="13"/>
  <c r="X424" i="13" s="1"/>
  <c r="V435" i="13"/>
  <c r="W435" i="13" s="1"/>
  <c r="R434" i="13"/>
  <c r="E374" i="13"/>
  <c r="M374" i="13" s="1"/>
  <c r="F374" i="13"/>
  <c r="H374" i="13" s="1"/>
  <c r="V384" i="13"/>
  <c r="W384" i="13" s="1"/>
  <c r="O373" i="13"/>
  <c r="N373" i="13"/>
  <c r="P373" i="13"/>
  <c r="AB373" i="13"/>
  <c r="R373" i="13"/>
  <c r="AD373" i="13"/>
  <c r="Y373" i="13"/>
  <c r="Y383" i="13"/>
  <c r="X383" i="13"/>
  <c r="Z383" i="13"/>
  <c r="J374" i="13"/>
  <c r="X374" i="13" s="1"/>
  <c r="K374" i="13"/>
  <c r="Y374" i="13" s="1"/>
  <c r="L374" i="13"/>
  <c r="AA374" i="13" s="1"/>
  <c r="C385" i="13"/>
  <c r="T385" i="13"/>
  <c r="U385" i="13" s="1"/>
  <c r="D385" i="13"/>
  <c r="B386" i="13"/>
  <c r="S385" i="13"/>
  <c r="P372" i="13"/>
  <c r="O372" i="13"/>
  <c r="N372" i="13"/>
  <c r="G383" i="13"/>
  <c r="N383" i="13"/>
  <c r="O383" i="13"/>
  <c r="P383" i="13"/>
  <c r="D375" i="13"/>
  <c r="S375" i="13"/>
  <c r="T375" i="13"/>
  <c r="U375" i="13" s="1"/>
  <c r="V375" i="13" s="1"/>
  <c r="W375" i="13" s="1"/>
  <c r="C375" i="13"/>
  <c r="L384" i="13"/>
  <c r="Q384" i="13" s="1"/>
  <c r="J384" i="13"/>
  <c r="K384" i="13"/>
  <c r="AB384" i="13" s="1"/>
  <c r="F384" i="13"/>
  <c r="H384" i="13" s="1"/>
  <c r="E384" i="13"/>
  <c r="M384" i="13" s="1"/>
  <c r="Q373" i="13"/>
  <c r="AA373" i="13"/>
  <c r="G373" i="13"/>
  <c r="Q383" i="13"/>
  <c r="T1223" i="13"/>
  <c r="R1224" i="13"/>
  <c r="T1224" i="13" s="1"/>
  <c r="G424" i="13" l="1"/>
  <c r="AD435" i="13"/>
  <c r="G435" i="13"/>
  <c r="S645" i="13"/>
  <c r="V645" i="13"/>
  <c r="W645" i="13" s="1"/>
  <c r="W648" i="13" s="1"/>
  <c r="R645" i="13"/>
  <c r="U644" i="13"/>
  <c r="O644" i="13"/>
  <c r="AB435" i="13"/>
  <c r="AA435" i="13"/>
  <c r="R384" i="13"/>
  <c r="AC384" i="13"/>
  <c r="Q435" i="13"/>
  <c r="AA384" i="13"/>
  <c r="G384" i="13"/>
  <c r="X435" i="13"/>
  <c r="Z435" i="13"/>
  <c r="Y435" i="13"/>
  <c r="Q424" i="13"/>
  <c r="AA424" i="13"/>
  <c r="N423" i="13"/>
  <c r="O423" i="13"/>
  <c r="P423" i="13"/>
  <c r="AC424" i="13"/>
  <c r="AB424" i="13"/>
  <c r="R424" i="13"/>
  <c r="Y424" i="13"/>
  <c r="N424" i="13"/>
  <c r="O424" i="13"/>
  <c r="P424" i="13"/>
  <c r="P435" i="13"/>
  <c r="O435" i="13"/>
  <c r="N435" i="13"/>
  <c r="C386" i="13"/>
  <c r="S386" i="13"/>
  <c r="T386" i="13"/>
  <c r="U386" i="13" s="1"/>
  <c r="D386" i="13"/>
  <c r="O384" i="13"/>
  <c r="N384" i="13"/>
  <c r="P384" i="13"/>
  <c r="F385" i="13"/>
  <c r="H385" i="13" s="1"/>
  <c r="E385" i="13"/>
  <c r="M385" i="13" s="1"/>
  <c r="R374" i="13"/>
  <c r="AB374" i="13"/>
  <c r="AD374" i="13"/>
  <c r="AD384" i="13"/>
  <c r="Q374" i="13"/>
  <c r="AC374" i="13"/>
  <c r="O374" i="13"/>
  <c r="P374" i="13"/>
  <c r="N374" i="13"/>
  <c r="K375" i="13"/>
  <c r="AD375" i="13" s="1"/>
  <c r="L375" i="13"/>
  <c r="J375" i="13"/>
  <c r="X375" i="13" s="1"/>
  <c r="K385" i="13"/>
  <c r="AD385" i="13" s="1"/>
  <c r="L385" i="13"/>
  <c r="Q385" i="13" s="1"/>
  <c r="J385" i="13"/>
  <c r="F375" i="13"/>
  <c r="H375" i="13" s="1"/>
  <c r="E375" i="13"/>
  <c r="V385" i="13"/>
  <c r="W385" i="13" s="1"/>
  <c r="X384" i="13"/>
  <c r="Z384" i="13"/>
  <c r="Y384" i="13"/>
  <c r="Z374" i="13"/>
  <c r="G374" i="13"/>
  <c r="U645" i="13" l="1"/>
  <c r="O645" i="13"/>
  <c r="O648" i="13" s="1"/>
  <c r="AB385" i="13"/>
  <c r="F386" i="13"/>
  <c r="H386" i="13" s="1"/>
  <c r="E386" i="13"/>
  <c r="M386" i="13" s="1"/>
  <c r="Z385" i="13"/>
  <c r="Y385" i="13"/>
  <c r="X385" i="13"/>
  <c r="N385" i="13"/>
  <c r="P385" i="13"/>
  <c r="O385" i="13"/>
  <c r="L386" i="13"/>
  <c r="AC386" i="13" s="1"/>
  <c r="J386" i="13"/>
  <c r="K386" i="13"/>
  <c r="R386" i="13" s="1"/>
  <c r="R375" i="13"/>
  <c r="AB375" i="13"/>
  <c r="AC385" i="13"/>
  <c r="G385" i="13"/>
  <c r="Y375" i="13"/>
  <c r="R385" i="13"/>
  <c r="M375" i="13"/>
  <c r="G375" i="13"/>
  <c r="AA375" i="13"/>
  <c r="Q375" i="13"/>
  <c r="AC375" i="13"/>
  <c r="Z375" i="13"/>
  <c r="V386" i="13"/>
  <c r="W386" i="13" s="1"/>
  <c r="AA385" i="13"/>
  <c r="AA386" i="13" l="1"/>
  <c r="AB386" i="13"/>
  <c r="G386" i="13"/>
  <c r="Y386" i="13"/>
  <c r="X386" i="13"/>
  <c r="Z386" i="13"/>
  <c r="N386" i="13"/>
  <c r="P386" i="13"/>
  <c r="O386" i="13"/>
  <c r="AD386" i="13"/>
  <c r="Q386" i="13"/>
  <c r="O375" i="13"/>
  <c r="N375" i="13"/>
  <c r="P375" i="13"/>
</calcChain>
</file>

<file path=xl/sharedStrings.xml><?xml version="1.0" encoding="utf-8"?>
<sst xmlns="http://schemas.openxmlformats.org/spreadsheetml/2006/main" count="1931" uniqueCount="1248">
  <si>
    <t>fsw at VIN-typ (%)</t>
    <phoneticPr fontId="3"/>
  </si>
  <si>
    <t>Rs (ex-R) at VIN-typ (%)</t>
    <phoneticPr fontId="3"/>
  </si>
  <si>
    <t>External resistor sensing</t>
    <phoneticPr fontId="3"/>
  </si>
  <si>
    <t>Vocl_error_minus</t>
    <phoneticPr fontId="3"/>
  </si>
  <si>
    <t>Vocl_error (0-85_60mV) minus</t>
    <phoneticPr fontId="3"/>
  </si>
  <si>
    <t>Low side MOSFET's power dissipation</t>
    <phoneticPr fontId="3"/>
  </si>
  <si>
    <t>Gmv_(uS)</t>
    <phoneticPr fontId="3"/>
  </si>
  <si>
    <t>Dead time_(nsec); to DRVL-ON</t>
    <phoneticPr fontId="3"/>
  </si>
  <si>
    <t>Dead time_(nsec); to DRVH-ON</t>
    <phoneticPr fontId="3"/>
  </si>
  <si>
    <t>R_DRVH_source_(ohm)</t>
    <phoneticPr fontId="3"/>
  </si>
  <si>
    <t>R_DRVH_sink_(ohm)</t>
    <phoneticPr fontId="3"/>
  </si>
  <si>
    <t>R_DRVL_source_(ohm)</t>
    <phoneticPr fontId="3"/>
  </si>
  <si>
    <t>R_DRVL_sink_(ohm)</t>
    <phoneticPr fontId="3"/>
  </si>
  <si>
    <t>Ta_ambient temp. _min (Deg-C)</t>
    <phoneticPr fontId="3"/>
  </si>
  <si>
    <t>Ta_ambient temp. _typ (Deg-C)</t>
    <phoneticPr fontId="3"/>
  </si>
  <si>
    <t>MOSFET Electrical characteristics</t>
    <phoneticPr fontId="3"/>
  </si>
  <si>
    <t>High-side</t>
    <phoneticPr fontId="3"/>
  </si>
  <si>
    <t>Low-side</t>
    <phoneticPr fontId="3"/>
  </si>
  <si>
    <t>Ta_ambient temp. _max (Deg-C)</t>
    <phoneticPr fontId="3"/>
  </si>
  <si>
    <t>IRF7821_(IR)</t>
    <phoneticPr fontId="3"/>
  </si>
  <si>
    <t>IRF8113_(IR)</t>
    <phoneticPr fontId="3"/>
  </si>
  <si>
    <t>Rdson (mohm)</t>
    <phoneticPr fontId="3"/>
  </si>
  <si>
    <t>Qg (nC)</t>
    <phoneticPr fontId="3"/>
  </si>
  <si>
    <t>Qoss_(nC)</t>
    <phoneticPr fontId="3"/>
  </si>
  <si>
    <r>
      <t>G</t>
    </r>
    <r>
      <rPr>
        <sz val="10"/>
        <rFont val="Arial"/>
        <family val="2"/>
      </rPr>
      <t>gd_(nC)</t>
    </r>
    <phoneticPr fontId="3"/>
  </si>
  <si>
    <r>
      <t>G</t>
    </r>
    <r>
      <rPr>
        <sz val="10"/>
        <rFont val="Arial"/>
        <family val="2"/>
      </rPr>
      <t>gs_(nC)</t>
    </r>
    <phoneticPr fontId="3"/>
  </si>
  <si>
    <r>
      <t>G</t>
    </r>
    <r>
      <rPr>
        <sz val="10"/>
        <rFont val="Arial"/>
        <family val="2"/>
      </rPr>
      <t>rr_(nC)</t>
    </r>
    <phoneticPr fontId="3"/>
  </si>
  <si>
    <r>
      <t>V</t>
    </r>
    <r>
      <rPr>
        <sz val="10"/>
        <rFont val="Arial"/>
        <family val="2"/>
      </rPr>
      <t>f_body-Di_(V)</t>
    </r>
    <phoneticPr fontId="3"/>
  </si>
  <si>
    <t>The other info.</t>
    <phoneticPr fontId="3"/>
  </si>
  <si>
    <t>Qgs1_(nC)</t>
    <phoneticPr fontId="3"/>
  </si>
  <si>
    <r>
      <t>k</t>
    </r>
    <r>
      <rPr>
        <sz val="10"/>
        <rFont val="Arial"/>
        <family val="2"/>
      </rPr>
      <t>-factor (for fo)</t>
    </r>
    <phoneticPr fontId="3"/>
  </si>
  <si>
    <t>Qgs2_(nC)</t>
    <phoneticPr fontId="3"/>
  </si>
  <si>
    <t>Rja_(degrees/W)</t>
    <phoneticPr fontId="3"/>
  </si>
  <si>
    <r>
      <t>C</t>
    </r>
    <r>
      <rPr>
        <sz val="10"/>
        <rFont val="Arial"/>
        <family val="2"/>
      </rPr>
      <t>oss_(pF)</t>
    </r>
    <phoneticPr fontId="3"/>
  </si>
  <si>
    <t>Vg_(V)</t>
    <phoneticPr fontId="3"/>
  </si>
  <si>
    <t>TC of Rgv and Cgv vs. fo</t>
    <phoneticPr fontId="3"/>
  </si>
  <si>
    <t>Vf_boost-Di_(V)</t>
    <phoneticPr fontId="3"/>
  </si>
  <si>
    <t>D-CAP mode</t>
    <phoneticPr fontId="3"/>
  </si>
  <si>
    <t>Suggest to set similar time-constant</t>
    <phoneticPr fontId="3"/>
  </si>
  <si>
    <t>Droop must be less than 3%.</t>
    <phoneticPr fontId="3"/>
  </si>
  <si>
    <t>Ig_(A)</t>
    <phoneticPr fontId="3"/>
  </si>
  <si>
    <r>
      <t>f</t>
    </r>
    <r>
      <rPr>
        <sz val="10"/>
        <rFont val="Arial"/>
        <family val="2"/>
      </rPr>
      <t>o_(kHz): Calculated</t>
    </r>
    <phoneticPr fontId="3"/>
  </si>
  <si>
    <r>
      <t>D</t>
    </r>
    <r>
      <rPr>
        <sz val="10"/>
        <rFont val="Arial"/>
        <family val="2"/>
      </rPr>
      <t>CR (R-divider)</t>
    </r>
    <phoneticPr fontId="3"/>
  </si>
  <si>
    <t>Er1; Vocl&amp;Rs_Intgrated_error (Vocl&gt;Rs)</t>
    <phoneticPr fontId="3"/>
  </si>
  <si>
    <t>Er1; Vocl&amp;Rs_Intgrated_error (Rs&gt;Vocl)</t>
    <phoneticPr fontId="3"/>
  </si>
  <si>
    <r>
      <t>M</t>
    </r>
    <r>
      <rPr>
        <sz val="10"/>
        <rFont val="Arial"/>
        <family val="2"/>
      </rPr>
      <t>argin for Io(max)_(%)</t>
    </r>
    <phoneticPr fontId="3"/>
  </si>
  <si>
    <t>Chosen Rs</t>
    <phoneticPr fontId="3"/>
  </si>
  <si>
    <t>Vin_(V)</t>
    <phoneticPr fontId="3"/>
  </si>
  <si>
    <t>Intgrated_error (L &amp; fsw)</t>
    <phoneticPr fontId="3"/>
  </si>
  <si>
    <t>IIND(ripple)/Iout_(%)</t>
    <phoneticPr fontId="3"/>
  </si>
  <si>
    <t>Vocl_error</t>
    <phoneticPr fontId="3"/>
  </si>
  <si>
    <r>
      <t xml:space="preserve">L_(uH): </t>
    </r>
    <r>
      <rPr>
        <sz val="10"/>
        <rFont val="Arial"/>
        <family val="2"/>
      </rPr>
      <t>Calculated</t>
    </r>
    <phoneticPr fontId="3"/>
  </si>
  <si>
    <t>DCR</t>
    <phoneticPr fontId="3"/>
  </si>
  <si>
    <t>ex-R</t>
    <phoneticPr fontId="3"/>
  </si>
  <si>
    <r>
      <t>D</t>
    </r>
    <r>
      <rPr>
        <sz val="10"/>
        <rFont val="Arial"/>
        <family val="2"/>
      </rPr>
      <t>CR (typ)_w/ delta-T at Imax (m-ohm)</t>
    </r>
    <phoneticPr fontId="3"/>
  </si>
  <si>
    <t>DCR (typ)_w/ delta-T at OCL(m-ohm)</t>
    <phoneticPr fontId="3"/>
  </si>
  <si>
    <t>Rs; Target/ Calculated by Rx/Rc</t>
    <phoneticPr fontId="3"/>
  </si>
  <si>
    <t>Ramp Compensation</t>
    <phoneticPr fontId="3"/>
  </si>
  <si>
    <r>
      <t>m</t>
    </r>
    <r>
      <rPr>
        <sz val="10"/>
        <rFont val="Arial"/>
        <family val="2"/>
      </rPr>
      <t xml:space="preserve"> (-Vocl/Tsw)</t>
    </r>
    <phoneticPr fontId="3"/>
  </si>
  <si>
    <r>
      <t>m</t>
    </r>
    <r>
      <rPr>
        <sz val="10"/>
        <rFont val="Arial"/>
        <family val="2"/>
      </rPr>
      <t>1 (Vin-Vout)/L x Rsense x Gc</t>
    </r>
    <phoneticPr fontId="3"/>
  </si>
  <si>
    <r>
      <t>G</t>
    </r>
    <r>
      <rPr>
        <sz val="10"/>
        <rFont val="Arial"/>
        <family val="2"/>
      </rPr>
      <t>c (31mV)</t>
    </r>
    <phoneticPr fontId="3"/>
  </si>
  <si>
    <t>Rsense</t>
    <phoneticPr fontId="3"/>
  </si>
  <si>
    <r>
      <t>m</t>
    </r>
    <r>
      <rPr>
        <sz val="10"/>
        <rFont val="Arial"/>
        <family val="2"/>
      </rPr>
      <t>2 (-Vout)/L x Rsense x Gc</t>
    </r>
    <phoneticPr fontId="3"/>
  </si>
  <si>
    <r>
      <t>m</t>
    </r>
    <r>
      <rPr>
        <sz val="10"/>
        <rFont val="Arial"/>
        <family val="2"/>
      </rPr>
      <t>1-m</t>
    </r>
    <phoneticPr fontId="3"/>
  </si>
  <si>
    <t>Rate of Rcx/(Rx+Rc); Target/ Calculated</t>
    <phoneticPr fontId="3"/>
  </si>
  <si>
    <t>Rx; Chosen/ Target_(kohm)</t>
    <phoneticPr fontId="3"/>
  </si>
  <si>
    <t>Rc; Chosen/ Target_(kohm)</t>
    <phoneticPr fontId="3"/>
  </si>
  <si>
    <t>TC; Rx, Rc&amp;Cx/ Lx&amp;DCR at Iout(max)</t>
    <phoneticPr fontId="3"/>
  </si>
  <si>
    <t>Choose Cout first</t>
    <phoneticPr fontId="3"/>
  </si>
  <si>
    <t>Choose Vdroop first</t>
    <phoneticPr fontId="3"/>
  </si>
  <si>
    <t>Chosen</t>
    <phoneticPr fontId="3"/>
  </si>
  <si>
    <t>Vdroop</t>
    <phoneticPr fontId="3"/>
  </si>
  <si>
    <t>Cout; ESR</t>
    <phoneticPr fontId="3"/>
  </si>
  <si>
    <t>fo_Calculated/ 33% of fsw</t>
    <phoneticPr fontId="3"/>
  </si>
  <si>
    <t>L/S FET_Rds(on)</t>
    <phoneticPr fontId="3"/>
  </si>
  <si>
    <r>
      <t>C</t>
    </r>
    <r>
      <rPr>
        <sz val="10"/>
        <rFont val="Arial"/>
        <family val="2"/>
      </rPr>
      <t>rv_(pF)</t>
    </r>
    <phoneticPr fontId="3"/>
  </si>
  <si>
    <r>
      <t>TC of Rgv and Cgv</t>
    </r>
    <r>
      <rPr>
        <sz val="10"/>
        <rFont val="Arial"/>
        <family val="2"/>
      </rPr>
      <t>_(kHz)/ % of fo</t>
    </r>
    <phoneticPr fontId="3"/>
  </si>
  <si>
    <t>Cc; Chosen/ Calcualted_(pF)</t>
    <phoneticPr fontId="3"/>
  </si>
  <si>
    <t>Vripple_(mV)</t>
    <phoneticPr fontId="3"/>
  </si>
  <si>
    <t>Inductor DCR sensing</t>
    <phoneticPr fontId="3"/>
  </si>
  <si>
    <t>Rx_cal_Vintyp</t>
    <phoneticPr fontId="3"/>
  </si>
  <si>
    <t>Iind(ripple) at Vin(typ) Tol. w/ Vin(min)</t>
    <phoneticPr fontId="3"/>
  </si>
  <si>
    <r>
      <t>R</t>
    </r>
    <r>
      <rPr>
        <sz val="10"/>
        <rFont val="Arial"/>
        <family val="2"/>
      </rPr>
      <t>MS error</t>
    </r>
    <phoneticPr fontId="3"/>
  </si>
  <si>
    <t>GND</t>
    <phoneticPr fontId="3"/>
  </si>
  <si>
    <t>Recommend strong connection to the internal GND plane per a couple of vias.</t>
  </si>
  <si>
    <t>COMP2</t>
    <phoneticPr fontId="3"/>
  </si>
  <si>
    <r>
      <t>V</t>
    </r>
    <r>
      <rPr>
        <sz val="10"/>
        <rFont val="Arial"/>
        <family val="2"/>
      </rPr>
      <t>IN:</t>
    </r>
    <phoneticPr fontId="3"/>
  </si>
  <si>
    <t>CH1:</t>
    <phoneticPr fontId="3"/>
  </si>
  <si>
    <r>
      <t>C</t>
    </r>
    <r>
      <rPr>
        <sz val="10"/>
        <rFont val="Arial"/>
        <family val="2"/>
      </rPr>
      <t>H2:</t>
    </r>
    <phoneticPr fontId="3"/>
  </si>
  <si>
    <t>Item</t>
    <phoneticPr fontId="3"/>
  </si>
  <si>
    <t>Recommendation</t>
    <phoneticPr fontId="3"/>
  </si>
  <si>
    <t>Remark
(Schematic)</t>
    <phoneticPr fontId="3"/>
  </si>
  <si>
    <t>Remark
(Layout)</t>
    <phoneticPr fontId="3"/>
  </si>
  <si>
    <t>Comment</t>
    <phoneticPr fontId="3"/>
  </si>
  <si>
    <t>FET Driver</t>
    <phoneticPr fontId="3"/>
  </si>
  <si>
    <t>(Input cap)</t>
    <phoneticPr fontId="3"/>
  </si>
  <si>
    <t>Place bypass MLCC cap(s) close to Drain of H/S-MOSFET and Source of L/S-MOSFET and refer to the internal GND plane (or P-GND if there is).</t>
    <phoneticPr fontId="3"/>
  </si>
  <si>
    <t>DRVH1</t>
    <phoneticPr fontId="3"/>
  </si>
  <si>
    <t xml:space="preserve">Route the trace away from sensitive analog node and DRVL.
Be parallel with SW-node trace and recommend using 20-mils or wider trace. </t>
    <phoneticPr fontId="3"/>
  </si>
  <si>
    <t>Route the trace away from sensitive analog node and DRVL.
Be parallel with DRVH, recommend using 20-mils or wider trace.</t>
    <phoneticPr fontId="3"/>
  </si>
  <si>
    <t>VBST1</t>
    <phoneticPr fontId="3"/>
  </si>
  <si>
    <t>Tie to Switch-node through MLCC (more than 0.1uF is recommended) and suggest adding series resistor.</t>
    <phoneticPr fontId="3"/>
  </si>
  <si>
    <t>Trace should be routed away from sensitive analog node.</t>
    <phoneticPr fontId="3"/>
  </si>
  <si>
    <t>DRVL1</t>
    <phoneticPr fontId="3"/>
  </si>
  <si>
    <t>Recommend using 25-mils or wider trace to secure low impedance.</t>
    <phoneticPr fontId="3"/>
  </si>
  <si>
    <t>Route the trace away from sensitive analog node and H/S driver traces (DRVH and SW-node).</t>
    <phoneticPr fontId="3"/>
  </si>
  <si>
    <t>DRVH2</t>
    <phoneticPr fontId="3"/>
  </si>
  <si>
    <t>VBST2</t>
    <phoneticPr fontId="3"/>
  </si>
  <si>
    <t>DRVL2</t>
    <phoneticPr fontId="3"/>
  </si>
  <si>
    <t>Voltage feedback and compensation</t>
    <phoneticPr fontId="3"/>
  </si>
  <si>
    <t>VFB2</t>
    <phoneticPr fontId="3"/>
  </si>
  <si>
    <t>Reference and LDO</t>
    <phoneticPr fontId="3"/>
  </si>
  <si>
    <t>Bypass cap should refer to the internal GND plane (or S-GND if there is) and be placed close to IC-pin.</t>
    <phoneticPr fontId="3"/>
  </si>
  <si>
    <t>10-uF MLCC (high grade; X5R or X7R is recommended) is required.</t>
    <phoneticPr fontId="3"/>
  </si>
  <si>
    <t>Bypass cap should refer to the internal GND plane (or P-GND if there is) with strong connection and be placed close to IC-pin.</t>
    <phoneticPr fontId="3"/>
  </si>
  <si>
    <t>Power Input and GND</t>
    <phoneticPr fontId="3"/>
  </si>
  <si>
    <t>Bypass cap should refer to the internal GND plane (or P-GND if there is).</t>
    <phoneticPr fontId="3"/>
  </si>
  <si>
    <t>Enable and Power good</t>
    <phoneticPr fontId="3"/>
  </si>
  <si>
    <t>EN2</t>
    <phoneticPr fontId="3"/>
  </si>
  <si>
    <t>EN1</t>
    <phoneticPr fontId="3"/>
  </si>
  <si>
    <t>PGOOD1</t>
    <phoneticPr fontId="3"/>
  </si>
  <si>
    <t>PGOOD2</t>
    <phoneticPr fontId="3"/>
  </si>
  <si>
    <t>Function pin and PowerPAD</t>
    <phoneticPr fontId="3"/>
  </si>
  <si>
    <t>Auto-skip: be connected to VREF2, more than 1.9V and less than 2.1V.</t>
    <phoneticPr fontId="3"/>
  </si>
  <si>
    <t>PowerPAD</t>
    <phoneticPr fontId="3"/>
  </si>
  <si>
    <t>Tie to the internal GND plane (or S-GND if there is).</t>
    <phoneticPr fontId="3"/>
  </si>
  <si>
    <t>2 x 2 or more vias with a 0.33-mm (13-mils) diameter are recommended.</t>
    <phoneticPr fontId="3"/>
  </si>
  <si>
    <t>Do NOT connect to PGND underneath the package</t>
    <phoneticPr fontId="3"/>
  </si>
  <si>
    <t>TI Proprietary Information</t>
    <phoneticPr fontId="3"/>
  </si>
  <si>
    <t>Transformation</t>
    <phoneticPr fontId="3"/>
  </si>
  <si>
    <t>mm</t>
    <phoneticPr fontId="3"/>
  </si>
  <si>
    <t>mil</t>
    <phoneticPr fontId="3"/>
  </si>
  <si>
    <t>From "mm" to "mil"</t>
    <phoneticPr fontId="3"/>
  </si>
  <si>
    <t>From "mil" to "mm"</t>
    <phoneticPr fontId="3"/>
  </si>
  <si>
    <t>SW1</t>
    <phoneticPr fontId="3"/>
  </si>
  <si>
    <t>Tie to  the source of H/S MOSFET. Be close the source of H/S MOSFET to Drain of L/S-MOSFET</t>
    <phoneticPr fontId="3"/>
  </si>
  <si>
    <t>D-CAP mode: More than 4mV ramp voltage is required.</t>
    <phoneticPr fontId="3"/>
  </si>
  <si>
    <t>VFB1</t>
    <phoneticPr fontId="3"/>
  </si>
  <si>
    <t>COMP1</t>
    <phoneticPr fontId="3"/>
  </si>
  <si>
    <t>D-CAP mode: Tie a resistor (6k to 20k) to VREF2</t>
    <phoneticPr fontId="3"/>
  </si>
  <si>
    <t>Cc2</t>
    <phoneticPr fontId="3"/>
  </si>
  <si>
    <r>
      <t>f</t>
    </r>
    <r>
      <rPr>
        <sz val="10"/>
        <rFont val="Arial"/>
        <family val="2"/>
      </rPr>
      <t>gv (Rgv &amp; Cc2)</t>
    </r>
    <phoneticPr fontId="3"/>
  </si>
  <si>
    <t>Current mode: Tie a resistor (6k to 20k) and a capacitor (in parallel) to VREF2.</t>
    <phoneticPr fontId="3"/>
  </si>
  <si>
    <t>Non-droop Current mode: Tie series RC ( a resistor (6k to 20k) and a capacitor in series) and a capacitor in parallel with RC to VREF2.</t>
    <phoneticPr fontId="3"/>
  </si>
  <si>
    <t>VREF2</t>
    <phoneticPr fontId="3"/>
  </si>
  <si>
    <t>0.22-uF MLCC (high grade; X5R or X7R is recommended) is required.</t>
    <phoneticPr fontId="3"/>
  </si>
  <si>
    <t>VREG3</t>
    <phoneticPr fontId="3"/>
  </si>
  <si>
    <t>VREG5</t>
    <phoneticPr fontId="3"/>
  </si>
  <si>
    <t>1-uF MLCC (high grade; X5R or X7R is recommended) is required.</t>
    <phoneticPr fontId="3"/>
  </si>
  <si>
    <t>VIN</t>
    <phoneticPr fontId="3"/>
  </si>
  <si>
    <t>V5SW</t>
    <phoneticPr fontId="3"/>
  </si>
  <si>
    <t xml:space="preserve">Tie to 5V rail (When CH1 of TPS5122x is set as 5V, CH1 output can connect to this pin) </t>
    <phoneticPr fontId="3"/>
  </si>
  <si>
    <t>Switcher-ON: Be Float</t>
    <phoneticPr fontId="3"/>
  </si>
  <si>
    <t>Switcher-OFF: tie to GND or be less than 0.15V.</t>
    <phoneticPr fontId="3"/>
  </si>
  <si>
    <r>
      <t>M</t>
    </r>
    <r>
      <rPr>
        <sz val="10"/>
        <rFont val="Arial"/>
        <family val="2"/>
      </rPr>
      <t>in</t>
    </r>
    <phoneticPr fontId="3"/>
  </si>
  <si>
    <r>
      <t>T</t>
    </r>
    <r>
      <rPr>
        <sz val="10"/>
        <rFont val="Arial"/>
        <family val="2"/>
      </rPr>
      <t>yp</t>
    </r>
    <phoneticPr fontId="3"/>
  </si>
  <si>
    <r>
      <t>M</t>
    </r>
    <r>
      <rPr>
        <sz val="10"/>
        <rFont val="Arial"/>
        <family val="2"/>
      </rPr>
      <t>ax</t>
    </r>
    <phoneticPr fontId="3"/>
  </si>
  <si>
    <r>
      <t>C</t>
    </r>
    <r>
      <rPr>
        <sz val="10"/>
        <rFont val="Arial"/>
        <family val="2"/>
      </rPr>
      <t>alculation result</t>
    </r>
    <r>
      <rPr>
        <sz val="10"/>
        <rFont val="Arial"/>
        <family val="2"/>
      </rPr>
      <t xml:space="preserve"> will be shown at </t>
    </r>
    <r>
      <rPr>
        <sz val="10"/>
        <rFont val="Arial"/>
        <family val="2"/>
      </rPr>
      <t>this color space</t>
    </r>
    <phoneticPr fontId="3"/>
  </si>
  <si>
    <r>
      <t xml:space="preserve">Recommended </t>
    </r>
    <r>
      <rPr>
        <sz val="10"/>
        <rFont val="Arial"/>
        <family val="2"/>
      </rPr>
      <t>R</t>
    </r>
    <r>
      <rPr>
        <sz val="10"/>
        <rFont val="Arial"/>
        <family val="2"/>
      </rPr>
      <t>1 (upper)</t>
    </r>
    <phoneticPr fontId="3"/>
  </si>
  <si>
    <r>
      <t>+</t>
    </r>
    <r>
      <rPr>
        <sz val="10"/>
        <rFont val="Arial"/>
        <family val="2"/>
      </rPr>
      <t>/- (</t>
    </r>
    <r>
      <rPr>
        <sz val="10"/>
        <rFont val="Arial"/>
        <family val="2"/>
      </rPr>
      <t>%</t>
    </r>
    <r>
      <rPr>
        <sz val="10"/>
        <rFont val="Arial"/>
        <family val="2"/>
      </rPr>
      <t>)</t>
    </r>
    <phoneticPr fontId="3"/>
  </si>
  <si>
    <t>Vout tolerance</t>
    <phoneticPr fontId="3"/>
  </si>
  <si>
    <t>max</t>
    <phoneticPr fontId="3"/>
  </si>
  <si>
    <t xml:space="preserve">min </t>
    <phoneticPr fontId="3"/>
  </si>
  <si>
    <r>
      <t>k</t>
    </r>
    <r>
      <rPr>
        <sz val="10"/>
        <rFont val="Arial"/>
        <family val="2"/>
      </rPr>
      <t>Hz</t>
    </r>
    <phoneticPr fontId="3"/>
  </si>
  <si>
    <r>
      <t>L (</t>
    </r>
    <r>
      <rPr>
        <sz val="10"/>
        <rFont val="Arial"/>
        <family val="2"/>
      </rPr>
      <t>R</t>
    </r>
    <r>
      <rPr>
        <sz val="10"/>
        <rFont val="Arial"/>
        <family val="2"/>
      </rPr>
      <t xml:space="preserve">ecommended) </t>
    </r>
    <phoneticPr fontId="3"/>
  </si>
  <si>
    <r>
      <t>IIND(ripple)/Iout</t>
    </r>
    <r>
      <rPr>
        <sz val="10"/>
        <rFont val="Arial"/>
        <family val="2"/>
      </rPr>
      <t>-max</t>
    </r>
    <r>
      <rPr>
        <sz val="10"/>
        <rFont val="Arial"/>
        <family val="2"/>
      </rPr>
      <t>(%) at L-typ</t>
    </r>
    <r>
      <rPr>
        <sz val="10"/>
        <rFont val="Arial"/>
        <family val="2"/>
      </rPr>
      <t>, VIN-max</t>
    </r>
    <phoneticPr fontId="3"/>
  </si>
  <si>
    <t>CH1; FDVE1040-3R3M (TOKO)</t>
    <phoneticPr fontId="3"/>
  </si>
  <si>
    <t>CH2; FDVE1040-3R3M (TOKO)</t>
    <phoneticPr fontId="3"/>
  </si>
  <si>
    <r>
      <t>u</t>
    </r>
    <r>
      <rPr>
        <sz val="10"/>
        <rFont val="Arial"/>
        <family val="2"/>
      </rPr>
      <t>H</t>
    </r>
    <phoneticPr fontId="3"/>
  </si>
  <si>
    <r>
      <t>D</t>
    </r>
    <r>
      <rPr>
        <sz val="10"/>
        <rFont val="Arial"/>
        <family val="2"/>
      </rPr>
      <t>CR</t>
    </r>
    <r>
      <rPr>
        <sz val="10"/>
        <rFont val="Arial"/>
        <family val="2"/>
      </rPr>
      <t xml:space="preserve"> (Tj=+25Deg.)</t>
    </r>
    <phoneticPr fontId="3"/>
  </si>
  <si>
    <r>
      <t>D</t>
    </r>
    <r>
      <rPr>
        <sz val="10"/>
        <rFont val="Arial"/>
        <family val="2"/>
      </rPr>
      <t xml:space="preserve">CR_at Iout_max </t>
    </r>
    <r>
      <rPr>
        <sz val="10"/>
        <rFont val="Arial"/>
        <family val="2"/>
      </rPr>
      <t>(T</t>
    </r>
    <r>
      <rPr>
        <sz val="10"/>
        <rFont val="Arial"/>
        <family val="2"/>
      </rPr>
      <t>a</t>
    </r>
    <r>
      <rPr>
        <sz val="10"/>
        <rFont val="Arial"/>
        <family val="2"/>
      </rPr>
      <t>=+25</t>
    </r>
    <r>
      <rPr>
        <sz val="10"/>
        <rFont val="Arial"/>
        <family val="2"/>
      </rPr>
      <t>C</t>
    </r>
    <r>
      <rPr>
        <sz val="10"/>
        <rFont val="Arial"/>
        <family val="2"/>
      </rPr>
      <t>)</t>
    </r>
    <phoneticPr fontId="3"/>
  </si>
  <si>
    <r>
      <t>D</t>
    </r>
    <r>
      <rPr>
        <sz val="10"/>
        <rFont val="Arial"/>
        <family val="2"/>
      </rPr>
      <t xml:space="preserve">CR_at Iout_OCL </t>
    </r>
    <r>
      <rPr>
        <sz val="10"/>
        <rFont val="Arial"/>
        <family val="2"/>
      </rPr>
      <t>(T</t>
    </r>
    <r>
      <rPr>
        <sz val="10"/>
        <rFont val="Arial"/>
        <family val="2"/>
      </rPr>
      <t>a</t>
    </r>
    <r>
      <rPr>
        <sz val="10"/>
        <rFont val="Arial"/>
        <family val="2"/>
      </rPr>
      <t>=+25</t>
    </r>
    <r>
      <rPr>
        <sz val="10"/>
        <rFont val="Arial"/>
        <family val="2"/>
      </rPr>
      <t>C</t>
    </r>
    <r>
      <rPr>
        <sz val="10"/>
        <rFont val="Arial"/>
        <family val="2"/>
      </rPr>
      <t>)</t>
    </r>
    <phoneticPr fontId="3"/>
  </si>
  <si>
    <r>
      <t xml:space="preserve">At </t>
    </r>
    <r>
      <rPr>
        <sz val="10"/>
        <rFont val="Arial"/>
        <family val="2"/>
      </rPr>
      <t>I</t>
    </r>
    <r>
      <rPr>
        <sz val="10"/>
        <rFont val="Arial"/>
        <family val="2"/>
      </rPr>
      <t>out=0A</t>
    </r>
    <phoneticPr fontId="3"/>
  </si>
  <si>
    <r>
      <t xml:space="preserve">At </t>
    </r>
    <r>
      <rPr>
        <sz val="10"/>
        <rFont val="Arial"/>
        <family val="2"/>
      </rPr>
      <t>I</t>
    </r>
    <r>
      <rPr>
        <sz val="10"/>
        <rFont val="Arial"/>
        <family val="2"/>
      </rPr>
      <t>out_max</t>
    </r>
    <phoneticPr fontId="3"/>
  </si>
  <si>
    <r>
      <t xml:space="preserve">At </t>
    </r>
    <r>
      <rPr>
        <sz val="10"/>
        <rFont val="Arial"/>
        <family val="2"/>
      </rPr>
      <t>I</t>
    </r>
    <r>
      <rPr>
        <sz val="10"/>
        <rFont val="Arial"/>
        <family val="2"/>
      </rPr>
      <t>out_OCL</t>
    </r>
    <phoneticPr fontId="3"/>
  </si>
  <si>
    <r>
      <t>D</t>
    </r>
    <r>
      <rPr>
        <sz val="10"/>
        <rFont val="Arial"/>
        <family val="2"/>
      </rPr>
      <t>CR-sense</t>
    </r>
    <phoneticPr fontId="3"/>
  </si>
  <si>
    <r>
      <t>R</t>
    </r>
    <r>
      <rPr>
        <sz val="10"/>
        <rFont val="Arial"/>
        <family val="2"/>
      </rPr>
      <t>-sense</t>
    </r>
    <phoneticPr fontId="3"/>
  </si>
  <si>
    <r>
      <t xml:space="preserve">L; </t>
    </r>
    <r>
      <rPr>
        <sz val="10"/>
        <rFont val="Arial"/>
        <family val="2"/>
      </rPr>
      <t>T</t>
    </r>
    <r>
      <rPr>
        <sz val="10"/>
        <rFont val="Arial"/>
        <family val="2"/>
      </rPr>
      <t>emp-raise</t>
    </r>
    <phoneticPr fontId="3"/>
  </si>
  <si>
    <r>
      <t>R</t>
    </r>
    <r>
      <rPr>
        <sz val="10"/>
        <rFont val="Arial"/>
        <family val="2"/>
      </rPr>
      <t>x cal (ohm)</t>
    </r>
    <phoneticPr fontId="3"/>
  </si>
  <si>
    <r>
      <t>2</t>
    </r>
    <r>
      <rPr>
        <sz val="10"/>
        <rFont val="Arial"/>
        <family val="2"/>
      </rPr>
      <t>012 (0805)</t>
    </r>
    <phoneticPr fontId="3"/>
  </si>
  <si>
    <r>
      <t>I</t>
    </r>
    <r>
      <rPr>
        <sz val="10"/>
        <rFont val="Arial"/>
        <family val="2"/>
      </rPr>
      <t>-ocl (DC) at Vin-typ, Ta-typ</t>
    </r>
    <phoneticPr fontId="3"/>
  </si>
  <si>
    <r>
      <t>R</t>
    </r>
    <r>
      <rPr>
        <sz val="10"/>
        <rFont val="Arial"/>
        <family val="2"/>
      </rPr>
      <t xml:space="preserve"> (Tj=+25Deg.)</t>
    </r>
    <phoneticPr fontId="3"/>
  </si>
  <si>
    <r>
      <t>V</t>
    </r>
    <r>
      <rPr>
        <sz val="10"/>
        <rFont val="Arial"/>
        <family val="2"/>
      </rPr>
      <t>o ripple</t>
    </r>
    <phoneticPr fontId="3"/>
  </si>
  <si>
    <r>
      <t>V</t>
    </r>
    <r>
      <rPr>
        <sz val="10"/>
        <rFont val="Arial"/>
        <family val="2"/>
      </rPr>
      <t>FB ripple</t>
    </r>
    <phoneticPr fontId="3"/>
  </si>
  <si>
    <r>
      <t>V</t>
    </r>
    <r>
      <rPr>
        <sz val="10"/>
        <rFont val="Arial"/>
        <family val="2"/>
      </rPr>
      <t>in(min)</t>
    </r>
    <phoneticPr fontId="3"/>
  </si>
  <si>
    <r>
      <t>V</t>
    </r>
    <r>
      <rPr>
        <sz val="10"/>
        <rFont val="Arial"/>
        <family val="2"/>
      </rPr>
      <t>in(typ)</t>
    </r>
    <phoneticPr fontId="3"/>
  </si>
  <si>
    <r>
      <t>V</t>
    </r>
    <r>
      <rPr>
        <sz val="10"/>
        <rFont val="Arial"/>
        <family val="2"/>
      </rPr>
      <t>in(max)</t>
    </r>
    <phoneticPr fontId="3"/>
  </si>
  <si>
    <r>
      <t>S</t>
    </r>
    <r>
      <rPr>
        <sz val="10"/>
        <rFont val="Arial"/>
        <family val="2"/>
      </rPr>
      <t>witching Frequency_(kHz)</t>
    </r>
    <phoneticPr fontId="3"/>
  </si>
  <si>
    <r>
      <t>I</t>
    </r>
    <r>
      <rPr>
        <sz val="9"/>
        <rFont val="Arial"/>
        <family val="2"/>
      </rPr>
      <t>IND</t>
    </r>
    <r>
      <rPr>
        <sz val="10"/>
        <rFont val="Arial"/>
        <family val="2"/>
      </rPr>
      <t>(ripple)_(A)</t>
    </r>
    <phoneticPr fontId="3"/>
  </si>
  <si>
    <r>
      <t>V</t>
    </r>
    <r>
      <rPr>
        <sz val="10"/>
        <rFont val="Arial"/>
        <family val="2"/>
      </rPr>
      <t>ripple_(mV)</t>
    </r>
    <phoneticPr fontId="3"/>
  </si>
  <si>
    <r>
      <t>OCL</t>
    </r>
    <r>
      <rPr>
        <sz val="10"/>
        <rFont val="Arial"/>
        <family val="2"/>
      </rPr>
      <t>-DC_</t>
    </r>
    <r>
      <rPr>
        <sz val="10"/>
        <rFont val="Arial"/>
        <family val="2"/>
      </rPr>
      <t>(A)</t>
    </r>
    <phoneticPr fontId="3"/>
  </si>
  <si>
    <t>Functuin pins</t>
    <phoneticPr fontId="3"/>
  </si>
  <si>
    <t>Functions</t>
    <phoneticPr fontId="3"/>
  </si>
  <si>
    <t>FUNC</t>
    <phoneticPr fontId="3"/>
  </si>
  <si>
    <t>Date: 5/27/2010</t>
    <phoneticPr fontId="3"/>
  </si>
  <si>
    <t>units</t>
    <phoneticPr fontId="3"/>
  </si>
  <si>
    <t>Switching Frequency_(kHz)</t>
    <phoneticPr fontId="3"/>
  </si>
  <si>
    <t>OCL-DC_(A)</t>
    <phoneticPr fontId="3"/>
  </si>
  <si>
    <t xml:space="preserve">VFB (CH1) </t>
    <phoneticPr fontId="3"/>
  </si>
  <si>
    <t xml:space="preserve">VFB (CH2) </t>
    <phoneticPr fontId="3"/>
  </si>
  <si>
    <t>Ties to</t>
    <phoneticPr fontId="3"/>
  </si>
  <si>
    <t>Functions</t>
    <phoneticPr fontId="3"/>
  </si>
  <si>
    <r>
      <t>T</t>
    </r>
    <r>
      <rPr>
        <sz val="10"/>
        <rFont val="Arial"/>
        <family val="2"/>
      </rPr>
      <t xml:space="preserve">arget </t>
    </r>
    <r>
      <rPr>
        <sz val="10"/>
        <rFont val="Arial"/>
        <family val="2"/>
      </rPr>
      <t>Vout_(V)</t>
    </r>
    <phoneticPr fontId="3"/>
  </si>
  <si>
    <r>
      <t>Calculated Vo</t>
    </r>
    <r>
      <rPr>
        <sz val="10"/>
        <rFont val="Arial"/>
        <family val="2"/>
      </rPr>
      <t>-CCM</t>
    </r>
    <r>
      <rPr>
        <sz val="10"/>
        <rFont val="Arial"/>
        <family val="2"/>
      </rPr>
      <t xml:space="preserve"> (V)</t>
    </r>
    <phoneticPr fontId="3"/>
  </si>
  <si>
    <t>Vo-CCM-min (V)</t>
    <phoneticPr fontId="3"/>
  </si>
  <si>
    <t>Vo rate of CCM-min (%)</t>
    <phoneticPr fontId="3"/>
  </si>
  <si>
    <t>RMS error + Contributory rate (VREF error)</t>
    <phoneticPr fontId="3"/>
  </si>
  <si>
    <r>
      <t xml:space="preserve">Auto-skip; </t>
    </r>
    <r>
      <rPr>
        <sz val="10"/>
        <rFont val="Arial"/>
        <family val="2"/>
      </rPr>
      <t>0A-min (V)</t>
    </r>
    <phoneticPr fontId="3"/>
  </si>
  <si>
    <r>
      <t xml:space="preserve">Auto-skip; </t>
    </r>
    <r>
      <rPr>
        <sz val="10"/>
        <rFont val="Arial"/>
        <family val="2"/>
      </rPr>
      <t>0A-</t>
    </r>
    <r>
      <rPr>
        <sz val="10"/>
        <rFont val="Arial"/>
        <family val="2"/>
      </rPr>
      <t>typ</t>
    </r>
    <r>
      <rPr>
        <sz val="10"/>
        <rFont val="Arial"/>
        <family val="2"/>
      </rPr>
      <t xml:space="preserve"> (V)</t>
    </r>
    <phoneticPr fontId="3"/>
  </si>
  <si>
    <r>
      <t xml:space="preserve">Auto-skip; </t>
    </r>
    <r>
      <rPr>
        <sz val="10"/>
        <rFont val="Arial"/>
        <family val="2"/>
      </rPr>
      <t>0A-m</t>
    </r>
    <r>
      <rPr>
        <sz val="10"/>
        <rFont val="Arial"/>
        <family val="2"/>
      </rPr>
      <t>ax</t>
    </r>
    <r>
      <rPr>
        <sz val="10"/>
        <rFont val="Arial"/>
        <family val="2"/>
      </rPr>
      <t xml:space="preserve"> (V)</t>
    </r>
    <phoneticPr fontId="3"/>
  </si>
  <si>
    <r>
      <t xml:space="preserve">Auto-skip; </t>
    </r>
    <r>
      <rPr>
        <sz val="10"/>
        <rFont val="Arial"/>
        <family val="2"/>
      </rPr>
      <t>0A-m</t>
    </r>
    <r>
      <rPr>
        <sz val="10"/>
        <rFont val="Arial"/>
        <family val="2"/>
      </rPr>
      <t>ax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rate vs CCM </t>
    </r>
    <r>
      <rPr>
        <sz val="10"/>
        <rFont val="Arial"/>
        <family val="2"/>
      </rPr>
      <t>(</t>
    </r>
    <r>
      <rPr>
        <sz val="10"/>
        <rFont val="Arial"/>
        <family val="2"/>
      </rPr>
      <t>%</t>
    </r>
    <r>
      <rPr>
        <sz val="10"/>
        <rFont val="Arial"/>
        <family val="2"/>
      </rPr>
      <t>)</t>
    </r>
    <phoneticPr fontId="3"/>
  </si>
  <si>
    <r>
      <t>Auto-skip; Iomax</t>
    </r>
    <r>
      <rPr>
        <sz val="10"/>
        <rFont val="Arial"/>
        <family val="2"/>
      </rPr>
      <t>-min (V)</t>
    </r>
    <phoneticPr fontId="3"/>
  </si>
  <si>
    <r>
      <t>Auto-skip; Iomax</t>
    </r>
    <r>
      <rPr>
        <sz val="10"/>
        <rFont val="Arial"/>
        <family val="2"/>
      </rPr>
      <t>-</t>
    </r>
    <r>
      <rPr>
        <sz val="10"/>
        <rFont val="Arial"/>
        <family val="2"/>
      </rPr>
      <t>typ</t>
    </r>
    <r>
      <rPr>
        <sz val="10"/>
        <rFont val="Arial"/>
        <family val="2"/>
      </rPr>
      <t xml:space="preserve"> (V)</t>
    </r>
    <phoneticPr fontId="3"/>
  </si>
  <si>
    <r>
      <t>Auto-skip; Iomax</t>
    </r>
    <r>
      <rPr>
        <sz val="10"/>
        <rFont val="Arial"/>
        <family val="2"/>
      </rPr>
      <t>-m</t>
    </r>
    <r>
      <rPr>
        <sz val="10"/>
        <rFont val="Arial"/>
        <family val="2"/>
      </rPr>
      <t>ax</t>
    </r>
    <r>
      <rPr>
        <sz val="10"/>
        <rFont val="Arial"/>
        <family val="2"/>
      </rPr>
      <t xml:space="preserve"> (V)</t>
    </r>
    <phoneticPr fontId="3"/>
  </si>
  <si>
    <t>RMS error + Contributory rate (KY)</t>
    <phoneticPr fontId="3"/>
  </si>
  <si>
    <t>Integrated error + Contributory rate (VREF error)</t>
    <phoneticPr fontId="3"/>
  </si>
  <si>
    <r>
      <t>Vout at 0A-min skip</t>
    </r>
    <r>
      <rPr>
        <sz val="10"/>
        <rFont val="Arial"/>
        <family val="2"/>
      </rPr>
      <t xml:space="preserve"> (V)</t>
    </r>
    <phoneticPr fontId="3"/>
  </si>
  <si>
    <r>
      <t>Vout at 0A-typ skip</t>
    </r>
    <r>
      <rPr>
        <sz val="10"/>
        <rFont val="Arial"/>
        <family val="2"/>
      </rPr>
      <t xml:space="preserve"> (V)</t>
    </r>
    <phoneticPr fontId="3"/>
  </si>
  <si>
    <r>
      <t>Vout at 0A-max skip</t>
    </r>
    <r>
      <rPr>
        <sz val="10"/>
        <rFont val="Arial"/>
        <family val="2"/>
      </rPr>
      <t xml:space="preserve"> (V)</t>
    </r>
    <phoneticPr fontId="3"/>
  </si>
  <si>
    <r>
      <t>Vout at Iomax-min</t>
    </r>
    <r>
      <rPr>
        <sz val="10"/>
        <rFont val="Arial"/>
        <family val="2"/>
      </rPr>
      <t xml:space="preserve"> (V)</t>
    </r>
    <phoneticPr fontId="3"/>
  </si>
  <si>
    <r>
      <t>Vout at Iomax</t>
    </r>
    <r>
      <rPr>
        <sz val="10"/>
        <rFont val="Arial"/>
        <family val="2"/>
      </rPr>
      <t>-typ</t>
    </r>
    <r>
      <rPr>
        <sz val="10"/>
        <rFont val="Arial"/>
        <family val="2"/>
      </rPr>
      <t xml:space="preserve"> (V)</t>
    </r>
    <phoneticPr fontId="3"/>
  </si>
  <si>
    <r>
      <t>Vout at Iomax-max</t>
    </r>
    <r>
      <rPr>
        <sz val="10"/>
        <rFont val="Arial"/>
        <family val="2"/>
      </rPr>
      <t xml:space="preserve"> (V)</t>
    </r>
    <phoneticPr fontId="3"/>
  </si>
  <si>
    <t>R1/R2 x VREF rate vs. Vo</t>
    <phoneticPr fontId="3"/>
  </si>
  <si>
    <t>VREF rate vs. Vo</t>
    <phoneticPr fontId="3"/>
  </si>
  <si>
    <r>
      <t>R</t>
    </r>
    <r>
      <rPr>
        <sz val="10"/>
        <rFont val="Arial"/>
        <family val="2"/>
      </rPr>
      <t>2_t</t>
    </r>
    <r>
      <rPr>
        <sz val="10"/>
        <rFont val="Arial"/>
        <family val="2"/>
      </rPr>
      <t>olerance_(%)</t>
    </r>
    <phoneticPr fontId="3"/>
  </si>
  <si>
    <r>
      <t>R</t>
    </r>
    <r>
      <rPr>
        <sz val="10"/>
        <rFont val="Arial"/>
        <family val="2"/>
      </rPr>
      <t>1_t</t>
    </r>
    <r>
      <rPr>
        <sz val="10"/>
        <rFont val="Arial"/>
        <family val="2"/>
      </rPr>
      <t>olerance_(%)</t>
    </r>
    <phoneticPr fontId="3"/>
  </si>
  <si>
    <r>
      <t>Vdroop</t>
    </r>
    <r>
      <rPr>
        <sz val="10"/>
        <rFont val="Arial"/>
        <family val="2"/>
      </rPr>
      <t xml:space="preserve"> at 50% of Iomax </t>
    </r>
    <r>
      <rPr>
        <sz val="10"/>
        <rFont val="Arial"/>
        <family val="2"/>
      </rPr>
      <t>(mV)</t>
    </r>
    <phoneticPr fontId="3"/>
  </si>
  <si>
    <r>
      <t>Vdroop</t>
    </r>
    <r>
      <rPr>
        <sz val="10"/>
        <rFont val="Arial"/>
        <family val="2"/>
      </rPr>
      <t xml:space="preserve"> rate at 50% of Iomax </t>
    </r>
    <r>
      <rPr>
        <sz val="10"/>
        <rFont val="Arial"/>
        <family val="2"/>
      </rPr>
      <t>(</t>
    </r>
    <r>
      <rPr>
        <sz val="10"/>
        <rFont val="Arial"/>
        <family val="2"/>
      </rPr>
      <t>%</t>
    </r>
    <r>
      <rPr>
        <sz val="10"/>
        <rFont val="Arial"/>
        <family val="2"/>
      </rPr>
      <t>)</t>
    </r>
    <phoneticPr fontId="3"/>
  </si>
  <si>
    <r>
      <t>Vdroop</t>
    </r>
    <r>
      <rPr>
        <sz val="10"/>
        <rFont val="Arial"/>
        <family val="2"/>
      </rPr>
      <t xml:space="preserve"> at Iomax </t>
    </r>
    <r>
      <rPr>
        <sz val="10"/>
        <rFont val="Arial"/>
        <family val="2"/>
      </rPr>
      <t>(mV)</t>
    </r>
    <phoneticPr fontId="3"/>
  </si>
  <si>
    <r>
      <t>Vdroop</t>
    </r>
    <r>
      <rPr>
        <sz val="10"/>
        <rFont val="Arial"/>
        <family val="2"/>
      </rPr>
      <t xml:space="preserve"> rate at Iomax </t>
    </r>
    <r>
      <rPr>
        <sz val="10"/>
        <rFont val="Arial"/>
        <family val="2"/>
      </rPr>
      <t>(</t>
    </r>
    <r>
      <rPr>
        <sz val="10"/>
        <rFont val="Arial"/>
        <family val="2"/>
      </rPr>
      <t>%</t>
    </r>
    <r>
      <rPr>
        <sz val="10"/>
        <rFont val="Arial"/>
        <family val="2"/>
      </rPr>
      <t>)</t>
    </r>
    <phoneticPr fontId="3"/>
  </si>
  <si>
    <r>
      <t>Vdroop</t>
    </r>
    <r>
      <rPr>
        <sz val="10"/>
        <rFont val="Arial"/>
        <family val="2"/>
      </rPr>
      <t xml:space="preserve"> at Iomax </t>
    </r>
    <r>
      <rPr>
        <sz val="10"/>
        <rFont val="Arial"/>
        <family val="2"/>
      </rPr>
      <t>(mV</t>
    </r>
    <r>
      <rPr>
        <sz val="10"/>
        <rFont val="Arial"/>
        <family val="2"/>
      </rPr>
      <t>/A</t>
    </r>
    <r>
      <rPr>
        <sz val="10"/>
        <rFont val="Arial"/>
        <family val="2"/>
      </rPr>
      <t>)</t>
    </r>
    <phoneticPr fontId="3"/>
  </si>
  <si>
    <t>Reference voltage</t>
    <phoneticPr fontId="3"/>
  </si>
  <si>
    <t>Switching frequency info.</t>
    <phoneticPr fontId="3"/>
  </si>
  <si>
    <r>
      <t>f</t>
    </r>
    <r>
      <rPr>
        <sz val="10"/>
        <rFont val="Arial"/>
        <family val="2"/>
      </rPr>
      <t>sw</t>
    </r>
    <r>
      <rPr>
        <sz val="10"/>
        <rFont val="Arial"/>
        <family val="2"/>
      </rPr>
      <t>_setting</t>
    </r>
    <phoneticPr fontId="3"/>
  </si>
  <si>
    <r>
      <t xml:space="preserve">Target </t>
    </r>
    <r>
      <rPr>
        <sz val="10"/>
        <rFont val="Arial"/>
        <family val="2"/>
      </rPr>
      <t>f</t>
    </r>
    <r>
      <rPr>
        <sz val="10"/>
        <rFont val="Arial"/>
        <family val="2"/>
      </rPr>
      <t>sw</t>
    </r>
    <r>
      <rPr>
        <sz val="10"/>
        <rFont val="Arial"/>
        <family val="2"/>
      </rPr>
      <t>_(kHz)</t>
    </r>
    <phoneticPr fontId="3"/>
  </si>
  <si>
    <r>
      <t>I</t>
    </r>
    <r>
      <rPr>
        <sz val="10"/>
        <rFont val="Arial"/>
        <family val="2"/>
      </rPr>
      <t>nductance-cal; a4</t>
    </r>
    <phoneticPr fontId="3"/>
  </si>
  <si>
    <r>
      <t>T</t>
    </r>
    <r>
      <rPr>
        <sz val="10"/>
        <rFont val="Arial"/>
        <family val="2"/>
      </rPr>
      <t>emp-raise: a4</t>
    </r>
    <phoneticPr fontId="3"/>
  </si>
  <si>
    <t xml:space="preserve">min. </t>
    <phoneticPr fontId="3"/>
  </si>
  <si>
    <t xml:space="preserve">Tolerance with TYP. </t>
    <phoneticPr fontId="3"/>
  </si>
  <si>
    <t>max.</t>
    <phoneticPr fontId="3"/>
  </si>
  <si>
    <t>(Includes error factor over temp-range)</t>
    <phoneticPr fontId="3"/>
  </si>
  <si>
    <r>
      <t xml:space="preserve">Calculated </t>
    </r>
    <r>
      <rPr>
        <sz val="10"/>
        <rFont val="Arial"/>
        <family val="2"/>
      </rPr>
      <t>f</t>
    </r>
    <r>
      <rPr>
        <sz val="10"/>
        <rFont val="Arial"/>
        <family val="2"/>
      </rPr>
      <t>sw</t>
    </r>
    <r>
      <rPr>
        <sz val="10"/>
        <rFont val="Arial"/>
        <family val="2"/>
      </rPr>
      <t>_(kHz)</t>
    </r>
    <phoneticPr fontId="3"/>
  </si>
  <si>
    <r>
      <t>Calculated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RF_(k-ohm)</t>
    </r>
    <phoneticPr fontId="3"/>
  </si>
  <si>
    <t>Input Voltage</t>
    <phoneticPr fontId="3"/>
  </si>
  <si>
    <r>
      <t>V</t>
    </r>
    <r>
      <rPr>
        <sz val="10"/>
        <rFont val="Arial"/>
        <family val="2"/>
      </rPr>
      <t>IN (min.)</t>
    </r>
    <r>
      <rPr>
        <sz val="10"/>
        <rFont val="Arial"/>
        <family val="2"/>
      </rPr>
      <t>_(V)</t>
    </r>
    <phoneticPr fontId="3"/>
  </si>
  <si>
    <r>
      <t>V</t>
    </r>
    <r>
      <rPr>
        <sz val="10"/>
        <rFont val="Arial"/>
        <family val="2"/>
      </rPr>
      <t>IN (typ.)</t>
    </r>
    <r>
      <rPr>
        <sz val="10"/>
        <rFont val="Arial"/>
        <family val="2"/>
      </rPr>
      <t>_(V)</t>
    </r>
    <phoneticPr fontId="3"/>
  </si>
  <si>
    <r>
      <t>V</t>
    </r>
    <r>
      <rPr>
        <sz val="10"/>
        <rFont val="Arial"/>
        <family val="2"/>
      </rPr>
      <t>IN (max.)</t>
    </r>
    <r>
      <rPr>
        <sz val="10"/>
        <rFont val="Arial"/>
        <family val="2"/>
      </rPr>
      <t>_(V)</t>
    </r>
    <phoneticPr fontId="3"/>
  </si>
  <si>
    <r>
      <t>I</t>
    </r>
    <r>
      <rPr>
        <sz val="10"/>
        <rFont val="Arial"/>
        <family val="2"/>
      </rPr>
      <t>out(max)_(A)</t>
    </r>
    <phoneticPr fontId="3"/>
  </si>
  <si>
    <r>
      <t>M</t>
    </r>
    <r>
      <rPr>
        <sz val="10"/>
        <rFont val="Arial"/>
        <family val="2"/>
      </rPr>
      <t>ore than this</t>
    </r>
    <phoneticPr fontId="3"/>
  </si>
  <si>
    <r>
      <t>Gm</t>
    </r>
    <r>
      <rPr>
        <sz val="10"/>
        <rFont val="Arial"/>
        <family val="2"/>
      </rPr>
      <t>c</t>
    </r>
    <r>
      <rPr>
        <sz val="10"/>
        <rFont val="Arial"/>
        <family val="2"/>
      </rPr>
      <t>_(uS)</t>
    </r>
    <phoneticPr fontId="3"/>
  </si>
  <si>
    <r>
      <t>V</t>
    </r>
    <r>
      <rPr>
        <sz val="10"/>
        <rFont val="Arial"/>
        <family val="2"/>
      </rPr>
      <t>FB</t>
    </r>
    <r>
      <rPr>
        <sz val="10"/>
        <rFont val="Arial"/>
        <family val="2"/>
      </rPr>
      <t>_(V)</t>
    </r>
    <phoneticPr fontId="3"/>
  </si>
  <si>
    <r>
      <t>Gm</t>
    </r>
    <r>
      <rPr>
        <sz val="10"/>
        <rFont val="Arial"/>
        <family val="2"/>
      </rPr>
      <t>v</t>
    </r>
    <r>
      <rPr>
        <sz val="10"/>
        <rFont val="Arial"/>
        <family val="2"/>
      </rPr>
      <t>_(uS)</t>
    </r>
    <phoneticPr fontId="3"/>
  </si>
  <si>
    <r>
      <t>Iind(ripple)</t>
    </r>
    <r>
      <rPr>
        <sz val="10"/>
        <rFont val="Arial"/>
        <family val="2"/>
      </rPr>
      <t xml:space="preserve">/ </t>
    </r>
    <r>
      <rPr>
        <sz val="10"/>
        <rFont val="Arial"/>
        <family val="2"/>
      </rPr>
      <t>Iout(max)</t>
    </r>
    <r>
      <rPr>
        <sz val="10"/>
        <rFont val="Arial"/>
        <family val="2"/>
      </rPr>
      <t>, Vin(max)</t>
    </r>
    <phoneticPr fontId="3"/>
  </si>
  <si>
    <t>Iind(ripple) at Vin(typ) Tol. w/ Vin(max)</t>
    <phoneticPr fontId="3"/>
  </si>
  <si>
    <r>
      <t>I</t>
    </r>
    <r>
      <rPr>
        <sz val="10"/>
        <rFont val="Arial"/>
        <family val="2"/>
      </rPr>
      <t>nductance-cal; a</t>
    </r>
    <phoneticPr fontId="3"/>
  </si>
  <si>
    <r>
      <t>L</t>
    </r>
    <r>
      <rPr>
        <sz val="10"/>
        <rFont val="Arial"/>
        <family val="2"/>
      </rPr>
      <t xml:space="preserve"> (CH1)</t>
    </r>
    <phoneticPr fontId="3"/>
  </si>
  <si>
    <r>
      <t>T</t>
    </r>
    <r>
      <rPr>
        <sz val="10"/>
        <rFont val="Arial"/>
        <family val="2"/>
      </rPr>
      <t>emp-raise: a</t>
    </r>
    <phoneticPr fontId="3"/>
  </si>
  <si>
    <t>1/2Iind(ripple) at Vin(max) vs target OCL</t>
    <phoneticPr fontId="3"/>
  </si>
  <si>
    <r>
      <t>Integrated</t>
    </r>
    <r>
      <rPr>
        <sz val="10"/>
        <rFont val="Arial"/>
        <family val="2"/>
      </rPr>
      <t xml:space="preserve"> error</t>
    </r>
    <phoneticPr fontId="3"/>
  </si>
  <si>
    <t>1/2Iind(ripple) at Vin(typ) vs target OCL</t>
    <phoneticPr fontId="3"/>
  </si>
  <si>
    <r>
      <t>DCR_</t>
    </r>
    <r>
      <rPr>
        <sz val="10"/>
        <rFont val="Arial"/>
        <family val="2"/>
      </rPr>
      <t>tolerance_(%)</t>
    </r>
    <phoneticPr fontId="3"/>
  </si>
  <si>
    <r>
      <t>Delta-T</t>
    </r>
    <r>
      <rPr>
        <sz val="10"/>
        <rFont val="Arial"/>
        <family val="2"/>
      </rPr>
      <t xml:space="preserve"> (L)</t>
    </r>
    <r>
      <rPr>
        <sz val="10"/>
        <rFont val="Arial"/>
        <family val="2"/>
      </rPr>
      <t xml:space="preserve"> at Imax_(Deg-C)</t>
    </r>
    <phoneticPr fontId="3"/>
  </si>
  <si>
    <r>
      <t>Delta-T</t>
    </r>
    <r>
      <rPr>
        <sz val="10"/>
        <rFont val="Arial"/>
        <family val="2"/>
      </rPr>
      <t xml:space="preserve"> (L)</t>
    </r>
    <r>
      <rPr>
        <sz val="10"/>
        <rFont val="Arial"/>
        <family val="2"/>
      </rPr>
      <t xml:space="preserve"> at I</t>
    </r>
    <r>
      <rPr>
        <sz val="10"/>
        <rFont val="Arial"/>
        <family val="2"/>
      </rPr>
      <t>ocl</t>
    </r>
    <r>
      <rPr>
        <sz val="10"/>
        <rFont val="Arial"/>
        <family val="2"/>
      </rPr>
      <t>_(Deg-C)</t>
    </r>
    <phoneticPr fontId="3"/>
  </si>
  <si>
    <r>
      <t>Ex-R</t>
    </r>
    <r>
      <rPr>
        <sz val="10"/>
        <rFont val="Arial"/>
        <family val="2"/>
      </rPr>
      <t xml:space="preserve">s </t>
    </r>
    <r>
      <rPr>
        <sz val="10"/>
        <rFont val="Arial"/>
        <family val="2"/>
      </rPr>
      <t>(</t>
    </r>
    <r>
      <rPr>
        <sz val="10"/>
        <rFont val="Arial"/>
        <family val="2"/>
      </rPr>
      <t>mohm</t>
    </r>
    <r>
      <rPr>
        <sz val="10"/>
        <rFont val="Arial"/>
        <family val="2"/>
      </rPr>
      <t>)</t>
    </r>
    <phoneticPr fontId="3"/>
  </si>
  <si>
    <r>
      <t>Ex-Rs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tolerance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+/- </t>
    </r>
    <r>
      <rPr>
        <sz val="10"/>
        <rFont val="Arial"/>
        <family val="2"/>
      </rPr>
      <t>(</t>
    </r>
    <r>
      <rPr>
        <sz val="10"/>
        <rFont val="Arial"/>
        <family val="2"/>
      </rPr>
      <t>%)</t>
    </r>
    <phoneticPr fontId="3"/>
  </si>
  <si>
    <r>
      <t xml:space="preserve">ESL of </t>
    </r>
    <r>
      <rPr>
        <sz val="10"/>
        <rFont val="Arial"/>
        <family val="2"/>
      </rPr>
      <t>Ex-R</t>
    </r>
    <r>
      <rPr>
        <sz val="10"/>
        <rFont val="Arial"/>
        <family val="2"/>
      </rPr>
      <t xml:space="preserve">s </t>
    </r>
    <r>
      <rPr>
        <sz val="10"/>
        <rFont val="Arial"/>
        <family val="2"/>
      </rPr>
      <t>(</t>
    </r>
    <r>
      <rPr>
        <sz val="10"/>
        <rFont val="Arial"/>
        <family val="2"/>
      </rPr>
      <t>nH</t>
    </r>
    <r>
      <rPr>
        <sz val="10"/>
        <rFont val="Arial"/>
        <family val="2"/>
      </rPr>
      <t>)</t>
    </r>
    <phoneticPr fontId="3"/>
  </si>
  <si>
    <r>
      <t>TC</t>
    </r>
    <r>
      <rPr>
        <sz val="10"/>
        <rFont val="Arial"/>
        <family val="2"/>
      </rPr>
      <t xml:space="preserve"> of ESL</t>
    </r>
    <r>
      <rPr>
        <sz val="10"/>
        <rFont val="Arial"/>
        <family val="2"/>
      </rPr>
      <t xml:space="preserve">/ </t>
    </r>
    <r>
      <rPr>
        <sz val="10"/>
        <rFont val="Arial"/>
        <family val="2"/>
      </rPr>
      <t>Ex-</t>
    </r>
    <r>
      <rPr>
        <sz val="10"/>
        <rFont val="Arial"/>
        <family val="2"/>
      </rPr>
      <t>Rs</t>
    </r>
    <r>
      <rPr>
        <sz val="10"/>
        <rFont val="Arial"/>
        <family val="2"/>
      </rPr>
      <t xml:space="preserve"> (n</t>
    </r>
    <r>
      <rPr>
        <sz val="10"/>
        <rFont val="Arial"/>
        <family val="2"/>
      </rPr>
      <t>sec</t>
    </r>
    <r>
      <rPr>
        <sz val="10"/>
        <rFont val="Arial"/>
        <family val="2"/>
      </rPr>
      <t>)</t>
    </r>
    <phoneticPr fontId="3"/>
  </si>
  <si>
    <r>
      <t>Cin_</t>
    </r>
    <r>
      <rPr>
        <sz val="10"/>
        <rFont val="Arial"/>
        <family val="2"/>
      </rPr>
      <t>(</t>
    </r>
    <r>
      <rPr>
        <sz val="10"/>
        <rFont val="Arial"/>
        <family val="2"/>
      </rPr>
      <t>uF</t>
    </r>
    <r>
      <rPr>
        <sz val="10"/>
        <rFont val="Arial"/>
        <family val="2"/>
      </rPr>
      <t>)</t>
    </r>
    <r>
      <rPr>
        <sz val="10"/>
        <rFont val="Arial"/>
        <family val="2"/>
      </rPr>
      <t xml:space="preserve"> at VINmin</t>
    </r>
    <phoneticPr fontId="3"/>
  </si>
  <si>
    <r>
      <t>Cin</t>
    </r>
    <r>
      <rPr>
        <sz val="10"/>
        <rFont val="Arial"/>
        <family val="2"/>
      </rPr>
      <t>_(</t>
    </r>
    <r>
      <rPr>
        <sz val="10"/>
        <rFont val="Arial"/>
        <family val="2"/>
      </rPr>
      <t>uF</t>
    </r>
    <r>
      <rPr>
        <sz val="10"/>
        <rFont val="Arial"/>
        <family val="2"/>
      </rPr>
      <t>)</t>
    </r>
    <r>
      <rPr>
        <sz val="10"/>
        <rFont val="Arial"/>
        <family val="2"/>
      </rPr>
      <t xml:space="preserve"> at VINtyp</t>
    </r>
    <phoneticPr fontId="3"/>
  </si>
  <si>
    <r>
      <t>Cin</t>
    </r>
    <r>
      <rPr>
        <sz val="10"/>
        <rFont val="Arial"/>
        <family val="2"/>
      </rPr>
      <t>_(</t>
    </r>
    <r>
      <rPr>
        <sz val="10"/>
        <rFont val="Arial"/>
        <family val="2"/>
      </rPr>
      <t>uF</t>
    </r>
    <r>
      <rPr>
        <sz val="10"/>
        <rFont val="Arial"/>
        <family val="2"/>
      </rPr>
      <t>)</t>
    </r>
    <r>
      <rPr>
        <sz val="10"/>
        <rFont val="Arial"/>
        <family val="2"/>
      </rPr>
      <t xml:space="preserve"> at VINmax</t>
    </r>
    <phoneticPr fontId="3"/>
  </si>
  <si>
    <r>
      <t>O</t>
    </r>
    <r>
      <rPr>
        <sz val="10"/>
        <rFont val="Arial"/>
        <family val="2"/>
      </rPr>
      <t>CL (DC) min at Vin-max (A)</t>
    </r>
    <phoneticPr fontId="3"/>
  </si>
  <si>
    <t>0.5 x Iripple at VIN-min (%)</t>
    <phoneticPr fontId="3"/>
  </si>
  <si>
    <r>
      <t>CH1_</t>
    </r>
    <r>
      <rPr>
        <sz val="10"/>
        <rFont val="Arial"/>
        <family val="2"/>
      </rPr>
      <t>D</t>
    </r>
    <r>
      <rPr>
        <sz val="10"/>
        <rFont val="Arial"/>
        <family val="2"/>
      </rPr>
      <t>elta-V</t>
    </r>
    <phoneticPr fontId="3"/>
  </si>
  <si>
    <r>
      <t>CH2_</t>
    </r>
    <r>
      <rPr>
        <sz val="10"/>
        <rFont val="Arial"/>
        <family val="2"/>
      </rPr>
      <t>D</t>
    </r>
    <r>
      <rPr>
        <sz val="10"/>
        <rFont val="Arial"/>
        <family val="2"/>
      </rPr>
      <t>elta-V</t>
    </r>
    <phoneticPr fontId="3"/>
  </si>
  <si>
    <r>
      <t>Both_</t>
    </r>
    <r>
      <rPr>
        <sz val="10"/>
        <rFont val="Arial"/>
        <family val="2"/>
      </rPr>
      <t>D</t>
    </r>
    <r>
      <rPr>
        <sz val="10"/>
        <rFont val="Arial"/>
        <family val="2"/>
      </rPr>
      <t>elta-V</t>
    </r>
    <phoneticPr fontId="3"/>
  </si>
  <si>
    <r>
      <t>Target Rs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Vinmax</t>
    </r>
    <r>
      <rPr>
        <sz val="10"/>
        <rFont val="Arial"/>
        <family val="2"/>
      </rPr>
      <t xml:space="preserve"> (m-ohm)</t>
    </r>
    <phoneticPr fontId="3"/>
  </si>
  <si>
    <r>
      <t>I</t>
    </r>
    <r>
      <rPr>
        <sz val="10"/>
        <rFont val="Arial"/>
        <family val="2"/>
      </rPr>
      <t>ntegrated error (Ex-R, Vocl+)</t>
    </r>
    <phoneticPr fontId="3"/>
  </si>
  <si>
    <r>
      <t>I</t>
    </r>
    <r>
      <rPr>
        <sz val="10"/>
        <rFont val="Arial"/>
        <family val="2"/>
      </rPr>
      <t>ntegrated error (Ex-R, Vocl-)</t>
    </r>
    <phoneticPr fontId="3"/>
  </si>
  <si>
    <r>
      <t>Iout (ocl)_m</t>
    </r>
    <r>
      <rPr>
        <sz val="10"/>
        <rFont val="Arial"/>
        <family val="2"/>
      </rPr>
      <t>ax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VIN_min, w/ temp</t>
    </r>
    <phoneticPr fontId="3"/>
  </si>
  <si>
    <t>Rc/Rx rate_Vintyp</t>
    <phoneticPr fontId="3"/>
  </si>
  <si>
    <t>Rc/Rx rate_Vinmax</t>
    <phoneticPr fontId="3"/>
  </si>
  <si>
    <t>Iout (ocl)_tolerance_min, w/ temp</t>
    <phoneticPr fontId="3"/>
  </si>
  <si>
    <t>Iout (ocl)_tolerance_max, w/ temp</t>
    <phoneticPr fontId="3"/>
  </si>
  <si>
    <t>Iocl (peak)</t>
    <phoneticPr fontId="3"/>
  </si>
  <si>
    <t>Iocl(peak_typ) vs. Iout_max_(times)</t>
    <phoneticPr fontId="3"/>
  </si>
  <si>
    <t>Target Rs at Vinmax &amp; hi-temp</t>
    <phoneticPr fontId="3"/>
  </si>
  <si>
    <t>Rc/Rx rate at Vinmax &amp; hi-temp</t>
    <phoneticPr fontId="3"/>
  </si>
  <si>
    <t>Rc/Rx rate at Vinmin &amp; low-temp</t>
    <phoneticPr fontId="3"/>
  </si>
  <si>
    <t>Rc cal at Vinmax &amp; hi-temp</t>
    <phoneticPr fontId="3"/>
  </si>
  <si>
    <t>Rc cal at Vinmax &amp; low-temp</t>
    <phoneticPr fontId="3"/>
  </si>
  <si>
    <r>
      <t>R</t>
    </r>
    <r>
      <rPr>
        <sz val="10"/>
        <rFont val="Arial"/>
        <family val="2"/>
      </rPr>
      <t>gv</t>
    </r>
    <r>
      <rPr>
        <sz val="10"/>
        <rFont val="Arial"/>
        <family val="2"/>
      </rPr>
      <t>_(kohm)</t>
    </r>
    <r>
      <rPr>
        <sz val="10"/>
        <rFont val="Arial"/>
        <family val="2"/>
      </rPr>
      <t xml:space="preserve"> is more than</t>
    </r>
    <phoneticPr fontId="3"/>
  </si>
  <si>
    <r>
      <t>R</t>
    </r>
    <r>
      <rPr>
        <sz val="10"/>
        <rFont val="Arial"/>
        <family val="2"/>
      </rPr>
      <t>gv</t>
    </r>
    <r>
      <rPr>
        <sz val="10"/>
        <rFont val="Arial"/>
        <family val="2"/>
      </rPr>
      <t>_(kohm)</t>
    </r>
    <phoneticPr fontId="3"/>
  </si>
  <si>
    <r>
      <t>Cout_(</t>
    </r>
    <r>
      <rPr>
        <sz val="10"/>
        <rFont val="Arial"/>
        <family val="2"/>
      </rPr>
      <t>uF</t>
    </r>
    <r>
      <rPr>
        <sz val="10"/>
        <rFont val="Arial"/>
        <family val="2"/>
      </rPr>
      <t>)</t>
    </r>
    <r>
      <rPr>
        <sz val="10"/>
        <rFont val="Arial"/>
        <family val="2"/>
      </rPr>
      <t xml:space="preserve"> is more than</t>
    </r>
    <phoneticPr fontId="3"/>
  </si>
  <si>
    <r>
      <t>First choice; Cout</t>
    </r>
    <r>
      <rPr>
        <sz val="10"/>
        <rFont val="Arial"/>
        <family val="2"/>
      </rPr>
      <t>_(</t>
    </r>
    <r>
      <rPr>
        <sz val="10"/>
        <rFont val="Arial"/>
        <family val="2"/>
      </rPr>
      <t>uF</t>
    </r>
    <r>
      <rPr>
        <sz val="10"/>
        <rFont val="Arial"/>
        <family val="2"/>
      </rPr>
      <t>)</t>
    </r>
    <phoneticPr fontId="3"/>
  </si>
  <si>
    <r>
      <t>R</t>
    </r>
    <r>
      <rPr>
        <sz val="10"/>
        <rFont val="Arial"/>
        <family val="2"/>
      </rPr>
      <t>gv</t>
    </r>
    <r>
      <rPr>
        <sz val="10"/>
        <rFont val="Arial"/>
        <family val="2"/>
      </rPr>
      <t>_(kohm)</t>
    </r>
    <r>
      <rPr>
        <sz val="10"/>
        <rFont val="Arial"/>
        <family val="2"/>
      </rPr>
      <t xml:space="preserve"> is less than</t>
    </r>
    <phoneticPr fontId="3"/>
  </si>
  <si>
    <r>
      <t>ESR of Cout</t>
    </r>
    <r>
      <rPr>
        <sz val="10"/>
        <rFont val="Arial"/>
        <family val="2"/>
      </rPr>
      <t>_(</t>
    </r>
    <r>
      <rPr>
        <sz val="10"/>
        <rFont val="Arial"/>
        <family val="2"/>
      </rPr>
      <t>m-ohm</t>
    </r>
    <r>
      <rPr>
        <sz val="10"/>
        <rFont val="Arial"/>
        <family val="2"/>
      </rPr>
      <t>)</t>
    </r>
    <phoneticPr fontId="3"/>
  </si>
  <si>
    <r>
      <t>R</t>
    </r>
    <r>
      <rPr>
        <sz val="10"/>
        <rFont val="Arial"/>
        <family val="2"/>
      </rPr>
      <t>gv</t>
    </r>
    <r>
      <rPr>
        <sz val="10"/>
        <rFont val="Arial"/>
        <family val="2"/>
      </rPr>
      <t>_(kohm)</t>
    </r>
    <r>
      <rPr>
        <sz val="10"/>
        <rFont val="Arial"/>
        <family val="2"/>
      </rPr>
      <t xml:space="preserve"> range 6K&lt;20k</t>
    </r>
    <phoneticPr fontId="3"/>
  </si>
  <si>
    <r>
      <t>R</t>
    </r>
    <r>
      <rPr>
        <sz val="10"/>
        <rFont val="Arial"/>
        <family val="2"/>
      </rPr>
      <t>gv</t>
    </r>
    <r>
      <rPr>
        <sz val="10"/>
        <rFont val="Arial"/>
        <family val="2"/>
      </rPr>
      <t>_(kohm)</t>
    </r>
    <r>
      <rPr>
        <sz val="10"/>
        <rFont val="Arial"/>
        <family val="2"/>
      </rPr>
      <t xml:space="preserve"> for Non-droop</t>
    </r>
    <phoneticPr fontId="3"/>
  </si>
  <si>
    <r>
      <t>ABS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rFont val="Arial"/>
        <family val="2"/>
      </rPr>
      <t>m</t>
    </r>
    <r>
      <rPr>
        <sz val="10"/>
        <rFont val="Arial"/>
        <family val="2"/>
      </rPr>
      <t>2-m)</t>
    </r>
    <phoneticPr fontId="3"/>
  </si>
  <si>
    <r>
      <t>abs (</t>
    </r>
    <r>
      <rPr>
        <sz val="10"/>
        <rFont val="Arial"/>
        <family val="2"/>
      </rPr>
      <t>m</t>
    </r>
    <r>
      <rPr>
        <sz val="10"/>
        <rFont val="Arial"/>
        <family val="2"/>
      </rPr>
      <t>1-m) &lt; m1-m</t>
    </r>
    <phoneticPr fontId="3"/>
  </si>
  <si>
    <r>
      <t>J</t>
    </r>
    <r>
      <rPr>
        <sz val="10"/>
        <rFont val="Arial"/>
        <family val="2"/>
      </rPr>
      <t>udgement</t>
    </r>
    <phoneticPr fontId="3"/>
  </si>
  <si>
    <r>
      <t>G</t>
    </r>
    <r>
      <rPr>
        <sz val="10"/>
        <rFont val="Arial"/>
        <family val="2"/>
      </rPr>
      <t>c (60mV)</t>
    </r>
    <phoneticPr fontId="3"/>
  </si>
  <si>
    <r>
      <t>H</t>
    </r>
    <r>
      <rPr>
        <sz val="10"/>
        <rFont val="Arial"/>
        <family val="2"/>
      </rPr>
      <t xml:space="preserve">igh-FET; </t>
    </r>
    <r>
      <rPr>
        <sz val="10"/>
        <rFont val="Arial"/>
        <family val="2"/>
      </rPr>
      <t>Conduction loss_(</t>
    </r>
    <r>
      <rPr>
        <sz val="10"/>
        <rFont val="Arial"/>
        <family val="2"/>
      </rPr>
      <t>W)</t>
    </r>
    <phoneticPr fontId="3"/>
  </si>
  <si>
    <r>
      <t>H</t>
    </r>
    <r>
      <rPr>
        <sz val="10"/>
        <rFont val="Arial"/>
        <family val="2"/>
      </rPr>
      <t>igh-FET; Switching</t>
    </r>
    <r>
      <rPr>
        <sz val="10"/>
        <rFont val="Arial"/>
        <family val="2"/>
      </rPr>
      <t xml:space="preserve"> loss_(</t>
    </r>
    <r>
      <rPr>
        <sz val="10"/>
        <rFont val="Arial"/>
        <family val="2"/>
      </rPr>
      <t>W)</t>
    </r>
    <phoneticPr fontId="3"/>
  </si>
  <si>
    <r>
      <t>H</t>
    </r>
    <r>
      <rPr>
        <sz val="10"/>
        <rFont val="Arial"/>
        <family val="2"/>
      </rPr>
      <t>igh-FET; Drive</t>
    </r>
    <r>
      <rPr>
        <sz val="10"/>
        <rFont val="Arial"/>
        <family val="2"/>
      </rPr>
      <t xml:space="preserve"> loss_(</t>
    </r>
    <r>
      <rPr>
        <sz val="10"/>
        <rFont val="Arial"/>
        <family val="2"/>
      </rPr>
      <t>W)</t>
    </r>
    <phoneticPr fontId="3"/>
  </si>
  <si>
    <r>
      <t>H</t>
    </r>
    <r>
      <rPr>
        <sz val="10"/>
        <rFont val="Arial"/>
        <family val="2"/>
      </rPr>
      <t>igh-FET; Output</t>
    </r>
    <r>
      <rPr>
        <sz val="10"/>
        <rFont val="Arial"/>
        <family val="2"/>
      </rPr>
      <t xml:space="preserve"> loss_(</t>
    </r>
    <r>
      <rPr>
        <sz val="10"/>
        <rFont val="Arial"/>
        <family val="2"/>
      </rPr>
      <t>W)</t>
    </r>
    <phoneticPr fontId="3"/>
  </si>
  <si>
    <r>
      <t>H</t>
    </r>
    <r>
      <rPr>
        <sz val="10"/>
        <rFont val="Arial"/>
        <family val="2"/>
      </rPr>
      <t>igh-FET; Recovery</t>
    </r>
    <r>
      <rPr>
        <sz val="10"/>
        <rFont val="Arial"/>
        <family val="2"/>
      </rPr>
      <t xml:space="preserve"> loss_(</t>
    </r>
    <r>
      <rPr>
        <sz val="10"/>
        <rFont val="Arial"/>
        <family val="2"/>
      </rPr>
      <t>W)</t>
    </r>
    <phoneticPr fontId="3"/>
  </si>
  <si>
    <r>
      <t>H</t>
    </r>
    <r>
      <rPr>
        <sz val="10"/>
        <rFont val="Arial"/>
        <family val="2"/>
      </rPr>
      <t>igh-FET; L</t>
    </r>
    <r>
      <rPr>
        <sz val="10"/>
        <rFont val="Arial"/>
        <family val="2"/>
      </rPr>
      <t>oss_(</t>
    </r>
    <r>
      <rPr>
        <sz val="10"/>
        <rFont val="Arial"/>
        <family val="2"/>
      </rPr>
      <t>m</t>
    </r>
    <r>
      <rPr>
        <sz val="10"/>
        <rFont val="Arial"/>
        <family val="2"/>
      </rPr>
      <t>W)</t>
    </r>
    <phoneticPr fontId="3"/>
  </si>
  <si>
    <r>
      <t>tsw</t>
    </r>
    <r>
      <rPr>
        <sz val="10"/>
        <rFont val="Arial"/>
        <family val="2"/>
      </rPr>
      <t>_(</t>
    </r>
    <r>
      <rPr>
        <sz val="10"/>
        <rFont val="Arial"/>
        <family val="2"/>
      </rPr>
      <t>n</t>
    </r>
    <r>
      <rPr>
        <sz val="10"/>
        <rFont val="Arial"/>
        <family val="2"/>
      </rPr>
      <t>s)</t>
    </r>
    <phoneticPr fontId="3"/>
  </si>
  <si>
    <r>
      <t>On pulse width_(</t>
    </r>
    <r>
      <rPr>
        <sz val="10"/>
        <rFont val="Arial"/>
        <family val="2"/>
      </rPr>
      <t>n</t>
    </r>
    <r>
      <rPr>
        <sz val="10"/>
        <rFont val="Arial"/>
        <family val="2"/>
      </rPr>
      <t>s)</t>
    </r>
    <phoneticPr fontId="3"/>
  </si>
  <si>
    <r>
      <t>Duty</t>
    </r>
    <r>
      <rPr>
        <sz val="10"/>
        <rFont val="Arial"/>
        <family val="2"/>
      </rPr>
      <t>_(%)</t>
    </r>
    <phoneticPr fontId="3"/>
  </si>
  <si>
    <r>
      <t xml:space="preserve">Low-FET; </t>
    </r>
    <r>
      <rPr>
        <sz val="10"/>
        <rFont val="Arial"/>
        <family val="2"/>
      </rPr>
      <t>Conduction loss_(</t>
    </r>
    <r>
      <rPr>
        <sz val="10"/>
        <rFont val="Arial"/>
        <family val="2"/>
      </rPr>
      <t>W)</t>
    </r>
    <phoneticPr fontId="3"/>
  </si>
  <si>
    <r>
      <t>Low</t>
    </r>
    <r>
      <rPr>
        <sz val="10"/>
        <rFont val="Arial"/>
        <family val="2"/>
      </rPr>
      <t>-FET; Drive</t>
    </r>
    <r>
      <rPr>
        <sz val="10"/>
        <rFont val="Arial"/>
        <family val="2"/>
      </rPr>
      <t xml:space="preserve"> loss_(</t>
    </r>
    <r>
      <rPr>
        <sz val="10"/>
        <rFont val="Arial"/>
        <family val="2"/>
      </rPr>
      <t>W)</t>
    </r>
    <phoneticPr fontId="3"/>
  </si>
  <si>
    <r>
      <t>Low-FET; diode</t>
    </r>
    <r>
      <rPr>
        <sz val="10"/>
        <rFont val="Arial"/>
        <family val="2"/>
      </rPr>
      <t xml:space="preserve"> loss_(W)</t>
    </r>
    <phoneticPr fontId="3"/>
  </si>
  <si>
    <r>
      <t>Low</t>
    </r>
    <r>
      <rPr>
        <sz val="10"/>
        <rFont val="Arial"/>
        <family val="2"/>
      </rPr>
      <t>-FET; L</t>
    </r>
    <r>
      <rPr>
        <sz val="10"/>
        <rFont val="Arial"/>
        <family val="2"/>
      </rPr>
      <t>oss_(W)</t>
    </r>
    <phoneticPr fontId="3"/>
  </si>
  <si>
    <r>
      <t>Duty_</t>
    </r>
    <r>
      <rPr>
        <sz val="10"/>
        <rFont val="Arial"/>
        <family val="2"/>
      </rPr>
      <t>Low-FET_</t>
    </r>
    <r>
      <rPr>
        <sz val="10"/>
        <rFont val="Arial"/>
        <family val="2"/>
      </rPr>
      <t>(%)</t>
    </r>
    <phoneticPr fontId="3"/>
  </si>
  <si>
    <r>
      <t>Duty_</t>
    </r>
    <r>
      <rPr>
        <sz val="10"/>
        <rFont val="Arial"/>
        <family val="2"/>
      </rPr>
      <t>Low-diode_</t>
    </r>
    <r>
      <rPr>
        <sz val="10"/>
        <rFont val="Arial"/>
        <family val="2"/>
      </rPr>
      <t>(%)</t>
    </r>
    <phoneticPr fontId="3"/>
  </si>
  <si>
    <t>Vo-ripple at Vinmin &amp; Iomax (mV)</t>
    <phoneticPr fontId="3"/>
  </si>
  <si>
    <t>Vo-ripple at Vintyp &amp; Iomax (mV)</t>
    <phoneticPr fontId="3"/>
  </si>
  <si>
    <t>Vo-ripple at Vinmax &amp; Iomax (mV)</t>
    <phoneticPr fontId="3"/>
  </si>
  <si>
    <t>VFB-ripple at Vinmin &amp; Iomax (mV)</t>
    <phoneticPr fontId="3"/>
  </si>
  <si>
    <t>VFB-ripple at Vintyp &amp; Iomax (mV)</t>
    <phoneticPr fontId="3"/>
  </si>
  <si>
    <r>
      <t xml:space="preserve">Internal </t>
    </r>
    <r>
      <rPr>
        <sz val="10"/>
        <rFont val="Arial"/>
        <family val="2"/>
      </rPr>
      <t>R</t>
    </r>
    <r>
      <rPr>
        <sz val="10"/>
        <rFont val="Arial"/>
        <family val="2"/>
      </rPr>
      <t>g_(ohm)</t>
    </r>
    <phoneticPr fontId="3"/>
  </si>
  <si>
    <t>Calculated (Rff+Cff)//R1 (k-ohm)</t>
    <phoneticPr fontId="3"/>
  </si>
  <si>
    <t>Calculated (Rff+Cff) (k-ohm)</t>
    <phoneticPr fontId="3"/>
  </si>
  <si>
    <t>Calculated Cff (pF)</t>
    <phoneticPr fontId="3"/>
  </si>
  <si>
    <r>
      <t>Chosen (</t>
    </r>
    <r>
      <rPr>
        <sz val="10"/>
        <rFont val="Arial"/>
        <family val="2"/>
      </rPr>
      <t>R</t>
    </r>
    <r>
      <rPr>
        <sz val="10"/>
        <rFont val="Arial"/>
        <family val="2"/>
      </rPr>
      <t>ff+Cff)//R1 (k-ohm)</t>
    </r>
    <phoneticPr fontId="3"/>
  </si>
  <si>
    <r>
      <t>R</t>
    </r>
    <r>
      <rPr>
        <sz val="10"/>
        <rFont val="Arial"/>
        <family val="2"/>
      </rPr>
      <t>dson_Coef_(ppm/deg)</t>
    </r>
    <phoneticPr fontId="3"/>
  </si>
  <si>
    <r>
      <t xml:space="preserve">Recommended </t>
    </r>
    <r>
      <rPr>
        <sz val="10"/>
        <rFont val="Arial"/>
        <family val="2"/>
      </rPr>
      <t>C</t>
    </r>
    <r>
      <rPr>
        <sz val="10"/>
        <rFont val="Arial"/>
        <family val="2"/>
      </rPr>
      <t>ff (pF)</t>
    </r>
    <phoneticPr fontId="3"/>
  </si>
  <si>
    <r>
      <t xml:space="preserve">External </t>
    </r>
    <r>
      <rPr>
        <sz val="10"/>
        <rFont val="Arial"/>
        <family val="2"/>
      </rPr>
      <t>R</t>
    </r>
    <r>
      <rPr>
        <sz val="10"/>
        <rFont val="Arial"/>
        <family val="2"/>
      </rPr>
      <t>g_(ohm)</t>
    </r>
    <phoneticPr fontId="3"/>
  </si>
  <si>
    <t>External Resistor sensing</t>
    <phoneticPr fontId="3"/>
  </si>
  <si>
    <t>Preferred Vdroop (%)</t>
    <phoneticPr fontId="3"/>
  </si>
  <si>
    <r>
      <t>R</t>
    </r>
    <r>
      <rPr>
        <sz val="10"/>
        <rFont val="Arial"/>
        <family val="2"/>
      </rPr>
      <t xml:space="preserve">gv </t>
    </r>
    <r>
      <rPr>
        <sz val="10"/>
        <rFont val="Arial"/>
        <family val="2"/>
      </rPr>
      <t>(kohm)</t>
    </r>
    <phoneticPr fontId="3"/>
  </si>
  <si>
    <r>
      <t>I</t>
    </r>
    <r>
      <rPr>
        <sz val="6"/>
        <rFont val="Arial"/>
        <family val="2"/>
      </rPr>
      <t>IND</t>
    </r>
    <r>
      <rPr>
        <sz val="10"/>
        <rFont val="Arial"/>
        <family val="2"/>
      </rPr>
      <t>(ripple)</t>
    </r>
    <r>
      <rPr>
        <sz val="10"/>
        <rFont val="Arial"/>
        <family val="2"/>
      </rPr>
      <t xml:space="preserve"> / Imax_(%)</t>
    </r>
    <phoneticPr fontId="3"/>
  </si>
  <si>
    <r>
      <t>I</t>
    </r>
    <r>
      <rPr>
        <sz val="6"/>
        <rFont val="Arial"/>
        <family val="2"/>
      </rPr>
      <t>IND</t>
    </r>
    <r>
      <rPr>
        <sz val="10"/>
        <rFont val="Arial"/>
        <family val="2"/>
      </rPr>
      <t>(ripple)</t>
    </r>
    <r>
      <rPr>
        <sz val="10"/>
        <rFont val="Arial"/>
        <family val="2"/>
      </rPr>
      <t xml:space="preserve"> / I-OCL-peak_(%);DCR</t>
    </r>
    <phoneticPr fontId="3"/>
  </si>
  <si>
    <r>
      <t>I</t>
    </r>
    <r>
      <rPr>
        <sz val="6"/>
        <rFont val="Arial"/>
        <family val="2"/>
      </rPr>
      <t>IND</t>
    </r>
    <r>
      <rPr>
        <sz val="10"/>
        <rFont val="Arial"/>
        <family val="2"/>
      </rPr>
      <t>(ripple)</t>
    </r>
    <r>
      <rPr>
        <sz val="10"/>
        <rFont val="Arial"/>
        <family val="2"/>
      </rPr>
      <t xml:space="preserve"> / I-OCL-peak_(%);Ex-R</t>
    </r>
    <phoneticPr fontId="3"/>
  </si>
  <si>
    <r>
      <t>Iocl</t>
    </r>
    <r>
      <rPr>
        <sz val="10"/>
        <rFont val="Arial"/>
        <family val="2"/>
      </rPr>
      <t>(</t>
    </r>
    <r>
      <rPr>
        <sz val="10"/>
        <rFont val="Arial"/>
        <family val="2"/>
      </rPr>
      <t>DC_min</t>
    </r>
    <r>
      <rPr>
        <sz val="10"/>
        <rFont val="Arial"/>
        <family val="2"/>
      </rPr>
      <t>)</t>
    </r>
    <phoneticPr fontId="3"/>
  </si>
  <si>
    <r>
      <t>Iocl</t>
    </r>
    <r>
      <rPr>
        <sz val="10"/>
        <rFont val="Arial"/>
        <family val="2"/>
      </rPr>
      <t>(</t>
    </r>
    <r>
      <rPr>
        <sz val="10"/>
        <rFont val="Arial"/>
        <family val="2"/>
      </rPr>
      <t>DC_typ</t>
    </r>
    <r>
      <rPr>
        <sz val="10"/>
        <rFont val="Arial"/>
        <family val="2"/>
      </rPr>
      <t>)</t>
    </r>
    <phoneticPr fontId="3"/>
  </si>
  <si>
    <r>
      <t>Iocl</t>
    </r>
    <r>
      <rPr>
        <sz val="10"/>
        <rFont val="Arial"/>
        <family val="2"/>
      </rPr>
      <t>(</t>
    </r>
    <r>
      <rPr>
        <sz val="10"/>
        <rFont val="Arial"/>
        <family val="2"/>
      </rPr>
      <t>DC_max</t>
    </r>
    <r>
      <rPr>
        <sz val="10"/>
        <rFont val="Arial"/>
        <family val="2"/>
      </rPr>
      <t>)</t>
    </r>
    <phoneticPr fontId="3"/>
  </si>
  <si>
    <r>
      <t>Iocl</t>
    </r>
    <r>
      <rPr>
        <sz val="10"/>
        <rFont val="Arial"/>
        <family val="2"/>
      </rPr>
      <t>(</t>
    </r>
    <r>
      <rPr>
        <sz val="10"/>
        <rFont val="Arial"/>
        <family val="2"/>
      </rPr>
      <t>peak_typ</t>
    </r>
    <r>
      <rPr>
        <sz val="10"/>
        <rFont val="Arial"/>
        <family val="2"/>
      </rPr>
      <t>)</t>
    </r>
    <r>
      <rPr>
        <sz val="10"/>
        <rFont val="Arial"/>
        <family val="2"/>
      </rPr>
      <t>/ rate vs. Iout_max</t>
    </r>
    <phoneticPr fontId="3"/>
  </si>
  <si>
    <r>
      <t xml:space="preserve">Iripple/ </t>
    </r>
    <r>
      <rPr>
        <sz val="10"/>
        <rFont val="Arial"/>
        <family val="2"/>
      </rPr>
      <t>I</t>
    </r>
    <r>
      <rPr>
        <sz val="10"/>
        <rFont val="Arial"/>
        <family val="2"/>
      </rPr>
      <t>ocl (peak)-Vin-min</t>
    </r>
    <phoneticPr fontId="3"/>
  </si>
  <si>
    <r>
      <t xml:space="preserve">Iripple/ </t>
    </r>
    <r>
      <rPr>
        <sz val="10"/>
        <rFont val="Arial"/>
        <family val="2"/>
      </rPr>
      <t>I</t>
    </r>
    <r>
      <rPr>
        <sz val="10"/>
        <rFont val="Arial"/>
        <family val="2"/>
      </rPr>
      <t>ocl (peak)-Vin-typ</t>
    </r>
    <phoneticPr fontId="3"/>
  </si>
  <si>
    <r>
      <t>C</t>
    </r>
    <r>
      <rPr>
        <sz val="10"/>
        <rFont val="Arial"/>
        <family val="2"/>
      </rPr>
      <t>out</t>
    </r>
    <phoneticPr fontId="3"/>
  </si>
  <si>
    <r>
      <t>R</t>
    </r>
    <r>
      <rPr>
        <sz val="10"/>
        <rFont val="Arial"/>
        <family val="2"/>
      </rPr>
      <t>gv</t>
    </r>
    <phoneticPr fontId="3"/>
  </si>
  <si>
    <r>
      <t>V</t>
    </r>
    <r>
      <rPr>
        <sz val="10"/>
        <rFont val="Arial"/>
        <family val="2"/>
      </rPr>
      <t>droop</t>
    </r>
    <phoneticPr fontId="3"/>
  </si>
  <si>
    <r>
      <t xml:space="preserve">Iripple/ </t>
    </r>
    <r>
      <rPr>
        <sz val="10"/>
        <rFont val="Arial"/>
        <family val="2"/>
      </rPr>
      <t>I</t>
    </r>
    <r>
      <rPr>
        <sz val="10"/>
        <rFont val="Arial"/>
        <family val="2"/>
      </rPr>
      <t>ocl (peak)-Vin-max</t>
    </r>
    <phoneticPr fontId="3"/>
  </si>
  <si>
    <r>
      <t>Target OCL (</t>
    </r>
    <r>
      <rPr>
        <sz val="10"/>
        <rFont val="Arial"/>
        <family val="2"/>
      </rPr>
      <t>peak</t>
    </r>
    <r>
      <rPr>
        <sz val="10"/>
        <rFont val="Arial"/>
        <family val="2"/>
      </rPr>
      <t>)</t>
    </r>
    <r>
      <rPr>
        <sz val="10"/>
        <rFont val="Arial"/>
        <family val="2"/>
      </rPr>
      <t>min_Intgrated_error</t>
    </r>
    <phoneticPr fontId="3"/>
  </si>
  <si>
    <r>
      <t xml:space="preserve">Target </t>
    </r>
    <r>
      <rPr>
        <sz val="10"/>
        <rFont val="Arial"/>
        <family val="2"/>
      </rPr>
      <t>Rs</t>
    </r>
    <r>
      <rPr>
        <sz val="10"/>
        <rFont val="Arial"/>
        <family val="2"/>
      </rPr>
      <t>(</t>
    </r>
    <r>
      <rPr>
        <sz val="10"/>
        <rFont val="Arial"/>
        <family val="2"/>
      </rPr>
      <t>min</t>
    </r>
    <r>
      <rPr>
        <sz val="10"/>
        <rFont val="Arial"/>
        <family val="2"/>
      </rPr>
      <t>)</t>
    </r>
    <r>
      <rPr>
        <sz val="10"/>
        <rFont val="Arial"/>
        <family val="2"/>
      </rPr>
      <t>_Intgrated_error</t>
    </r>
    <phoneticPr fontId="3"/>
  </si>
  <si>
    <r>
      <t>R</t>
    </r>
    <r>
      <rPr>
        <sz val="10"/>
        <rFont val="Arial"/>
        <family val="2"/>
      </rPr>
      <t xml:space="preserve">ecommended </t>
    </r>
    <r>
      <rPr>
        <sz val="10"/>
        <rFont val="Arial"/>
        <family val="2"/>
      </rPr>
      <t>Rs_Intgrated_error</t>
    </r>
    <phoneticPr fontId="3"/>
  </si>
  <si>
    <r>
      <t>fo_Calculated</t>
    </r>
    <r>
      <rPr>
        <sz val="10"/>
        <rFont val="Arial"/>
        <family val="2"/>
      </rPr>
      <t xml:space="preserve"> &amp; </t>
    </r>
    <r>
      <rPr>
        <sz val="10"/>
        <rFont val="Arial"/>
        <family val="2"/>
      </rPr>
      <t>33% of fsw</t>
    </r>
    <r>
      <rPr>
        <sz val="10"/>
        <rFont val="Arial"/>
        <family val="2"/>
      </rPr>
      <t xml:space="preserve"> &amp; 1/10 of fo</t>
    </r>
    <phoneticPr fontId="3"/>
  </si>
  <si>
    <r>
      <t>Cc</t>
    </r>
    <r>
      <rPr>
        <sz val="10"/>
        <rFont val="Arial"/>
        <family val="2"/>
      </rPr>
      <t>2_None-d_</t>
    </r>
    <r>
      <rPr>
        <sz val="10"/>
        <rFont val="Arial"/>
        <family val="2"/>
      </rPr>
      <t>Chosen/ Cal_(</t>
    </r>
    <r>
      <rPr>
        <sz val="10"/>
        <rFont val="Arial"/>
        <family val="2"/>
      </rPr>
      <t>p</t>
    </r>
    <r>
      <rPr>
        <sz val="10"/>
        <rFont val="Arial"/>
        <family val="2"/>
      </rPr>
      <t>F)</t>
    </r>
    <r>
      <rPr>
        <sz val="10"/>
        <rFont val="Arial"/>
        <family val="2"/>
      </rPr>
      <t>_TC (kHz)</t>
    </r>
    <phoneticPr fontId="3"/>
  </si>
  <si>
    <t>Current sensing</t>
    <phoneticPr fontId="3"/>
  </si>
  <si>
    <t>DCR (w/ Rx&amp;Rc)</t>
    <phoneticPr fontId="3"/>
  </si>
  <si>
    <r>
      <t>VREF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tolerance_(%)</t>
    </r>
    <phoneticPr fontId="3"/>
  </si>
  <si>
    <r>
      <t>L</t>
    </r>
    <r>
      <rPr>
        <sz val="10"/>
        <rFont val="Arial"/>
        <family val="2"/>
      </rPr>
      <t>ogic</t>
    </r>
    <phoneticPr fontId="3"/>
  </si>
  <si>
    <t>CCM</t>
    <phoneticPr fontId="3"/>
  </si>
  <si>
    <t>Auto-skip</t>
    <phoneticPr fontId="3"/>
  </si>
  <si>
    <r>
      <t xml:space="preserve">OOA (for </t>
    </r>
    <r>
      <rPr>
        <sz val="10"/>
        <rFont val="Arial"/>
        <family val="2"/>
      </rPr>
      <t xml:space="preserve">&lt; </t>
    </r>
    <r>
      <rPr>
        <sz val="10"/>
        <rFont val="Arial"/>
        <family val="2"/>
      </rPr>
      <t>400kHz)</t>
    </r>
    <phoneticPr fontId="3"/>
  </si>
  <si>
    <r>
      <t xml:space="preserve">OOA (for </t>
    </r>
    <r>
      <rPr>
        <sz val="10"/>
        <rFont val="Arial"/>
        <family val="2"/>
      </rPr>
      <t xml:space="preserve">&gt;= </t>
    </r>
    <r>
      <rPr>
        <sz val="10"/>
        <rFont val="Arial"/>
        <family val="2"/>
      </rPr>
      <t>400kHz)</t>
    </r>
    <phoneticPr fontId="3"/>
  </si>
  <si>
    <r>
      <t>T</t>
    </r>
    <r>
      <rPr>
        <sz val="10"/>
        <rFont val="Arial"/>
        <family val="2"/>
      </rPr>
      <t>RIP</t>
    </r>
    <phoneticPr fontId="3"/>
  </si>
  <si>
    <r>
      <t>F</t>
    </r>
    <r>
      <rPr>
        <sz val="10"/>
        <rFont val="Arial"/>
        <family val="2"/>
      </rPr>
      <t>UNC</t>
    </r>
    <phoneticPr fontId="3"/>
  </si>
  <si>
    <t>Current mode,  Enable OVP</t>
    <phoneticPr fontId="3"/>
  </si>
  <si>
    <t>D-CAP mode,  Disable OVP</t>
    <phoneticPr fontId="3"/>
  </si>
  <si>
    <t>D-CAP mode,  Enable OVP</t>
    <phoneticPr fontId="3"/>
  </si>
  <si>
    <t>Current mode,  Disable OVP</t>
    <phoneticPr fontId="3"/>
  </si>
  <si>
    <r>
      <t>R1</t>
    </r>
    <r>
      <rPr>
        <sz val="10"/>
        <rFont val="Arial"/>
        <family val="2"/>
      </rPr>
      <t xml:space="preserve"> tolerance_(%)</t>
    </r>
    <phoneticPr fontId="3"/>
  </si>
  <si>
    <r>
      <t>R2</t>
    </r>
    <r>
      <rPr>
        <sz val="10"/>
        <rFont val="Arial"/>
        <family val="2"/>
      </rPr>
      <t xml:space="preserve"> tolerance_(%)</t>
    </r>
    <phoneticPr fontId="3"/>
  </si>
  <si>
    <r>
      <t>R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_(kohm): </t>
    </r>
    <r>
      <rPr>
        <sz val="10"/>
        <rFont val="Arial"/>
        <family val="2"/>
      </rPr>
      <t>for cal</t>
    </r>
    <phoneticPr fontId="3"/>
  </si>
  <si>
    <r>
      <t>R</t>
    </r>
    <r>
      <rPr>
        <sz val="10"/>
        <rFont val="Arial"/>
        <family val="2"/>
      </rPr>
      <t>F</t>
    </r>
    <r>
      <rPr>
        <sz val="10"/>
        <rFont val="Arial"/>
        <family val="2"/>
      </rPr>
      <t>_(kohm): Recommended</t>
    </r>
    <phoneticPr fontId="3"/>
  </si>
  <si>
    <r>
      <t>R</t>
    </r>
    <r>
      <rPr>
        <sz val="10"/>
        <rFont val="Arial"/>
        <family val="2"/>
      </rPr>
      <t>F</t>
    </r>
    <r>
      <rPr>
        <sz val="10"/>
        <rFont val="Arial"/>
        <family val="2"/>
      </rPr>
      <t>_(kohm): Chosen</t>
    </r>
    <phoneticPr fontId="3"/>
  </si>
  <si>
    <r>
      <t>Vocl</t>
    </r>
    <r>
      <rPr>
        <sz val="10"/>
        <rFont val="Arial"/>
        <family val="2"/>
      </rPr>
      <t>_</t>
    </r>
    <r>
      <rPr>
        <sz val="10"/>
        <rFont val="Arial"/>
        <family val="2"/>
      </rPr>
      <t>tolerance_(%)</t>
    </r>
    <phoneticPr fontId="3"/>
  </si>
  <si>
    <r>
      <t xml:space="preserve">Integrated-error (Vocl &amp; </t>
    </r>
    <r>
      <rPr>
        <sz val="10"/>
        <rFont val="Arial"/>
        <family val="2"/>
      </rPr>
      <t>Rs</t>
    </r>
    <r>
      <rPr>
        <sz val="10"/>
        <rFont val="Arial"/>
        <family val="2"/>
      </rPr>
      <t>)</t>
    </r>
    <phoneticPr fontId="3"/>
  </si>
  <si>
    <r>
      <t>Intgrated_error (L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fsw</t>
    </r>
    <r>
      <rPr>
        <sz val="10"/>
        <rFont val="Arial"/>
        <family val="2"/>
      </rPr>
      <t>, Vocl &amp; Rs</t>
    </r>
    <r>
      <rPr>
        <sz val="10"/>
        <rFont val="Arial"/>
        <family val="2"/>
      </rPr>
      <t>)</t>
    </r>
    <phoneticPr fontId="3"/>
  </si>
  <si>
    <r>
      <t>DCR_</t>
    </r>
    <r>
      <rPr>
        <sz val="10"/>
        <rFont val="Arial"/>
        <family val="2"/>
      </rPr>
      <t>temp-</t>
    </r>
    <r>
      <rPr>
        <sz val="10"/>
        <rFont val="Arial"/>
        <family val="2"/>
      </rPr>
      <t>tolerance_</t>
    </r>
    <r>
      <rPr>
        <sz val="10"/>
        <rFont val="Arial"/>
        <family val="2"/>
      </rPr>
      <t>(</t>
    </r>
    <r>
      <rPr>
        <sz val="10"/>
        <rFont val="Arial"/>
        <family val="2"/>
      </rPr>
      <t>%)</t>
    </r>
    <phoneticPr fontId="3"/>
  </si>
  <si>
    <r>
      <t>Fsw</t>
    </r>
    <r>
      <rPr>
        <sz val="10"/>
        <rFont val="Arial"/>
        <family val="2"/>
      </rPr>
      <t>_</t>
    </r>
    <r>
      <rPr>
        <sz val="10"/>
        <rFont val="Arial"/>
        <family val="2"/>
      </rPr>
      <t>tolerance_(%)</t>
    </r>
    <phoneticPr fontId="3"/>
  </si>
  <si>
    <r>
      <t>DCR_</t>
    </r>
    <r>
      <rPr>
        <sz val="10"/>
        <rFont val="Arial"/>
        <family val="2"/>
      </rPr>
      <t>tolerance_</t>
    </r>
    <r>
      <rPr>
        <sz val="10"/>
        <rFont val="Arial"/>
        <family val="2"/>
      </rPr>
      <t>w/ temp</t>
    </r>
    <r>
      <rPr>
        <sz val="10"/>
        <rFont val="Arial"/>
        <family val="2"/>
      </rPr>
      <t>(%)</t>
    </r>
    <phoneticPr fontId="3"/>
  </si>
  <si>
    <r>
      <t>Switching Frequency_</t>
    </r>
    <r>
      <rPr>
        <sz val="10"/>
        <rFont val="Arial"/>
        <family val="2"/>
      </rPr>
      <t>min_</t>
    </r>
    <r>
      <rPr>
        <sz val="10"/>
        <rFont val="Arial"/>
        <family val="2"/>
      </rPr>
      <t>(kHz)</t>
    </r>
    <phoneticPr fontId="3"/>
  </si>
  <si>
    <r>
      <t>Switching Frequency_</t>
    </r>
    <r>
      <rPr>
        <sz val="10"/>
        <rFont val="Arial"/>
        <family val="2"/>
      </rPr>
      <t>max_</t>
    </r>
    <r>
      <rPr>
        <sz val="10"/>
        <rFont val="Arial"/>
        <family val="2"/>
      </rPr>
      <t>(kHz)</t>
    </r>
    <phoneticPr fontId="3"/>
  </si>
  <si>
    <r>
      <t>L</t>
    </r>
    <r>
      <rPr>
        <sz val="10"/>
        <rFont val="Arial"/>
        <family val="2"/>
      </rPr>
      <t>_</t>
    </r>
    <r>
      <rPr>
        <sz val="10"/>
        <rFont val="Arial"/>
        <family val="2"/>
      </rPr>
      <t>tolerance_(%)</t>
    </r>
    <phoneticPr fontId="3"/>
  </si>
  <si>
    <r>
      <t>L</t>
    </r>
    <r>
      <rPr>
        <sz val="10"/>
        <rFont val="Arial"/>
        <family val="2"/>
      </rPr>
      <t xml:space="preserve"> (min)</t>
    </r>
    <r>
      <rPr>
        <sz val="10"/>
        <rFont val="Arial"/>
        <family val="2"/>
      </rPr>
      <t>_(uH):</t>
    </r>
    <phoneticPr fontId="3"/>
  </si>
  <si>
    <r>
      <t>L_(uH)</t>
    </r>
    <r>
      <rPr>
        <sz val="10"/>
        <rFont val="Arial"/>
        <family val="2"/>
      </rPr>
      <t xml:space="preserve"> at Io(max)</t>
    </r>
    <r>
      <rPr>
        <sz val="10"/>
        <rFont val="Arial"/>
        <family val="2"/>
      </rPr>
      <t>: Chosen</t>
    </r>
    <phoneticPr fontId="3"/>
  </si>
  <si>
    <r>
      <t>L</t>
    </r>
    <r>
      <rPr>
        <sz val="10"/>
        <rFont val="Arial"/>
        <family val="2"/>
      </rPr>
      <t xml:space="preserve"> (max)</t>
    </r>
    <r>
      <rPr>
        <sz val="10"/>
        <rFont val="Arial"/>
        <family val="2"/>
      </rPr>
      <t>_(uH):</t>
    </r>
    <phoneticPr fontId="3"/>
  </si>
  <si>
    <r>
      <t>Rsense (min)</t>
    </r>
    <r>
      <rPr>
        <sz val="10"/>
        <rFont val="Arial"/>
        <family val="2"/>
      </rPr>
      <t>_(</t>
    </r>
    <r>
      <rPr>
        <sz val="10"/>
        <rFont val="Arial"/>
        <family val="2"/>
      </rPr>
      <t>mohm</t>
    </r>
    <r>
      <rPr>
        <sz val="10"/>
        <rFont val="Arial"/>
        <family val="2"/>
      </rPr>
      <t>):</t>
    </r>
    <phoneticPr fontId="3"/>
  </si>
  <si>
    <r>
      <t>Rsense (max)</t>
    </r>
    <r>
      <rPr>
        <sz val="10"/>
        <rFont val="Arial"/>
        <family val="2"/>
      </rPr>
      <t>_(</t>
    </r>
    <r>
      <rPr>
        <sz val="10"/>
        <rFont val="Arial"/>
        <family val="2"/>
      </rPr>
      <t>mohm</t>
    </r>
    <r>
      <rPr>
        <sz val="10"/>
        <rFont val="Arial"/>
        <family val="2"/>
      </rPr>
      <t>):</t>
    </r>
    <phoneticPr fontId="3"/>
  </si>
  <si>
    <r>
      <t>H/S_</t>
    </r>
    <r>
      <rPr>
        <sz val="10"/>
        <rFont val="Arial"/>
        <family val="2"/>
      </rPr>
      <t>V</t>
    </r>
    <r>
      <rPr>
        <sz val="10"/>
        <rFont val="Arial"/>
        <family val="2"/>
      </rPr>
      <t>gs</t>
    </r>
    <phoneticPr fontId="3"/>
  </si>
  <si>
    <r>
      <t>H/S_</t>
    </r>
    <r>
      <rPr>
        <sz val="10"/>
        <rFont val="Arial"/>
        <family val="2"/>
      </rPr>
      <t>R</t>
    </r>
    <r>
      <rPr>
        <sz val="10"/>
        <rFont val="Arial"/>
        <family val="2"/>
      </rPr>
      <t>g_VBST</t>
    </r>
    <phoneticPr fontId="3"/>
  </si>
  <si>
    <r>
      <t>H/S_</t>
    </r>
    <r>
      <rPr>
        <sz val="10"/>
        <rFont val="Arial"/>
        <family val="2"/>
      </rPr>
      <t>R</t>
    </r>
    <r>
      <rPr>
        <sz val="10"/>
        <rFont val="Arial"/>
        <family val="2"/>
      </rPr>
      <t>g_driver-source</t>
    </r>
    <phoneticPr fontId="3"/>
  </si>
  <si>
    <r>
      <t>H/S_</t>
    </r>
    <r>
      <rPr>
        <sz val="10"/>
        <rFont val="Arial"/>
        <family val="2"/>
      </rPr>
      <t>R</t>
    </r>
    <r>
      <rPr>
        <sz val="10"/>
        <rFont val="Arial"/>
        <family val="2"/>
      </rPr>
      <t>g_driver-sink</t>
    </r>
    <phoneticPr fontId="3"/>
  </si>
  <si>
    <r>
      <t>Rs_</t>
    </r>
    <r>
      <rPr>
        <sz val="10"/>
        <rFont val="Arial"/>
        <family val="2"/>
      </rPr>
      <t>typ_</t>
    </r>
    <r>
      <rPr>
        <sz val="10"/>
        <rFont val="Arial"/>
        <family val="2"/>
      </rPr>
      <t xml:space="preserve">(mohm): </t>
    </r>
    <r>
      <rPr>
        <sz val="10"/>
        <rFont val="Arial"/>
        <family val="2"/>
      </rPr>
      <t>Chosen</t>
    </r>
    <phoneticPr fontId="3"/>
  </si>
  <si>
    <r>
      <t>Iocl</t>
    </r>
    <r>
      <rPr>
        <sz val="10"/>
        <rFont val="Arial"/>
        <family val="2"/>
      </rPr>
      <t>(</t>
    </r>
    <r>
      <rPr>
        <sz val="10"/>
        <rFont val="Arial"/>
        <family val="2"/>
      </rPr>
      <t>DC_min</t>
    </r>
    <r>
      <rPr>
        <sz val="10"/>
        <rFont val="Arial"/>
        <family val="2"/>
      </rPr>
      <t>)</t>
    </r>
    <r>
      <rPr>
        <sz val="10"/>
        <rFont val="Arial"/>
        <family val="2"/>
      </rPr>
      <t>_Intgrated_error</t>
    </r>
    <phoneticPr fontId="3"/>
  </si>
  <si>
    <r>
      <t>Iocl</t>
    </r>
    <r>
      <rPr>
        <sz val="10"/>
        <rFont val="Arial"/>
        <family val="2"/>
      </rPr>
      <t>(</t>
    </r>
    <r>
      <rPr>
        <sz val="10"/>
        <rFont val="Arial"/>
        <family val="2"/>
      </rPr>
      <t>DC_maz</t>
    </r>
    <r>
      <rPr>
        <sz val="10"/>
        <rFont val="Arial"/>
        <family val="2"/>
      </rPr>
      <t>)</t>
    </r>
    <r>
      <rPr>
        <sz val="10"/>
        <rFont val="Arial"/>
        <family val="2"/>
      </rPr>
      <t>_Intgrated_error</t>
    </r>
    <phoneticPr fontId="3"/>
  </si>
  <si>
    <r>
      <t>Iocl</t>
    </r>
    <r>
      <rPr>
        <sz val="10"/>
        <rFont val="Arial"/>
        <family val="2"/>
      </rPr>
      <t>(</t>
    </r>
    <r>
      <rPr>
        <sz val="10"/>
        <rFont val="Arial"/>
        <family val="2"/>
      </rPr>
      <t>peak_typ</t>
    </r>
    <r>
      <rPr>
        <sz val="10"/>
        <rFont val="Arial"/>
        <family val="2"/>
      </rPr>
      <t>)</t>
    </r>
    <phoneticPr fontId="3"/>
  </si>
  <si>
    <r>
      <t>Lx of Rsense_(</t>
    </r>
    <r>
      <rPr>
        <sz val="10"/>
        <rFont val="Arial"/>
        <family val="2"/>
      </rPr>
      <t>nH</t>
    </r>
    <r>
      <rPr>
        <sz val="10"/>
        <rFont val="Arial"/>
        <family val="2"/>
      </rPr>
      <t xml:space="preserve">): </t>
    </r>
    <r>
      <rPr>
        <sz val="10"/>
        <rFont val="Arial"/>
        <family val="2"/>
      </rPr>
      <t>entered</t>
    </r>
    <phoneticPr fontId="3"/>
  </si>
  <si>
    <r>
      <t>DCR</t>
    </r>
    <r>
      <rPr>
        <sz val="10"/>
        <rFont val="Arial"/>
        <family val="2"/>
      </rPr>
      <t>_</t>
    </r>
    <r>
      <rPr>
        <sz val="10"/>
        <rFont val="Arial"/>
        <family val="2"/>
      </rPr>
      <t>typ_</t>
    </r>
    <r>
      <rPr>
        <sz val="10"/>
        <rFont val="Arial"/>
        <family val="2"/>
      </rPr>
      <t xml:space="preserve">(mohm): </t>
    </r>
    <r>
      <rPr>
        <sz val="10"/>
        <rFont val="Arial"/>
        <family val="2"/>
      </rPr>
      <t>Chosen</t>
    </r>
    <phoneticPr fontId="3"/>
  </si>
  <si>
    <r>
      <t>Rx</t>
    </r>
    <r>
      <rPr>
        <sz val="10"/>
        <rFont val="Arial"/>
        <family val="2"/>
      </rPr>
      <t>c</t>
    </r>
    <r>
      <rPr>
        <sz val="10"/>
        <rFont val="Arial"/>
        <family val="2"/>
      </rPr>
      <t>_(kohm)_Calculated</t>
    </r>
    <phoneticPr fontId="3"/>
  </si>
  <si>
    <r>
      <t>Rx</t>
    </r>
    <r>
      <rPr>
        <sz val="10"/>
        <rFont val="Arial"/>
        <family val="2"/>
      </rPr>
      <t>c</t>
    </r>
    <r>
      <rPr>
        <sz val="10"/>
        <rFont val="Arial"/>
        <family val="2"/>
      </rPr>
      <t>_(kohm)_C</t>
    </r>
    <r>
      <rPr>
        <sz val="10"/>
        <rFont val="Arial"/>
        <family val="2"/>
      </rPr>
      <t>hosen</t>
    </r>
    <phoneticPr fontId="3"/>
  </si>
  <si>
    <r>
      <t>DCR</t>
    </r>
    <r>
      <rPr>
        <sz val="10"/>
        <rFont val="Arial"/>
        <family val="2"/>
      </rPr>
      <t>_</t>
    </r>
    <r>
      <rPr>
        <sz val="10"/>
        <rFont val="Arial"/>
        <family val="2"/>
      </rPr>
      <t>typ_</t>
    </r>
    <r>
      <rPr>
        <sz val="10"/>
        <rFont val="Arial"/>
        <family val="2"/>
      </rPr>
      <t xml:space="preserve">(mohm): </t>
    </r>
    <r>
      <rPr>
        <sz val="10"/>
        <rFont val="Arial"/>
        <family val="2"/>
      </rPr>
      <t>Divided by Rx&amp;Rxc</t>
    </r>
    <phoneticPr fontId="3"/>
  </si>
  <si>
    <r>
      <t>I</t>
    </r>
    <r>
      <rPr>
        <sz val="10"/>
        <rFont val="Arial"/>
        <family val="2"/>
      </rPr>
      <t>-ocl (DC) at Vin-max, Ta-max</t>
    </r>
    <phoneticPr fontId="3"/>
  </si>
  <si>
    <r>
      <t>I</t>
    </r>
    <r>
      <rPr>
        <sz val="10"/>
        <rFont val="Arial"/>
        <family val="2"/>
      </rPr>
      <t>-ocl (DC) at Vin-max, Ta-max w/ error</t>
    </r>
    <phoneticPr fontId="3"/>
  </si>
  <si>
    <r>
      <t>I</t>
    </r>
    <r>
      <rPr>
        <sz val="10"/>
        <rFont val="Arial"/>
        <family val="2"/>
      </rPr>
      <t>-ocl (DC) at Vin-min, Ta-min w/ error</t>
    </r>
    <phoneticPr fontId="3"/>
  </si>
  <si>
    <r>
      <t>Target OCL (</t>
    </r>
    <r>
      <rPr>
        <sz val="10"/>
        <rFont val="Arial"/>
        <family val="2"/>
      </rPr>
      <t>peak</t>
    </r>
    <r>
      <rPr>
        <sz val="10"/>
        <rFont val="Arial"/>
        <family val="2"/>
      </rPr>
      <t>)</t>
    </r>
    <r>
      <rPr>
        <sz val="10"/>
        <rFont val="Arial"/>
        <family val="2"/>
      </rPr>
      <t>_Intgrated_error_max</t>
    </r>
    <phoneticPr fontId="3"/>
  </si>
  <si>
    <r>
      <t>I</t>
    </r>
    <r>
      <rPr>
        <sz val="6"/>
        <rFont val="Arial"/>
        <family val="2"/>
      </rPr>
      <t>IND</t>
    </r>
    <r>
      <rPr>
        <sz val="10"/>
        <rFont val="Arial"/>
        <family val="2"/>
      </rPr>
      <t>(ripple)_</t>
    </r>
    <r>
      <rPr>
        <sz val="10"/>
        <rFont val="Arial"/>
        <family val="2"/>
      </rPr>
      <t>at OCL_Fsw-typ</t>
    </r>
    <r>
      <rPr>
        <sz val="10"/>
        <rFont val="Arial"/>
        <family val="2"/>
      </rPr>
      <t>(A)</t>
    </r>
    <phoneticPr fontId="3"/>
  </si>
  <si>
    <r>
      <t>I</t>
    </r>
    <r>
      <rPr>
        <sz val="10"/>
        <rFont val="Arial"/>
        <family val="2"/>
      </rPr>
      <t>(</t>
    </r>
    <r>
      <rPr>
        <sz val="10"/>
        <rFont val="Arial"/>
        <family val="2"/>
      </rPr>
      <t>peak</t>
    </r>
    <r>
      <rPr>
        <sz val="10"/>
        <rFont val="Arial"/>
        <family val="2"/>
      </rPr>
      <t>)</t>
    </r>
    <r>
      <rPr>
        <sz val="10"/>
        <rFont val="Arial"/>
        <family val="2"/>
      </rPr>
      <t xml:space="preserve"> at Imax</t>
    </r>
    <phoneticPr fontId="3"/>
  </si>
  <si>
    <r>
      <t>Target OCL (</t>
    </r>
    <r>
      <rPr>
        <sz val="10"/>
        <rFont val="Arial"/>
        <family val="2"/>
      </rPr>
      <t>peak</t>
    </r>
    <r>
      <rPr>
        <sz val="10"/>
        <rFont val="Arial"/>
        <family val="2"/>
      </rPr>
      <t>)</t>
    </r>
    <r>
      <rPr>
        <sz val="10"/>
        <rFont val="Arial"/>
        <family val="2"/>
      </rPr>
      <t>_RMS_error</t>
    </r>
    <phoneticPr fontId="3"/>
  </si>
  <si>
    <r>
      <t>fsw/</t>
    </r>
    <r>
      <rPr>
        <sz val="10"/>
        <rFont val="Arial"/>
        <family val="2"/>
      </rPr>
      <t>K</t>
    </r>
    <r>
      <rPr>
        <sz val="10"/>
        <rFont val="Arial"/>
        <family val="2"/>
      </rPr>
      <t>_(kHz)_Calculated</t>
    </r>
    <phoneticPr fontId="3"/>
  </si>
  <si>
    <r>
      <t>I</t>
    </r>
    <r>
      <rPr>
        <sz val="6"/>
        <rFont val="Arial"/>
        <family val="2"/>
      </rPr>
      <t xml:space="preserve">IND </t>
    </r>
    <r>
      <rPr>
        <sz val="10"/>
        <rFont val="Arial"/>
        <family val="2"/>
      </rPr>
      <t xml:space="preserve">(ripple)_Fsw-typ </t>
    </r>
    <r>
      <rPr>
        <sz val="10"/>
        <rFont val="Arial"/>
        <family val="2"/>
      </rPr>
      <t>Lmin_(A)</t>
    </r>
    <phoneticPr fontId="3"/>
  </si>
  <si>
    <r>
      <t>I</t>
    </r>
    <r>
      <rPr>
        <sz val="6"/>
        <rFont val="Arial"/>
        <family val="2"/>
      </rPr>
      <t xml:space="preserve">IND </t>
    </r>
    <r>
      <rPr>
        <sz val="10"/>
        <rFont val="Arial"/>
        <family val="2"/>
      </rPr>
      <t xml:space="preserve">(ripple)_Fsw-typ </t>
    </r>
    <r>
      <rPr>
        <sz val="10"/>
        <rFont val="Arial"/>
        <family val="2"/>
      </rPr>
      <t>L</t>
    </r>
    <r>
      <rPr>
        <sz val="10"/>
        <rFont val="Arial"/>
        <family val="2"/>
      </rPr>
      <t>max</t>
    </r>
    <r>
      <rPr>
        <sz val="10"/>
        <rFont val="Arial"/>
        <family val="2"/>
      </rPr>
      <t>_(A)</t>
    </r>
    <phoneticPr fontId="3"/>
  </si>
  <si>
    <r>
      <t>I</t>
    </r>
    <r>
      <rPr>
        <sz val="6"/>
        <rFont val="Arial"/>
        <family val="2"/>
      </rPr>
      <t>IND</t>
    </r>
    <r>
      <rPr>
        <sz val="10"/>
        <rFont val="Arial"/>
        <family val="2"/>
      </rPr>
      <t>(ripple)_</t>
    </r>
    <r>
      <rPr>
        <sz val="10"/>
        <rFont val="Arial"/>
        <family val="2"/>
      </rPr>
      <t>L&amp;Fsw-typ</t>
    </r>
    <r>
      <rPr>
        <sz val="10"/>
        <rFont val="Arial"/>
        <family val="2"/>
      </rPr>
      <t>(A)</t>
    </r>
    <phoneticPr fontId="3"/>
  </si>
  <si>
    <r>
      <t>I</t>
    </r>
    <r>
      <rPr>
        <sz val="6"/>
        <rFont val="Arial"/>
        <family val="2"/>
      </rPr>
      <t>IND</t>
    </r>
    <r>
      <rPr>
        <sz val="10"/>
        <rFont val="Arial"/>
        <family val="2"/>
      </rPr>
      <t>(ripple)_</t>
    </r>
    <r>
      <rPr>
        <sz val="10"/>
        <rFont val="Arial"/>
        <family val="2"/>
      </rPr>
      <t>L-typ Fsw_min_(A)</t>
    </r>
    <phoneticPr fontId="3"/>
  </si>
  <si>
    <r>
      <t>I</t>
    </r>
    <r>
      <rPr>
        <sz val="6"/>
        <rFont val="Arial"/>
        <family val="2"/>
      </rPr>
      <t>IND</t>
    </r>
    <r>
      <rPr>
        <sz val="10"/>
        <rFont val="Arial"/>
        <family val="2"/>
      </rPr>
      <t>(ripple)_</t>
    </r>
    <r>
      <rPr>
        <sz val="10"/>
        <rFont val="Arial"/>
        <family val="2"/>
      </rPr>
      <t>L-typ Fsw_max_(A)</t>
    </r>
    <phoneticPr fontId="3"/>
  </si>
  <si>
    <r>
      <t>I</t>
    </r>
    <r>
      <rPr>
        <sz val="6"/>
        <rFont val="Arial"/>
        <family val="2"/>
      </rPr>
      <t>IND</t>
    </r>
    <r>
      <rPr>
        <sz val="10"/>
        <rFont val="Arial"/>
        <family val="2"/>
      </rPr>
      <t>(ripple)_</t>
    </r>
    <r>
      <rPr>
        <sz val="10"/>
        <rFont val="Arial"/>
        <family val="2"/>
      </rPr>
      <t>L-max Fsw_min_(A)</t>
    </r>
    <phoneticPr fontId="3"/>
  </si>
  <si>
    <r>
      <t>I</t>
    </r>
    <r>
      <rPr>
        <sz val="6"/>
        <rFont val="Arial"/>
        <family val="2"/>
      </rPr>
      <t>IND</t>
    </r>
    <r>
      <rPr>
        <sz val="10"/>
        <rFont val="Arial"/>
        <family val="2"/>
      </rPr>
      <t>(ripple)_</t>
    </r>
    <r>
      <rPr>
        <sz val="10"/>
        <rFont val="Arial"/>
        <family val="2"/>
      </rPr>
      <t>L-min Fsw_max_(A)</t>
    </r>
    <phoneticPr fontId="3"/>
  </si>
  <si>
    <r>
      <t>I</t>
    </r>
    <r>
      <rPr>
        <sz val="6"/>
        <rFont val="Arial"/>
        <family val="2"/>
      </rPr>
      <t>IND</t>
    </r>
    <r>
      <rPr>
        <sz val="10"/>
        <rFont val="Arial"/>
        <family val="2"/>
      </rPr>
      <t>(ripple)/Iout_(%)</t>
    </r>
    <phoneticPr fontId="3"/>
  </si>
  <si>
    <r>
      <t>I</t>
    </r>
    <r>
      <rPr>
        <sz val="10"/>
        <rFont val="Arial"/>
        <family val="2"/>
      </rPr>
      <t>out(LL)_(A): DCM-CCM</t>
    </r>
    <phoneticPr fontId="3"/>
  </si>
  <si>
    <r>
      <t>I</t>
    </r>
    <r>
      <rPr>
        <sz val="10"/>
        <rFont val="Arial"/>
        <family val="2"/>
      </rPr>
      <t>out(LL)/ Iout_(%)</t>
    </r>
    <phoneticPr fontId="3"/>
  </si>
  <si>
    <r>
      <t>I</t>
    </r>
    <r>
      <rPr>
        <sz val="6"/>
        <rFont val="Arial"/>
        <family val="2"/>
      </rPr>
      <t>IND</t>
    </r>
    <r>
      <rPr>
        <sz val="10"/>
        <rFont val="Arial"/>
        <family val="2"/>
      </rPr>
      <t>(ripple)_(A)</t>
    </r>
    <r>
      <rPr>
        <sz val="10"/>
        <rFont val="Arial"/>
        <family val="2"/>
      </rPr>
      <t xml:space="preserve"> at 99%-duty</t>
    </r>
    <phoneticPr fontId="3"/>
  </si>
  <si>
    <r>
      <t>I</t>
    </r>
    <r>
      <rPr>
        <sz val="6"/>
        <rFont val="Arial"/>
        <family val="2"/>
      </rPr>
      <t>IND</t>
    </r>
    <r>
      <rPr>
        <sz val="10"/>
        <rFont val="Arial"/>
        <family val="2"/>
      </rPr>
      <t>(ripple)</t>
    </r>
    <r>
      <rPr>
        <sz val="10"/>
        <rFont val="Arial"/>
        <family val="2"/>
      </rPr>
      <t>+ IDC</t>
    </r>
    <r>
      <rPr>
        <sz val="10"/>
        <rFont val="Arial"/>
        <family val="2"/>
      </rPr>
      <t>_(A)</t>
    </r>
    <r>
      <rPr>
        <sz val="10"/>
        <rFont val="Arial"/>
        <family val="2"/>
      </rPr>
      <t xml:space="preserve"> at 99%-duty</t>
    </r>
    <phoneticPr fontId="3"/>
  </si>
  <si>
    <r>
      <t>OC</t>
    </r>
    <r>
      <rPr>
        <sz val="10"/>
        <rFont val="Arial"/>
        <family val="2"/>
      </rPr>
      <t>P-DC by Ex-R&amp;L%Fsw-typ_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</si>
  <si>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P-peak by Ex-R&amp;L%Fsw-typ_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</si>
  <si>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P-DC_min_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</si>
  <si>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P_peak_min_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</si>
  <si>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P-DC_max_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</si>
  <si>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P-peak_max_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</si>
  <si>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P-DC by Rsense-min</t>
    </r>
    <r>
      <rPr>
        <sz val="10"/>
        <rFont val="Arial"/>
        <family val="2"/>
      </rPr>
      <t>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</si>
  <si>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P-peak by Rsense-min</t>
    </r>
    <r>
      <rPr>
        <sz val="10"/>
        <rFont val="Arial"/>
        <family val="2"/>
      </rPr>
      <t>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</si>
  <si>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P-DC by Rsense-max_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</si>
  <si>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P-peak by Rsense-max_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</si>
  <si>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P-DC by L-min_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</si>
  <si>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P-peak by L-min_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</si>
  <si>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P-DC by L-max_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</si>
  <si>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P-peak by L-max_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</si>
  <si>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P-DC by Fsw-min_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</si>
  <si>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P-peak by Fsw-min_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</si>
  <si>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P-DC by Fsw-max_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</si>
  <si>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P-peak by Fsw-max_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</si>
  <si>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P-DC by Vocl-min_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</si>
  <si>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P-peak by Vocl-min_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</si>
  <si>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P-DC by Vocl-max_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</si>
  <si>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P-peak by Vocl-max_</t>
    </r>
    <r>
      <rPr>
        <sz val="10"/>
        <rFont val="Arial"/>
        <family val="2"/>
      </rPr>
      <t>(A)</t>
    </r>
    <phoneticPr fontId="3"/>
  </si>
  <si>
    <r>
      <t>Target OCL(</t>
    </r>
    <r>
      <rPr>
        <sz val="10"/>
        <rFont val="Arial"/>
        <family val="2"/>
      </rPr>
      <t>peak</t>
    </r>
    <r>
      <rPr>
        <sz val="10"/>
        <rFont val="Arial"/>
        <family val="2"/>
      </rPr>
      <t>)</t>
    </r>
    <r>
      <rPr>
        <sz val="10"/>
        <rFont val="Arial"/>
        <family val="2"/>
      </rPr>
      <t xml:space="preserve"> by RMS-tol.</t>
    </r>
    <r>
      <rPr>
        <sz val="10"/>
        <rFont val="Arial"/>
        <family val="2"/>
      </rPr>
      <t>_(A)</t>
    </r>
    <phoneticPr fontId="3"/>
  </si>
  <si>
    <r>
      <t>RMS</t>
    </r>
    <r>
      <rPr>
        <sz val="10"/>
        <rFont val="Arial"/>
        <family val="2"/>
      </rPr>
      <t>_</t>
    </r>
    <r>
      <rPr>
        <sz val="10"/>
        <rFont val="Arial"/>
        <family val="2"/>
      </rPr>
      <t>tolerance_L&amp;Vocl&amp;Ex-R&amp;Fsw_(%)</t>
    </r>
    <phoneticPr fontId="3"/>
  </si>
  <si>
    <r>
      <t>Itrip-peak</t>
    </r>
    <r>
      <rPr>
        <sz val="10"/>
        <rFont val="Arial"/>
        <family val="2"/>
      </rPr>
      <t>_(A)</t>
    </r>
    <phoneticPr fontId="3"/>
  </si>
  <si>
    <r>
      <t>OC</t>
    </r>
    <r>
      <rPr>
        <sz val="10"/>
        <rFont val="Arial"/>
        <family val="2"/>
      </rPr>
      <t>P-DC by Ex-R&amp;L%Fsw-typ_</t>
    </r>
    <r>
      <rPr>
        <sz val="10"/>
        <rFont val="Arial"/>
        <family val="2"/>
      </rPr>
      <t>(A)</t>
    </r>
    <r>
      <rPr>
        <sz val="10"/>
        <rFont val="Arial"/>
        <family val="2"/>
      </rPr>
      <t xml:space="preserve"> x RMS tol.</t>
    </r>
    <phoneticPr fontId="3"/>
  </si>
  <si>
    <r>
      <t>OC</t>
    </r>
    <r>
      <rPr>
        <sz val="10"/>
        <rFont val="Arial"/>
        <family val="2"/>
      </rPr>
      <t>P-peak by Ex-R&amp;L%Fsw-typ_</t>
    </r>
    <r>
      <rPr>
        <sz val="10"/>
        <rFont val="Arial"/>
        <family val="2"/>
      </rPr>
      <t>(A)</t>
    </r>
    <r>
      <rPr>
        <sz val="10"/>
        <rFont val="Arial"/>
        <family val="2"/>
      </rPr>
      <t>x RMS tol.</t>
    </r>
    <phoneticPr fontId="3"/>
  </si>
  <si>
    <r>
      <t>OC</t>
    </r>
    <r>
      <rPr>
        <sz val="10"/>
        <rFont val="Arial"/>
        <family val="2"/>
      </rPr>
      <t>P-DC by Rsense-max</t>
    </r>
    <r>
      <rPr>
        <sz val="10"/>
        <rFont val="Arial"/>
        <family val="2"/>
      </rPr>
      <t>_</t>
    </r>
    <r>
      <rPr>
        <sz val="10"/>
        <rFont val="Arial"/>
        <family val="2"/>
      </rPr>
      <t>L-max_</t>
    </r>
    <r>
      <rPr>
        <sz val="10"/>
        <rFont val="Arial"/>
        <family val="2"/>
      </rPr>
      <t>(A)</t>
    </r>
    <phoneticPr fontId="3"/>
  </si>
  <si>
    <r>
      <t>OC</t>
    </r>
    <r>
      <rPr>
        <sz val="10"/>
        <rFont val="Arial"/>
        <family val="2"/>
      </rPr>
      <t>P-peak by Rsense-max</t>
    </r>
    <r>
      <rPr>
        <sz val="10"/>
        <rFont val="Arial"/>
        <family val="2"/>
      </rPr>
      <t>_</t>
    </r>
    <r>
      <rPr>
        <sz val="10"/>
        <rFont val="Arial"/>
        <family val="2"/>
      </rPr>
      <t>L-max_</t>
    </r>
    <r>
      <rPr>
        <sz val="10"/>
        <rFont val="Arial"/>
        <family val="2"/>
      </rPr>
      <t>(A)</t>
    </r>
    <phoneticPr fontId="3"/>
  </si>
  <si>
    <r>
      <t>Iout(LL)-peak</t>
    </r>
    <r>
      <rPr>
        <sz val="10"/>
        <rFont val="Arial"/>
        <family val="2"/>
      </rPr>
      <t>_(A)</t>
    </r>
    <phoneticPr fontId="3"/>
  </si>
  <si>
    <r>
      <t>Iout(LL)-DC</t>
    </r>
    <r>
      <rPr>
        <sz val="10"/>
        <rFont val="Arial"/>
        <family val="2"/>
      </rPr>
      <t>_(A)</t>
    </r>
    <phoneticPr fontId="3"/>
  </si>
  <si>
    <r>
      <t>Jumper resistance for C-monitor</t>
    </r>
    <r>
      <rPr>
        <sz val="10"/>
        <rFont val="Arial"/>
        <family val="2"/>
      </rPr>
      <t>_(mohm)</t>
    </r>
    <phoneticPr fontId="3"/>
  </si>
  <si>
    <r>
      <t>DCR</t>
    </r>
    <r>
      <rPr>
        <sz val="10"/>
        <rFont val="Arial"/>
        <family val="2"/>
      </rPr>
      <t xml:space="preserve"> (typ)</t>
    </r>
    <r>
      <rPr>
        <sz val="10"/>
        <rFont val="Arial"/>
        <family val="2"/>
      </rPr>
      <t>_(mohm)</t>
    </r>
    <phoneticPr fontId="3"/>
  </si>
  <si>
    <r>
      <t>OC</t>
    </r>
    <r>
      <rPr>
        <sz val="10"/>
        <rFont val="Arial"/>
        <family val="2"/>
      </rPr>
      <t>P-DC/ Imax</t>
    </r>
    <r>
      <rPr>
        <sz val="10"/>
        <rFont val="Arial"/>
        <family val="2"/>
      </rPr>
      <t>_(</t>
    </r>
    <r>
      <rPr>
        <sz val="10"/>
        <rFont val="Arial"/>
        <family val="2"/>
      </rPr>
      <t>%</t>
    </r>
    <r>
      <rPr>
        <sz val="10"/>
        <rFont val="Arial"/>
        <family val="2"/>
      </rPr>
      <t>)</t>
    </r>
    <phoneticPr fontId="3"/>
  </si>
  <si>
    <r>
      <t>DCR</t>
    </r>
    <r>
      <rPr>
        <sz val="10"/>
        <rFont val="Arial"/>
        <family val="2"/>
      </rPr>
      <t xml:space="preserve"> (max)</t>
    </r>
    <r>
      <rPr>
        <sz val="10"/>
        <rFont val="Arial"/>
        <family val="2"/>
      </rPr>
      <t>_(mohm)</t>
    </r>
    <phoneticPr fontId="3"/>
  </si>
  <si>
    <r>
      <t>OC</t>
    </r>
    <r>
      <rPr>
        <sz val="10"/>
        <rFont val="Arial"/>
        <family val="2"/>
      </rPr>
      <t>P-DC</t>
    </r>
    <r>
      <rPr>
        <sz val="10"/>
        <rFont val="Arial"/>
        <family val="2"/>
      </rPr>
      <t>_(A)</t>
    </r>
    <r>
      <rPr>
        <sz val="10"/>
        <rFont val="Arial"/>
        <family val="2"/>
      </rPr>
      <t xml:space="preserve"> with (DCRmax, L-typ)</t>
    </r>
    <phoneticPr fontId="3"/>
  </si>
  <si>
    <r>
      <t>OC</t>
    </r>
    <r>
      <rPr>
        <sz val="10"/>
        <rFont val="Arial"/>
        <family val="2"/>
      </rPr>
      <t>P-DC with DCRmax/ Imax</t>
    </r>
    <r>
      <rPr>
        <sz val="10"/>
        <rFont val="Arial"/>
        <family val="2"/>
      </rPr>
      <t>_(</t>
    </r>
    <r>
      <rPr>
        <sz val="10"/>
        <rFont val="Arial"/>
        <family val="2"/>
      </rPr>
      <t>%</t>
    </r>
    <r>
      <rPr>
        <sz val="10"/>
        <rFont val="Arial"/>
        <family val="2"/>
      </rPr>
      <t>)</t>
    </r>
    <phoneticPr fontId="3"/>
  </si>
  <si>
    <r>
      <t>OC</t>
    </r>
    <r>
      <rPr>
        <sz val="10"/>
        <rFont val="Arial"/>
        <family val="2"/>
      </rPr>
      <t>P-DC</t>
    </r>
    <r>
      <rPr>
        <sz val="10"/>
        <rFont val="Arial"/>
        <family val="2"/>
      </rPr>
      <t>_(A)</t>
    </r>
    <r>
      <rPr>
        <sz val="10"/>
        <rFont val="Arial"/>
        <family val="2"/>
      </rPr>
      <t xml:space="preserve"> with (DCR-typ, L-min)</t>
    </r>
    <phoneticPr fontId="3"/>
  </si>
  <si>
    <r>
      <t>OC</t>
    </r>
    <r>
      <rPr>
        <sz val="10"/>
        <rFont val="Arial"/>
        <family val="2"/>
      </rPr>
      <t>P-DC</t>
    </r>
    <r>
      <rPr>
        <sz val="10"/>
        <rFont val="Arial"/>
        <family val="2"/>
      </rPr>
      <t>_(A)</t>
    </r>
    <r>
      <rPr>
        <sz val="10"/>
        <rFont val="Arial"/>
        <family val="2"/>
      </rPr>
      <t xml:space="preserve"> with (DCR-typ, L-typ)</t>
    </r>
    <phoneticPr fontId="3"/>
  </si>
  <si>
    <r>
      <t>OC</t>
    </r>
    <r>
      <rPr>
        <sz val="10"/>
        <rFont val="Arial"/>
        <family val="2"/>
      </rPr>
      <t>P-DC</t>
    </r>
    <r>
      <rPr>
        <sz val="10"/>
        <rFont val="Arial"/>
        <family val="2"/>
      </rPr>
      <t>_(A)</t>
    </r>
    <r>
      <rPr>
        <sz val="10"/>
        <rFont val="Arial"/>
        <family val="2"/>
      </rPr>
      <t xml:space="preserve"> with (DCR-typ, L-max)</t>
    </r>
    <phoneticPr fontId="3"/>
  </si>
  <si>
    <r>
      <t>I</t>
    </r>
    <r>
      <rPr>
        <sz val="10"/>
        <rFont val="Arial"/>
        <family val="2"/>
      </rPr>
      <t>ocl x 0.33_(</t>
    </r>
    <r>
      <rPr>
        <sz val="10"/>
        <rFont val="Arial"/>
        <family val="2"/>
      </rPr>
      <t>A)</t>
    </r>
    <r>
      <rPr>
        <sz val="10"/>
        <rFont val="Arial"/>
        <family val="2"/>
      </rPr>
      <t xml:space="preserve"> _add-div-R</t>
    </r>
    <phoneticPr fontId="3"/>
  </si>
  <si>
    <r>
      <t>Cap_for none-</t>
    </r>
    <r>
      <rPr>
        <sz val="10"/>
        <rFont val="Arial"/>
        <family val="2"/>
      </rPr>
      <t>droop_(</t>
    </r>
    <r>
      <rPr>
        <sz val="10"/>
        <rFont val="Arial"/>
        <family val="2"/>
      </rPr>
      <t>pF</t>
    </r>
    <r>
      <rPr>
        <sz val="10"/>
        <rFont val="Arial"/>
        <family val="2"/>
      </rPr>
      <t>)_C</t>
    </r>
    <r>
      <rPr>
        <sz val="10"/>
        <rFont val="Arial"/>
        <family val="2"/>
      </rPr>
      <t>alculated</t>
    </r>
    <phoneticPr fontId="3"/>
  </si>
  <si>
    <r>
      <t>R</t>
    </r>
    <r>
      <rPr>
        <sz val="10"/>
        <rFont val="Arial"/>
        <family val="2"/>
      </rPr>
      <t>s</t>
    </r>
    <r>
      <rPr>
        <sz val="10"/>
        <rFont val="Arial"/>
        <family val="2"/>
      </rPr>
      <t>_(</t>
    </r>
    <r>
      <rPr>
        <sz val="10"/>
        <rFont val="Arial"/>
        <family val="2"/>
      </rPr>
      <t>m-</t>
    </r>
    <r>
      <rPr>
        <sz val="10"/>
        <rFont val="Arial"/>
        <family val="2"/>
      </rPr>
      <t>ohm)_Calculated</t>
    </r>
    <r>
      <rPr>
        <sz val="10"/>
        <rFont val="Arial"/>
        <family val="2"/>
      </rPr>
      <t xml:space="preserve"> for table3</t>
    </r>
    <phoneticPr fontId="3"/>
  </si>
  <si>
    <r>
      <t>Rx</t>
    </r>
    <r>
      <rPr>
        <sz val="10"/>
        <rFont val="Arial"/>
        <family val="2"/>
      </rPr>
      <t>c</t>
    </r>
    <r>
      <rPr>
        <sz val="10"/>
        <rFont val="Arial"/>
        <family val="2"/>
      </rPr>
      <t>_(kohm)_Calculated</t>
    </r>
    <r>
      <rPr>
        <sz val="10"/>
        <rFont val="Arial"/>
        <family val="2"/>
      </rPr>
      <t xml:space="preserve"> for table3</t>
    </r>
    <phoneticPr fontId="3"/>
  </si>
  <si>
    <r>
      <t>Iout(LL)-peak_(A)</t>
    </r>
    <r>
      <rPr>
        <sz val="10"/>
        <rFont val="Arial"/>
        <family val="2"/>
      </rPr>
      <t>_</t>
    </r>
    <r>
      <rPr>
        <sz val="10"/>
        <rFont val="Arial"/>
        <family val="2"/>
      </rPr>
      <t>for table3</t>
    </r>
    <phoneticPr fontId="3"/>
  </si>
  <si>
    <r>
      <t>Iocp</t>
    </r>
    <r>
      <rPr>
        <sz val="10"/>
        <rFont val="Arial"/>
        <family val="2"/>
      </rPr>
      <t>_</t>
    </r>
    <r>
      <rPr>
        <sz val="10"/>
        <rFont val="Arial"/>
        <family val="2"/>
      </rPr>
      <t>DC</t>
    </r>
    <r>
      <rPr>
        <sz val="10"/>
        <rFont val="Arial"/>
        <family val="2"/>
      </rPr>
      <t>-min</t>
    </r>
    <r>
      <rPr>
        <sz val="10"/>
        <rFont val="Arial"/>
        <family val="2"/>
      </rPr>
      <t>_(A)</t>
    </r>
    <phoneticPr fontId="3"/>
  </si>
  <si>
    <r>
      <t>Iocp</t>
    </r>
    <r>
      <rPr>
        <sz val="10"/>
        <rFont val="Arial"/>
        <family val="2"/>
      </rPr>
      <t>_</t>
    </r>
    <r>
      <rPr>
        <sz val="10"/>
        <rFont val="Arial"/>
        <family val="2"/>
      </rPr>
      <t>DC</t>
    </r>
    <r>
      <rPr>
        <sz val="10"/>
        <rFont val="Arial"/>
        <family val="2"/>
      </rPr>
      <t>-typ</t>
    </r>
    <r>
      <rPr>
        <sz val="10"/>
        <rFont val="Arial"/>
        <family val="2"/>
      </rPr>
      <t>_(A)</t>
    </r>
    <phoneticPr fontId="3"/>
  </si>
  <si>
    <r>
      <t>Iocp</t>
    </r>
    <r>
      <rPr>
        <sz val="10"/>
        <rFont val="Arial"/>
        <family val="2"/>
      </rPr>
      <t>_</t>
    </r>
    <r>
      <rPr>
        <sz val="10"/>
        <rFont val="Arial"/>
        <family val="2"/>
      </rPr>
      <t>DC</t>
    </r>
    <r>
      <rPr>
        <sz val="10"/>
        <rFont val="Arial"/>
        <family val="2"/>
      </rPr>
      <t>-max</t>
    </r>
    <r>
      <rPr>
        <sz val="10"/>
        <rFont val="Arial"/>
        <family val="2"/>
      </rPr>
      <t>_(A)</t>
    </r>
    <phoneticPr fontId="3"/>
  </si>
  <si>
    <r>
      <t>Iocp</t>
    </r>
    <r>
      <rPr>
        <sz val="10"/>
        <rFont val="Arial"/>
        <family val="2"/>
      </rPr>
      <t>_peak-typ</t>
    </r>
    <r>
      <rPr>
        <sz val="10"/>
        <rFont val="Arial"/>
        <family val="2"/>
      </rPr>
      <t>_(A)</t>
    </r>
    <phoneticPr fontId="3"/>
  </si>
  <si>
    <r>
      <t>I(LL)peak at AS_(A)</t>
    </r>
    <r>
      <rPr>
        <sz val="10"/>
        <rFont val="Arial"/>
        <family val="2"/>
      </rPr>
      <t>_</t>
    </r>
    <r>
      <rPr>
        <sz val="10"/>
        <rFont val="Arial"/>
        <family val="2"/>
      </rPr>
      <t>for table3</t>
    </r>
    <phoneticPr fontId="3"/>
  </si>
  <si>
    <r>
      <t>Ton at I(LL)peak at AS_(usec)</t>
    </r>
    <r>
      <rPr>
        <sz val="10"/>
        <rFont val="Arial"/>
        <family val="2"/>
      </rPr>
      <t>_</t>
    </r>
    <r>
      <rPr>
        <sz val="10"/>
        <rFont val="Arial"/>
        <family val="2"/>
      </rPr>
      <t>for table3</t>
    </r>
    <phoneticPr fontId="3"/>
  </si>
  <si>
    <t>R2 (lower)</t>
  </si>
  <si>
    <t>R1 (upper)</t>
  </si>
  <si>
    <r>
      <t>V</t>
    </r>
    <r>
      <rPr>
        <sz val="10"/>
        <rFont val="Arial"/>
        <family val="2"/>
      </rPr>
      <t>ocl=31mV, Enable output-discharge</t>
    </r>
    <phoneticPr fontId="3"/>
  </si>
  <si>
    <t>1.9V &lt; &amp; 2.1V &gt;</t>
    <phoneticPr fontId="3"/>
  </si>
  <si>
    <t>3.2V &lt; &amp; 3.4V &gt;</t>
    <phoneticPr fontId="3"/>
  </si>
  <si>
    <t>3.8V &lt; &amp; 6.0V &gt;</t>
    <phoneticPr fontId="3"/>
  </si>
  <si>
    <t>&lt; 1.5V</t>
    <phoneticPr fontId="3"/>
  </si>
  <si>
    <t>Apply</t>
    <phoneticPr fontId="3"/>
  </si>
  <si>
    <t>TPS51220/ 221/ 220A: TRIP-pin connection</t>
    <phoneticPr fontId="3"/>
  </si>
  <si>
    <t>TPS51222: Fixed</t>
    <phoneticPr fontId="3"/>
  </si>
  <si>
    <t>Recommended fgv is less than fo/10</t>
    <phoneticPr fontId="3"/>
  </si>
  <si>
    <t>Cc; 10pF is good to start with.</t>
    <phoneticPr fontId="3"/>
  </si>
  <si>
    <r>
      <t>E</t>
    </r>
    <r>
      <rPr>
        <sz val="10"/>
        <rFont val="Arial"/>
        <family val="2"/>
      </rPr>
      <t>x-R wattage at Iomax</t>
    </r>
    <phoneticPr fontId="3"/>
  </si>
  <si>
    <r>
      <t>T</t>
    </r>
    <r>
      <rPr>
        <sz val="10"/>
        <rFont val="Arial"/>
        <family val="2"/>
      </rPr>
      <t>emp coefficient</t>
    </r>
    <phoneticPr fontId="3"/>
  </si>
  <si>
    <r>
      <t>T</t>
    </r>
    <r>
      <rPr>
        <sz val="10"/>
        <rFont val="Arial"/>
        <family val="2"/>
      </rPr>
      <t>emp Coefficient</t>
    </r>
    <phoneticPr fontId="3"/>
  </si>
  <si>
    <r>
      <t>p</t>
    </r>
    <r>
      <rPr>
        <sz val="10"/>
        <rFont val="Arial"/>
        <family val="2"/>
      </rPr>
      <t>pm/C</t>
    </r>
    <phoneticPr fontId="3"/>
  </si>
  <si>
    <t>CH1;</t>
    <phoneticPr fontId="3"/>
  </si>
  <si>
    <t>CH2;</t>
    <phoneticPr fontId="3"/>
  </si>
  <si>
    <t>W</t>
    <phoneticPr fontId="3"/>
  </si>
  <si>
    <r>
      <t>W</t>
    </r>
    <r>
      <rPr>
        <sz val="10"/>
        <rFont val="Arial"/>
        <family val="2"/>
      </rPr>
      <t>attage at Iout_max</t>
    </r>
    <phoneticPr fontId="3"/>
  </si>
  <si>
    <r>
      <t>W</t>
    </r>
    <r>
      <rPr>
        <sz val="10"/>
        <rFont val="Arial"/>
        <family val="2"/>
      </rPr>
      <t>attage at Iout_OCL</t>
    </r>
    <phoneticPr fontId="3"/>
  </si>
  <si>
    <r>
      <t>E</t>
    </r>
    <r>
      <rPr>
        <sz val="10"/>
        <rFont val="Arial"/>
        <family val="2"/>
      </rPr>
      <t>x-R wattage at Iout-OCL</t>
    </r>
    <phoneticPr fontId="3"/>
  </si>
  <si>
    <r>
      <t>E</t>
    </r>
    <r>
      <rPr>
        <sz val="10"/>
        <rFont val="Arial"/>
        <family val="2"/>
      </rPr>
      <t>x-R at Iomax, temp-typ</t>
    </r>
    <phoneticPr fontId="3"/>
  </si>
  <si>
    <r>
      <t>E</t>
    </r>
    <r>
      <rPr>
        <sz val="10"/>
        <rFont val="Arial"/>
        <family val="2"/>
      </rPr>
      <t>x-R at Iomax, temp-min</t>
    </r>
    <phoneticPr fontId="3"/>
  </si>
  <si>
    <r>
      <t>E</t>
    </r>
    <r>
      <rPr>
        <sz val="10"/>
        <rFont val="Arial"/>
        <family val="2"/>
      </rPr>
      <t>x-R at iomax, temp-max</t>
    </r>
    <phoneticPr fontId="3"/>
  </si>
  <si>
    <r>
      <t>E</t>
    </r>
    <r>
      <rPr>
        <sz val="10"/>
        <rFont val="Arial"/>
        <family val="2"/>
      </rPr>
      <t>x-R at Io-OCL, temp-typ</t>
    </r>
    <phoneticPr fontId="3"/>
  </si>
  <si>
    <r>
      <t>E</t>
    </r>
    <r>
      <rPr>
        <sz val="10"/>
        <rFont val="Arial"/>
        <family val="2"/>
      </rPr>
      <t>x-R at Io-OCL, temp-min</t>
    </r>
    <phoneticPr fontId="3"/>
  </si>
  <si>
    <r>
      <t>E</t>
    </r>
    <r>
      <rPr>
        <sz val="10"/>
        <rFont val="Arial"/>
        <family val="2"/>
      </rPr>
      <t>x-R at io-OCL, temp-max</t>
    </r>
    <phoneticPr fontId="3"/>
  </si>
  <si>
    <t>Around 140%of Iout_max</t>
    <phoneticPr fontId="3"/>
  </si>
  <si>
    <t>RMS error (L, Ex-R, fsw, Vocl+)</t>
    <phoneticPr fontId="3"/>
  </si>
  <si>
    <t>RMS error (L, Ex-R, fsw, Vocl-)</t>
    <phoneticPr fontId="3"/>
  </si>
  <si>
    <t>RMS error (Ex-R, Vocl+)</t>
    <phoneticPr fontId="3"/>
  </si>
  <si>
    <t>RMS error (Ex-R, Vocl-)</t>
    <phoneticPr fontId="3"/>
  </si>
  <si>
    <t>Cumulative error (Ex-R, Vocl+)</t>
    <phoneticPr fontId="3"/>
  </si>
  <si>
    <t>Vocl (0-85_60mV) plus</t>
    <phoneticPr fontId="3"/>
  </si>
  <si>
    <t>Vocl (0-85_60mV) minus</t>
    <phoneticPr fontId="3"/>
  </si>
  <si>
    <t>Vocl (0-85_31mV) plus</t>
    <phoneticPr fontId="3"/>
  </si>
  <si>
    <t>Vocl (0-85_31mV) minus</t>
    <phoneticPr fontId="3"/>
  </si>
  <si>
    <t>Vocl plus</t>
    <phoneticPr fontId="3"/>
  </si>
  <si>
    <t>Vocl minus</t>
    <phoneticPr fontId="3"/>
  </si>
  <si>
    <t>Cumulative error (Ex-R, Vocl-)</t>
    <phoneticPr fontId="3"/>
  </si>
  <si>
    <t>Cumulative error (L, fsw)</t>
    <phoneticPr fontId="3"/>
  </si>
  <si>
    <t>Error (L, fsw)</t>
    <phoneticPr fontId="3"/>
  </si>
  <si>
    <t>Error (Ex-R, Vocl+)</t>
    <phoneticPr fontId="3"/>
  </si>
  <si>
    <r>
      <t>O</t>
    </r>
    <r>
      <rPr>
        <sz val="10"/>
        <rFont val="Arial"/>
        <family val="2"/>
      </rPr>
      <t>CL (DC), Ta-typ, Vin-max (A)</t>
    </r>
    <phoneticPr fontId="3"/>
  </si>
  <si>
    <r>
      <t>O</t>
    </r>
    <r>
      <rPr>
        <sz val="10"/>
        <rFont val="Arial"/>
        <family val="2"/>
      </rPr>
      <t>CL (DC), Ta-min, Vin-min (A)</t>
    </r>
    <phoneticPr fontId="3"/>
  </si>
  <si>
    <r>
      <t>O</t>
    </r>
    <r>
      <rPr>
        <sz val="10"/>
        <rFont val="Arial"/>
        <family val="2"/>
      </rPr>
      <t>CL (DC), Ta-min, Vin-typ (A)</t>
    </r>
    <phoneticPr fontId="3"/>
  </si>
  <si>
    <r>
      <t>O</t>
    </r>
    <r>
      <rPr>
        <sz val="10"/>
        <rFont val="Arial"/>
        <family val="2"/>
      </rPr>
      <t>CL (DC), Ta-max, Vin-typ (A)</t>
    </r>
    <phoneticPr fontId="3"/>
  </si>
  <si>
    <t>Max vs. typ</t>
    <phoneticPr fontId="3"/>
  </si>
  <si>
    <t>Min vs. typ</t>
    <phoneticPr fontId="3"/>
  </si>
  <si>
    <r>
      <t>C</t>
    </r>
    <r>
      <rPr>
        <sz val="10"/>
        <rFont val="Arial"/>
        <family val="2"/>
      </rPr>
      <t>c2</t>
    </r>
    <r>
      <rPr>
        <sz val="10"/>
        <rFont val="Arial"/>
        <family val="2"/>
      </rPr>
      <t xml:space="preserve"> (suggested)</t>
    </r>
    <phoneticPr fontId="3"/>
  </si>
  <si>
    <r>
      <t>R</t>
    </r>
    <r>
      <rPr>
        <sz val="10"/>
        <rFont val="Arial"/>
        <family val="2"/>
      </rPr>
      <t>2 (lower)</t>
    </r>
    <phoneticPr fontId="3"/>
  </si>
  <si>
    <t>Iomax</t>
    <phoneticPr fontId="3"/>
  </si>
  <si>
    <t>typ</t>
    <phoneticPr fontId="3"/>
  </si>
  <si>
    <t>External Resistor Sensing</t>
    <phoneticPr fontId="3"/>
  </si>
  <si>
    <r>
      <t>I</t>
    </r>
    <r>
      <rPr>
        <sz val="10"/>
        <rFont val="Arial"/>
        <family val="2"/>
      </rPr>
      <t>nductance-cal; b</t>
    </r>
    <phoneticPr fontId="3"/>
  </si>
  <si>
    <r>
      <t>I</t>
    </r>
    <r>
      <rPr>
        <sz val="10"/>
        <rFont val="Arial"/>
        <family val="2"/>
      </rPr>
      <t>nductance-cal; c</t>
    </r>
    <phoneticPr fontId="3"/>
  </si>
  <si>
    <r>
      <t>I</t>
    </r>
    <r>
      <rPr>
        <sz val="10"/>
        <rFont val="Arial"/>
        <family val="2"/>
      </rPr>
      <t>nductance-cal; d</t>
    </r>
    <phoneticPr fontId="3"/>
  </si>
  <si>
    <r>
      <t>T</t>
    </r>
    <r>
      <rPr>
        <sz val="10"/>
        <rFont val="Arial"/>
        <family val="2"/>
      </rPr>
      <t>emp-raise: b</t>
    </r>
    <phoneticPr fontId="3"/>
  </si>
  <si>
    <r>
      <t>T</t>
    </r>
    <r>
      <rPr>
        <sz val="10"/>
        <rFont val="Arial"/>
        <family val="2"/>
      </rPr>
      <t>emp-raise: c</t>
    </r>
    <phoneticPr fontId="3"/>
  </si>
  <si>
    <r>
      <t>T</t>
    </r>
    <r>
      <rPr>
        <sz val="10"/>
        <rFont val="Arial"/>
        <family val="2"/>
      </rPr>
      <t>emp-raise: d</t>
    </r>
    <phoneticPr fontId="3"/>
  </si>
  <si>
    <r>
      <t>I</t>
    </r>
    <r>
      <rPr>
        <sz val="10"/>
        <rFont val="Arial"/>
        <family val="2"/>
      </rPr>
      <t>out-1</t>
    </r>
    <phoneticPr fontId="3"/>
  </si>
  <si>
    <r>
      <t>D</t>
    </r>
    <r>
      <rPr>
        <sz val="10"/>
        <rFont val="Arial"/>
        <family val="2"/>
      </rPr>
      <t>CR at Ta-typ</t>
    </r>
    <phoneticPr fontId="3"/>
  </si>
  <si>
    <r>
      <t>I</t>
    </r>
    <r>
      <rPr>
        <sz val="10"/>
        <rFont val="Arial"/>
        <family val="2"/>
      </rPr>
      <t>-ocl (DC) at Vin-min</t>
    </r>
    <phoneticPr fontId="3"/>
  </si>
  <si>
    <r>
      <t>I</t>
    </r>
    <r>
      <rPr>
        <sz val="10"/>
        <rFont val="Arial"/>
        <family val="2"/>
      </rPr>
      <t>-ocl (DC) at Vin-max</t>
    </r>
    <phoneticPr fontId="3"/>
  </si>
  <si>
    <r>
      <t>I</t>
    </r>
    <r>
      <rPr>
        <sz val="10"/>
        <rFont val="Arial"/>
        <family val="2"/>
      </rPr>
      <t>-ocl (DC) at Vin-min, Ta-min</t>
    </r>
    <phoneticPr fontId="3"/>
  </si>
  <si>
    <t>Iout-line</t>
    <phoneticPr fontId="3"/>
  </si>
  <si>
    <r>
      <t>E</t>
    </r>
    <r>
      <rPr>
        <sz val="10"/>
        <rFont val="Arial"/>
        <family val="2"/>
      </rPr>
      <t>x-R Wattage</t>
    </r>
    <phoneticPr fontId="3"/>
  </si>
  <si>
    <r>
      <t>E</t>
    </r>
    <r>
      <rPr>
        <sz val="10"/>
        <rFont val="Arial"/>
        <family val="2"/>
      </rPr>
      <t>x-R Temp-raise</t>
    </r>
    <phoneticPr fontId="3"/>
  </si>
  <si>
    <r>
      <t>E</t>
    </r>
    <r>
      <rPr>
        <sz val="10"/>
        <rFont val="Arial"/>
        <family val="2"/>
      </rPr>
      <t>x-R at Ta-typ</t>
    </r>
    <phoneticPr fontId="3"/>
  </si>
  <si>
    <r>
      <t>I</t>
    </r>
    <r>
      <rPr>
        <sz val="10"/>
        <rFont val="Arial"/>
        <family val="2"/>
      </rPr>
      <t>-ocl (DC) at Vin-min, Ta-typ</t>
    </r>
    <phoneticPr fontId="3"/>
  </si>
  <si>
    <r>
      <t>I</t>
    </r>
    <r>
      <rPr>
        <sz val="10"/>
        <rFont val="Arial"/>
        <family val="2"/>
      </rPr>
      <t>-ocl (DC) at Vin-max, Ta-typ</t>
    </r>
    <phoneticPr fontId="3"/>
  </si>
  <si>
    <r>
      <t>I</t>
    </r>
    <r>
      <rPr>
        <sz val="10"/>
        <rFont val="Arial"/>
        <family val="2"/>
      </rPr>
      <t>out-2</t>
    </r>
    <phoneticPr fontId="3"/>
  </si>
  <si>
    <r>
      <t>L</t>
    </r>
    <r>
      <rPr>
        <sz val="10"/>
        <rFont val="Arial"/>
        <family val="2"/>
      </rPr>
      <t xml:space="preserve"> (CH2)</t>
    </r>
    <phoneticPr fontId="3"/>
  </si>
  <si>
    <r>
      <t>Ex-R</t>
    </r>
    <r>
      <rPr>
        <sz val="10"/>
        <rFont val="Arial"/>
        <family val="2"/>
      </rPr>
      <t>s; a (C/W)</t>
    </r>
    <phoneticPr fontId="3"/>
  </si>
  <si>
    <r>
      <t>Cx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(nF)</t>
    </r>
    <r>
      <rPr>
        <sz val="10"/>
        <rFont val="Arial"/>
        <family val="2"/>
      </rPr>
      <t>: C4, C23</t>
    </r>
    <phoneticPr fontId="3"/>
  </si>
  <si>
    <r>
      <t>R</t>
    </r>
    <r>
      <rPr>
        <sz val="10"/>
        <rFont val="Arial"/>
        <family val="2"/>
      </rPr>
      <t>x set</t>
    </r>
    <phoneticPr fontId="3"/>
  </si>
  <si>
    <t>Error (Ex-R, Vocl-)</t>
    <phoneticPr fontId="3"/>
  </si>
  <si>
    <r>
      <t>O</t>
    </r>
    <r>
      <rPr>
        <sz val="10"/>
        <rFont val="Arial"/>
        <family val="2"/>
      </rPr>
      <t>CL (DC), Ta-typ, Vin-min (A)</t>
    </r>
    <phoneticPr fontId="3"/>
  </si>
  <si>
    <r>
      <t>O</t>
    </r>
    <r>
      <rPr>
        <sz val="10"/>
        <rFont val="Arial"/>
        <family val="2"/>
      </rPr>
      <t>CL (DC), Ta-typ, Vin-typ (A)</t>
    </r>
    <phoneticPr fontId="3"/>
  </si>
  <si>
    <r>
      <t>O</t>
    </r>
    <r>
      <rPr>
        <sz val="10"/>
        <rFont val="Arial"/>
        <family val="2"/>
      </rPr>
      <t>CL (DC), Ta-min, Vin-max (A)</t>
    </r>
    <phoneticPr fontId="3"/>
  </si>
  <si>
    <r>
      <t>O</t>
    </r>
    <r>
      <rPr>
        <sz val="10"/>
        <rFont val="Arial"/>
        <family val="2"/>
      </rPr>
      <t>CL (DC), Ta-max, Vin-min (A)</t>
    </r>
    <phoneticPr fontId="3"/>
  </si>
  <si>
    <r>
      <t>O</t>
    </r>
    <r>
      <rPr>
        <sz val="10"/>
        <rFont val="Arial"/>
        <family val="2"/>
      </rPr>
      <t>CL (DC), Ta-max, Vin-max (A)</t>
    </r>
    <phoneticPr fontId="3"/>
  </si>
  <si>
    <r>
      <t xml:space="preserve">w/ error </t>
    </r>
    <r>
      <rPr>
        <sz val="10"/>
        <rFont val="Arial"/>
        <family val="2"/>
      </rPr>
      <t>O</t>
    </r>
    <r>
      <rPr>
        <sz val="10"/>
        <rFont val="Arial"/>
        <family val="2"/>
      </rPr>
      <t>CL (DC), Ta-min, Vin-min (A)</t>
    </r>
    <phoneticPr fontId="3"/>
  </si>
  <si>
    <r>
      <t xml:space="preserve">w/ error </t>
    </r>
    <r>
      <rPr>
        <sz val="10"/>
        <rFont val="Arial"/>
        <family val="2"/>
      </rPr>
      <t>O</t>
    </r>
    <r>
      <rPr>
        <sz val="10"/>
        <rFont val="Arial"/>
        <family val="2"/>
      </rPr>
      <t>CL (DC), Ta-max, Vin-max (A)</t>
    </r>
    <phoneticPr fontId="3"/>
  </si>
  <si>
    <r>
      <t xml:space="preserve">Iout (ocl)_typ, </t>
    </r>
    <r>
      <rPr>
        <sz val="10"/>
        <rFont val="Arial"/>
        <family val="2"/>
      </rPr>
      <t>Vin_max, w/ temp</t>
    </r>
    <phoneticPr fontId="3"/>
  </si>
  <si>
    <r>
      <t>V</t>
    </r>
    <r>
      <rPr>
        <sz val="10"/>
        <rFont val="Arial"/>
        <family val="2"/>
      </rPr>
      <t>ocl=31mV, Disable output-discharge</t>
    </r>
    <phoneticPr fontId="3"/>
  </si>
  <si>
    <r>
      <t>V</t>
    </r>
    <r>
      <rPr>
        <sz val="10"/>
        <rFont val="Arial"/>
        <family val="2"/>
      </rPr>
      <t>ocl=60mV, Disable output-discharge</t>
    </r>
    <phoneticPr fontId="3"/>
  </si>
  <si>
    <r>
      <t>V</t>
    </r>
    <r>
      <rPr>
        <sz val="10"/>
        <rFont val="Arial"/>
        <family val="2"/>
      </rPr>
      <t>ocl=60mV, Enable output-discharge</t>
    </r>
    <phoneticPr fontId="3"/>
  </si>
  <si>
    <r>
      <t>Iocp</t>
    </r>
    <r>
      <rPr>
        <sz val="10"/>
        <rFont val="Arial"/>
        <family val="2"/>
      </rPr>
      <t>_peak</t>
    </r>
    <r>
      <rPr>
        <sz val="10"/>
        <rFont val="Arial"/>
        <family val="2"/>
      </rPr>
      <t>-max</t>
    </r>
    <r>
      <rPr>
        <sz val="10"/>
        <rFont val="Arial"/>
        <family val="2"/>
      </rPr>
      <t>_(A)</t>
    </r>
    <phoneticPr fontId="3"/>
  </si>
  <si>
    <r>
      <t>I(LL)peak at AS_</t>
    </r>
    <r>
      <rPr>
        <sz val="10"/>
        <rFont val="Arial"/>
        <family val="2"/>
      </rPr>
      <t xml:space="preserve">limit </t>
    </r>
    <r>
      <rPr>
        <sz val="10"/>
        <rFont val="Arial"/>
        <family val="2"/>
      </rPr>
      <t>(</t>
    </r>
    <r>
      <rPr>
        <sz val="10"/>
        <rFont val="Arial"/>
        <family val="2"/>
      </rPr>
      <t>%</t>
    </r>
    <r>
      <rPr>
        <sz val="10"/>
        <rFont val="Arial"/>
        <family val="2"/>
      </rPr>
      <t>)_</t>
    </r>
    <r>
      <rPr>
        <sz val="10"/>
        <rFont val="Arial"/>
        <family val="2"/>
      </rPr>
      <t>for table3</t>
    </r>
    <phoneticPr fontId="3"/>
  </si>
  <si>
    <t>I(LL)peak at Ton</t>
    <phoneticPr fontId="3"/>
  </si>
  <si>
    <r>
      <t>Rgv_(kohm)_Calculated_for table</t>
    </r>
    <r>
      <rPr>
        <sz val="10"/>
        <rFont val="Arial"/>
        <family val="2"/>
      </rPr>
      <t xml:space="preserve"> from 3</t>
    </r>
    <phoneticPr fontId="3"/>
  </si>
  <si>
    <r>
      <t>Vdroop_(mV)_C</t>
    </r>
    <r>
      <rPr>
        <sz val="10"/>
        <rFont val="Arial"/>
        <family val="2"/>
      </rPr>
      <t>alculated for table-3</t>
    </r>
    <phoneticPr fontId="3"/>
  </si>
  <si>
    <r>
      <t>Fo</t>
    </r>
    <r>
      <rPr>
        <sz val="10"/>
        <rFont val="Arial"/>
        <family val="2"/>
      </rPr>
      <t>_for table-3</t>
    </r>
    <phoneticPr fontId="3"/>
  </si>
  <si>
    <r>
      <t>Notes</t>
    </r>
    <r>
      <rPr>
        <sz val="10"/>
        <rFont val="Arial"/>
        <family val="2"/>
      </rPr>
      <t>_for table-3</t>
    </r>
    <phoneticPr fontId="3"/>
  </si>
  <si>
    <r>
      <t>Co_(uF)_Recommended &lt;Fsw/3</t>
    </r>
    <r>
      <rPr>
        <sz val="10"/>
        <rFont val="Arial"/>
        <family val="2"/>
      </rPr>
      <t>_for table from 3</t>
    </r>
    <phoneticPr fontId="3"/>
  </si>
  <si>
    <r>
      <t>Cc_(pF)_Calculated</t>
    </r>
    <r>
      <rPr>
        <sz val="10"/>
        <rFont val="Arial"/>
        <family val="2"/>
      </rPr>
      <t>_for table from3</t>
    </r>
    <phoneticPr fontId="3"/>
  </si>
  <si>
    <r>
      <t>Vripple_(mV)</t>
    </r>
    <r>
      <rPr>
        <sz val="10"/>
        <rFont val="Arial"/>
        <family val="2"/>
      </rPr>
      <t>_for table</t>
    </r>
    <phoneticPr fontId="3"/>
  </si>
  <si>
    <r>
      <t>Vripple_(mV)</t>
    </r>
    <r>
      <rPr>
        <sz val="10"/>
        <rFont val="Arial"/>
        <family val="2"/>
      </rPr>
      <t>_at VFB</t>
    </r>
    <phoneticPr fontId="3"/>
  </si>
  <si>
    <r>
      <t>I</t>
    </r>
    <r>
      <rPr>
        <sz val="10"/>
        <rFont val="Arial"/>
        <family val="2"/>
      </rPr>
      <t>ripple_for table from3</t>
    </r>
    <phoneticPr fontId="3"/>
  </si>
  <si>
    <r>
      <t>Vripple</t>
    </r>
    <r>
      <rPr>
        <sz val="10"/>
        <rFont val="Arial"/>
        <family val="2"/>
      </rPr>
      <t>-ramp/ Tsw</t>
    </r>
    <r>
      <rPr>
        <sz val="10"/>
        <rFont val="Arial"/>
        <family val="2"/>
      </rPr>
      <t>_(mV</t>
    </r>
    <r>
      <rPr>
        <sz val="10"/>
        <rFont val="Arial"/>
        <family val="2"/>
      </rPr>
      <t>/Tsw</t>
    </r>
    <r>
      <rPr>
        <sz val="10"/>
        <rFont val="Arial"/>
        <family val="2"/>
      </rPr>
      <t>)</t>
    </r>
    <r>
      <rPr>
        <sz val="10"/>
        <rFont val="Arial"/>
        <family val="2"/>
      </rPr>
      <t>-Recommended</t>
    </r>
    <phoneticPr fontId="3"/>
  </si>
  <si>
    <r>
      <t>ESR</t>
    </r>
    <r>
      <rPr>
        <sz val="10"/>
        <rFont val="Arial"/>
        <family val="2"/>
      </rPr>
      <t>_(</t>
    </r>
    <r>
      <rPr>
        <sz val="10"/>
        <rFont val="Arial"/>
        <family val="2"/>
      </rPr>
      <t>m-ohm</t>
    </r>
    <r>
      <rPr>
        <sz val="10"/>
        <rFont val="Arial"/>
        <family val="2"/>
      </rPr>
      <t>)_Recommended</t>
    </r>
    <r>
      <rPr>
        <sz val="10"/>
        <rFont val="Arial"/>
        <family val="2"/>
      </rPr>
      <t>_Vramp</t>
    </r>
    <phoneticPr fontId="3"/>
  </si>
  <si>
    <r>
      <t>ESR_(m-ohm)</t>
    </r>
    <r>
      <rPr>
        <sz val="10"/>
        <rFont val="Arial"/>
        <family val="2"/>
      </rPr>
      <t>_Recommended</t>
    </r>
    <phoneticPr fontId="3"/>
  </si>
  <si>
    <r>
      <t>ESR</t>
    </r>
    <r>
      <rPr>
        <sz val="10"/>
        <rFont val="Arial"/>
        <family val="2"/>
      </rPr>
      <t>_(</t>
    </r>
    <r>
      <rPr>
        <sz val="10"/>
        <rFont val="Arial"/>
        <family val="2"/>
      </rPr>
      <t>m-ohm</t>
    </r>
    <r>
      <rPr>
        <sz val="10"/>
        <rFont val="Arial"/>
        <family val="2"/>
      </rPr>
      <t>)_</t>
    </r>
    <r>
      <rPr>
        <sz val="10"/>
        <rFont val="Arial"/>
        <family val="2"/>
      </rPr>
      <t>Chosen</t>
    </r>
    <phoneticPr fontId="3"/>
  </si>
  <si>
    <r>
      <t>Vripple</t>
    </r>
    <r>
      <rPr>
        <sz val="10"/>
        <rFont val="Arial"/>
        <family val="2"/>
      </rPr>
      <t>_(mV</t>
    </r>
    <r>
      <rPr>
        <sz val="10"/>
        <rFont val="Arial"/>
        <family val="2"/>
      </rPr>
      <t>)</t>
    </r>
    <phoneticPr fontId="3"/>
  </si>
  <si>
    <r>
      <t>Vripple</t>
    </r>
    <r>
      <rPr>
        <sz val="10"/>
        <rFont val="Arial"/>
        <family val="2"/>
      </rPr>
      <t>-ramp at VFB</t>
    </r>
    <r>
      <rPr>
        <sz val="10"/>
        <rFont val="Arial"/>
        <family val="2"/>
      </rPr>
      <t>_(mV</t>
    </r>
    <r>
      <rPr>
        <sz val="10"/>
        <rFont val="Arial"/>
        <family val="2"/>
      </rPr>
      <t>)</t>
    </r>
    <phoneticPr fontId="3"/>
  </si>
  <si>
    <r>
      <t>Vripple</t>
    </r>
    <r>
      <rPr>
        <sz val="10"/>
        <rFont val="Arial"/>
        <family val="2"/>
      </rPr>
      <t>-ramp/ Tsw</t>
    </r>
    <r>
      <rPr>
        <sz val="10"/>
        <rFont val="Arial"/>
        <family val="2"/>
      </rPr>
      <t>_(mV</t>
    </r>
    <r>
      <rPr>
        <sz val="10"/>
        <rFont val="Arial"/>
        <family val="2"/>
      </rPr>
      <t>/Tsw</t>
    </r>
    <r>
      <rPr>
        <sz val="10"/>
        <rFont val="Arial"/>
        <family val="2"/>
      </rPr>
      <t>)</t>
    </r>
    <phoneticPr fontId="3"/>
  </si>
  <si>
    <r>
      <t>f</t>
    </r>
    <r>
      <rPr>
        <sz val="10"/>
        <rFont val="Arial"/>
        <family val="2"/>
      </rPr>
      <t>o_for D-CAP mode (kHz)</t>
    </r>
    <phoneticPr fontId="3"/>
  </si>
  <si>
    <r>
      <t>k</t>
    </r>
    <r>
      <rPr>
        <sz val="10"/>
        <rFont val="Arial"/>
        <family val="2"/>
      </rPr>
      <t xml:space="preserve"> factor</t>
    </r>
    <phoneticPr fontId="3"/>
  </si>
  <si>
    <r>
      <t>Co_(uF)_Recommended &lt;Fsw/</t>
    </r>
    <r>
      <rPr>
        <sz val="10"/>
        <rFont val="Arial"/>
        <family val="2"/>
      </rPr>
      <t>k</t>
    </r>
    <phoneticPr fontId="3"/>
  </si>
  <si>
    <r>
      <t>f</t>
    </r>
    <r>
      <rPr>
        <sz val="10"/>
        <rFont val="Arial"/>
        <family val="2"/>
      </rPr>
      <t>o/Fsw_(%)</t>
    </r>
    <phoneticPr fontId="3"/>
  </si>
  <si>
    <r>
      <t>C</t>
    </r>
    <r>
      <rPr>
        <sz val="10"/>
        <rFont val="Arial"/>
        <family val="2"/>
      </rPr>
      <t>in_(uF)</t>
    </r>
    <phoneticPr fontId="3"/>
  </si>
  <si>
    <r>
      <t>V</t>
    </r>
    <r>
      <rPr>
        <sz val="10"/>
        <rFont val="Arial"/>
        <family val="2"/>
      </rPr>
      <t>drop at Cin_(mV)</t>
    </r>
    <phoneticPr fontId="3"/>
  </si>
  <si>
    <t>None-droop Current mode</t>
    <phoneticPr fontId="3"/>
  </si>
  <si>
    <r>
      <t>I</t>
    </r>
    <r>
      <rPr>
        <sz val="10"/>
        <rFont val="Arial"/>
        <family val="2"/>
      </rPr>
      <t>ocl(peak)</t>
    </r>
    <phoneticPr fontId="3"/>
  </si>
  <si>
    <r>
      <t>R</t>
    </r>
    <r>
      <rPr>
        <sz val="10"/>
        <rFont val="Arial"/>
        <family val="2"/>
      </rPr>
      <t>gv_(kohm)_Calculated (less than)</t>
    </r>
    <phoneticPr fontId="3"/>
  </si>
  <si>
    <r>
      <t>R</t>
    </r>
    <r>
      <rPr>
        <sz val="10"/>
        <rFont val="Arial"/>
        <family val="2"/>
      </rPr>
      <t>gv_(kohm)_Recommended</t>
    </r>
    <phoneticPr fontId="3"/>
  </si>
  <si>
    <t>Cgv_(nF)_Calculated (more than)</t>
    <phoneticPr fontId="3"/>
  </si>
  <si>
    <r>
      <t>V</t>
    </r>
    <r>
      <rPr>
        <sz val="10"/>
        <rFont val="Arial"/>
        <family val="2"/>
      </rPr>
      <t>FB</t>
    </r>
    <r>
      <rPr>
        <sz val="10"/>
        <rFont val="Arial"/>
        <family val="2"/>
      </rPr>
      <t xml:space="preserve"> point signal (mV)</t>
    </r>
    <phoneticPr fontId="3"/>
  </si>
  <si>
    <t>6TPB330M</t>
    <phoneticPr fontId="3"/>
  </si>
  <si>
    <t>4TPE470ML</t>
    <phoneticPr fontId="3"/>
  </si>
  <si>
    <t>330uF/ 6.3V/ 40m-ohm</t>
    <phoneticPr fontId="3"/>
  </si>
  <si>
    <r>
      <t>4</t>
    </r>
    <r>
      <rPr>
        <sz val="10"/>
        <rFont val="Arial"/>
        <family val="2"/>
      </rPr>
      <t>70uF/ 4V/ 25m-ohm</t>
    </r>
    <phoneticPr fontId="3"/>
  </si>
  <si>
    <r>
      <t>H</t>
    </r>
    <r>
      <rPr>
        <sz val="10"/>
        <rFont val="Arial"/>
        <family val="2"/>
      </rPr>
      <t>igh side MOSFET</t>
    </r>
    <phoneticPr fontId="3"/>
  </si>
  <si>
    <r>
      <t>IR</t>
    </r>
    <r>
      <rPr>
        <sz val="10"/>
        <rFont val="Arial"/>
        <family val="2"/>
      </rPr>
      <t>F</t>
    </r>
    <r>
      <rPr>
        <sz val="10"/>
        <rFont val="Arial"/>
        <family val="2"/>
      </rPr>
      <t>7821 (9.5m-ohm)</t>
    </r>
    <phoneticPr fontId="3"/>
  </si>
  <si>
    <t>Low side MOSFET</t>
    <phoneticPr fontId="3"/>
  </si>
  <si>
    <r>
      <t>IR</t>
    </r>
    <r>
      <rPr>
        <sz val="10"/>
        <rFont val="Arial"/>
        <family val="2"/>
      </rPr>
      <t>F8113</t>
    </r>
    <r>
      <rPr>
        <sz val="10"/>
        <rFont val="Arial"/>
        <family val="2"/>
      </rPr>
      <t xml:space="preserve"> (</t>
    </r>
    <r>
      <rPr>
        <sz val="10"/>
        <rFont val="Arial"/>
        <family val="2"/>
      </rPr>
      <t>5.8</t>
    </r>
    <r>
      <rPr>
        <sz val="10"/>
        <rFont val="Arial"/>
        <family val="2"/>
      </rPr>
      <t>m-ohm)</t>
    </r>
    <phoneticPr fontId="3"/>
  </si>
  <si>
    <t>11. Input capacitance</t>
    <phoneticPr fontId="3"/>
  </si>
  <si>
    <r>
      <t>C</t>
    </r>
    <r>
      <rPr>
        <sz val="10"/>
        <rFont val="Arial"/>
        <family val="2"/>
      </rPr>
      <t>in at Vin(min)</t>
    </r>
    <phoneticPr fontId="3"/>
  </si>
  <si>
    <r>
      <t>C</t>
    </r>
    <r>
      <rPr>
        <sz val="10"/>
        <rFont val="Arial"/>
        <family val="2"/>
      </rPr>
      <t>in at Vin(max)</t>
    </r>
    <phoneticPr fontId="3"/>
  </si>
  <si>
    <r>
      <t>n</t>
    </r>
    <r>
      <rPr>
        <sz val="10"/>
        <rFont val="Arial"/>
        <family val="2"/>
      </rPr>
      <t>umber</t>
    </r>
    <phoneticPr fontId="3"/>
  </si>
  <si>
    <r>
      <t>V</t>
    </r>
    <r>
      <rPr>
        <sz val="10"/>
        <rFont val="Arial"/>
        <family val="2"/>
      </rPr>
      <t>dip at VIN</t>
    </r>
    <phoneticPr fontId="3"/>
  </si>
  <si>
    <r>
      <t>R</t>
    </r>
    <r>
      <rPr>
        <sz val="10"/>
        <rFont val="Arial"/>
        <family val="2"/>
      </rPr>
      <t>SM current/ Cin-pcs</t>
    </r>
    <phoneticPr fontId="3"/>
  </si>
  <si>
    <t>Note; Cin should have more RSM current ratings than this.</t>
    <phoneticPr fontId="3"/>
  </si>
  <si>
    <t>Note; Check the capacitance under voltage applied (don't use the value at 0V).</t>
    <phoneticPr fontId="3"/>
  </si>
  <si>
    <r>
      <t>R</t>
    </r>
    <r>
      <rPr>
        <sz val="10"/>
        <rFont val="Arial"/>
        <family val="2"/>
      </rPr>
      <t>ecommended ESR</t>
    </r>
    <r>
      <rPr>
        <sz val="10"/>
        <rFont val="Arial"/>
        <family val="2"/>
      </rPr>
      <t>(min)</t>
    </r>
    <phoneticPr fontId="3"/>
  </si>
  <si>
    <r>
      <t>R</t>
    </r>
    <r>
      <rPr>
        <sz val="10"/>
        <rFont val="Arial"/>
        <family val="2"/>
      </rPr>
      <t>ecommended Co (min)</t>
    </r>
    <phoneticPr fontId="3"/>
  </si>
  <si>
    <r>
      <t>fo (0-dB frequency)</t>
    </r>
    <r>
      <rPr>
        <sz val="10"/>
        <rFont val="Arial"/>
        <family val="2"/>
      </rPr>
      <t xml:space="preserve"> 
should be</t>
    </r>
    <phoneticPr fontId="3"/>
  </si>
  <si>
    <r>
      <t>I</t>
    </r>
    <r>
      <rPr>
        <sz val="6"/>
        <rFont val="Arial"/>
        <family val="2"/>
      </rPr>
      <t>IN_</t>
    </r>
    <r>
      <rPr>
        <sz val="10"/>
        <rFont val="Arial"/>
        <family val="2"/>
      </rPr>
      <t>(A_rms.)</t>
    </r>
    <phoneticPr fontId="3"/>
  </si>
  <si>
    <r>
      <t>Vsag-</t>
    </r>
    <r>
      <rPr>
        <sz val="10"/>
        <rFont val="Arial"/>
        <family val="2"/>
      </rPr>
      <t>m</t>
    </r>
    <r>
      <rPr>
        <sz val="10"/>
        <rFont val="Arial"/>
        <family val="2"/>
      </rPr>
      <t>ax1999_(mV)</t>
    </r>
    <phoneticPr fontId="3"/>
  </si>
  <si>
    <r>
      <t>Vsag-</t>
    </r>
    <r>
      <rPr>
        <sz val="10"/>
        <rFont val="Arial"/>
        <family val="2"/>
      </rPr>
      <t>m</t>
    </r>
    <r>
      <rPr>
        <sz val="10"/>
        <rFont val="Arial"/>
        <family val="2"/>
      </rPr>
      <t>ax8632_(mV)</t>
    </r>
    <phoneticPr fontId="3"/>
  </si>
  <si>
    <t>VREG5/ VREF2-ON and SMPS ready: Be more than 1.2V, less than 6V.</t>
    <phoneticPr fontId="3"/>
  </si>
  <si>
    <t>VREG5/ VREF2-OFF: Be less than 0.5V.</t>
    <phoneticPr fontId="3"/>
  </si>
  <si>
    <t>EN</t>
    <phoneticPr fontId="3"/>
  </si>
  <si>
    <t>VFB-ripple at Vinmax &amp; Iomax (mV)</t>
    <phoneticPr fontId="3"/>
  </si>
  <si>
    <r>
      <t>f</t>
    </r>
    <r>
      <rPr>
        <sz val="10"/>
        <rFont val="Arial"/>
        <family val="2"/>
      </rPr>
      <t>o (kHz): Calculated</t>
    </r>
    <phoneticPr fontId="3"/>
  </si>
  <si>
    <t>H/S FET_Delta-T</t>
    <phoneticPr fontId="3"/>
  </si>
  <si>
    <t>Rx; Chosen/ Target_(ohm)</t>
    <phoneticPr fontId="3"/>
  </si>
  <si>
    <t>TC; Rx, Rc&amp;Cx/ Lx&amp;DCR</t>
    <phoneticPr fontId="3"/>
  </si>
  <si>
    <t>Choose Rgv first</t>
    <phoneticPr fontId="3"/>
  </si>
  <si>
    <r>
      <t>V</t>
    </r>
    <r>
      <rPr>
        <sz val="10"/>
        <rFont val="Arial"/>
        <family val="2"/>
      </rPr>
      <t xml:space="preserve"> at Rgv by I-comp_(V)</t>
    </r>
    <phoneticPr fontId="3"/>
  </si>
  <si>
    <t>L/S FET_Vf-cond-loss_Vinmin</t>
    <phoneticPr fontId="3"/>
  </si>
  <si>
    <t>L/S FET_all-loss_Vinmin</t>
    <phoneticPr fontId="3"/>
  </si>
  <si>
    <t>Electrical characteristics</t>
    <phoneticPr fontId="3"/>
  </si>
  <si>
    <t>Reference Voltage_(V)</t>
    <phoneticPr fontId="3"/>
  </si>
  <si>
    <r>
      <t>Vocl_(mV)</t>
    </r>
    <r>
      <rPr>
        <sz val="10"/>
        <rFont val="Arial"/>
        <family val="2"/>
      </rPr>
      <t>_0-85</t>
    </r>
    <phoneticPr fontId="3"/>
  </si>
  <si>
    <r>
      <t>C</t>
    </r>
    <r>
      <rPr>
        <sz val="10"/>
        <rFont val="Arial"/>
        <family val="2"/>
      </rPr>
      <t>lock</t>
    </r>
    <phoneticPr fontId="3"/>
  </si>
  <si>
    <r>
      <t>I</t>
    </r>
    <r>
      <rPr>
        <sz val="10"/>
        <rFont val="Arial"/>
        <family val="2"/>
      </rPr>
      <t>nternal</t>
    </r>
    <phoneticPr fontId="3"/>
  </si>
  <si>
    <r>
      <t>E</t>
    </r>
    <r>
      <rPr>
        <sz val="10"/>
        <rFont val="Arial"/>
        <family val="2"/>
      </rPr>
      <t>xternal</t>
    </r>
    <phoneticPr fontId="3"/>
  </si>
  <si>
    <r>
      <t>C</t>
    </r>
    <r>
      <rPr>
        <sz val="10"/>
        <rFont val="Arial"/>
        <family val="2"/>
      </rPr>
      <t>urrent sensing</t>
    </r>
    <phoneticPr fontId="3"/>
  </si>
  <si>
    <r>
      <t>D</t>
    </r>
    <r>
      <rPr>
        <sz val="10"/>
        <rFont val="Arial"/>
        <family val="2"/>
      </rPr>
      <t>CR (+R-divider)</t>
    </r>
    <phoneticPr fontId="3"/>
  </si>
  <si>
    <r>
      <t>E</t>
    </r>
    <r>
      <rPr>
        <sz val="10"/>
        <rFont val="Arial"/>
        <family val="2"/>
      </rPr>
      <t>xt. Resistor</t>
    </r>
    <phoneticPr fontId="3"/>
  </si>
  <si>
    <r>
      <t>T</t>
    </r>
    <r>
      <rPr>
        <sz val="10"/>
        <rFont val="Arial"/>
        <family val="2"/>
      </rPr>
      <t>a_(ns)</t>
    </r>
    <phoneticPr fontId="3"/>
  </si>
  <si>
    <r>
      <t>D</t>
    </r>
    <r>
      <rPr>
        <sz val="10"/>
        <rFont val="Arial"/>
        <family val="2"/>
      </rPr>
      <t>ead time_(ns)</t>
    </r>
    <phoneticPr fontId="3"/>
  </si>
  <si>
    <r>
      <t>I</t>
    </r>
    <r>
      <rPr>
        <sz val="10"/>
        <rFont val="Arial"/>
        <family val="2"/>
      </rPr>
      <t>ocp/Iout</t>
    </r>
    <phoneticPr fontId="3"/>
  </si>
  <si>
    <r>
      <t>I</t>
    </r>
    <r>
      <rPr>
        <sz val="10"/>
        <rFont val="Arial"/>
        <family val="2"/>
      </rPr>
      <t>ocp_(A)</t>
    </r>
    <phoneticPr fontId="3"/>
  </si>
  <si>
    <r>
      <t>I</t>
    </r>
    <r>
      <rPr>
        <sz val="10"/>
        <rFont val="Arial"/>
        <family val="2"/>
      </rPr>
      <t>trip_(A)</t>
    </r>
    <phoneticPr fontId="3"/>
  </si>
  <si>
    <r>
      <t>I</t>
    </r>
    <r>
      <rPr>
        <sz val="10"/>
        <rFont val="Arial"/>
        <family val="2"/>
      </rPr>
      <t>trip / Iout should be approximately 1.5 to 1.7</t>
    </r>
    <phoneticPr fontId="3"/>
  </si>
  <si>
    <r>
      <t>R</t>
    </r>
    <r>
      <rPr>
        <sz val="10"/>
        <rFont val="Arial"/>
        <family val="2"/>
      </rPr>
      <t>2/(R1+R2)</t>
    </r>
    <phoneticPr fontId="3"/>
  </si>
  <si>
    <r>
      <t>Vout_(V)</t>
    </r>
    <r>
      <rPr>
        <sz val="10"/>
        <rFont val="Arial"/>
        <family val="2"/>
      </rPr>
      <t>_results_VREFmin</t>
    </r>
    <phoneticPr fontId="3"/>
  </si>
  <si>
    <r>
      <t>Vout_(V)</t>
    </r>
    <r>
      <rPr>
        <sz val="10"/>
        <rFont val="Arial"/>
        <family val="2"/>
      </rPr>
      <t>_results_VREFtyp</t>
    </r>
    <phoneticPr fontId="3"/>
  </si>
  <si>
    <r>
      <t>Vout_(V)</t>
    </r>
    <r>
      <rPr>
        <sz val="10"/>
        <rFont val="Arial"/>
        <family val="2"/>
      </rPr>
      <t>_results_VREFmax</t>
    </r>
    <phoneticPr fontId="3"/>
  </si>
  <si>
    <r>
      <t>Vout_(V)</t>
    </r>
    <r>
      <rPr>
        <sz val="10"/>
        <rFont val="Arial"/>
        <family val="2"/>
      </rPr>
      <t>_with droop_at Ioutmax_VREFmin</t>
    </r>
    <phoneticPr fontId="3"/>
  </si>
  <si>
    <r>
      <t>Vout_(V)</t>
    </r>
    <r>
      <rPr>
        <sz val="10"/>
        <rFont val="Arial"/>
        <family val="2"/>
      </rPr>
      <t>_with droop_at Ioutmax_VREFtyp</t>
    </r>
    <phoneticPr fontId="3"/>
  </si>
  <si>
    <r>
      <t>Vout_(V)</t>
    </r>
    <r>
      <rPr>
        <sz val="10"/>
        <rFont val="Arial"/>
        <family val="2"/>
      </rPr>
      <t>_with droop_at Ioutmax_VREFmax</t>
    </r>
    <phoneticPr fontId="3"/>
  </si>
  <si>
    <t>Switching Frequency_(kHz)_result</t>
    <phoneticPr fontId="3"/>
  </si>
  <si>
    <t>Vocl_(mV)_min</t>
    <phoneticPr fontId="3"/>
  </si>
  <si>
    <t>Vocl_(mV)_typ</t>
    <phoneticPr fontId="3"/>
  </si>
  <si>
    <t>Vocl_(mV)_max</t>
    <phoneticPr fontId="3"/>
  </si>
  <si>
    <r>
      <t>Switching Frequency_(kHz)</t>
    </r>
    <r>
      <rPr>
        <sz val="10"/>
        <rFont val="Arial"/>
        <family val="2"/>
      </rPr>
      <t>_for calculation</t>
    </r>
    <phoneticPr fontId="3"/>
  </si>
  <si>
    <r>
      <t>Rs_</t>
    </r>
    <r>
      <rPr>
        <sz val="10"/>
        <rFont val="Arial"/>
        <family val="2"/>
      </rPr>
      <t>tolerance_(%)</t>
    </r>
    <phoneticPr fontId="3"/>
  </si>
  <si>
    <t>Er1; Vocl&amp;Rex_Intgrated_error</t>
    <phoneticPr fontId="3"/>
  </si>
  <si>
    <r>
      <t>L_(uH)</t>
    </r>
    <r>
      <rPr>
        <sz val="10"/>
        <rFont val="Arial"/>
        <family val="2"/>
      </rPr>
      <t xml:space="preserve"> at OCL from graph</t>
    </r>
    <phoneticPr fontId="3"/>
  </si>
  <si>
    <t>Itrip / Iout should be approximately 1.5 to 1.7</t>
    <phoneticPr fontId="3"/>
  </si>
  <si>
    <t>Cx_(nF)</t>
    <phoneticPr fontId="3"/>
  </si>
  <si>
    <t>Rx_(kohm)_Calculated</t>
    <phoneticPr fontId="3"/>
  </si>
  <si>
    <r>
      <t>Rx_(kohm)_C</t>
    </r>
    <r>
      <rPr>
        <sz val="10"/>
        <rFont val="Arial"/>
        <family val="2"/>
      </rPr>
      <t>hosen</t>
    </r>
    <phoneticPr fontId="3"/>
  </si>
  <si>
    <t>Inductor-DC resistance (w/ temp. coefficient)</t>
    <phoneticPr fontId="3"/>
  </si>
  <si>
    <t>DCR at 20 Deg-C (m-ohm)</t>
    <phoneticPr fontId="3"/>
  </si>
  <si>
    <t>Temp. (environment)</t>
    <phoneticPr fontId="3"/>
  </si>
  <si>
    <t>Temp. (rise)</t>
    <phoneticPr fontId="3"/>
  </si>
  <si>
    <t>DCR at Temp. (m-ohm)</t>
    <phoneticPr fontId="3"/>
  </si>
  <si>
    <t>Temp-coefficient</t>
    <phoneticPr fontId="3"/>
  </si>
  <si>
    <r>
      <t>L_(uH)</t>
    </r>
    <r>
      <rPr>
        <sz val="10"/>
        <rFont val="Arial"/>
        <family val="2"/>
      </rPr>
      <t xml:space="preserve"> at Imax from graph</t>
    </r>
    <phoneticPr fontId="3"/>
  </si>
  <si>
    <r>
      <t xml:space="preserve">Rsense_(mohm): </t>
    </r>
    <r>
      <rPr>
        <sz val="10"/>
        <rFont val="Arial"/>
        <family val="2"/>
      </rPr>
      <t>recommended_worst-LF</t>
    </r>
    <phoneticPr fontId="3"/>
  </si>
  <si>
    <r>
      <t xml:space="preserve">Rsense_(mohm): </t>
    </r>
    <r>
      <rPr>
        <sz val="10"/>
        <rFont val="Arial"/>
        <family val="2"/>
      </rPr>
      <t>recommended</t>
    </r>
    <phoneticPr fontId="3"/>
  </si>
  <si>
    <r>
      <t>I</t>
    </r>
    <r>
      <rPr>
        <sz val="10"/>
        <rFont val="Arial"/>
        <family val="2"/>
      </rPr>
      <t>out (DC)_(A)_typ</t>
    </r>
    <phoneticPr fontId="3"/>
  </si>
  <si>
    <r>
      <t>I</t>
    </r>
    <r>
      <rPr>
        <sz val="10"/>
        <rFont val="Arial"/>
        <family val="2"/>
      </rPr>
      <t>out (DC)_(A)_min</t>
    </r>
    <phoneticPr fontId="3"/>
  </si>
  <si>
    <r>
      <t>Iout (DC)_(A)_m</t>
    </r>
    <r>
      <rPr>
        <sz val="10"/>
        <rFont val="Arial"/>
        <family val="2"/>
      </rPr>
      <t>ax</t>
    </r>
    <phoneticPr fontId="3"/>
  </si>
  <si>
    <t>Er1_RMS_error_Vocl&amp;Rex</t>
    <phoneticPr fontId="3"/>
  </si>
  <si>
    <t>Er2_RMS_error_Fsw&amp;L</t>
    <phoneticPr fontId="3"/>
  </si>
  <si>
    <r>
      <t>Target OCL (DC)</t>
    </r>
    <r>
      <rPr>
        <sz val="10"/>
        <rFont val="Arial"/>
        <family val="2"/>
      </rPr>
      <t>_RMS_error</t>
    </r>
    <phoneticPr fontId="3"/>
  </si>
  <si>
    <r>
      <t xml:space="preserve">Target </t>
    </r>
    <r>
      <rPr>
        <sz val="10"/>
        <rFont val="Arial"/>
        <family val="2"/>
      </rPr>
      <t>Rs</t>
    </r>
    <r>
      <rPr>
        <sz val="10"/>
        <rFont val="Arial"/>
        <family val="2"/>
      </rPr>
      <t>_Intgrated_error_min</t>
    </r>
    <phoneticPr fontId="3"/>
  </si>
  <si>
    <r>
      <t xml:space="preserve">Target </t>
    </r>
    <r>
      <rPr>
        <sz val="10"/>
        <rFont val="Arial"/>
        <family val="2"/>
      </rPr>
      <t>Rs_Intgrated_error_typ</t>
    </r>
    <phoneticPr fontId="3"/>
  </si>
  <si>
    <r>
      <t xml:space="preserve">Target </t>
    </r>
    <r>
      <rPr>
        <sz val="10"/>
        <rFont val="Arial"/>
        <family val="2"/>
      </rPr>
      <t>Rs_Intgrated_error_max</t>
    </r>
    <phoneticPr fontId="3"/>
  </si>
  <si>
    <r>
      <t>Iout (DC)_(A)_m</t>
    </r>
    <r>
      <rPr>
        <sz val="10"/>
        <rFont val="Arial"/>
        <family val="2"/>
      </rPr>
      <t>in</t>
    </r>
    <phoneticPr fontId="3"/>
  </si>
  <si>
    <r>
      <t>K</t>
    </r>
    <r>
      <rPr>
        <sz val="10"/>
        <rFont val="Arial"/>
        <family val="2"/>
      </rPr>
      <t>-factor</t>
    </r>
    <phoneticPr fontId="3"/>
  </si>
  <si>
    <t>L_(uH): Recommended about all VIN</t>
    <phoneticPr fontId="3"/>
  </si>
  <si>
    <r>
      <t>L_(uH): Recommended</t>
    </r>
    <r>
      <rPr>
        <sz val="10"/>
        <rFont val="Arial"/>
        <family val="2"/>
      </rPr>
      <t xml:space="preserve"> (average of high/low)</t>
    </r>
    <phoneticPr fontId="3"/>
  </si>
  <si>
    <t>Ex-R sensing</t>
    <phoneticPr fontId="3"/>
  </si>
  <si>
    <t>Target OCL(DC)_(A)</t>
    <phoneticPr fontId="3"/>
  </si>
  <si>
    <r>
      <t xml:space="preserve">Rsense_(mohm): </t>
    </r>
    <r>
      <rPr>
        <sz val="10"/>
        <rFont val="Arial"/>
        <family val="2"/>
      </rPr>
      <t>Calculated</t>
    </r>
    <phoneticPr fontId="3"/>
  </si>
  <si>
    <r>
      <t xml:space="preserve">Rsense_(mohm): </t>
    </r>
    <r>
      <rPr>
        <sz val="10"/>
        <rFont val="Arial"/>
        <family val="2"/>
      </rPr>
      <t>Recommended</t>
    </r>
    <phoneticPr fontId="3"/>
  </si>
  <si>
    <r>
      <t>OC</t>
    </r>
    <r>
      <rPr>
        <sz val="10"/>
        <rFont val="Arial"/>
        <family val="2"/>
      </rPr>
      <t>P-DC/ Ioutmax_(%)</t>
    </r>
    <phoneticPr fontId="3"/>
  </si>
  <si>
    <r>
      <t>N</t>
    </r>
    <r>
      <rPr>
        <sz val="10"/>
        <rFont val="Arial"/>
        <family val="2"/>
      </rPr>
      <t>otes</t>
    </r>
    <phoneticPr fontId="3"/>
  </si>
  <si>
    <r>
      <t>L</t>
    </r>
    <r>
      <rPr>
        <sz val="10"/>
        <rFont val="Arial"/>
        <family val="2"/>
      </rPr>
      <t>oss of Rsense at Iomax_(mW)</t>
    </r>
    <phoneticPr fontId="3"/>
  </si>
  <si>
    <r>
      <t>V</t>
    </r>
    <r>
      <rPr>
        <sz val="10"/>
        <rFont val="Arial"/>
        <family val="2"/>
      </rPr>
      <t>droop_(mV)_Chosen</t>
    </r>
    <phoneticPr fontId="3"/>
  </si>
  <si>
    <r>
      <t>R</t>
    </r>
    <r>
      <rPr>
        <sz val="10"/>
        <rFont val="Arial"/>
        <family val="2"/>
      </rPr>
      <t>gv_(kohm)_Calculated</t>
    </r>
    <phoneticPr fontId="3"/>
  </si>
  <si>
    <r>
      <t>R</t>
    </r>
    <r>
      <rPr>
        <sz val="10"/>
        <rFont val="Arial"/>
        <family val="2"/>
      </rPr>
      <t>gv_(kohm)_Chosen</t>
    </r>
    <phoneticPr fontId="3"/>
  </si>
  <si>
    <r>
      <t>Vdroop_(mV)_C</t>
    </r>
    <r>
      <rPr>
        <sz val="10"/>
        <rFont val="Arial"/>
        <family val="2"/>
      </rPr>
      <t>alculated</t>
    </r>
    <phoneticPr fontId="3"/>
  </si>
  <si>
    <t>Co_(uF)</t>
    <phoneticPr fontId="3"/>
  </si>
  <si>
    <t>ESR_(mohm)</t>
    <phoneticPr fontId="3"/>
  </si>
  <si>
    <t>fo_(kHz)_Calculated</t>
    <phoneticPr fontId="3"/>
  </si>
  <si>
    <t>Co_(uF)_Calculated &lt;Fsw/3</t>
    <phoneticPr fontId="3"/>
  </si>
  <si>
    <t>Co_(uF)_Recommended &lt;Fsw/3</t>
    <phoneticPr fontId="3"/>
  </si>
  <si>
    <t>Cc_(pF)_Calculated</t>
    <phoneticPr fontId="3"/>
  </si>
  <si>
    <t>DCR sensing</t>
    <phoneticPr fontId="3"/>
  </si>
  <si>
    <t>Inductance_(uH)</t>
    <phoneticPr fontId="3"/>
  </si>
  <si>
    <t>Itrip-peak_(A)</t>
    <phoneticPr fontId="3"/>
  </si>
  <si>
    <r>
      <t>Itrip-peak_(A)</t>
    </r>
    <r>
      <rPr>
        <sz val="10"/>
        <rFont val="Arial"/>
        <family val="2"/>
      </rPr>
      <t xml:space="preserve"> with DCRmax</t>
    </r>
    <phoneticPr fontId="3"/>
  </si>
  <si>
    <r>
      <t>Iout(LL)-peak_(A)</t>
    </r>
    <r>
      <rPr>
        <sz val="10"/>
        <rFont val="Arial"/>
        <family val="2"/>
      </rPr>
      <t xml:space="preserve"> at DCR-only</t>
    </r>
    <phoneticPr fontId="3"/>
  </si>
  <si>
    <r>
      <t>Iout(LL)-peak_(A)</t>
    </r>
    <r>
      <rPr>
        <sz val="10"/>
        <rFont val="Arial"/>
        <family val="2"/>
      </rPr>
      <t xml:space="preserve"> _add-div-R</t>
    </r>
    <phoneticPr fontId="3"/>
  </si>
  <si>
    <r>
      <t>Rx_(kohm)_C</t>
    </r>
    <r>
      <rPr>
        <sz val="10"/>
        <rFont val="Arial"/>
        <family val="2"/>
      </rPr>
      <t>hoosen</t>
    </r>
    <phoneticPr fontId="3"/>
  </si>
  <si>
    <r>
      <t>L</t>
    </r>
    <r>
      <rPr>
        <sz val="10"/>
        <rFont val="Arial"/>
        <family val="2"/>
      </rPr>
      <t>/ DCR</t>
    </r>
    <phoneticPr fontId="3"/>
  </si>
  <si>
    <r>
      <t>C</t>
    </r>
    <r>
      <rPr>
        <sz val="10"/>
        <rFont val="Arial"/>
        <family val="2"/>
      </rPr>
      <t>x x Rx</t>
    </r>
    <phoneticPr fontId="3"/>
  </si>
  <si>
    <t>DCR sensing + R-divider</t>
    <phoneticPr fontId="3"/>
  </si>
  <si>
    <t>Target OCL (DC)_(A)</t>
    <phoneticPr fontId="3"/>
  </si>
  <si>
    <t>Target Rocl_(m-ohm)</t>
    <phoneticPr fontId="3"/>
  </si>
  <si>
    <t>Target rate of Rx1//Rxc</t>
    <phoneticPr fontId="3"/>
  </si>
  <si>
    <t>Target rate of Rxc/(Rxc+Rx1)</t>
    <phoneticPr fontId="3"/>
  </si>
  <si>
    <t>Target rate of Rxc/(Rx1+Rxc) for CS</t>
    <phoneticPr fontId="3"/>
  </si>
  <si>
    <t>Target rate of Rx1//Rxc for TC</t>
    <phoneticPr fontId="3"/>
  </si>
  <si>
    <t>Rx1_(kohm)_Recommended</t>
    <phoneticPr fontId="3"/>
  </si>
  <si>
    <t>Rx1_(kohm)_Chosen</t>
    <phoneticPr fontId="3"/>
  </si>
  <si>
    <t>Rxc_(kohm)_Recommended-CS</t>
    <phoneticPr fontId="3"/>
  </si>
  <si>
    <t>Rxc_(kohm)_Recommended-TC</t>
    <phoneticPr fontId="3"/>
  </si>
  <si>
    <t>Rxc_(kohm)_Chosen</t>
    <phoneticPr fontId="3"/>
  </si>
  <si>
    <t>Rocl_(m-ohm)_Calculated</t>
    <phoneticPr fontId="3"/>
  </si>
  <si>
    <t>OCL (peak)_(A)_Calculated</t>
    <phoneticPr fontId="3"/>
  </si>
  <si>
    <t>OCL (DC)_(A)_Calculated</t>
    <phoneticPr fontId="3"/>
  </si>
  <si>
    <t>Rxc_(kohm)_Recommended</t>
    <phoneticPr fontId="3"/>
  </si>
  <si>
    <t>L/ DCR</t>
    <phoneticPr fontId="3"/>
  </si>
  <si>
    <t>Cx /(1/Rx1+1/Rx2)</t>
    <phoneticPr fontId="3"/>
  </si>
  <si>
    <r>
      <t>C</t>
    </r>
    <r>
      <rPr>
        <sz val="10"/>
        <rFont val="Arial"/>
        <family val="2"/>
      </rPr>
      <t>omp/ inductor</t>
    </r>
    <phoneticPr fontId="3"/>
  </si>
  <si>
    <t>Rocl with DCR-max_(m-ohm)_Calculated</t>
    <phoneticPr fontId="3"/>
  </si>
  <si>
    <t>OCL (DC with DCR-max)_(A)_Calculated</t>
    <phoneticPr fontId="3"/>
  </si>
  <si>
    <t>Notes</t>
    <phoneticPr fontId="3"/>
  </si>
  <si>
    <r>
      <t>Rx_(kohm)_Calculated</t>
    </r>
    <r>
      <rPr>
        <sz val="10"/>
        <rFont val="Arial"/>
        <family val="2"/>
      </rPr>
      <t xml:space="preserve"> for table3</t>
    </r>
    <phoneticPr fontId="3"/>
  </si>
  <si>
    <r>
      <t>Notes</t>
    </r>
    <r>
      <rPr>
        <sz val="10"/>
        <rFont val="Arial"/>
        <family val="2"/>
      </rPr>
      <t>_for table from 3</t>
    </r>
    <phoneticPr fontId="3"/>
  </si>
  <si>
    <t>Check list of the TPS51220A</t>
    <phoneticPr fontId="3"/>
  </si>
  <si>
    <r>
      <t>S</t>
    </r>
    <r>
      <rPr>
        <sz val="10"/>
        <rFont val="Arial"/>
        <family val="2"/>
      </rPr>
      <t>ub-harmonic</t>
    </r>
    <phoneticPr fontId="3"/>
  </si>
  <si>
    <t>6-3. Calculate the time constant of inductor (Indactance and DCR)</t>
    <phoneticPr fontId="3"/>
  </si>
  <si>
    <t>Auto-skip; Iomax-min rate vs CCM (%)</t>
    <phoneticPr fontId="3"/>
  </si>
  <si>
    <t>Contributory rate of 0.5xI-ind ripple (%)</t>
    <phoneticPr fontId="3"/>
  </si>
  <si>
    <t>Auto-skip mode</t>
    <phoneticPr fontId="3"/>
  </si>
  <si>
    <t>tolerance vs. setting</t>
    <phoneticPr fontId="3"/>
  </si>
  <si>
    <t>CCM mode</t>
    <phoneticPr fontId="3"/>
  </si>
  <si>
    <t>CH1: 6TPE330MIL (Sanyo)</t>
    <phoneticPr fontId="3"/>
  </si>
  <si>
    <t>CH2: 4TPE470MFL (Sanyo)</t>
    <phoneticPr fontId="3"/>
  </si>
  <si>
    <r>
      <t>T</t>
    </r>
    <r>
      <rPr>
        <sz val="10"/>
        <rFont val="Arial"/>
        <family val="2"/>
      </rPr>
      <t>C of Rx * Cx (nsec)</t>
    </r>
    <phoneticPr fontId="3"/>
  </si>
  <si>
    <t>Cgv_(nF)_Recommended</t>
    <phoneticPr fontId="3"/>
  </si>
  <si>
    <t>Cgv_(nF)_Chosen</t>
    <phoneticPr fontId="3"/>
  </si>
  <si>
    <t>Tct (Rgv/ Crv) rate of fo</t>
    <phoneticPr fontId="3"/>
  </si>
  <si>
    <t>DCR_(mohm)</t>
    <phoneticPr fontId="3"/>
  </si>
  <si>
    <r>
      <t>I</t>
    </r>
    <r>
      <rPr>
        <sz val="10"/>
        <rFont val="Arial"/>
        <family val="2"/>
      </rPr>
      <t>max-ind</t>
    </r>
    <phoneticPr fontId="3"/>
  </si>
  <si>
    <r>
      <t>I</t>
    </r>
    <r>
      <rPr>
        <sz val="10"/>
        <rFont val="Arial"/>
        <family val="2"/>
      </rPr>
      <t>max-temp</t>
    </r>
    <phoneticPr fontId="3"/>
  </si>
  <si>
    <r>
      <t>F</t>
    </r>
    <r>
      <rPr>
        <sz val="10"/>
        <rFont val="Arial"/>
        <family val="2"/>
      </rPr>
      <t>DA1055-3R3M (TOKO)</t>
    </r>
    <phoneticPr fontId="3"/>
  </si>
  <si>
    <r>
      <t>F</t>
    </r>
    <r>
      <rPr>
        <sz val="10"/>
        <rFont val="Arial"/>
        <family val="2"/>
      </rPr>
      <t>DA1055-4R7M (TOKO)</t>
    </r>
    <phoneticPr fontId="3"/>
  </si>
  <si>
    <r>
      <t>F</t>
    </r>
    <r>
      <rPr>
        <sz val="10"/>
        <rFont val="Arial"/>
        <family val="2"/>
      </rPr>
      <t>DA1254-3R3M (TOKO)</t>
    </r>
    <phoneticPr fontId="3"/>
  </si>
  <si>
    <r>
      <t>F</t>
    </r>
    <r>
      <rPr>
        <sz val="10"/>
        <rFont val="Arial"/>
        <family val="2"/>
      </rPr>
      <t>DA1254-4R7M (TOKO)</t>
    </r>
    <phoneticPr fontId="3"/>
  </si>
  <si>
    <r>
      <t>D</t>
    </r>
    <r>
      <rPr>
        <sz val="10"/>
        <rFont val="Arial"/>
        <family val="2"/>
      </rPr>
      <t>EP125NP-4R0MC (SUMIDA)</t>
    </r>
    <phoneticPr fontId="3"/>
  </si>
  <si>
    <t>Options</t>
    <phoneticPr fontId="3"/>
  </si>
  <si>
    <t>Step.3 (Choose the input capacitor)</t>
    <phoneticPr fontId="3"/>
  </si>
  <si>
    <t>Step.3 (Choose the output capacitor)</t>
    <phoneticPr fontId="3"/>
  </si>
  <si>
    <r>
      <t>V</t>
    </r>
    <r>
      <rPr>
        <sz val="10"/>
        <rFont val="Arial"/>
        <family val="2"/>
      </rPr>
      <t>soar_(mV)</t>
    </r>
    <phoneticPr fontId="3"/>
  </si>
  <si>
    <r>
      <t>I</t>
    </r>
    <r>
      <rPr>
        <sz val="10"/>
        <rFont val="Arial"/>
        <family val="2"/>
      </rPr>
      <t>load(max)</t>
    </r>
    <phoneticPr fontId="3"/>
  </si>
  <si>
    <r>
      <t>K</t>
    </r>
    <r>
      <rPr>
        <sz val="10"/>
        <rFont val="Arial"/>
        <family val="2"/>
      </rPr>
      <t>_(us)</t>
    </r>
    <phoneticPr fontId="3"/>
  </si>
  <si>
    <r>
      <t>V</t>
    </r>
    <r>
      <rPr>
        <sz val="10"/>
        <rFont val="Arial"/>
        <family val="2"/>
      </rPr>
      <t>in</t>
    </r>
    <phoneticPr fontId="3"/>
  </si>
  <si>
    <r>
      <t>T</t>
    </r>
    <r>
      <rPr>
        <sz val="10"/>
        <rFont val="Arial"/>
        <family val="2"/>
      </rPr>
      <t>off_min</t>
    </r>
    <phoneticPr fontId="3"/>
  </si>
  <si>
    <t>Step.5 (Choose the bootstrap capacitor)</t>
    <phoneticPr fontId="3"/>
  </si>
  <si>
    <t>High MOS Qg (nC)</t>
    <phoneticPr fontId="3"/>
  </si>
  <si>
    <t>Capacitance_(nF)</t>
    <phoneticPr fontId="3"/>
  </si>
  <si>
    <t>Step.6 (High side MOSFET's power dissipation)</t>
    <phoneticPr fontId="3"/>
  </si>
  <si>
    <t>Gate resistor_(ohm)</t>
    <phoneticPr fontId="3"/>
  </si>
  <si>
    <t>Conduction loss_(W)</t>
    <phoneticPr fontId="3"/>
  </si>
  <si>
    <t>Switching loss_(W)</t>
    <phoneticPr fontId="3"/>
  </si>
  <si>
    <t>Total loss_(W)</t>
    <phoneticPr fontId="3"/>
  </si>
  <si>
    <t>Tj_(degrees)</t>
    <phoneticPr fontId="3"/>
  </si>
  <si>
    <t>Step.7 (Low side MOSFET's power dissipation)</t>
    <phoneticPr fontId="3"/>
  </si>
  <si>
    <t>Low side MOSFET Electrical characteristics</t>
    <phoneticPr fontId="3"/>
  </si>
  <si>
    <r>
      <t>R</t>
    </r>
    <r>
      <rPr>
        <sz val="10"/>
        <rFont val="Arial"/>
        <family val="2"/>
      </rPr>
      <t>x1</t>
    </r>
    <phoneticPr fontId="3"/>
  </si>
  <si>
    <t>4.3k</t>
    <phoneticPr fontId="3"/>
  </si>
  <si>
    <t>3.9k</t>
    <phoneticPr fontId="3"/>
  </si>
  <si>
    <t>3.6k</t>
    <phoneticPr fontId="3"/>
  </si>
  <si>
    <t>3.3k</t>
    <phoneticPr fontId="3"/>
  </si>
  <si>
    <t>3.0k</t>
    <phoneticPr fontId="3"/>
  </si>
  <si>
    <t>Copper resistance (w/ temp. coefficient)</t>
    <phoneticPr fontId="3"/>
  </si>
  <si>
    <t>Trace Resistance (m-ohm)</t>
    <phoneticPr fontId="3"/>
  </si>
  <si>
    <t>Trace width (mm)</t>
    <phoneticPr fontId="3"/>
  </si>
  <si>
    <t>Trace length (mm)</t>
    <phoneticPr fontId="3"/>
  </si>
  <si>
    <t>Copper thickness (um)</t>
    <phoneticPr fontId="3"/>
  </si>
  <si>
    <t>Temp</t>
    <phoneticPr fontId="3"/>
  </si>
  <si>
    <t>times at 25-Deg-C</t>
    <phoneticPr fontId="3"/>
  </si>
  <si>
    <t>Transformation</t>
    <phoneticPr fontId="3"/>
  </si>
  <si>
    <t>mm</t>
    <phoneticPr fontId="3"/>
  </si>
  <si>
    <t>mil</t>
    <phoneticPr fontId="3"/>
  </si>
  <si>
    <t>From "mm" to "mil"</t>
    <phoneticPr fontId="3"/>
  </si>
  <si>
    <t>From "mil" to "mm"</t>
    <phoneticPr fontId="3"/>
  </si>
  <si>
    <r>
      <t>L</t>
    </r>
    <r>
      <rPr>
        <sz val="10"/>
        <rFont val="Arial"/>
        <family val="2"/>
      </rPr>
      <t xml:space="preserve"> (at Iout_OCL)</t>
    </r>
    <phoneticPr fontId="3"/>
  </si>
  <si>
    <t>6. Inductor DCR current sensing</t>
    <phoneticPr fontId="3"/>
  </si>
  <si>
    <r>
      <t>DCR</t>
    </r>
    <r>
      <rPr>
        <sz val="10"/>
        <rFont val="Arial"/>
        <family val="2"/>
      </rPr>
      <t xml:space="preserve"> (Tolerance)</t>
    </r>
    <phoneticPr fontId="3"/>
  </si>
  <si>
    <r>
      <t>D</t>
    </r>
    <r>
      <rPr>
        <sz val="10"/>
        <rFont val="Arial"/>
        <family val="2"/>
      </rPr>
      <t>eg-C</t>
    </r>
    <phoneticPr fontId="3"/>
  </si>
  <si>
    <t>TC of Rx/Rc/Cx</t>
    <phoneticPr fontId="3"/>
  </si>
  <si>
    <t>Output Current</t>
    <phoneticPr fontId="3"/>
  </si>
  <si>
    <r>
      <t>Recommended I</t>
    </r>
    <r>
      <rPr>
        <sz val="10"/>
        <rFont val="Arial"/>
        <family val="2"/>
      </rPr>
      <t>nd. Vin-typ (uH)</t>
    </r>
    <phoneticPr fontId="3"/>
  </si>
  <si>
    <r>
      <t>Recommended I</t>
    </r>
    <r>
      <rPr>
        <sz val="10"/>
        <rFont val="Arial"/>
        <family val="2"/>
      </rPr>
      <t>nd. Vin-max (uH)</t>
    </r>
    <phoneticPr fontId="3"/>
  </si>
  <si>
    <r>
      <t>Iout</t>
    </r>
    <r>
      <rPr>
        <sz val="10"/>
        <rFont val="Arial"/>
        <family val="2"/>
      </rPr>
      <t>-max</t>
    </r>
    <phoneticPr fontId="3"/>
  </si>
  <si>
    <t>Inductor DCR info.</t>
    <phoneticPr fontId="3"/>
  </si>
  <si>
    <t>External sensing resistor info.</t>
    <phoneticPr fontId="3"/>
  </si>
  <si>
    <t>Temparature info.</t>
    <phoneticPr fontId="3"/>
  </si>
  <si>
    <t>L1 at Vin-min plus (%)</t>
  </si>
  <si>
    <t>fsw at Vin-min plus (%)</t>
  </si>
  <si>
    <t>Rs (ex-R) at Vin-min plus (%)</t>
  </si>
  <si>
    <t>Vocl at Vin-min minus (%)</t>
  </si>
  <si>
    <t>Vocl at Vin-min plus (%)</t>
  </si>
  <si>
    <t>0.5 x Iripple at Vin-max plus (%)</t>
  </si>
  <si>
    <t>L1 at Vin-max plus (%)</t>
  </si>
  <si>
    <t>fsw at Vin-max plus (%)</t>
  </si>
  <si>
    <t>nsec</t>
    <phoneticPr fontId="3"/>
  </si>
  <si>
    <t>ohm</t>
    <phoneticPr fontId="3"/>
  </si>
  <si>
    <t>Rs (ex-R) at Vin-max plus (%)</t>
  </si>
  <si>
    <t>Vocl at Vin-max plus (%)</t>
  </si>
  <si>
    <t>8. Enter the characteristics of the output capacitor</t>
    <phoneticPr fontId="3"/>
  </si>
  <si>
    <r>
      <t>n</t>
    </r>
    <r>
      <rPr>
        <sz val="10"/>
        <rFont val="Arial"/>
        <family val="2"/>
      </rPr>
      <t>umber 
in parallel</t>
    </r>
    <phoneticPr fontId="3"/>
  </si>
  <si>
    <r>
      <t>P</t>
    </r>
    <r>
      <rPr>
        <sz val="10"/>
        <rFont val="Arial"/>
        <family val="2"/>
      </rPr>
      <t>referred droop 
(rate of Vout)</t>
    </r>
    <phoneticPr fontId="3"/>
  </si>
  <si>
    <t>Rgv</t>
    <phoneticPr fontId="3"/>
  </si>
  <si>
    <t>Droop 
(rate of Vout)</t>
    <phoneticPr fontId="3"/>
  </si>
  <si>
    <t>Cc (recommended)</t>
    <phoneticPr fontId="3"/>
  </si>
  <si>
    <t>Cc</t>
    <phoneticPr fontId="3"/>
  </si>
  <si>
    <r>
      <t>p</t>
    </r>
    <r>
      <rPr>
        <sz val="10"/>
        <rFont val="Arial"/>
        <family val="2"/>
      </rPr>
      <t>F</t>
    </r>
    <phoneticPr fontId="3"/>
  </si>
  <si>
    <r>
      <t>f</t>
    </r>
    <r>
      <rPr>
        <sz val="10"/>
        <rFont val="Arial"/>
        <family val="2"/>
      </rPr>
      <t>o</t>
    </r>
    <phoneticPr fontId="3"/>
  </si>
  <si>
    <r>
      <t>k</t>
    </r>
    <r>
      <rPr>
        <sz val="10"/>
        <rFont val="Arial"/>
        <family val="2"/>
      </rPr>
      <t>Hz</t>
    </r>
    <phoneticPr fontId="3"/>
  </si>
  <si>
    <r>
      <t>f</t>
    </r>
    <r>
      <rPr>
        <sz val="10"/>
        <rFont val="Arial"/>
        <family val="2"/>
      </rPr>
      <t>sw/3</t>
    </r>
    <phoneticPr fontId="3"/>
  </si>
  <si>
    <t>9. Choose droop/ loop compensation</t>
    <phoneticPr fontId="3"/>
  </si>
  <si>
    <t>10. Confirm fo</t>
    <phoneticPr fontId="3"/>
  </si>
  <si>
    <r>
      <t>R</t>
    </r>
    <r>
      <rPr>
        <sz val="10"/>
        <rFont val="Arial"/>
        <family val="2"/>
      </rPr>
      <t>gv (suggested)</t>
    </r>
    <phoneticPr fontId="3"/>
  </si>
  <si>
    <t>Cout (for load transient)</t>
    <phoneticPr fontId="3"/>
  </si>
  <si>
    <t>Dynamic Iout change; min--&gt; max (%)</t>
    <phoneticPr fontId="3"/>
  </si>
  <si>
    <t>Permissible Vhump_(%)</t>
    <phoneticPr fontId="3"/>
  </si>
  <si>
    <t>Recommended fo is less than fsw/4 or fsw/3.</t>
  </si>
  <si>
    <t>Items</t>
    <phoneticPr fontId="3"/>
  </si>
  <si>
    <r>
      <t>V</t>
    </r>
    <r>
      <rPr>
        <sz val="10"/>
        <rFont val="Arial"/>
        <family val="2"/>
      </rPr>
      <t>F</t>
    </r>
    <phoneticPr fontId="3"/>
  </si>
  <si>
    <t>L/S FET_Vf-cond-loss_Vinmax</t>
    <phoneticPr fontId="3"/>
  </si>
  <si>
    <t>L/S FET_all-loss_Vinmax</t>
    <phoneticPr fontId="3"/>
  </si>
  <si>
    <r>
      <t>F</t>
    </r>
    <r>
      <rPr>
        <sz val="10"/>
        <rFont val="Arial"/>
        <family val="2"/>
      </rPr>
      <t>DVE1040-3R3</t>
    </r>
    <phoneticPr fontId="3"/>
  </si>
  <si>
    <t>Result summary</t>
    <phoneticPr fontId="3"/>
  </si>
  <si>
    <t>Channel 1</t>
    <phoneticPr fontId="3"/>
  </si>
  <si>
    <t>I-ind rip at Vin-typ</t>
    <phoneticPr fontId="3"/>
  </si>
  <si>
    <r>
      <t>I-ind rip at Vin-</t>
    </r>
    <r>
      <rPr>
        <sz val="10"/>
        <rFont val="Arial"/>
        <family val="2"/>
      </rPr>
      <t>min</t>
    </r>
    <phoneticPr fontId="3"/>
  </si>
  <si>
    <r>
      <t>I-ind rip at Vin-</t>
    </r>
    <r>
      <rPr>
        <sz val="10"/>
        <rFont val="Arial"/>
        <family val="2"/>
      </rPr>
      <t>max</t>
    </r>
    <phoneticPr fontId="3"/>
  </si>
  <si>
    <r>
      <t>I</t>
    </r>
    <r>
      <rPr>
        <sz val="10"/>
        <rFont val="Arial"/>
        <family val="2"/>
      </rPr>
      <t>-ocl (DC) at Vin-typ</t>
    </r>
    <phoneticPr fontId="3"/>
  </si>
  <si>
    <t>RMS error (DCR, Vocl-)</t>
    <phoneticPr fontId="3"/>
  </si>
  <si>
    <t>RMS error (L, fsw)</t>
    <phoneticPr fontId="3"/>
  </si>
  <si>
    <t>Iout (ocl)_max, VIN_min, w/ temp_RMS (L&amp;Fsw)</t>
    <phoneticPr fontId="3"/>
  </si>
  <si>
    <t>Vdroop at OCL(mV) Vin-max</t>
    <phoneticPr fontId="3"/>
  </si>
  <si>
    <t>Vout_(V)</t>
    <phoneticPr fontId="3"/>
  </si>
  <si>
    <t>L_(uH)</t>
    <phoneticPr fontId="3"/>
  </si>
  <si>
    <r>
      <t>R</t>
    </r>
    <r>
      <rPr>
        <sz val="10"/>
        <rFont val="Arial"/>
        <family val="2"/>
      </rPr>
      <t>1 (Hi)_(k-ohm)</t>
    </r>
    <phoneticPr fontId="3"/>
  </si>
  <si>
    <r>
      <t>R</t>
    </r>
    <r>
      <rPr>
        <sz val="10"/>
        <rFont val="Arial"/>
        <family val="2"/>
      </rPr>
      <t>1 (Hi)_(k-ohm)_Calcu.</t>
    </r>
    <phoneticPr fontId="3"/>
  </si>
  <si>
    <t>Delta-T (0A to Iout_max)</t>
    <phoneticPr fontId="3"/>
  </si>
  <si>
    <t>Delta-T (0A to Iout_OCL)</t>
    <phoneticPr fontId="3"/>
  </si>
  <si>
    <t>Rx</t>
    <phoneticPr fontId="3"/>
  </si>
  <si>
    <t>Rc</t>
    <phoneticPr fontId="3"/>
  </si>
  <si>
    <r>
      <t>I</t>
    </r>
    <r>
      <rPr>
        <sz val="10"/>
        <rFont val="Arial"/>
        <family val="2"/>
      </rPr>
      <t>ntegrated error (L, DCR, fsw, Vocl+)</t>
    </r>
    <phoneticPr fontId="3"/>
  </si>
  <si>
    <r>
      <t>I</t>
    </r>
    <r>
      <rPr>
        <sz val="10"/>
        <rFont val="Arial"/>
        <family val="2"/>
      </rPr>
      <t>ntegrated error (L, DCR, fsw, Vocl-)</t>
    </r>
    <phoneticPr fontId="3"/>
  </si>
  <si>
    <t>Vocl_error (0-85_60mV) plus</t>
    <phoneticPr fontId="3"/>
  </si>
  <si>
    <t>Vocl_error (0-85_31mV) plus</t>
    <phoneticPr fontId="3"/>
  </si>
  <si>
    <t>Vocl_error (0-85_31mV) minus</t>
    <phoneticPr fontId="3"/>
  </si>
  <si>
    <r>
      <t>I</t>
    </r>
    <r>
      <rPr>
        <sz val="10"/>
        <rFont val="Arial"/>
        <family val="2"/>
      </rPr>
      <t>ntegrated error (DCR, Vocl+)</t>
    </r>
    <phoneticPr fontId="3"/>
  </si>
  <si>
    <r>
      <t>I</t>
    </r>
    <r>
      <rPr>
        <sz val="10"/>
        <rFont val="Arial"/>
        <family val="2"/>
      </rPr>
      <t>ntegrated error (DCR, Vocl-)</t>
    </r>
    <phoneticPr fontId="3"/>
  </si>
  <si>
    <r>
      <t>I</t>
    </r>
    <r>
      <rPr>
        <sz val="10"/>
        <rFont val="Arial"/>
        <family val="2"/>
      </rPr>
      <t>ntegrated error (L, fsw)</t>
    </r>
    <phoneticPr fontId="3"/>
  </si>
  <si>
    <t>Integrated error</t>
    <phoneticPr fontId="3"/>
  </si>
  <si>
    <t>Target Rs_Vintyp</t>
    <phoneticPr fontId="3"/>
  </si>
  <si>
    <t>Target Rs_Vinmax</t>
    <phoneticPr fontId="3"/>
  </si>
  <si>
    <t>Target I_OCL (peak)_Vintyp</t>
    <phoneticPr fontId="3"/>
  </si>
  <si>
    <r>
      <t>R</t>
    </r>
    <r>
      <rPr>
        <sz val="10"/>
        <rFont val="Arial"/>
        <family val="2"/>
      </rPr>
      <t>c/Rx rate_Vinmax</t>
    </r>
    <phoneticPr fontId="3"/>
  </si>
  <si>
    <r>
      <t>R</t>
    </r>
    <r>
      <rPr>
        <sz val="10"/>
        <rFont val="Arial"/>
        <family val="2"/>
      </rPr>
      <t>c_cal</t>
    </r>
    <phoneticPr fontId="3"/>
  </si>
  <si>
    <t>TI Proprietary Information</t>
    <phoneticPr fontId="3"/>
  </si>
  <si>
    <r>
      <t>TC; Rx, Rc&amp;Cx/ Lx&amp;DCR at Iout</t>
    </r>
    <r>
      <rPr>
        <sz val="10"/>
        <rFont val="Arial"/>
        <family val="2"/>
      </rPr>
      <t>=0A</t>
    </r>
    <phoneticPr fontId="3"/>
  </si>
  <si>
    <t>Er2; Fsw&amp;L_Intgrated_error</t>
    <phoneticPr fontId="3"/>
  </si>
  <si>
    <t>Drop down list</t>
    <phoneticPr fontId="3"/>
  </si>
  <si>
    <r>
      <t>D</t>
    </r>
    <r>
      <rPr>
        <sz val="10"/>
        <rFont val="Arial"/>
        <family val="2"/>
      </rPr>
      <t>CR at Imax &amp; RT_(m-ohm)</t>
    </r>
    <phoneticPr fontId="3"/>
  </si>
  <si>
    <r>
      <t>Chosen Rs</t>
    </r>
    <r>
      <rPr>
        <sz val="10"/>
        <rFont val="Arial"/>
        <family val="2"/>
      </rPr>
      <t>_error</t>
    </r>
    <phoneticPr fontId="3"/>
  </si>
  <si>
    <r>
      <t>Iocl(peak_typ) vs. Iout_max</t>
    </r>
    <r>
      <rPr>
        <sz val="10"/>
        <rFont val="Arial"/>
        <family val="2"/>
      </rPr>
      <t>_(times)</t>
    </r>
    <phoneticPr fontId="3"/>
  </si>
  <si>
    <t>DCR (w/ Rx&amp;Rc)</t>
  </si>
  <si>
    <r>
      <t>E</t>
    </r>
    <r>
      <rPr>
        <sz val="10"/>
        <rFont val="Arial"/>
        <family val="2"/>
      </rPr>
      <t>x-R</t>
    </r>
    <phoneticPr fontId="3"/>
  </si>
  <si>
    <r>
      <t>D</t>
    </r>
    <r>
      <rPr>
        <sz val="10"/>
        <rFont val="Arial"/>
        <family val="2"/>
      </rPr>
      <t>iff; (L/Rs)/ (RC-filter) at Iocl</t>
    </r>
    <phoneticPr fontId="3"/>
  </si>
  <si>
    <r>
      <t>H</t>
    </r>
    <r>
      <rPr>
        <sz val="10"/>
        <rFont val="Arial"/>
        <family val="2"/>
      </rPr>
      <t>/S FET_Rds(on)</t>
    </r>
    <phoneticPr fontId="3"/>
  </si>
  <si>
    <r>
      <t>T</t>
    </r>
    <r>
      <rPr>
        <sz val="10"/>
        <rFont val="Arial"/>
        <family val="2"/>
      </rPr>
      <t>urn-on</t>
    </r>
    <phoneticPr fontId="3"/>
  </si>
  <si>
    <r>
      <t>T</t>
    </r>
    <r>
      <rPr>
        <sz val="10"/>
        <rFont val="Arial"/>
        <family val="2"/>
      </rPr>
      <t>urn-off</t>
    </r>
    <phoneticPr fontId="3"/>
  </si>
  <si>
    <t>Er1t; Vocl&amp;Rs_Intgrated_error (Rs+Temp&gt;Vocl)</t>
    <phoneticPr fontId="3"/>
  </si>
  <si>
    <t>MPCG0740LR42</t>
    <phoneticPr fontId="3"/>
  </si>
  <si>
    <r>
      <t>H</t>
    </r>
    <r>
      <rPr>
        <sz val="10"/>
        <rFont val="Arial"/>
        <family val="2"/>
      </rPr>
      <t>/S FET_cond-loss_Vinmax</t>
    </r>
    <phoneticPr fontId="3"/>
  </si>
  <si>
    <r>
      <t>H</t>
    </r>
    <r>
      <rPr>
        <sz val="10"/>
        <rFont val="Arial"/>
        <family val="2"/>
      </rPr>
      <t>/S FET_sw-loss_Vinmax</t>
    </r>
    <phoneticPr fontId="3"/>
  </si>
  <si>
    <r>
      <t>H</t>
    </r>
    <r>
      <rPr>
        <sz val="10"/>
        <rFont val="Arial"/>
        <family val="2"/>
      </rPr>
      <t>/S FET_all-loss_Vinmax</t>
    </r>
    <phoneticPr fontId="3"/>
  </si>
  <si>
    <t>L/S FET_cond-loss_Vinmax</t>
    <phoneticPr fontId="3"/>
  </si>
  <si>
    <t>H/S FET_cond-loss_Vinmin</t>
  </si>
  <si>
    <t>H/S FET_sw-loss_Vinmin</t>
  </si>
  <si>
    <t>H/S FET_all-loss_Vinmin</t>
  </si>
  <si>
    <r>
      <t>D</t>
    </r>
    <r>
      <rPr>
        <sz val="10"/>
        <rFont val="Arial"/>
        <family val="2"/>
      </rPr>
      <t>CR at Iocl &amp; RT_(m-ohm)</t>
    </r>
    <phoneticPr fontId="3"/>
  </si>
  <si>
    <t>FDMS8672AS</t>
    <phoneticPr fontId="3"/>
  </si>
  <si>
    <r>
      <t>Q</t>
    </r>
    <r>
      <rPr>
        <sz val="10"/>
        <rFont val="Arial"/>
        <family val="2"/>
      </rPr>
      <t>g</t>
    </r>
    <phoneticPr fontId="3"/>
  </si>
  <si>
    <r>
      <t>R</t>
    </r>
    <r>
      <rPr>
        <sz val="10"/>
        <rFont val="Arial"/>
        <family val="2"/>
      </rPr>
      <t>g_FET</t>
    </r>
    <phoneticPr fontId="3"/>
  </si>
  <si>
    <r>
      <t>T</t>
    </r>
    <r>
      <rPr>
        <sz val="10"/>
        <rFont val="Arial"/>
        <family val="2"/>
      </rPr>
      <t>urn-on_cal</t>
    </r>
    <phoneticPr fontId="3"/>
  </si>
  <si>
    <r>
      <t>C</t>
    </r>
    <r>
      <rPr>
        <sz val="10"/>
        <rFont val="Arial"/>
        <family val="2"/>
      </rPr>
      <t>iss</t>
    </r>
    <phoneticPr fontId="3"/>
  </si>
  <si>
    <r>
      <t>C</t>
    </r>
    <r>
      <rPr>
        <sz val="10"/>
        <rFont val="Arial"/>
        <family val="2"/>
      </rPr>
      <t>rss</t>
    </r>
    <phoneticPr fontId="3"/>
  </si>
  <si>
    <r>
      <t>V</t>
    </r>
    <r>
      <rPr>
        <sz val="10"/>
        <rFont val="Arial"/>
        <family val="2"/>
      </rPr>
      <t>gs(th)</t>
    </r>
    <phoneticPr fontId="3"/>
  </si>
  <si>
    <r>
      <t>V</t>
    </r>
    <r>
      <rPr>
        <sz val="10"/>
        <rFont val="Arial"/>
        <family val="2"/>
      </rPr>
      <t>gs(plat)</t>
    </r>
    <phoneticPr fontId="3"/>
  </si>
  <si>
    <t>Rx cal at Vinmax &amp; hi-temp</t>
    <phoneticPr fontId="3"/>
  </si>
  <si>
    <t>Rc cal at Vinmin &amp; low-temp</t>
    <phoneticPr fontId="3"/>
  </si>
  <si>
    <t>6-1. Choose V_OCL</t>
    <phoneticPr fontId="3"/>
  </si>
  <si>
    <t>6-2. Enter DCR information (From inductor's D.S.)</t>
    <phoneticPr fontId="3"/>
  </si>
  <si>
    <t>6. External Resistor current sensing</t>
    <phoneticPr fontId="3"/>
  </si>
  <si>
    <t>6-2. Enter External Resistor information (From resistor's D.S.)</t>
    <phoneticPr fontId="3"/>
  </si>
  <si>
    <r>
      <t>R</t>
    </r>
    <r>
      <rPr>
        <sz val="10"/>
        <rFont val="Arial"/>
        <family val="2"/>
      </rPr>
      <t xml:space="preserve"> (Tolerance)</t>
    </r>
    <phoneticPr fontId="3"/>
  </si>
  <si>
    <r>
      <t>E</t>
    </r>
    <r>
      <rPr>
        <sz val="10"/>
        <rFont val="Arial"/>
        <family val="2"/>
      </rPr>
      <t>SL</t>
    </r>
    <phoneticPr fontId="3"/>
  </si>
  <si>
    <r>
      <t>n</t>
    </r>
    <r>
      <rPr>
        <sz val="10"/>
        <rFont val="Arial"/>
        <family val="2"/>
      </rPr>
      <t>H</t>
    </r>
    <phoneticPr fontId="3"/>
  </si>
  <si>
    <t>6-3. Calculate the time constant of Ex-R</t>
    <phoneticPr fontId="3"/>
  </si>
  <si>
    <t>Droop voltage (DCR)</t>
    <phoneticPr fontId="3"/>
  </si>
  <si>
    <t>Droop voltage (Ex-R)</t>
    <phoneticPr fontId="3"/>
  </si>
  <si>
    <t>SKIPSEL</t>
    <phoneticPr fontId="3"/>
  </si>
  <si>
    <t>Ex-R (w/ Rx&amp;Rc)</t>
    <phoneticPr fontId="3"/>
  </si>
  <si>
    <t>Ex-R</t>
    <phoneticPr fontId="3"/>
  </si>
  <si>
    <t>Subj; Component Calculator for TPS51220A/ 222</t>
    <phoneticPr fontId="3"/>
  </si>
  <si>
    <t>13. IMON</t>
    <phoneticPr fontId="3"/>
  </si>
  <si>
    <t>f by TC of Rgv/ Cgv</t>
    <phoneticPr fontId="3"/>
  </si>
  <si>
    <r>
      <t>s</t>
    </r>
    <r>
      <rPr>
        <sz val="10"/>
        <rFont val="Arial"/>
        <family val="2"/>
      </rPr>
      <t>ame as Integrated</t>
    </r>
    <phoneticPr fontId="3"/>
  </si>
  <si>
    <t>Rgv_(kohm)</t>
    <phoneticPr fontId="3"/>
  </si>
  <si>
    <t>Cgv (nF) calculated</t>
    <phoneticPr fontId="3"/>
  </si>
  <si>
    <t>Cgv (nF) selected</t>
    <phoneticPr fontId="3"/>
  </si>
  <si>
    <t>11. Choose loop compensation (Non-droop Current mode)</t>
    <phoneticPr fontId="3"/>
  </si>
  <si>
    <t>12. Confirm VFB ripple and fo (D-CAP mode)</t>
    <phoneticPr fontId="3"/>
  </si>
  <si>
    <t>RMS-error (VREF, R1 &amp; R2)</t>
    <phoneticPr fontId="3"/>
  </si>
  <si>
    <t>Contributory rate of R1 min (%)</t>
    <phoneticPr fontId="3"/>
  </si>
  <si>
    <t>Contributory rate of R1 max (%)</t>
    <phoneticPr fontId="3"/>
  </si>
  <si>
    <t>Contributory rate of R2 min (%)</t>
    <phoneticPr fontId="3"/>
  </si>
  <si>
    <t>Contributory rate of R2 max (%)</t>
    <phoneticPr fontId="3"/>
  </si>
  <si>
    <t>Contributory rate of VREF min (%)</t>
    <phoneticPr fontId="3"/>
  </si>
  <si>
    <t>Contributory rate of VREF max (%)</t>
    <phoneticPr fontId="3"/>
  </si>
  <si>
    <r>
      <t>T</t>
    </r>
    <r>
      <rPr>
        <sz val="10"/>
        <rFont val="Arial"/>
        <family val="2"/>
      </rPr>
      <t>urn-off_cal_VIN_max</t>
    </r>
    <phoneticPr fontId="3"/>
  </si>
  <si>
    <r>
      <t>T</t>
    </r>
    <r>
      <rPr>
        <sz val="10"/>
        <rFont val="Arial"/>
        <family val="2"/>
      </rPr>
      <t>urn-off_cal_VIN_min</t>
    </r>
    <phoneticPr fontId="3"/>
  </si>
  <si>
    <r>
      <t>H</t>
    </r>
    <r>
      <rPr>
        <sz val="10"/>
        <rFont val="Arial"/>
        <family val="2"/>
      </rPr>
      <t>/S FET_sw-loss_Vinmax-cal</t>
    </r>
    <phoneticPr fontId="3"/>
  </si>
  <si>
    <r>
      <t>H/S FET_sw-loss_Vinmin</t>
    </r>
    <r>
      <rPr>
        <sz val="10"/>
        <rFont val="Arial"/>
        <family val="2"/>
      </rPr>
      <t>-cal</t>
    </r>
    <phoneticPr fontId="3"/>
  </si>
  <si>
    <t>FDMS8692</t>
    <phoneticPr fontId="3"/>
  </si>
  <si>
    <t>H/S FET_Delta-T-cal</t>
    <phoneticPr fontId="3"/>
  </si>
  <si>
    <r>
      <t>Integrated-error</t>
    </r>
    <r>
      <rPr>
        <sz val="10"/>
        <rFont val="Arial"/>
        <family val="2"/>
      </rPr>
      <t xml:space="preserve"> (VREF, R1 &amp; R2)</t>
    </r>
    <phoneticPr fontId="3"/>
  </si>
  <si>
    <t>Input capacitor info.</t>
    <phoneticPr fontId="3"/>
  </si>
  <si>
    <t>VIN</t>
  </si>
  <si>
    <t>CH1_duty (%)</t>
  </si>
  <si>
    <t>CH2_duty (%)</t>
  </si>
  <si>
    <t>overlap</t>
  </si>
  <si>
    <t>CH1_Delta-V</t>
  </si>
  <si>
    <t>CH2_Delta-V</t>
  </si>
  <si>
    <t>Number of caps</t>
    <phoneticPr fontId="3"/>
  </si>
  <si>
    <t>CH1_only</t>
    <phoneticPr fontId="3"/>
  </si>
  <si>
    <t>CH2_only</t>
    <phoneticPr fontId="3"/>
  </si>
  <si>
    <r>
      <t>o</t>
    </r>
    <r>
      <rPr>
        <sz val="10"/>
        <rFont val="Arial"/>
        <family val="2"/>
      </rPr>
      <t>verlap_A</t>
    </r>
    <phoneticPr fontId="3"/>
  </si>
  <si>
    <t>Interleaving rate</t>
    <phoneticPr fontId="3"/>
  </si>
  <si>
    <t>Vocl_(mV)</t>
    <phoneticPr fontId="3"/>
  </si>
  <si>
    <t>On-time SKIP_(usec)_51220A</t>
    <phoneticPr fontId="3"/>
  </si>
  <si>
    <t>On-time SKIP_(usec)_51220</t>
    <phoneticPr fontId="3"/>
  </si>
  <si>
    <r>
      <t>TC of Rx</t>
    </r>
    <r>
      <rPr>
        <sz val="10"/>
        <rFont val="Arial"/>
        <family val="2"/>
      </rPr>
      <t>&amp;</t>
    </r>
    <r>
      <rPr>
        <sz val="10"/>
        <rFont val="Arial"/>
        <family val="2"/>
      </rPr>
      <t>Cx</t>
    </r>
    <phoneticPr fontId="3"/>
  </si>
  <si>
    <r>
      <t>I</t>
    </r>
    <r>
      <rPr>
        <sz val="10"/>
        <rFont val="Arial"/>
        <family val="2"/>
      </rPr>
      <t>out</t>
    </r>
    <phoneticPr fontId="3"/>
  </si>
  <si>
    <r>
      <t>D</t>
    </r>
    <r>
      <rPr>
        <sz val="10"/>
        <rFont val="Arial"/>
        <family val="2"/>
      </rPr>
      <t>CR</t>
    </r>
    <phoneticPr fontId="3"/>
  </si>
  <si>
    <t>Volume resistively (u-ohm m)</t>
  </si>
  <si>
    <t>7. Calculated OCL value</t>
    <phoneticPr fontId="3"/>
  </si>
  <si>
    <t>RMS error</t>
    <phoneticPr fontId="3"/>
  </si>
  <si>
    <t>Target I_OCL (DC)</t>
    <phoneticPr fontId="3"/>
  </si>
  <si>
    <t>Target I_OCL (peak)_Vinmax</t>
    <phoneticPr fontId="3"/>
  </si>
  <si>
    <t>Rx_cal</t>
    <phoneticPr fontId="3"/>
  </si>
  <si>
    <t>Rc_cal</t>
    <phoneticPr fontId="3"/>
  </si>
  <si>
    <t>Rc_set/Rx_set</t>
    <phoneticPr fontId="3"/>
  </si>
  <si>
    <t>TC_Rx/Rc/Cx</t>
    <phoneticPr fontId="3"/>
  </si>
  <si>
    <r>
      <t>V</t>
    </r>
    <r>
      <rPr>
        <sz val="10"/>
        <rFont val="Arial"/>
        <family val="2"/>
      </rPr>
      <t>FB ripple for D-CAP</t>
    </r>
    <phoneticPr fontId="3"/>
  </si>
  <si>
    <t>Non-droop Current mode</t>
    <phoneticPr fontId="3"/>
  </si>
  <si>
    <r>
      <t>C</t>
    </r>
    <r>
      <rPr>
        <sz val="10"/>
        <rFont val="Arial"/>
        <family val="2"/>
      </rPr>
      <t>out</t>
    </r>
    <phoneticPr fontId="3"/>
  </si>
  <si>
    <r>
      <t>F</t>
    </r>
    <r>
      <rPr>
        <sz val="10"/>
        <rFont val="Arial"/>
        <family val="2"/>
      </rPr>
      <t>DV1040-3R3</t>
    </r>
    <phoneticPr fontId="3"/>
  </si>
  <si>
    <t>DCR</t>
  </si>
  <si>
    <t>Ex-R</t>
  </si>
  <si>
    <t>Vout1</t>
    <phoneticPr fontId="3"/>
  </si>
  <si>
    <t>Vout2</t>
    <phoneticPr fontId="3"/>
  </si>
  <si>
    <r>
      <t>Single</t>
    </r>
    <r>
      <rPr>
        <sz val="10"/>
        <rFont val="Arial"/>
        <family val="2"/>
      </rPr>
      <t>-phase</t>
    </r>
    <phoneticPr fontId="3"/>
  </si>
  <si>
    <r>
      <t>1</t>
    </r>
    <r>
      <rPr>
        <sz val="10"/>
        <rFont val="Arial"/>
        <family val="2"/>
      </rPr>
      <t>80-phase shift</t>
    </r>
    <phoneticPr fontId="3"/>
  </si>
  <si>
    <t>CH1+Ch2</t>
    <phoneticPr fontId="3"/>
  </si>
  <si>
    <t>-</t>
    <phoneticPr fontId="3"/>
  </si>
  <si>
    <t>Vout2 (CH2)</t>
    <phoneticPr fontId="3"/>
  </si>
  <si>
    <t>Vout1 (CH1)</t>
    <phoneticPr fontId="3"/>
  </si>
  <si>
    <t>Interleaving rate_B</t>
    <phoneticPr fontId="3"/>
  </si>
  <si>
    <r>
      <t>I</t>
    </r>
    <r>
      <rPr>
        <sz val="10"/>
        <rFont val="Arial"/>
        <family val="2"/>
      </rPr>
      <t>in</t>
    </r>
    <phoneticPr fontId="3"/>
  </si>
  <si>
    <t>Max</t>
    <phoneticPr fontId="3"/>
  </si>
  <si>
    <r>
      <t>9</t>
    </r>
    <r>
      <rPr>
        <sz val="10"/>
        <rFont val="Arial"/>
        <family val="2"/>
      </rPr>
      <t>0% of Iout=0A</t>
    </r>
    <phoneticPr fontId="3"/>
  </si>
  <si>
    <t>Rc/Rx rate</t>
    <phoneticPr fontId="3"/>
  </si>
  <si>
    <r>
      <t>R</t>
    </r>
    <r>
      <rPr>
        <sz val="10"/>
        <rFont val="Arial"/>
        <family val="2"/>
      </rPr>
      <t>c/Rx rate</t>
    </r>
    <phoneticPr fontId="3"/>
  </si>
  <si>
    <t>6-4. Choose the RC filter for current sensing</t>
    <phoneticPr fontId="3"/>
  </si>
  <si>
    <r>
      <t>Rs by Rx/Rc</t>
    </r>
    <r>
      <rPr>
        <sz val="10"/>
        <rFont val="Arial"/>
        <family val="2"/>
      </rPr>
      <t xml:space="preserve"> at Imax &amp; RT_(m-ohm)</t>
    </r>
    <phoneticPr fontId="3"/>
  </si>
  <si>
    <t>Rs by Rx/Rc at Iocl &amp; RT_(m-ohm)</t>
    <phoneticPr fontId="3"/>
  </si>
  <si>
    <r>
      <t>D</t>
    </r>
    <r>
      <rPr>
        <sz val="10"/>
        <rFont val="Arial"/>
        <family val="2"/>
      </rPr>
      <t>CR at Iocl &amp; Low-temp_(m-ohm)</t>
    </r>
    <phoneticPr fontId="3"/>
  </si>
  <si>
    <r>
      <t xml:space="preserve">Iout (ocl)_typ, </t>
    </r>
    <r>
      <rPr>
        <sz val="10"/>
        <rFont val="Arial"/>
        <family val="2"/>
      </rPr>
      <t>Vin_typ</t>
    </r>
    <phoneticPr fontId="3"/>
  </si>
  <si>
    <t>unit</t>
    <phoneticPr fontId="3"/>
  </si>
  <si>
    <t>V</t>
    <phoneticPr fontId="3"/>
  </si>
  <si>
    <t>A</t>
    <phoneticPr fontId="3"/>
  </si>
  <si>
    <t>m-ohm</t>
    <phoneticPr fontId="3"/>
  </si>
  <si>
    <r>
      <t>u</t>
    </r>
    <r>
      <rPr>
        <sz val="10"/>
        <rFont val="Arial"/>
        <family val="2"/>
      </rPr>
      <t>F</t>
    </r>
    <phoneticPr fontId="3"/>
  </si>
  <si>
    <t>11. Choose the feed-forward capacitance</t>
  </si>
  <si>
    <r>
      <t>p</t>
    </r>
    <r>
      <rPr>
        <sz val="10"/>
        <rFont val="Arial"/>
        <family val="2"/>
      </rPr>
      <t>cs</t>
    </r>
    <phoneticPr fontId="3"/>
  </si>
  <si>
    <r>
      <t>C</t>
    </r>
    <r>
      <rPr>
        <sz val="10"/>
        <rFont val="Arial"/>
        <family val="2"/>
      </rPr>
      <t>H1+CH2</t>
    </r>
    <phoneticPr fontId="3"/>
  </si>
  <si>
    <r>
      <t>o</t>
    </r>
    <r>
      <rPr>
        <sz val="10"/>
        <rFont val="Arial"/>
        <family val="2"/>
      </rPr>
      <t>verlap_B</t>
    </r>
    <phoneticPr fontId="3"/>
  </si>
  <si>
    <r>
      <t>C</t>
    </r>
    <r>
      <rPr>
        <sz val="10"/>
        <rFont val="Arial"/>
        <family val="2"/>
      </rPr>
      <t>H1+CH2_B</t>
    </r>
    <phoneticPr fontId="3"/>
  </si>
  <si>
    <t>Cin1</t>
    <phoneticPr fontId="3"/>
  </si>
  <si>
    <t>Cin2</t>
    <phoneticPr fontId="3"/>
  </si>
  <si>
    <r>
      <t>R</t>
    </r>
    <r>
      <rPr>
        <sz val="10"/>
        <rFont val="Arial"/>
        <family val="2"/>
      </rPr>
      <t>MS/ pcs</t>
    </r>
    <phoneticPr fontId="3"/>
  </si>
  <si>
    <t>L/S FET_cond-loss_Vinmin</t>
  </si>
  <si>
    <r>
      <t>T</t>
    </r>
    <r>
      <rPr>
        <sz val="10"/>
        <rFont val="Arial"/>
        <family val="2"/>
      </rPr>
      <t>heta-JA</t>
    </r>
    <phoneticPr fontId="3"/>
  </si>
  <si>
    <t>L/S FET_Delta-T</t>
    <phoneticPr fontId="3"/>
  </si>
  <si>
    <t>Iout_(A)</t>
    <phoneticPr fontId="3"/>
  </si>
  <si>
    <t>Internal</t>
  </si>
  <si>
    <t>Channel 1</t>
  </si>
  <si>
    <t>Channel 2</t>
  </si>
  <si>
    <t>L_(uH): Recommended</t>
  </si>
  <si>
    <t>R2_(kohm): Chosen</t>
  </si>
  <si>
    <t>R1_(kohm): Recommended</t>
  </si>
  <si>
    <t>R1_(kohm): Chosen</t>
  </si>
  <si>
    <t>Switching Frequency</t>
    <phoneticPr fontId="3"/>
  </si>
  <si>
    <t>4. Determine switching frequency and RF resistor</t>
    <phoneticPr fontId="3"/>
  </si>
  <si>
    <t>RF resistor</t>
    <phoneticPr fontId="3"/>
  </si>
  <si>
    <t>k-ohm</t>
  </si>
  <si>
    <t>Prepared by Computing Power Management Product-line on 2010/5/27</t>
    <phoneticPr fontId="3"/>
  </si>
  <si>
    <t>Recommended</t>
    <phoneticPr fontId="3"/>
  </si>
  <si>
    <t>Target</t>
    <phoneticPr fontId="3"/>
  </si>
  <si>
    <r>
      <t>C</t>
    </r>
    <r>
      <rPr>
        <sz val="10"/>
        <rFont val="Arial"/>
        <family val="2"/>
      </rPr>
      <t>hosen</t>
    </r>
    <phoneticPr fontId="3"/>
  </si>
  <si>
    <r>
      <t>Calcu</t>
    </r>
    <r>
      <rPr>
        <sz val="10"/>
        <rFont val="Arial"/>
        <family val="2"/>
      </rPr>
      <t>lated</t>
    </r>
    <phoneticPr fontId="3"/>
  </si>
  <si>
    <r>
      <t>L</t>
    </r>
    <r>
      <rPr>
        <sz val="10"/>
        <rFont val="Arial"/>
        <family val="2"/>
      </rPr>
      <t xml:space="preserve"> (at 0A)</t>
    </r>
    <phoneticPr fontId="3"/>
  </si>
  <si>
    <r>
      <t>k</t>
    </r>
    <r>
      <rPr>
        <sz val="10"/>
        <rFont val="Arial"/>
        <family val="2"/>
      </rPr>
      <t>-ohm</t>
    </r>
    <phoneticPr fontId="3"/>
  </si>
  <si>
    <t>Rb</t>
    <phoneticPr fontId="3"/>
  </si>
  <si>
    <r>
      <t>c</t>
    </r>
    <r>
      <rPr>
        <sz val="10"/>
        <rFont val="Arial"/>
        <family val="2"/>
      </rPr>
      <t>al (para)</t>
    </r>
    <phoneticPr fontId="3"/>
  </si>
  <si>
    <t>SP-150 x 2</t>
    <phoneticPr fontId="3"/>
  </si>
  <si>
    <t>SP-220 x 2</t>
    <phoneticPr fontId="3"/>
  </si>
  <si>
    <r>
      <t>o</t>
    </r>
    <r>
      <rPr>
        <sz val="10"/>
        <rFont val="Arial"/>
        <family val="2"/>
      </rPr>
      <t>verlap_b</t>
    </r>
    <phoneticPr fontId="3"/>
  </si>
  <si>
    <r>
      <t>F</t>
    </r>
    <r>
      <rPr>
        <sz val="10"/>
        <rFont val="Arial"/>
        <family val="2"/>
      </rPr>
      <t>DV1040-1R5</t>
    </r>
    <phoneticPr fontId="3"/>
  </si>
  <si>
    <t>SP-330 x 3</t>
    <phoneticPr fontId="3"/>
  </si>
  <si>
    <t>Cumulative error</t>
    <phoneticPr fontId="3"/>
  </si>
  <si>
    <t>Vo-CCM-max (V)</t>
    <phoneticPr fontId="3"/>
  </si>
  <si>
    <t>Vo rate of CCM-max (%)</t>
    <phoneticPr fontId="3"/>
  </si>
  <si>
    <t>Contributory rate</t>
    <phoneticPr fontId="3"/>
  </si>
  <si>
    <r>
      <t>R</t>
    </r>
    <r>
      <rPr>
        <sz val="10"/>
        <rFont val="Arial"/>
        <family val="2"/>
      </rPr>
      <t>ff (k-ohm)</t>
    </r>
    <phoneticPr fontId="3"/>
  </si>
  <si>
    <r>
      <t>C</t>
    </r>
    <r>
      <rPr>
        <sz val="10"/>
        <rFont val="Arial"/>
        <family val="2"/>
      </rPr>
      <t>ff (pF)</t>
    </r>
    <phoneticPr fontId="3"/>
  </si>
  <si>
    <t>Adding feed-forward RC</t>
    <phoneticPr fontId="3"/>
  </si>
  <si>
    <r>
      <t xml:space="preserve">Iind(ripple) at Iout(max), </t>
    </r>
    <r>
      <rPr>
        <sz val="10"/>
        <rFont val="Arial"/>
        <family val="2"/>
      </rPr>
      <t>Vin(min)</t>
    </r>
    <phoneticPr fontId="3"/>
  </si>
  <si>
    <r>
      <t xml:space="preserve">Iind(ripple) at Iout(max), </t>
    </r>
    <r>
      <rPr>
        <sz val="10"/>
        <rFont val="Arial"/>
        <family val="2"/>
      </rPr>
      <t>Vin(typ)</t>
    </r>
    <phoneticPr fontId="3"/>
  </si>
  <si>
    <r>
      <t xml:space="preserve">Iind(ripple) at Iout(max), </t>
    </r>
    <r>
      <rPr>
        <sz val="10"/>
        <rFont val="Arial"/>
        <family val="2"/>
      </rPr>
      <t>Vin(max)</t>
    </r>
    <phoneticPr fontId="3"/>
  </si>
  <si>
    <r>
      <t xml:space="preserve">Iind(ripple) at Iout(OCL), </t>
    </r>
    <r>
      <rPr>
        <sz val="10"/>
        <rFont val="Arial"/>
        <family val="2"/>
      </rPr>
      <t>Vin(min)</t>
    </r>
    <phoneticPr fontId="3"/>
  </si>
  <si>
    <r>
      <t xml:space="preserve">Iind(ripple) at Iout(OCL), </t>
    </r>
    <r>
      <rPr>
        <sz val="10"/>
        <rFont val="Arial"/>
        <family val="2"/>
      </rPr>
      <t>Vin(max)</t>
    </r>
    <phoneticPr fontId="3"/>
  </si>
  <si>
    <r>
      <t xml:space="preserve">Iind(ripple) at Iout(OCL), </t>
    </r>
    <r>
      <rPr>
        <sz val="10"/>
        <rFont val="Arial"/>
        <family val="2"/>
      </rPr>
      <t>Vin(typ)</t>
    </r>
    <phoneticPr fontId="3"/>
  </si>
  <si>
    <t>6TPE120MAZB</t>
    <phoneticPr fontId="3"/>
  </si>
  <si>
    <r>
      <t>4</t>
    </r>
    <r>
      <rPr>
        <sz val="10"/>
        <rFont val="Arial"/>
        <family val="2"/>
      </rPr>
      <t>TPE330MI</t>
    </r>
    <phoneticPr fontId="3"/>
  </si>
  <si>
    <r>
      <t>I</t>
    </r>
    <r>
      <rPr>
        <sz val="10"/>
        <rFont val="Arial"/>
        <family val="2"/>
      </rPr>
      <t>MON-Vin-min</t>
    </r>
    <phoneticPr fontId="3"/>
  </si>
  <si>
    <r>
      <t>I</t>
    </r>
    <r>
      <rPr>
        <sz val="10"/>
        <rFont val="Arial"/>
        <family val="2"/>
      </rPr>
      <t>MON-Vin-typ</t>
    </r>
    <phoneticPr fontId="3"/>
  </si>
  <si>
    <r>
      <t>I</t>
    </r>
    <r>
      <rPr>
        <sz val="10"/>
        <rFont val="Arial"/>
        <family val="2"/>
      </rPr>
      <t>MON-Vin-max</t>
    </r>
    <phoneticPr fontId="3"/>
  </si>
  <si>
    <t>VIN</t>
    <phoneticPr fontId="3"/>
  </si>
  <si>
    <r>
      <t>C</t>
    </r>
    <r>
      <rPr>
        <sz val="10"/>
        <rFont val="Arial"/>
        <family val="2"/>
      </rPr>
      <t>H2</t>
    </r>
    <phoneticPr fontId="3"/>
  </si>
  <si>
    <r>
      <t>C</t>
    </r>
    <r>
      <rPr>
        <sz val="10"/>
        <rFont val="Arial"/>
        <family val="2"/>
      </rPr>
      <t>H1</t>
    </r>
    <phoneticPr fontId="3"/>
  </si>
  <si>
    <r>
      <t>t</t>
    </r>
    <r>
      <rPr>
        <sz val="10"/>
        <rFont val="Arial"/>
        <family val="2"/>
      </rPr>
      <t>on_Low-diode_(ns)_by ZC</t>
    </r>
    <phoneticPr fontId="3"/>
  </si>
  <si>
    <t>t</t>
    <phoneticPr fontId="3"/>
  </si>
  <si>
    <t>L</t>
    <phoneticPr fontId="3"/>
  </si>
  <si>
    <t>Vo</t>
    <phoneticPr fontId="3"/>
  </si>
  <si>
    <t>I</t>
    <phoneticPr fontId="3"/>
  </si>
  <si>
    <t>CH1_duty (%)</t>
    <phoneticPr fontId="3"/>
  </si>
  <si>
    <t>CH2_duty (%)</t>
    <phoneticPr fontId="3"/>
  </si>
  <si>
    <t>Voltage setting resistor info.</t>
    <phoneticPr fontId="3"/>
  </si>
  <si>
    <t>From: Computing Power Management Product-line</t>
    <phoneticPr fontId="3"/>
  </si>
  <si>
    <t>1. Enter input voltage information</t>
    <phoneticPr fontId="3"/>
  </si>
  <si>
    <t>Enter the value at this color space</t>
    <phoneticPr fontId="3"/>
  </si>
  <si>
    <t>Vin</t>
    <phoneticPr fontId="3"/>
  </si>
  <si>
    <t>2. Enter the expected Ambient (junction) Temperature information</t>
    <phoneticPr fontId="3"/>
  </si>
  <si>
    <t>Ta (Tj)</t>
    <phoneticPr fontId="3"/>
  </si>
  <si>
    <t>Min</t>
    <phoneticPr fontId="3"/>
  </si>
  <si>
    <t>Deg.</t>
    <phoneticPr fontId="3"/>
  </si>
  <si>
    <r>
      <t xml:space="preserve">Cout (for load </t>
    </r>
    <r>
      <rPr>
        <sz val="10"/>
        <rFont val="Arial"/>
        <family val="2"/>
      </rPr>
      <t>release</t>
    </r>
    <r>
      <rPr>
        <sz val="10"/>
        <rFont val="Arial"/>
        <family val="2"/>
      </rPr>
      <t>)</t>
    </r>
    <phoneticPr fontId="3"/>
  </si>
  <si>
    <r>
      <t xml:space="preserve">Cout (for load </t>
    </r>
    <r>
      <rPr>
        <sz val="10"/>
        <rFont val="Arial"/>
        <family val="2"/>
      </rPr>
      <t>increasing</t>
    </r>
    <r>
      <rPr>
        <sz val="10"/>
        <rFont val="Arial"/>
        <family val="2"/>
      </rPr>
      <t>)</t>
    </r>
    <phoneticPr fontId="3"/>
  </si>
  <si>
    <t>di/dt of load increasing (A/usec)</t>
    <phoneticPr fontId="3"/>
  </si>
  <si>
    <t>Delay time by fsw-period (usec)</t>
    <phoneticPr fontId="3"/>
  </si>
  <si>
    <t>Q by load increasing (uC)</t>
    <phoneticPr fontId="3"/>
  </si>
  <si>
    <t>Trasition time of load increasing (usec)</t>
    <phoneticPr fontId="3"/>
  </si>
  <si>
    <t>Q by recovery at Vin-min (uC)</t>
    <phoneticPr fontId="3"/>
  </si>
  <si>
    <r>
      <t>Permissible V</t>
    </r>
    <r>
      <rPr>
        <sz val="10"/>
        <rFont val="Arial"/>
        <family val="2"/>
      </rPr>
      <t xml:space="preserve">drop </t>
    </r>
    <r>
      <rPr>
        <sz val="10"/>
        <rFont val="Arial"/>
        <family val="2"/>
      </rPr>
      <t>(%)</t>
    </r>
    <phoneticPr fontId="3"/>
  </si>
  <si>
    <r>
      <t xml:space="preserve">Permissible </t>
    </r>
    <r>
      <rPr>
        <sz val="10"/>
        <rFont val="Arial"/>
        <family val="2"/>
      </rPr>
      <t>variation</t>
    </r>
    <r>
      <rPr>
        <sz val="10"/>
        <rFont val="Arial"/>
        <family val="2"/>
      </rPr>
      <t xml:space="preserve"> of Vout</t>
    </r>
    <phoneticPr fontId="3"/>
  </si>
  <si>
    <r>
      <t>Cout (</t>
    </r>
    <r>
      <rPr>
        <sz val="10"/>
        <rFont val="Arial"/>
        <family val="2"/>
      </rPr>
      <t>recommendation</t>
    </r>
    <r>
      <rPr>
        <sz val="10"/>
        <rFont val="Arial"/>
        <family val="2"/>
      </rPr>
      <t>)</t>
    </r>
    <phoneticPr fontId="3"/>
  </si>
  <si>
    <t>Recover time of SW (usec)</t>
    <phoneticPr fontId="3"/>
  </si>
  <si>
    <t>Delta-Io by inductor</t>
    <phoneticPr fontId="3"/>
  </si>
  <si>
    <r>
      <t>L</t>
    </r>
    <r>
      <rPr>
        <sz val="10"/>
        <rFont val="Arial"/>
        <family val="2"/>
      </rPr>
      <t>oad change rate</t>
    </r>
    <phoneticPr fontId="3"/>
  </si>
  <si>
    <r>
      <t>L</t>
    </r>
    <r>
      <rPr>
        <sz val="10"/>
        <rFont val="Arial"/>
        <family val="2"/>
      </rPr>
      <t>oad increasing rate</t>
    </r>
    <phoneticPr fontId="3"/>
  </si>
  <si>
    <t>A/usec</t>
    <phoneticPr fontId="3"/>
  </si>
  <si>
    <t>3. Enter/ determine output voltage setting</t>
    <phoneticPr fontId="3"/>
  </si>
  <si>
    <r>
      <t>R</t>
    </r>
    <r>
      <rPr>
        <sz val="10"/>
        <rFont val="Arial"/>
        <family val="2"/>
      </rPr>
      <t>1 (upper)</t>
    </r>
    <phoneticPr fontId="3"/>
  </si>
  <si>
    <r>
      <t>V</t>
    </r>
    <r>
      <rPr>
        <sz val="10"/>
        <rFont val="Arial"/>
        <family val="2"/>
      </rPr>
      <t>out</t>
    </r>
    <phoneticPr fontId="3"/>
  </si>
  <si>
    <r>
      <t>unit</t>
    </r>
    <r>
      <rPr>
        <sz val="10"/>
        <rFont val="Arial"/>
        <family val="2"/>
      </rPr>
      <t>s</t>
    </r>
    <phoneticPr fontId="3"/>
  </si>
  <si>
    <t>5. Enter/ determine output current and inductance.</t>
    <phoneticPr fontId="3"/>
  </si>
  <si>
    <r>
      <t>L</t>
    </r>
    <r>
      <rPr>
        <sz val="10"/>
        <rFont val="Arial"/>
        <family val="2"/>
      </rPr>
      <t xml:space="preserve"> (at Iout_max)</t>
    </r>
    <phoneticPr fontId="3"/>
  </si>
  <si>
    <r>
      <t>L</t>
    </r>
    <r>
      <rPr>
        <sz val="10"/>
        <rFont val="Arial"/>
        <family val="2"/>
      </rPr>
      <t xml:space="preserve"> (Tolerance)</t>
    </r>
    <phoneticPr fontId="3"/>
  </si>
  <si>
    <t>%</t>
    <phoneticPr fontId="3"/>
  </si>
  <si>
    <r>
      <t>u</t>
    </r>
    <r>
      <rPr>
        <sz val="10"/>
        <rFont val="Arial"/>
        <family val="2"/>
      </rPr>
      <t>sec</t>
    </r>
    <phoneticPr fontId="3"/>
  </si>
  <si>
    <t>Cx</t>
    <phoneticPr fontId="3"/>
  </si>
  <si>
    <r>
      <t>n</t>
    </r>
    <r>
      <rPr>
        <sz val="10"/>
        <rFont val="Arial"/>
        <family val="2"/>
      </rPr>
      <t>F</t>
    </r>
    <phoneticPr fontId="3"/>
  </si>
  <si>
    <t>OCL_(CH1)</t>
    <phoneticPr fontId="3"/>
  </si>
  <si>
    <t>OCL_(CH2)</t>
    <phoneticPr fontId="3"/>
  </si>
  <si>
    <r>
      <t>C</t>
    </r>
    <r>
      <rPr>
        <sz val="10"/>
        <rFont val="Arial"/>
        <family val="2"/>
      </rPr>
      <t>o</t>
    </r>
    <phoneticPr fontId="3"/>
  </si>
  <si>
    <r>
      <t>E</t>
    </r>
    <r>
      <rPr>
        <sz val="10"/>
        <rFont val="Arial"/>
        <family val="2"/>
      </rPr>
      <t>SR</t>
    </r>
    <phoneticPr fontId="3"/>
  </si>
  <si>
    <r>
      <t>F</t>
    </r>
    <r>
      <rPr>
        <sz val="10"/>
        <rFont val="Arial"/>
        <family val="2"/>
      </rPr>
      <t>or load change</t>
    </r>
    <phoneticPr fontId="3"/>
  </si>
  <si>
    <r>
      <t>L</t>
    </r>
    <r>
      <rPr>
        <sz val="10"/>
        <rFont val="Arial"/>
        <family val="2"/>
      </rPr>
      <t>oad change</t>
    </r>
    <phoneticPr fontId="3"/>
  </si>
  <si>
    <t>Permissible hump of Vout</t>
    <phoneticPr fontId="3"/>
  </si>
  <si>
    <r>
      <t>m</t>
    </r>
    <r>
      <rPr>
        <sz val="10"/>
        <rFont val="Arial"/>
        <family val="2"/>
      </rPr>
      <t>-ohm</t>
    </r>
    <phoneticPr fontId="3"/>
  </si>
  <si>
    <r>
      <t>f</t>
    </r>
    <r>
      <rPr>
        <sz val="10"/>
        <rFont val="Arial"/>
        <family val="2"/>
      </rPr>
      <t>sw/4</t>
    </r>
    <phoneticPr fontId="3"/>
  </si>
  <si>
    <r>
      <t>F</t>
    </r>
    <r>
      <rPr>
        <sz val="10"/>
        <rFont val="Arial"/>
        <family val="2"/>
      </rPr>
      <t>or stability</t>
    </r>
    <phoneticPr fontId="3"/>
  </si>
  <si>
    <t>10. Calculated voltage ramp at feedback point (VFB) and output ripple</t>
    <phoneticPr fontId="3"/>
  </si>
  <si>
    <t xml:space="preserve">VFB (CH1) </t>
    <phoneticPr fontId="3"/>
  </si>
  <si>
    <r>
      <t>m</t>
    </r>
    <r>
      <rPr>
        <sz val="10"/>
        <rFont val="Arial"/>
        <family val="2"/>
      </rPr>
      <t>V</t>
    </r>
    <phoneticPr fontId="3"/>
  </si>
  <si>
    <t>Note; Recommended ripple at VFB is approx. more than 15mV.</t>
    <phoneticPr fontId="3"/>
  </si>
  <si>
    <t>Vripple_at output   (CH1)</t>
    <phoneticPr fontId="3"/>
  </si>
  <si>
    <t xml:space="preserve">VFB (CH2) </t>
    <phoneticPr fontId="3"/>
  </si>
  <si>
    <t>Vripple_at output   (CH2)</t>
    <phoneticPr fontId="3"/>
  </si>
  <si>
    <t>If the output ripple voltage requirement is too low, adding feed-forward capacitor could help to increase the voltage ramp at feedback point</t>
    <phoneticPr fontId="3"/>
  </si>
  <si>
    <t>Confirm the voltage ramp at feedback point</t>
    <phoneticPr fontId="3"/>
  </si>
  <si>
    <t>Recommended capacitance (min)</t>
    <phoneticPr fontId="3"/>
  </si>
  <si>
    <r>
      <t>C</t>
    </r>
    <r>
      <rPr>
        <sz val="10"/>
        <rFont val="Arial"/>
        <family val="2"/>
      </rPr>
      <t>ff</t>
    </r>
    <phoneticPr fontId="3"/>
  </si>
  <si>
    <r>
      <t>r</t>
    </r>
    <r>
      <rPr>
        <sz val="10"/>
        <rFont val="Arial"/>
        <family val="2"/>
      </rPr>
      <t xml:space="preserve"> (</t>
    </r>
    <r>
      <rPr>
        <sz val="10"/>
        <rFont val="Symbol"/>
        <family val="1"/>
        <charset val="2"/>
      </rPr>
      <t>W</t>
    </r>
    <r>
      <rPr>
        <sz val="10"/>
        <rFont val="Arial"/>
        <family val="2"/>
      </rPr>
      <t>m)</t>
    </r>
    <phoneticPr fontId="3"/>
  </si>
  <si>
    <r>
      <t>B</t>
    </r>
    <r>
      <rPr>
        <sz val="10"/>
        <rFont val="Arial"/>
        <family val="2"/>
      </rPr>
      <t xml:space="preserve"> (mm)</t>
    </r>
    <phoneticPr fontId="3"/>
  </si>
  <si>
    <r>
      <t>s</t>
    </r>
    <r>
      <rPr>
        <sz val="10"/>
        <rFont val="Arial"/>
        <family val="2"/>
      </rPr>
      <t xml:space="preserve"> (m2)</t>
    </r>
    <phoneticPr fontId="3"/>
  </si>
  <si>
    <t>Output info.</t>
    <phoneticPr fontId="3"/>
  </si>
  <si>
    <r>
      <t xml:space="preserve">Target Vout
</t>
    </r>
    <r>
      <rPr>
        <sz val="10"/>
        <rFont val="Arial"/>
        <family val="2"/>
      </rPr>
      <t>(1V to 12V)</t>
    </r>
    <phoneticPr fontId="3"/>
  </si>
  <si>
    <t>(Tolerance)</t>
    <phoneticPr fontId="3"/>
  </si>
  <si>
    <t>Calculation</t>
    <phoneticPr fontId="3"/>
  </si>
  <si>
    <r>
      <t>U</t>
    </r>
    <r>
      <rPr>
        <sz val="10"/>
        <rFont val="Arial"/>
        <family val="2"/>
      </rPr>
      <t>nits</t>
    </r>
    <phoneticPr fontId="3"/>
  </si>
  <si>
    <r>
      <t>R2</t>
    </r>
    <r>
      <rPr>
        <sz val="10"/>
        <rFont val="Arial"/>
        <family val="2"/>
      </rPr>
      <t xml:space="preserve"> (Low)_(k-ohm)</t>
    </r>
    <phoneticPr fontId="3"/>
  </si>
  <si>
    <t>Step.X (Set the electrical characteristics of device)</t>
    <phoneticPr fontId="3"/>
  </si>
  <si>
    <r>
      <t>s</t>
    </r>
    <r>
      <rPr>
        <sz val="10"/>
        <rFont val="Arial"/>
        <family val="2"/>
      </rPr>
      <t>ame</t>
    </r>
    <phoneticPr fontId="3"/>
  </si>
  <si>
    <r>
      <t>V</t>
    </r>
    <r>
      <rPr>
        <b/>
        <i/>
        <sz val="8"/>
        <color indexed="12"/>
        <rFont val="Arial"/>
        <family val="2"/>
      </rPr>
      <t>ADJ</t>
    </r>
    <phoneticPr fontId="3"/>
  </si>
  <si>
    <t>Amp</t>
    <phoneticPr fontId="3"/>
  </si>
  <si>
    <r>
      <t>T</t>
    </r>
    <r>
      <rPr>
        <sz val="10"/>
        <rFont val="Arial"/>
        <family val="2"/>
      </rPr>
      <t>RIP=0V</t>
    </r>
    <phoneticPr fontId="3"/>
  </si>
  <si>
    <r>
      <t>T</t>
    </r>
    <r>
      <rPr>
        <sz val="10"/>
        <rFont val="Arial"/>
        <family val="2"/>
      </rPr>
      <t>RIP=5V</t>
    </r>
    <phoneticPr fontId="3"/>
  </si>
  <si>
    <t>TRIP=7V, SKIPSEL=0V</t>
    <phoneticPr fontId="3"/>
  </si>
  <si>
    <t>TRIP=7V, SKIPSEL=5/7V</t>
    <phoneticPr fontId="3"/>
  </si>
  <si>
    <t>RF_(k-ohm)</t>
    <phoneticPr fontId="3"/>
  </si>
  <si>
    <t>Input voltage info.</t>
    <phoneticPr fontId="3"/>
  </si>
  <si>
    <r>
      <t>I</t>
    </r>
    <r>
      <rPr>
        <sz val="10"/>
        <rFont val="Arial"/>
        <family val="2"/>
      </rPr>
      <t>nductance_(uH) at 0A</t>
    </r>
    <phoneticPr fontId="3"/>
  </si>
  <si>
    <r>
      <t>I</t>
    </r>
    <r>
      <rPr>
        <sz val="10"/>
        <rFont val="Arial"/>
        <family val="2"/>
      </rPr>
      <t>nductance_(uH) at Iout(max)</t>
    </r>
    <phoneticPr fontId="3"/>
  </si>
  <si>
    <r>
      <t>I</t>
    </r>
    <r>
      <rPr>
        <sz val="10"/>
        <rFont val="Arial"/>
        <family val="2"/>
      </rPr>
      <t>nductance_(uH) at Iout(OCL)</t>
    </r>
    <phoneticPr fontId="3"/>
  </si>
  <si>
    <r>
      <t>I</t>
    </r>
    <r>
      <rPr>
        <sz val="10"/>
        <rFont val="Arial"/>
        <family val="2"/>
      </rPr>
      <t>nductance_Tolerance_+/- (%)</t>
    </r>
    <phoneticPr fontId="3"/>
  </si>
  <si>
    <r>
      <t>D</t>
    </r>
    <r>
      <rPr>
        <sz val="10"/>
        <rFont val="Arial"/>
        <family val="2"/>
      </rPr>
      <t>CR (typ)_(m-ohm)</t>
    </r>
    <phoneticPr fontId="3"/>
  </si>
  <si>
    <r>
      <t>Cx_(nF)</t>
    </r>
    <r>
      <rPr>
        <sz val="10"/>
        <rFont val="Arial"/>
        <family val="2"/>
      </rPr>
      <t>: C4, C23</t>
    </r>
    <phoneticPr fontId="3"/>
  </si>
  <si>
    <r>
      <t>D</t>
    </r>
    <r>
      <rPr>
        <sz val="10"/>
        <rFont val="Arial"/>
        <family val="2"/>
      </rPr>
      <t>CR at Iocl &amp; High-temp_(m-ohm)</t>
    </r>
    <phoneticPr fontId="3"/>
  </si>
  <si>
    <t>TC (L/ Rs at 0A)_usec</t>
    <phoneticPr fontId="3"/>
  </si>
  <si>
    <t>TC (90% of L/ Rs at 0A)_usec</t>
    <phoneticPr fontId="3"/>
  </si>
  <si>
    <t>TC (L/ Rs at Io_max)_usec</t>
    <phoneticPr fontId="3"/>
  </si>
  <si>
    <r>
      <t xml:space="preserve">R at Ioutmax </t>
    </r>
    <r>
      <rPr>
        <sz val="10"/>
        <rFont val="Arial"/>
        <family val="2"/>
      </rPr>
      <t>(T</t>
    </r>
    <r>
      <rPr>
        <sz val="10"/>
        <rFont val="Arial"/>
        <family val="2"/>
      </rPr>
      <t>a</t>
    </r>
    <r>
      <rPr>
        <sz val="10"/>
        <rFont val="Arial"/>
        <family val="2"/>
      </rPr>
      <t>=+25</t>
    </r>
    <r>
      <rPr>
        <sz val="10"/>
        <rFont val="Arial"/>
        <family val="2"/>
      </rPr>
      <t>C</t>
    </r>
    <r>
      <rPr>
        <sz val="10"/>
        <rFont val="Arial"/>
        <family val="2"/>
      </rPr>
      <t>)</t>
    </r>
    <phoneticPr fontId="3"/>
  </si>
  <si>
    <r>
      <t xml:space="preserve">R_at Iout_OCL </t>
    </r>
    <r>
      <rPr>
        <sz val="10"/>
        <rFont val="Arial"/>
        <family val="2"/>
      </rPr>
      <t>(T</t>
    </r>
    <r>
      <rPr>
        <sz val="10"/>
        <rFont val="Arial"/>
        <family val="2"/>
      </rPr>
      <t>a</t>
    </r>
    <r>
      <rPr>
        <sz val="10"/>
        <rFont val="Arial"/>
        <family val="2"/>
      </rPr>
      <t>=+25</t>
    </r>
    <r>
      <rPr>
        <sz val="10"/>
        <rFont val="Arial"/>
        <family val="2"/>
      </rPr>
      <t>C</t>
    </r>
    <r>
      <rPr>
        <sz val="10"/>
        <rFont val="Arial"/>
        <family val="2"/>
      </rPr>
      <t>)</t>
    </r>
    <phoneticPr fontId="3"/>
  </si>
  <si>
    <t>Integrated error (Ex-R, Vocl+)</t>
    <phoneticPr fontId="3"/>
  </si>
  <si>
    <t>Integrated error (Ex-R, Vocl-)</t>
    <phoneticPr fontId="3"/>
  </si>
  <si>
    <t>Integrated error (L, fsw)</t>
    <phoneticPr fontId="3"/>
  </si>
  <si>
    <r>
      <t>1</t>
    </r>
    <r>
      <rPr>
        <sz val="10"/>
        <rFont val="Arial"/>
        <family val="2"/>
      </rPr>
      <t>/2 of I-ind-ripple</t>
    </r>
    <phoneticPr fontId="3"/>
  </si>
  <si>
    <r>
      <t>I</t>
    </r>
    <r>
      <rPr>
        <sz val="10"/>
        <rFont val="Arial"/>
        <family val="2"/>
      </rPr>
      <t>-OCL-peak (at Ta-typ)</t>
    </r>
    <phoneticPr fontId="3"/>
  </si>
  <si>
    <t>Iout+line</t>
    <phoneticPr fontId="3"/>
  </si>
  <si>
    <t>TC (L/ Rs at Iocl)_usec</t>
    <phoneticPr fontId="3"/>
  </si>
  <si>
    <r>
      <t>R</t>
    </r>
    <r>
      <rPr>
        <sz val="10"/>
        <rFont val="Arial"/>
        <family val="2"/>
      </rPr>
      <t>a</t>
    </r>
    <phoneticPr fontId="3"/>
  </si>
  <si>
    <r>
      <t>R</t>
    </r>
    <r>
      <rPr>
        <sz val="10"/>
        <rFont val="Arial"/>
        <family val="2"/>
      </rPr>
      <t>x_cal</t>
    </r>
    <phoneticPr fontId="3"/>
  </si>
  <si>
    <r>
      <t>R</t>
    </r>
    <r>
      <rPr>
        <sz val="10"/>
        <rFont val="Arial"/>
        <family val="2"/>
      </rPr>
      <t>x_set</t>
    </r>
    <phoneticPr fontId="3"/>
  </si>
  <si>
    <r>
      <t>R</t>
    </r>
    <r>
      <rPr>
        <sz val="10"/>
        <rFont val="Arial"/>
        <family val="2"/>
      </rPr>
      <t>c_set</t>
    </r>
    <phoneticPr fontId="3"/>
  </si>
  <si>
    <r>
      <t>R</t>
    </r>
    <r>
      <rPr>
        <sz val="10"/>
        <rFont val="Arial"/>
        <family val="2"/>
      </rPr>
      <t>c_set/Rx_set</t>
    </r>
    <phoneticPr fontId="3"/>
  </si>
  <si>
    <r>
      <t>T</t>
    </r>
    <r>
      <rPr>
        <sz val="10"/>
        <rFont val="Arial"/>
        <family val="2"/>
      </rPr>
      <t>C_Rx/Rc/Cx</t>
    </r>
    <phoneticPr fontId="3"/>
  </si>
  <si>
    <t>Rs by Rx/Rc at Iocl &amp; Low-temp_(m-ohm)</t>
    <phoneticPr fontId="3"/>
  </si>
  <si>
    <t>Rs by Rx/Rc at Iocl &amp; High-temp_(m-ohm)</t>
    <phoneticPr fontId="3"/>
  </si>
  <si>
    <r>
      <t xml:space="preserve">Iout (ocl)_typ, </t>
    </r>
    <r>
      <rPr>
        <sz val="10"/>
        <rFont val="Arial"/>
        <family val="2"/>
      </rPr>
      <t>Vin_max</t>
    </r>
    <phoneticPr fontId="3"/>
  </si>
  <si>
    <r>
      <t xml:space="preserve">Iout (ocl)_typ, </t>
    </r>
    <r>
      <rPr>
        <sz val="10"/>
        <rFont val="Arial"/>
        <family val="2"/>
      </rPr>
      <t>Vin_min</t>
    </r>
    <phoneticPr fontId="3"/>
  </si>
  <si>
    <r>
      <t xml:space="preserve">Iout (ocl)_min, </t>
    </r>
    <r>
      <rPr>
        <sz val="10"/>
        <rFont val="Arial"/>
        <family val="2"/>
      </rPr>
      <t>VIN_max w/ temp</t>
    </r>
    <phoneticPr fontId="3"/>
  </si>
  <si>
    <r>
      <t>Iout (ocl)_</t>
    </r>
    <r>
      <rPr>
        <sz val="10"/>
        <rFont val="Arial"/>
        <family val="2"/>
      </rPr>
      <t>tolerance_min, w/ temp</t>
    </r>
    <phoneticPr fontId="3"/>
  </si>
  <si>
    <r>
      <t>Iout (ocl)_</t>
    </r>
    <r>
      <rPr>
        <sz val="10"/>
        <rFont val="Arial"/>
        <family val="2"/>
      </rPr>
      <t>tolerance_max, w/ temp</t>
    </r>
    <phoneticPr fontId="3"/>
  </si>
  <si>
    <r>
      <t xml:space="preserve">Iout (ocl)_typ, </t>
    </r>
    <r>
      <rPr>
        <sz val="10"/>
        <rFont val="Arial"/>
        <family val="2"/>
      </rPr>
      <t>Vin_min, w/ temp</t>
    </r>
    <phoneticPr fontId="3"/>
  </si>
  <si>
    <r>
      <t>I</t>
    </r>
    <r>
      <rPr>
        <sz val="10"/>
        <rFont val="Arial"/>
        <family val="2"/>
      </rPr>
      <t>ocl (peak)</t>
    </r>
    <phoneticPr fontId="3"/>
  </si>
  <si>
    <r>
      <t>I</t>
    </r>
    <r>
      <rPr>
        <sz val="10"/>
        <rFont val="Arial"/>
        <family val="2"/>
      </rPr>
      <t>out for IMON</t>
    </r>
    <phoneticPr fontId="3"/>
  </si>
  <si>
    <r>
      <t>I</t>
    </r>
    <r>
      <rPr>
        <sz val="10"/>
        <rFont val="Arial"/>
        <family val="2"/>
      </rPr>
      <t>MON-peak-Vin-min</t>
    </r>
    <phoneticPr fontId="3"/>
  </si>
  <si>
    <t>MLCC</t>
    <phoneticPr fontId="3"/>
  </si>
  <si>
    <r>
      <t>I</t>
    </r>
    <r>
      <rPr>
        <sz val="10"/>
        <rFont val="Arial"/>
        <family val="2"/>
      </rPr>
      <t>MON-peak-Vin-typ</t>
    </r>
    <phoneticPr fontId="3"/>
  </si>
  <si>
    <r>
      <t>I</t>
    </r>
    <r>
      <rPr>
        <sz val="10"/>
        <rFont val="Arial"/>
        <family val="2"/>
      </rPr>
      <t>MON-peak-Vin-max</t>
    </r>
    <phoneticPr fontId="3"/>
  </si>
  <si>
    <r>
      <t>0</t>
    </r>
    <r>
      <rPr>
        <sz val="10"/>
        <rFont val="Arial"/>
        <family val="2"/>
      </rPr>
      <t xml:space="preserve">A; </t>
    </r>
    <r>
      <rPr>
        <sz val="10"/>
        <rFont val="Arial"/>
        <family val="2"/>
      </rPr>
      <t>Auto-skip mode</t>
    </r>
    <phoneticPr fontId="3"/>
  </si>
  <si>
    <r>
      <t>0</t>
    </r>
    <r>
      <rPr>
        <sz val="10"/>
        <rFont val="Arial"/>
        <family val="2"/>
      </rPr>
      <t>A; CCM</t>
    </r>
    <r>
      <rPr>
        <sz val="10"/>
        <rFont val="Arial"/>
        <family val="2"/>
      </rPr>
      <t xml:space="preserve"> mode</t>
    </r>
    <phoneticPr fontId="3"/>
  </si>
  <si>
    <t>RMS error (L, DCR, fsw, Vocl+)</t>
    <phoneticPr fontId="3"/>
  </si>
  <si>
    <t>RMS error (L, DCR, fsw, Vocl-)</t>
    <phoneticPr fontId="3"/>
  </si>
  <si>
    <t>RMS error (DCR, Vocl+)</t>
    <phoneticPr fontId="3"/>
  </si>
  <si>
    <t>Rs by Rx/Rc at Imax &amp; RT_(m-ohm)</t>
    <phoneticPr fontId="3"/>
  </si>
  <si>
    <t>Iout (ocl)_typ, Vin_max</t>
    <phoneticPr fontId="3"/>
  </si>
  <si>
    <t>Iout (ocl)_typ, Vin_typ</t>
    <phoneticPr fontId="3"/>
  </si>
  <si>
    <t>Iout (ocl)_typ, Vin_min</t>
    <phoneticPr fontId="3"/>
  </si>
  <si>
    <t>Iout (ocl)_min, VIN_max w/ temp_RMS (L&amp;fsw)</t>
    <phoneticPr fontId="3"/>
  </si>
  <si>
    <r>
      <t>F</t>
    </r>
    <r>
      <rPr>
        <sz val="10"/>
        <rFont val="Arial"/>
        <family val="2"/>
      </rPr>
      <t>irst choice; Vdroop_(mV)</t>
    </r>
    <phoneticPr fontId="3"/>
  </si>
  <si>
    <t>Vdroop at OCL(mV) Vin-typ</t>
    <phoneticPr fontId="3"/>
  </si>
  <si>
    <t>Vdroop at OCL(mV) Vin-min</t>
    <phoneticPr fontId="3"/>
  </si>
  <si>
    <t>fo_Calculated</t>
    <phoneticPr fontId="3"/>
  </si>
  <si>
    <t>fo_(kHz)</t>
    <phoneticPr fontId="3"/>
  </si>
  <si>
    <t>fsw/3_(kHz)</t>
    <phoneticPr fontId="3"/>
  </si>
  <si>
    <t>fsw/4_(kHz)</t>
    <phoneticPr fontId="3"/>
  </si>
  <si>
    <t>Cc_(pF)</t>
    <phoneticPr fontId="3"/>
  </si>
  <si>
    <t>High side MOSFET's power dissipation</t>
    <phoneticPr fontId="3"/>
  </si>
  <si>
    <t>Controller info.</t>
    <phoneticPr fontId="3"/>
  </si>
  <si>
    <t>VREF_(V)</t>
    <phoneticPr fontId="3"/>
  </si>
  <si>
    <t>VREF_error</t>
    <phoneticPr fontId="3"/>
  </si>
  <si>
    <t>Fsw_error</t>
    <phoneticPr fontId="3"/>
  </si>
  <si>
    <t>RF</t>
    <phoneticPr fontId="3"/>
  </si>
  <si>
    <t>Resistor should refer to the internal GND plane (or S-GND if there is) and be placed close to IC-pin.</t>
    <phoneticPr fontId="3"/>
  </si>
  <si>
    <t>Trace must be away from noise traces.</t>
    <phoneticPr fontId="3"/>
  </si>
  <si>
    <t>SKIPSEL1</t>
    <phoneticPr fontId="3"/>
  </si>
  <si>
    <t>CCM mode: be connected to GND or be less than 1.5V.</t>
    <phoneticPr fontId="3"/>
  </si>
  <si>
    <t>Out-of-audio for &lt;400kHz: be connected to VREG3, more than 3.2V and less than 3.4V.</t>
    <phoneticPr fontId="3"/>
  </si>
  <si>
    <t>Out-of-audio for &gt; 400kHz: be connected to VREG5, more than 3.8V and less than 6V.</t>
    <phoneticPr fontId="3"/>
  </si>
  <si>
    <t>SKIPSEL2</t>
    <phoneticPr fontId="3"/>
  </si>
  <si>
    <t>TRIP</t>
    <phoneticPr fontId="3"/>
  </si>
  <si>
    <t>Vocl=31mV &amp; discharge-OFF: be connected to VREF2, more than 1.9V and less than 2.1V.</t>
    <phoneticPr fontId="3"/>
  </si>
  <si>
    <t>Vocl=31mV &amp; discharge-ON: be connected to GND or be less than 1.5V.</t>
    <phoneticPr fontId="3"/>
  </si>
  <si>
    <t>Vocl=60mV &amp; discharge-OFF: be connected to VREG3, more than 3.2V and less than 3.4V.</t>
    <phoneticPr fontId="3"/>
  </si>
  <si>
    <t>Vocl=60mV &amp; discharge-ON: be connected to VREG5, more than 3.8V and less than 6V.</t>
    <phoneticPr fontId="3"/>
  </si>
  <si>
    <t>FUNC</t>
    <phoneticPr fontId="3"/>
  </si>
  <si>
    <t>Current mode &amp; OVP-enable: be connected to GND or be less than 1.5V.</t>
    <phoneticPr fontId="3"/>
  </si>
  <si>
    <t>Current mode &amp; OVP-disable: be connected to VREG5, more than 3.8V and less than 6V.</t>
    <phoneticPr fontId="3"/>
  </si>
  <si>
    <t>D-CAP mode &amp; OVP-enable: be connected to VREG3, more than 3.2V and less than 3.4V.</t>
    <phoneticPr fontId="3"/>
  </si>
  <si>
    <t>D-CAP mode &amp; OVP-disable: be connected to VREF2, more than 1.9V and less than 2.1V.</t>
    <phoneticPr fontId="3"/>
  </si>
  <si>
    <r>
      <t>D</t>
    </r>
    <r>
      <rPr>
        <sz val="10"/>
        <rFont val="Arial"/>
        <family val="2"/>
      </rPr>
      <t>CR at Ta-max</t>
    </r>
    <phoneticPr fontId="3"/>
  </si>
  <si>
    <t>Time-const Ta-typ</t>
    <phoneticPr fontId="3"/>
  </si>
  <si>
    <t>Time-const Ta-max</t>
    <phoneticPr fontId="3"/>
  </si>
  <si>
    <r>
      <t>T</t>
    </r>
    <r>
      <rPr>
        <sz val="10"/>
        <rFont val="Arial"/>
        <family val="2"/>
      </rPr>
      <t>C-Cx, Rc, Rx</t>
    </r>
    <phoneticPr fontId="3"/>
  </si>
  <si>
    <t>Place voltage setting resistors near IC and tie to the output capacitor's plus terminal (routing on the inner layer is recommended).
Connect resistor to the internal GND plane (or S-GND if there is) w/ strong connection.</t>
  </si>
  <si>
    <t>Use Kelvin sensing traces with CSN1 (routing on the inner/ quiet layer is recommended).</t>
  </si>
  <si>
    <t>Use Kelvin sensing traces with CSP1 (routing on the inner/ quiet layer is recommended).</t>
  </si>
  <si>
    <t>Use Kelvin sensing traces with CSN2 (routing on the inner/ quiet layer is recommended).</t>
  </si>
  <si>
    <t>Use Kelvin sensing traces with CSP2 (routing on the inner/ quiet layer is recommended).</t>
  </si>
  <si>
    <t>Do NOT use common trace to CSP1 (Use dedicated trace from current sensing devise)</t>
    <phoneticPr fontId="3"/>
  </si>
  <si>
    <t>SW2</t>
    <phoneticPr fontId="3"/>
  </si>
  <si>
    <t>Do NOT use common trace to CSP2 (Use dedicated trace from current sensing devise)</t>
    <phoneticPr fontId="3"/>
  </si>
  <si>
    <t>Applied voltage should be less than 6V</t>
    <phoneticPr fontId="3"/>
  </si>
  <si>
    <t>Recommend using thin (5-mils or 10-mils) and short trace for VFB to avoid noise coupling.</t>
    <phoneticPr fontId="3"/>
  </si>
  <si>
    <t>Do NOT use common trace to V5SW or CSN1 (Use dedicated trace from output capacitor's plus terminal)</t>
    <phoneticPr fontId="3"/>
  </si>
  <si>
    <t>Do NOT use common trace to CSN2 (Use dedicated trace from output capacitor's plus terminal)</t>
    <phoneticPr fontId="3"/>
  </si>
  <si>
    <t>CSP1</t>
    <phoneticPr fontId="3"/>
  </si>
  <si>
    <t>Tie RC filter w/ high grade (X5R or X7R is recommended) MLCC.</t>
    <phoneticPr fontId="3"/>
  </si>
  <si>
    <t>Do NOT use common trace to SW1 (Use dedicated trace from current sensing devise)</t>
    <phoneticPr fontId="3"/>
  </si>
  <si>
    <t>CSN2</t>
    <phoneticPr fontId="3"/>
  </si>
  <si>
    <t>Do NOT use common trace to V5SW or Voltage feedback of VFB1 (Use dedicated trace from current sensing devise)</t>
    <phoneticPr fontId="3"/>
  </si>
  <si>
    <t>CSP2</t>
    <phoneticPr fontId="3"/>
  </si>
  <si>
    <t>CSN1</t>
    <phoneticPr fontId="3"/>
  </si>
  <si>
    <t>Do NOT use common trace to SW2 (Use dedicated trace from current sensing devise)</t>
    <phoneticPr fontId="3"/>
  </si>
  <si>
    <t>Do NOT use common trace to Voltage feedback of VFB2 (Use dedicated trace from current sensing devise)</t>
    <phoneticPr fontId="3"/>
  </si>
  <si>
    <t>Vocl_error_plus</t>
    <phoneticPr fontId="3"/>
  </si>
  <si>
    <t>Rgv should be from 6k to 20k, 10k is good to start with.</t>
    <phoneticPr fontId="3"/>
  </si>
  <si>
    <t>Rgv (suggested)</t>
    <phoneticPr fontId="3"/>
  </si>
  <si>
    <t>Vocl at Vin-max minus (%)</t>
  </si>
  <si>
    <t>Vocl at VIN-typ plus (%)</t>
    <phoneticPr fontId="3"/>
  </si>
  <si>
    <t>Vocl at VIN-typ minus (%)</t>
    <phoneticPr fontId="3"/>
  </si>
  <si>
    <t>0.5 x Iripple at VIN-typ (%)</t>
    <phoneticPr fontId="3"/>
  </si>
  <si>
    <t>L1 at VIN-typ (%)</t>
    <phoneticPr fontId="3"/>
  </si>
  <si>
    <t>3.2V &lt; &amp; 3.4V &gt;</t>
  </si>
  <si>
    <t>1.9V &lt; &amp; 2.1V &gt;</t>
  </si>
  <si>
    <t>&lt; 1.5V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</si>
</sst>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00_ "/>
    <numFmt numFmtId="165" formatCode="0.0_ "/>
    <numFmt numFmtId="166" formatCode="0.00_ "/>
    <numFmt numFmtId="167" formatCode="0_ "/>
    <numFmt numFmtId="168" formatCode="0.0_);[Red]\(0.0\)"/>
    <numFmt numFmtId="169" formatCode="0.00_);[Red]\(0.00\)"/>
    <numFmt numFmtId="170" formatCode="0_);[Red]\(0\)"/>
    <numFmt numFmtId="171" formatCode="0.0000_ "/>
    <numFmt numFmtId="172" formatCode="0.0000_);[Red]\(0.0000\)"/>
    <numFmt numFmtId="173" formatCode="0.000_);[Red]\(0.000\)"/>
    <numFmt numFmtId="174" formatCode="0.000%"/>
    <numFmt numFmtId="175" formatCode="0.0%"/>
  </numFmts>
  <fonts count="48">
    <font>
      <sz val="10"/>
      <name val="Arial"/>
      <family val="2"/>
    </font>
    <font>
      <sz val="10"/>
      <name val="Arial"/>
      <family val="2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Arial"/>
      <family val="2"/>
    </font>
    <font>
      <b/>
      <i/>
      <sz val="13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Symbol"/>
      <family val="1"/>
      <charset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0"/>
      <color indexed="9"/>
      <name val="Arial"/>
      <family val="2"/>
    </font>
    <font>
      <b/>
      <i/>
      <u/>
      <sz val="10"/>
      <color indexed="12"/>
      <name val="Arial"/>
      <family val="2"/>
    </font>
    <font>
      <b/>
      <i/>
      <sz val="8"/>
      <color indexed="12"/>
      <name val="Arial"/>
      <family val="2"/>
    </font>
    <font>
      <sz val="9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u/>
      <sz val="10"/>
      <color indexed="14"/>
      <name val="Arial"/>
      <family val="2"/>
    </font>
    <font>
      <b/>
      <i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u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2"/>
      <name val="Arial"/>
      <family val="2"/>
    </font>
    <font>
      <sz val="9"/>
      <color indexed="12"/>
      <name val="Arial"/>
      <family val="2"/>
    </font>
    <font>
      <sz val="10"/>
      <color indexed="61"/>
      <name val="Arial"/>
      <family val="2"/>
    </font>
    <font>
      <sz val="10"/>
      <color indexed="20"/>
      <name val="Arial"/>
      <family val="2"/>
    </font>
    <font>
      <b/>
      <i/>
      <u/>
      <sz val="12"/>
      <color indexed="12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21"/>
      <name val="Arial"/>
      <family val="2"/>
    </font>
    <font>
      <b/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/>
  </cellStyleXfs>
  <cellXfs count="1552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4" fillId="0" borderId="0" xfId="1" applyFont="1">
      <alignment vertical="center"/>
    </xf>
    <xf numFmtId="0" fontId="4" fillId="2" borderId="0" xfId="1" applyFont="1" applyFill="1" applyBorder="1">
      <alignment vertical="center"/>
    </xf>
    <xf numFmtId="0" fontId="4" fillId="0" borderId="1" xfId="1" applyFont="1" applyBorder="1">
      <alignment vertical="center"/>
    </xf>
    <xf numFmtId="0" fontId="12" fillId="0" borderId="0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6" fillId="0" borderId="5" xfId="1" applyFont="1" applyBorder="1">
      <alignment vertical="center"/>
    </xf>
    <xf numFmtId="165" fontId="4" fillId="0" borderId="0" xfId="1" applyNumberFormat="1" applyFont="1">
      <alignment vertical="center"/>
    </xf>
    <xf numFmtId="0" fontId="14" fillId="0" borderId="6" xfId="1" applyFont="1" applyBorder="1" applyAlignment="1">
      <alignment vertical="center" wrapText="1"/>
    </xf>
    <xf numFmtId="10" fontId="0" fillId="3" borderId="1" xfId="0" applyNumberFormat="1" applyFill="1" applyBorder="1">
      <alignment vertical="center"/>
    </xf>
    <xf numFmtId="10" fontId="0" fillId="4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4" fillId="0" borderId="0" xfId="1" applyFont="1" applyFill="1">
      <alignment vertical="center"/>
    </xf>
    <xf numFmtId="164" fontId="4" fillId="0" borderId="0" xfId="1" applyNumberFormat="1" applyFont="1">
      <alignment vertical="center"/>
    </xf>
    <xf numFmtId="173" fontId="0" fillId="5" borderId="1" xfId="0" applyNumberFormat="1" applyFill="1" applyBorder="1">
      <alignment vertical="center"/>
    </xf>
    <xf numFmtId="10" fontId="0" fillId="3" borderId="7" xfId="0" applyNumberFormat="1" applyFill="1" applyBorder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top"/>
    </xf>
    <xf numFmtId="166" fontId="16" fillId="2" borderId="7" xfId="1" applyNumberFormat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9" fillId="0" borderId="0" xfId="1" applyFont="1">
      <alignment vertical="center"/>
    </xf>
    <xf numFmtId="169" fontId="16" fillId="5" borderId="1" xfId="1" applyNumberFormat="1" applyFont="1" applyFill="1" applyBorder="1">
      <alignment vertical="center"/>
    </xf>
    <xf numFmtId="169" fontId="16" fillId="2" borderId="8" xfId="1" applyNumberFormat="1" applyFont="1" applyFill="1" applyBorder="1">
      <alignment vertical="center"/>
    </xf>
    <xf numFmtId="169" fontId="16" fillId="2" borderId="9" xfId="1" applyNumberFormat="1" applyFont="1" applyFill="1" applyBorder="1">
      <alignment vertical="center"/>
    </xf>
    <xf numFmtId="0" fontId="4" fillId="0" borderId="0" xfId="1" applyFont="1" applyBorder="1">
      <alignment vertical="center"/>
    </xf>
    <xf numFmtId="166" fontId="4" fillId="0" borderId="0" xfId="1" applyNumberFormat="1" applyFont="1">
      <alignment vertical="center"/>
    </xf>
    <xf numFmtId="0" fontId="12" fillId="0" borderId="0" xfId="1" applyFont="1">
      <alignment vertical="center"/>
    </xf>
    <xf numFmtId="0" fontId="18" fillId="0" borderId="0" xfId="1" applyFont="1">
      <alignment vertical="center"/>
    </xf>
    <xf numFmtId="0" fontId="12" fillId="0" borderId="0" xfId="1" applyFont="1" applyFill="1">
      <alignment vertical="center"/>
    </xf>
    <xf numFmtId="166" fontId="16" fillId="0" borderId="1" xfId="1" applyNumberFormat="1" applyFont="1" applyBorder="1">
      <alignment vertical="center"/>
    </xf>
    <xf numFmtId="166" fontId="4" fillId="0" borderId="1" xfId="1" applyNumberFormat="1" applyFont="1" applyBorder="1">
      <alignment vertical="center"/>
    </xf>
    <xf numFmtId="166" fontId="4" fillId="0" borderId="0" xfId="1" applyNumberFormat="1" applyFont="1" applyBorder="1">
      <alignment vertical="center"/>
    </xf>
    <xf numFmtId="0" fontId="12" fillId="0" borderId="0" xfId="1" applyFont="1" applyBorder="1">
      <alignment vertical="center"/>
    </xf>
    <xf numFmtId="169" fontId="16" fillId="2" borderId="10" xfId="1" applyNumberFormat="1" applyFont="1" applyFill="1" applyBorder="1">
      <alignment vertical="center"/>
    </xf>
    <xf numFmtId="0" fontId="16" fillId="6" borderId="8" xfId="1" applyNumberFormat="1" applyFont="1" applyFill="1" applyBorder="1" applyAlignment="1">
      <alignment horizontal="center" vertical="center"/>
    </xf>
    <xf numFmtId="0" fontId="16" fillId="6" borderId="9" xfId="1" applyNumberFormat="1" applyFont="1" applyFill="1" applyBorder="1" applyAlignment="1">
      <alignment horizontal="center" vertical="center"/>
    </xf>
    <xf numFmtId="0" fontId="16" fillId="6" borderId="11" xfId="1" applyNumberFormat="1" applyFont="1" applyFill="1" applyBorder="1" applyAlignment="1">
      <alignment horizontal="center" vertical="center"/>
    </xf>
    <xf numFmtId="0" fontId="16" fillId="6" borderId="12" xfId="1" applyNumberFormat="1" applyFont="1" applyFill="1" applyBorder="1" applyAlignment="1">
      <alignment horizontal="center" vertical="center"/>
    </xf>
    <xf numFmtId="166" fontId="16" fillId="6" borderId="12" xfId="1" applyNumberFormat="1" applyFont="1" applyFill="1" applyBorder="1" applyAlignment="1">
      <alignment horizontal="center" vertical="center"/>
    </xf>
    <xf numFmtId="0" fontId="16" fillId="6" borderId="13" xfId="1" applyNumberFormat="1" applyFont="1" applyFill="1" applyBorder="1" applyAlignment="1">
      <alignment horizontal="center" vertical="center"/>
    </xf>
    <xf numFmtId="0" fontId="16" fillId="6" borderId="14" xfId="1" applyNumberFormat="1" applyFont="1" applyFill="1" applyBorder="1" applyAlignment="1">
      <alignment horizontal="center" vertical="center"/>
    </xf>
    <xf numFmtId="169" fontId="16" fillId="2" borderId="15" xfId="1" applyNumberFormat="1" applyFont="1" applyFill="1" applyBorder="1">
      <alignment vertical="center"/>
    </xf>
    <xf numFmtId="169" fontId="16" fillId="2" borderId="1" xfId="1" applyNumberFormat="1" applyFont="1" applyFill="1" applyBorder="1">
      <alignment vertical="center"/>
    </xf>
    <xf numFmtId="0" fontId="12" fillId="3" borderId="0" xfId="1" applyFont="1" applyFill="1">
      <alignment vertical="center"/>
    </xf>
    <xf numFmtId="0" fontId="7" fillId="2" borderId="0" xfId="1" applyFont="1" applyFill="1" applyBorder="1">
      <alignment vertical="center"/>
    </xf>
    <xf numFmtId="0" fontId="7" fillId="2" borderId="16" xfId="1" applyFont="1" applyFill="1" applyBorder="1">
      <alignment vertical="center"/>
    </xf>
    <xf numFmtId="0" fontId="7" fillId="2" borderId="17" xfId="1" applyFont="1" applyFill="1" applyBorder="1">
      <alignment vertical="center"/>
    </xf>
    <xf numFmtId="168" fontId="16" fillId="6" borderId="18" xfId="1" applyNumberFormat="1" applyFont="1" applyFill="1" applyBorder="1">
      <alignment vertical="center"/>
    </xf>
    <xf numFmtId="168" fontId="16" fillId="6" borderId="19" xfId="1" applyNumberFormat="1" applyFont="1" applyFill="1" applyBorder="1">
      <alignment vertical="center"/>
    </xf>
    <xf numFmtId="168" fontId="16" fillId="6" borderId="20" xfId="1" applyNumberFormat="1" applyFont="1" applyFill="1" applyBorder="1">
      <alignment vertical="center"/>
    </xf>
    <xf numFmtId="0" fontId="16" fillId="6" borderId="18" xfId="1" applyNumberFormat="1" applyFont="1" applyFill="1" applyBorder="1" applyAlignment="1">
      <alignment horizontal="center" vertical="center"/>
    </xf>
    <xf numFmtId="165" fontId="16" fillId="6" borderId="0" xfId="1" applyNumberFormat="1" applyFont="1" applyFill="1" applyBorder="1" applyAlignment="1">
      <alignment horizontal="center" vertical="center"/>
    </xf>
    <xf numFmtId="0" fontId="16" fillId="6" borderId="20" xfId="1" applyNumberFormat="1" applyFont="1" applyFill="1" applyBorder="1" applyAlignment="1">
      <alignment horizontal="center" vertical="center"/>
    </xf>
    <xf numFmtId="0" fontId="16" fillId="6" borderId="0" xfId="1" applyNumberFormat="1" applyFont="1" applyFill="1" applyBorder="1" applyAlignment="1">
      <alignment horizontal="center" vertical="center"/>
    </xf>
    <xf numFmtId="165" fontId="16" fillId="6" borderId="8" xfId="1" applyNumberFormat="1" applyFont="1" applyFill="1" applyBorder="1" applyAlignment="1">
      <alignment horizontal="center" vertical="center"/>
    </xf>
    <xf numFmtId="0" fontId="12" fillId="6" borderId="8" xfId="1" applyFont="1" applyFill="1" applyBorder="1" applyAlignment="1">
      <alignment vertical="top"/>
    </xf>
    <xf numFmtId="0" fontId="12" fillId="6" borderId="9" xfId="1" applyFont="1" applyFill="1" applyBorder="1" applyAlignment="1">
      <alignment vertical="top"/>
    </xf>
    <xf numFmtId="0" fontId="4" fillId="0" borderId="0" xfId="1" applyFont="1" applyFill="1" applyAlignment="1">
      <alignment horizontal="center" vertical="center"/>
    </xf>
    <xf numFmtId="0" fontId="22" fillId="0" borderId="0" xfId="1" applyFont="1">
      <alignment vertical="center"/>
    </xf>
    <xf numFmtId="0" fontId="9" fillId="0" borderId="8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166" fontId="9" fillId="0" borderId="0" xfId="1" applyNumberFormat="1" applyFont="1" applyFill="1" applyBorder="1">
      <alignment vertical="center"/>
    </xf>
    <xf numFmtId="0" fontId="16" fillId="2" borderId="0" xfId="1" applyFont="1" applyFill="1" applyBorder="1">
      <alignment vertical="center"/>
    </xf>
    <xf numFmtId="166" fontId="16" fillId="2" borderId="1" xfId="1" applyNumberFormat="1" applyFont="1" applyFill="1" applyBorder="1">
      <alignment vertical="center"/>
    </xf>
    <xf numFmtId="0" fontId="16" fillId="2" borderId="1" xfId="1" applyFont="1" applyFill="1" applyBorder="1">
      <alignment vertical="center"/>
    </xf>
    <xf numFmtId="0" fontId="16" fillId="2" borderId="2" xfId="1" applyFont="1" applyFill="1" applyBorder="1">
      <alignment vertical="center"/>
    </xf>
    <xf numFmtId="169" fontId="4" fillId="0" borderId="0" xfId="1" applyNumberFormat="1" applyFont="1">
      <alignment vertical="center"/>
    </xf>
    <xf numFmtId="0" fontId="21" fillId="0" borderId="0" xfId="0" applyFont="1">
      <alignment vertical="center"/>
    </xf>
    <xf numFmtId="10" fontId="4" fillId="0" borderId="0" xfId="1" applyNumberFormat="1" applyFont="1">
      <alignment vertical="center"/>
    </xf>
    <xf numFmtId="10" fontId="0" fillId="0" borderId="0" xfId="0" applyNumberFormat="1" applyFill="1" applyBorder="1">
      <alignment vertical="center"/>
    </xf>
    <xf numFmtId="0" fontId="11" fillId="7" borderId="21" xfId="0" applyFont="1" applyFill="1" applyBorder="1">
      <alignment vertical="center"/>
    </xf>
    <xf numFmtId="0" fontId="0" fillId="7" borderId="22" xfId="0" applyFill="1" applyBorder="1">
      <alignment vertical="center"/>
    </xf>
    <xf numFmtId="0" fontId="11" fillId="7" borderId="23" xfId="0" applyFont="1" applyFill="1" applyBorder="1">
      <alignment vertical="center"/>
    </xf>
    <xf numFmtId="0" fontId="0" fillId="7" borderId="24" xfId="0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12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166" fontId="14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>
      <alignment vertical="center"/>
    </xf>
    <xf numFmtId="0" fontId="16" fillId="2" borderId="8" xfId="1" applyNumberFormat="1" applyFont="1" applyFill="1" applyBorder="1" applyAlignment="1">
      <alignment horizontal="center" vertical="center"/>
    </xf>
    <xf numFmtId="0" fontId="16" fillId="2" borderId="9" xfId="1" applyNumberFormat="1" applyFont="1" applyFill="1" applyBorder="1" applyAlignment="1">
      <alignment horizontal="center" vertical="center"/>
    </xf>
    <xf numFmtId="0" fontId="6" fillId="6" borderId="25" xfId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center" vertical="center"/>
    </xf>
    <xf numFmtId="0" fontId="6" fillId="6" borderId="27" xfId="1" applyFont="1" applyFill="1" applyBorder="1" applyAlignment="1">
      <alignment horizontal="center" vertical="center"/>
    </xf>
    <xf numFmtId="0" fontId="16" fillId="2" borderId="11" xfId="1" applyNumberFormat="1" applyFont="1" applyFill="1" applyBorder="1" applyAlignment="1">
      <alignment horizontal="center" vertical="center"/>
    </xf>
    <xf numFmtId="0" fontId="16" fillId="8" borderId="14" xfId="1" applyNumberFormat="1" applyFont="1" applyFill="1" applyBorder="1" applyAlignment="1">
      <alignment horizontal="center" vertical="center"/>
    </xf>
    <xf numFmtId="0" fontId="16" fillId="8" borderId="12" xfId="1" applyNumberFormat="1" applyFont="1" applyFill="1" applyBorder="1" applyAlignment="1">
      <alignment horizontal="center" vertical="center"/>
    </xf>
    <xf numFmtId="0" fontId="16" fillId="8" borderId="13" xfId="1" applyNumberFormat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4" fillId="9" borderId="1" xfId="1" applyFont="1" applyFill="1" applyBorder="1">
      <alignment vertical="center"/>
    </xf>
    <xf numFmtId="166" fontId="14" fillId="5" borderId="1" xfId="1" applyNumberFormat="1" applyFont="1" applyFill="1" applyBorder="1" applyAlignment="1">
      <alignment vertical="center" wrapText="1"/>
    </xf>
    <xf numFmtId="166" fontId="14" fillId="0" borderId="0" xfId="1" applyNumberFormat="1" applyFont="1" applyFill="1" applyBorder="1">
      <alignment vertical="center"/>
    </xf>
    <xf numFmtId="0" fontId="4" fillId="0" borderId="1" xfId="1" applyFont="1" applyFill="1" applyBorder="1">
      <alignment vertical="center"/>
    </xf>
    <xf numFmtId="167" fontId="4" fillId="8" borderId="1" xfId="1" applyNumberFormat="1" applyFont="1" applyFill="1" applyBorder="1">
      <alignment vertical="center"/>
    </xf>
    <xf numFmtId="167" fontId="4" fillId="5" borderId="1" xfId="1" applyNumberFormat="1" applyFont="1" applyFill="1" applyBorder="1">
      <alignment vertical="center"/>
    </xf>
    <xf numFmtId="168" fontId="4" fillId="0" borderId="1" xfId="1" applyNumberFormat="1" applyFont="1" applyBorder="1">
      <alignment vertical="center"/>
    </xf>
    <xf numFmtId="0" fontId="24" fillId="2" borderId="0" xfId="0" applyFont="1" applyFill="1" applyBorder="1" applyProtection="1">
      <alignment vertical="center"/>
      <protection locked="0"/>
    </xf>
    <xf numFmtId="0" fontId="25" fillId="2" borderId="0" xfId="0" applyFont="1" applyFill="1" applyBorder="1" applyProtection="1">
      <alignment vertical="center"/>
    </xf>
    <xf numFmtId="0" fontId="4" fillId="0" borderId="0" xfId="1" applyFont="1" applyAlignment="1" applyProtection="1"/>
    <xf numFmtId="0" fontId="4" fillId="0" borderId="0" xfId="1" applyFont="1" applyAlignment="1"/>
    <xf numFmtId="0" fontId="26" fillId="2" borderId="0" xfId="1" applyFont="1" applyFill="1" applyAlignment="1" applyProtection="1"/>
    <xf numFmtId="0" fontId="4" fillId="2" borderId="0" xfId="1" applyFont="1" applyFill="1" applyAlignment="1" applyProtection="1"/>
    <xf numFmtId="0" fontId="9" fillId="2" borderId="0" xfId="1" applyFont="1" applyFill="1" applyProtection="1">
      <alignment vertical="center"/>
    </xf>
    <xf numFmtId="0" fontId="4" fillId="2" borderId="0" xfId="1" applyFont="1" applyFill="1" applyProtection="1">
      <alignment vertical="center"/>
    </xf>
    <xf numFmtId="0" fontId="12" fillId="2" borderId="0" xfId="1" applyFont="1" applyFill="1" applyBorder="1" applyAlignment="1" applyProtection="1"/>
    <xf numFmtId="0" fontId="12" fillId="2" borderId="0" xfId="1" applyFont="1" applyFill="1" applyBorder="1" applyAlignment="1" applyProtection="1">
      <alignment vertical="center"/>
    </xf>
    <xf numFmtId="0" fontId="12" fillId="2" borderId="0" xfId="1" applyFont="1" applyFill="1" applyBorder="1" applyAlignment="1" applyProtection="1">
      <alignment vertical="top"/>
    </xf>
    <xf numFmtId="0" fontId="4" fillId="0" borderId="0" xfId="1" applyFont="1" applyProtection="1">
      <alignment vertical="center"/>
    </xf>
    <xf numFmtId="0" fontId="6" fillId="2" borderId="1" xfId="1" applyFont="1" applyFill="1" applyBorder="1" applyAlignment="1" applyProtection="1">
      <alignment vertical="center"/>
    </xf>
    <xf numFmtId="166" fontId="6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Fill="1" applyAlignment="1">
      <alignment vertical="center"/>
    </xf>
    <xf numFmtId="0" fontId="6" fillId="2" borderId="10" xfId="1" applyFont="1" applyFill="1" applyBorder="1" applyAlignment="1" applyProtection="1">
      <alignment vertical="center"/>
    </xf>
    <xf numFmtId="166" fontId="16" fillId="5" borderId="1" xfId="1" applyNumberFormat="1" applyFont="1" applyFill="1" applyBorder="1" applyAlignment="1" applyProtection="1">
      <alignment horizontal="center" vertical="center"/>
    </xf>
    <xf numFmtId="166" fontId="27" fillId="2" borderId="0" xfId="1" applyNumberFormat="1" applyFont="1" applyFill="1" applyBorder="1" applyAlignment="1" applyProtection="1">
      <alignment horizontal="left" vertical="center"/>
    </xf>
    <xf numFmtId="166" fontId="16" fillId="2" borderId="0" xfId="1" applyNumberFormat="1" applyFont="1" applyFill="1" applyBorder="1" applyAlignment="1" applyProtection="1">
      <alignment horizontal="left" vertical="center"/>
    </xf>
    <xf numFmtId="0" fontId="4" fillId="2" borderId="0" xfId="1" applyFont="1" applyFill="1" applyBorder="1" applyProtection="1">
      <alignment vertical="center"/>
    </xf>
    <xf numFmtId="165" fontId="16" fillId="5" borderId="1" xfId="1" applyNumberFormat="1" applyFont="1" applyFill="1" applyBorder="1" applyAlignment="1" applyProtection="1">
      <alignment horizontal="center" vertical="center"/>
    </xf>
    <xf numFmtId="0" fontId="6" fillId="2" borderId="31" xfId="1" applyFont="1" applyFill="1" applyBorder="1" applyAlignment="1" applyProtection="1">
      <alignment vertical="center"/>
    </xf>
    <xf numFmtId="165" fontId="16" fillId="2" borderId="0" xfId="1" applyNumberFormat="1" applyFont="1" applyFill="1" applyBorder="1" applyAlignment="1" applyProtection="1">
      <alignment horizontal="center" vertical="center"/>
    </xf>
    <xf numFmtId="173" fontId="0" fillId="0" borderId="0" xfId="0" applyNumberFormat="1" applyFill="1" applyBorder="1">
      <alignment vertical="center"/>
    </xf>
    <xf numFmtId="0" fontId="7" fillId="0" borderId="0" xfId="1" applyFont="1" applyFill="1" applyBorder="1">
      <alignment vertic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/>
    </xf>
    <xf numFmtId="0" fontId="12" fillId="10" borderId="0" xfId="1" applyFont="1" applyFill="1" applyBorder="1" applyAlignment="1" applyProtection="1"/>
    <xf numFmtId="0" fontId="6" fillId="10" borderId="10" xfId="1" applyFont="1" applyFill="1" applyBorder="1" applyAlignment="1" applyProtection="1">
      <alignment vertical="center"/>
    </xf>
    <xf numFmtId="0" fontId="6" fillId="10" borderId="1" xfId="1" applyFont="1" applyFill="1" applyBorder="1" applyAlignment="1" applyProtection="1">
      <alignment vertical="center"/>
    </xf>
    <xf numFmtId="167" fontId="21" fillId="0" borderId="0" xfId="1" applyNumberFormat="1" applyFont="1" applyFill="1" applyBorder="1" applyAlignment="1" applyProtection="1">
      <alignment vertical="center"/>
      <protection locked="0"/>
    </xf>
    <xf numFmtId="0" fontId="23" fillId="0" borderId="0" xfId="1" applyFont="1" applyFill="1" applyBorder="1" applyAlignment="1">
      <alignment horizontal="right" vertical="center"/>
    </xf>
    <xf numFmtId="0" fontId="23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right" vertical="center"/>
    </xf>
    <xf numFmtId="0" fontId="24" fillId="2" borderId="0" xfId="0" applyFont="1" applyFill="1" applyBorder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14" fillId="0" borderId="1" xfId="1" applyFont="1" applyBorder="1" applyAlignment="1" applyProtection="1">
      <alignment horizontal="center" vertical="center"/>
    </xf>
    <xf numFmtId="0" fontId="29" fillId="2" borderId="0" xfId="1" applyFont="1" applyFill="1" applyProtection="1">
      <alignment vertical="center"/>
    </xf>
    <xf numFmtId="0" fontId="12" fillId="2" borderId="0" xfId="1" applyFont="1" applyFill="1" applyProtection="1">
      <alignment vertical="center"/>
    </xf>
    <xf numFmtId="0" fontId="9" fillId="2" borderId="23" xfId="1" applyFont="1" applyFill="1" applyBorder="1" applyAlignment="1" applyProtection="1">
      <alignment vertical="center"/>
    </xf>
    <xf numFmtId="0" fontId="9" fillId="2" borderId="24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6" fillId="2" borderId="4" xfId="1" applyFont="1" applyFill="1" applyBorder="1" applyAlignment="1" applyProtection="1">
      <alignment vertical="center"/>
    </xf>
    <xf numFmtId="0" fontId="6" fillId="2" borderId="5" xfId="1" applyFont="1" applyFill="1" applyBorder="1" applyAlignment="1" applyProtection="1">
      <alignment vertical="center"/>
    </xf>
    <xf numFmtId="0" fontId="18" fillId="2" borderId="0" xfId="1" applyFont="1" applyFill="1" applyProtection="1">
      <alignment vertical="center"/>
    </xf>
    <xf numFmtId="0" fontId="9" fillId="2" borderId="3" xfId="1" applyFont="1" applyFill="1" applyBorder="1" applyAlignment="1" applyProtection="1">
      <alignment vertical="center"/>
    </xf>
    <xf numFmtId="0" fontId="6" fillId="2" borderId="31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</xf>
    <xf numFmtId="166" fontId="16" fillId="2" borderId="0" xfId="1" applyNumberFormat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vertical="center"/>
    </xf>
    <xf numFmtId="166" fontId="16" fillId="5" borderId="1" xfId="1" applyNumberFormat="1" applyFont="1" applyFill="1" applyBorder="1" applyAlignment="1" applyProtection="1">
      <alignment vertical="center"/>
    </xf>
    <xf numFmtId="0" fontId="14" fillId="2" borderId="1" xfId="1" applyFont="1" applyFill="1" applyBorder="1" applyAlignment="1" applyProtection="1">
      <alignment horizontal="center" vertical="center" wrapText="1"/>
    </xf>
    <xf numFmtId="0" fontId="14" fillId="2" borderId="10" xfId="1" applyFont="1" applyFill="1" applyBorder="1" applyAlignment="1" applyProtection="1">
      <alignment horizontal="center" vertical="center" wrapText="1"/>
    </xf>
    <xf numFmtId="168" fontId="9" fillId="2" borderId="1" xfId="1" applyNumberFormat="1" applyFont="1" applyFill="1" applyBorder="1" applyAlignment="1" applyProtection="1">
      <alignment vertical="center"/>
    </xf>
    <xf numFmtId="0" fontId="6" fillId="2" borderId="1" xfId="1" applyFont="1" applyFill="1" applyBorder="1" applyAlignment="1" applyProtection="1">
      <alignment horizontal="left" vertical="center" wrapText="1"/>
    </xf>
    <xf numFmtId="0" fontId="10" fillId="0" borderId="0" xfId="1" applyFont="1" applyBorder="1">
      <alignment vertical="center"/>
    </xf>
    <xf numFmtId="0" fontId="4" fillId="0" borderId="0" xfId="1" quotePrefix="1" applyFont="1" applyBorder="1">
      <alignment vertical="center"/>
    </xf>
    <xf numFmtId="164" fontId="4" fillId="0" borderId="0" xfId="1" applyNumberFormat="1" applyFont="1" applyBorder="1">
      <alignment vertical="center"/>
    </xf>
    <xf numFmtId="0" fontId="29" fillId="2" borderId="0" xfId="1" applyFont="1" applyFill="1" applyAlignment="1" applyProtection="1">
      <alignment horizontal="left" vertical="center"/>
    </xf>
    <xf numFmtId="0" fontId="14" fillId="0" borderId="7" xfId="1" applyFont="1" applyBorder="1" applyAlignment="1" applyProtection="1">
      <alignment horizontal="center" vertical="center"/>
    </xf>
    <xf numFmtId="166" fontId="16" fillId="6" borderId="0" xfId="1" applyNumberFormat="1" applyFont="1" applyFill="1" applyBorder="1" applyAlignment="1" applyProtection="1">
      <alignment horizontal="left" vertical="center"/>
    </xf>
    <xf numFmtId="166" fontId="6" fillId="6" borderId="0" xfId="1" applyNumberFormat="1" applyFont="1" applyFill="1" applyBorder="1" applyAlignment="1" applyProtection="1">
      <alignment horizontal="left" vertical="center"/>
    </xf>
    <xf numFmtId="0" fontId="4" fillId="6" borderId="0" xfId="1" applyFont="1" applyFill="1" applyAlignment="1" applyProtection="1">
      <alignment vertical="center"/>
    </xf>
    <xf numFmtId="0" fontId="4" fillId="6" borderId="0" xfId="1" applyFont="1" applyFill="1" applyProtection="1">
      <alignment vertical="center"/>
    </xf>
    <xf numFmtId="0" fontId="33" fillId="2" borderId="0" xfId="2" applyFont="1" applyFill="1" applyAlignment="1" applyProtection="1">
      <alignment horizontal="left" vertical="center"/>
      <protection locked="0"/>
    </xf>
    <xf numFmtId="0" fontId="14" fillId="2" borderId="0" xfId="2" applyFont="1" applyFill="1" applyAlignment="1" applyProtection="1">
      <alignment wrapText="1"/>
      <protection locked="0"/>
    </xf>
    <xf numFmtId="0" fontId="14" fillId="2" borderId="0" xfId="2" applyFont="1" applyFill="1" applyAlignment="1" applyProtection="1">
      <alignment horizontal="right" vertical="center"/>
      <protection locked="0"/>
    </xf>
    <xf numFmtId="0" fontId="1" fillId="0" borderId="0" xfId="2"/>
    <xf numFmtId="0" fontId="14" fillId="2" borderId="0" xfId="2" applyFont="1" applyFill="1" applyBorder="1" applyAlignment="1">
      <alignment horizontal="center" vertical="center"/>
    </xf>
    <xf numFmtId="0" fontId="14" fillId="2" borderId="0" xfId="2" applyFont="1" applyFill="1" applyBorder="1" applyAlignment="1" applyProtection="1">
      <alignment vertical="center" wrapText="1"/>
      <protection locked="0"/>
    </xf>
    <xf numFmtId="0" fontId="1" fillId="2" borderId="0" xfId="2" applyFill="1" applyBorder="1" applyAlignment="1" applyProtection="1">
      <alignment vertical="center" wrapText="1"/>
      <protection locked="0"/>
    </xf>
    <xf numFmtId="9" fontId="1" fillId="2" borderId="32" xfId="2" applyNumberFormat="1" applyFont="1" applyFill="1" applyBorder="1" applyAlignment="1" applyProtection="1">
      <alignment vertical="center" wrapText="1"/>
      <protection locked="0"/>
    </xf>
    <xf numFmtId="0" fontId="1" fillId="2" borderId="0" xfId="2" applyFill="1" applyBorder="1" applyAlignment="1" applyProtection="1">
      <alignment vertical="center"/>
      <protection locked="0"/>
    </xf>
    <xf numFmtId="9" fontId="1" fillId="2" borderId="33" xfId="2" applyNumberFormat="1" applyFont="1" applyFill="1" applyBorder="1" applyAlignment="1" applyProtection="1">
      <alignment vertical="center"/>
      <protection locked="0"/>
    </xf>
    <xf numFmtId="9" fontId="1" fillId="2" borderId="34" xfId="2" applyNumberFormat="1" applyFont="1" applyFill="1" applyBorder="1" applyAlignment="1" applyProtection="1">
      <alignment vertical="center"/>
      <protection locked="0"/>
    </xf>
    <xf numFmtId="0" fontId="14" fillId="2" borderId="0" xfId="2" applyFont="1" applyFill="1" applyBorder="1" applyAlignment="1">
      <alignment horizontal="left" vertical="center" wrapText="1"/>
    </xf>
    <xf numFmtId="0" fontId="1" fillId="2" borderId="0" xfId="2" applyFill="1" applyBorder="1" applyAlignment="1">
      <alignment horizontal="center" vertical="center" wrapText="1"/>
    </xf>
    <xf numFmtId="0" fontId="34" fillId="2" borderId="35" xfId="2" applyFont="1" applyFill="1" applyBorder="1" applyAlignment="1">
      <alignment horizontal="center" vertical="center" wrapText="1"/>
    </xf>
    <xf numFmtId="0" fontId="34" fillId="2" borderId="15" xfId="2" applyFont="1" applyFill="1" applyBorder="1" applyAlignment="1">
      <alignment horizontal="center" vertical="center" wrapText="1"/>
    </xf>
    <xf numFmtId="0" fontId="9" fillId="2" borderId="36" xfId="2" applyFont="1" applyFill="1" applyBorder="1" applyAlignment="1">
      <alignment vertical="center" wrapText="1"/>
    </xf>
    <xf numFmtId="49" fontId="35" fillId="9" borderId="1" xfId="2" applyNumberFormat="1" applyFont="1" applyFill="1" applyBorder="1" applyAlignment="1">
      <alignment horizontal="left" vertical="center"/>
    </xf>
    <xf numFmtId="0" fontId="36" fillId="9" borderId="1" xfId="2" applyFont="1" applyFill="1" applyBorder="1" applyAlignment="1" applyProtection="1">
      <alignment horizontal="center" vertical="center" wrapText="1"/>
      <protection locked="0"/>
    </xf>
    <xf numFmtId="0" fontId="36" fillId="9" borderId="31" xfId="2" applyFont="1" applyFill="1" applyBorder="1" applyAlignment="1" applyProtection="1">
      <alignment horizontal="center" vertical="center" wrapText="1"/>
      <protection locked="0"/>
    </xf>
    <xf numFmtId="0" fontId="37" fillId="9" borderId="37" xfId="2" applyFont="1" applyFill="1" applyBorder="1" applyAlignment="1" applyProtection="1">
      <alignment horizontal="left" vertical="center" wrapText="1"/>
      <protection locked="0"/>
    </xf>
    <xf numFmtId="0" fontId="14" fillId="2" borderId="1" xfId="2" applyFont="1" applyFill="1" applyBorder="1" applyAlignment="1">
      <alignment horizontal="left" vertical="center" wrapText="1"/>
    </xf>
    <xf numFmtId="0" fontId="21" fillId="2" borderId="37" xfId="2" applyFont="1" applyFill="1" applyBorder="1" applyAlignment="1" applyProtection="1">
      <alignment vertical="center" wrapText="1"/>
      <protection locked="0"/>
    </xf>
    <xf numFmtId="0" fontId="14" fillId="0" borderId="10" xfId="2" applyFont="1" applyFill="1" applyBorder="1" applyAlignment="1" applyProtection="1">
      <alignment horizontal="center" vertical="center" wrapText="1"/>
      <protection locked="0"/>
    </xf>
    <xf numFmtId="0" fontId="38" fillId="2" borderId="37" xfId="2" applyFont="1" applyFill="1" applyBorder="1" applyAlignment="1" applyProtection="1">
      <alignment vertical="center" wrapText="1"/>
      <protection locked="0"/>
    </xf>
    <xf numFmtId="0" fontId="21" fillId="2" borderId="37" xfId="2" applyFont="1" applyFill="1" applyBorder="1" applyAlignment="1" applyProtection="1">
      <alignment horizontal="left" vertical="center" wrapText="1"/>
      <protection locked="0"/>
    </xf>
    <xf numFmtId="0" fontId="1" fillId="0" borderId="0" xfId="2" applyAlignment="1">
      <alignment horizontal="left"/>
    </xf>
    <xf numFmtId="0" fontId="38" fillId="2" borderId="37" xfId="2" applyFont="1" applyFill="1" applyBorder="1" applyAlignment="1" applyProtection="1">
      <alignment horizontal="left" vertical="center" wrapText="1"/>
      <protection locked="0"/>
    </xf>
    <xf numFmtId="49" fontId="35" fillId="9" borderId="38" xfId="2" applyNumberFormat="1" applyFont="1" applyFill="1" applyBorder="1" applyAlignment="1">
      <alignment horizontal="left" vertical="center"/>
    </xf>
    <xf numFmtId="0" fontId="35" fillId="9" borderId="10" xfId="2" applyFont="1" applyFill="1" applyBorder="1" applyAlignment="1">
      <alignment horizontal="center" vertical="center" wrapText="1"/>
    </xf>
    <xf numFmtId="0" fontId="35" fillId="9" borderId="39" xfId="2" applyFont="1" applyFill="1" applyBorder="1" applyAlignment="1">
      <alignment horizontal="center" vertical="center" wrapText="1"/>
    </xf>
    <xf numFmtId="0" fontId="11" fillId="9" borderId="40" xfId="2" applyFont="1" applyFill="1" applyBorder="1" applyAlignment="1">
      <alignment vertical="center" wrapText="1"/>
    </xf>
    <xf numFmtId="0" fontId="14" fillId="2" borderId="37" xfId="2" applyFont="1" applyFill="1" applyBorder="1" applyAlignment="1" applyProtection="1">
      <alignment horizontal="left" vertical="center" wrapText="1"/>
      <protection locked="0"/>
    </xf>
    <xf numFmtId="0" fontId="1" fillId="0" borderId="0" xfId="2" applyFill="1"/>
    <xf numFmtId="0" fontId="36" fillId="9" borderId="37" xfId="2" applyFont="1" applyFill="1" applyBorder="1" applyAlignment="1" applyProtection="1">
      <alignment horizontal="left" vertical="center" wrapText="1"/>
      <protection locked="0"/>
    </xf>
    <xf numFmtId="0" fontId="36" fillId="9" borderId="10" xfId="2" applyFont="1" applyFill="1" applyBorder="1" applyAlignment="1" applyProtection="1">
      <alignment horizontal="center" vertical="center" wrapText="1"/>
      <protection locked="0"/>
    </xf>
    <xf numFmtId="0" fontId="37" fillId="9" borderId="37" xfId="2" applyFont="1" applyFill="1" applyBorder="1" applyAlignment="1" applyProtection="1">
      <alignment vertical="center" wrapText="1"/>
      <protection locked="0"/>
    </xf>
    <xf numFmtId="0" fontId="41" fillId="0" borderId="1" xfId="2" applyFont="1" applyFill="1" applyBorder="1" applyAlignment="1" applyProtection="1">
      <alignment horizontal="center" vertical="center" wrapText="1"/>
      <protection locked="0"/>
    </xf>
    <xf numFmtId="0" fontId="42" fillId="0" borderId="37" xfId="2" applyFont="1" applyFill="1" applyBorder="1" applyAlignment="1" applyProtection="1">
      <alignment horizontal="left" vertical="center" wrapText="1"/>
      <protection locked="0"/>
    </xf>
    <xf numFmtId="0" fontId="14" fillId="2" borderId="29" xfId="2" applyFont="1" applyFill="1" applyBorder="1" applyAlignment="1">
      <alignment horizontal="left" vertical="center" wrapText="1"/>
    </xf>
    <xf numFmtId="0" fontId="34" fillId="2" borderId="0" xfId="2" applyFont="1" applyFill="1" applyBorder="1" applyAlignment="1">
      <alignment horizontal="left" vertical="center" wrapText="1"/>
    </xf>
    <xf numFmtId="0" fontId="14" fillId="2" borderId="0" xfId="2" applyFont="1" applyFill="1" applyBorder="1" applyAlignment="1">
      <alignment horizontal="center" wrapText="1"/>
    </xf>
    <xf numFmtId="0" fontId="1" fillId="2" borderId="0" xfId="2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0" xfId="2" applyAlignment="1">
      <alignment wrapText="1"/>
    </xf>
    <xf numFmtId="0" fontId="1" fillId="0" borderId="0" xfId="0" applyFont="1" applyAlignment="1">
      <alignment horizontal="right" vertical="center"/>
    </xf>
    <xf numFmtId="0" fontId="1" fillId="5" borderId="1" xfId="0" applyFont="1" applyFill="1" applyBorder="1">
      <alignment vertical="center"/>
    </xf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wrapText="1"/>
    </xf>
    <xf numFmtId="0" fontId="14" fillId="2" borderId="7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31" xfId="2" applyFont="1" applyFill="1" applyBorder="1" applyAlignment="1" applyProtection="1">
      <alignment horizontal="center" vertical="center" wrapText="1"/>
      <protection locked="0"/>
    </xf>
    <xf numFmtId="0" fontId="14" fillId="0" borderId="39" xfId="2" applyFont="1" applyFill="1" applyBorder="1" applyAlignment="1" applyProtection="1">
      <alignment horizontal="center" vertical="center" wrapText="1"/>
      <protection locked="0"/>
    </xf>
    <xf numFmtId="0" fontId="40" fillId="0" borderId="39" xfId="2" applyFont="1" applyFill="1" applyBorder="1" applyAlignment="1" applyProtection="1">
      <alignment horizontal="center" vertical="center" wrapText="1"/>
      <protection locked="0"/>
    </xf>
    <xf numFmtId="0" fontId="39" fillId="0" borderId="31" xfId="2" applyFont="1" applyFill="1" applyBorder="1" applyAlignment="1" applyProtection="1">
      <alignment horizontal="center" vertical="center" wrapText="1"/>
      <protection locked="0"/>
    </xf>
    <xf numFmtId="0" fontId="40" fillId="0" borderId="31" xfId="2" applyFont="1" applyFill="1" applyBorder="1" applyAlignment="1" applyProtection="1">
      <alignment horizontal="center" vertical="center" wrapText="1"/>
      <protection locked="0"/>
    </xf>
    <xf numFmtId="0" fontId="40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29" xfId="2" applyFont="1" applyFill="1" applyBorder="1" applyAlignment="1" applyProtection="1">
      <alignment horizontal="center" vertical="center" wrapText="1"/>
      <protection locked="0"/>
    </xf>
    <xf numFmtId="0" fontId="14" fillId="0" borderId="41" xfId="2" applyFont="1" applyFill="1" applyBorder="1" applyAlignment="1" applyProtection="1">
      <alignment horizontal="center" vertical="center" wrapText="1"/>
      <protection locked="0"/>
    </xf>
    <xf numFmtId="0" fontId="14" fillId="2" borderId="0" xfId="2" applyFont="1" applyFill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34" fillId="2" borderId="2" xfId="2" applyFont="1" applyFill="1" applyBorder="1" applyAlignment="1">
      <alignment horizontal="center" vertical="center"/>
    </xf>
    <xf numFmtId="0" fontId="14" fillId="2" borderId="42" xfId="2" applyFont="1" applyFill="1" applyBorder="1" applyAlignment="1">
      <alignment horizontal="center" vertical="center"/>
    </xf>
    <xf numFmtId="0" fontId="14" fillId="2" borderId="4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44" xfId="2" applyFont="1" applyFill="1" applyBorder="1" applyAlignment="1">
      <alignment horizontal="center" vertical="center"/>
    </xf>
    <xf numFmtId="0" fontId="34" fillId="2" borderId="14" xfId="2" applyFont="1" applyFill="1" applyBorder="1" applyAlignment="1">
      <alignment horizontal="center" vertical="center"/>
    </xf>
    <xf numFmtId="0" fontId="14" fillId="0" borderId="44" xfId="2" applyFont="1" applyFill="1" applyBorder="1" applyAlignment="1">
      <alignment horizontal="center" vertical="center"/>
    </xf>
    <xf numFmtId="0" fontId="21" fillId="2" borderId="30" xfId="2" applyFont="1" applyFill="1" applyBorder="1" applyAlignment="1" applyProtection="1">
      <alignment horizontal="left" vertical="center" wrapText="1"/>
      <protection locked="0"/>
    </xf>
    <xf numFmtId="0" fontId="14" fillId="2" borderId="45" xfId="2" applyFont="1" applyFill="1" applyBorder="1" applyAlignment="1">
      <alignment horizontal="left" vertical="center" wrapText="1"/>
    </xf>
    <xf numFmtId="0" fontId="14" fillId="0" borderId="46" xfId="2" applyFont="1" applyFill="1" applyBorder="1" applyAlignment="1" applyProtection="1">
      <alignment horizontal="center" vertical="center" wrapText="1"/>
      <protection locked="0"/>
    </xf>
    <xf numFmtId="0" fontId="38" fillId="2" borderId="47" xfId="2" applyFont="1" applyFill="1" applyBorder="1" applyAlignment="1" applyProtection="1">
      <alignment horizontal="left" vertical="center" wrapText="1"/>
      <protection locked="0"/>
    </xf>
    <xf numFmtId="0" fontId="14" fillId="10" borderId="1" xfId="2" applyFont="1" applyFill="1" applyBorder="1" applyAlignment="1" applyProtection="1">
      <alignment horizontal="center" vertical="center" wrapText="1"/>
      <protection locked="0"/>
    </xf>
    <xf numFmtId="0" fontId="14" fillId="10" borderId="10" xfId="2" applyFont="1" applyFill="1" applyBorder="1" applyAlignment="1" applyProtection="1">
      <alignment horizontal="center" vertical="center" wrapText="1"/>
      <protection locked="0"/>
    </xf>
    <xf numFmtId="0" fontId="14" fillId="10" borderId="39" xfId="2" applyFont="1" applyFill="1" applyBorder="1" applyAlignment="1" applyProtection="1">
      <alignment horizontal="center" vertical="center" wrapText="1"/>
      <protection locked="0"/>
    </xf>
    <xf numFmtId="0" fontId="14" fillId="10" borderId="31" xfId="2" applyFont="1" applyFill="1" applyBorder="1" applyAlignment="1" applyProtection="1">
      <alignment horizontal="center" vertical="center" wrapText="1"/>
      <protection locked="0"/>
    </xf>
    <xf numFmtId="0" fontId="14" fillId="10" borderId="41" xfId="2" applyFont="1" applyFill="1" applyBorder="1" applyAlignment="1" applyProtection="1">
      <alignment horizontal="center" vertical="center" wrapText="1"/>
      <protection locked="0"/>
    </xf>
    <xf numFmtId="0" fontId="14" fillId="10" borderId="45" xfId="2" applyFont="1" applyFill="1" applyBorder="1" applyAlignment="1" applyProtection="1">
      <alignment horizontal="center" vertical="center" wrapText="1"/>
      <protection locked="0"/>
    </xf>
    <xf numFmtId="0" fontId="43" fillId="2" borderId="0" xfId="0" applyFont="1" applyFill="1" applyBorder="1" applyProtection="1">
      <alignment vertical="center"/>
    </xf>
    <xf numFmtId="0" fontId="43" fillId="0" borderId="0" xfId="0" applyFont="1" applyBorder="1">
      <alignment vertical="center"/>
    </xf>
    <xf numFmtId="0" fontId="43" fillId="0" borderId="0" xfId="0" applyFont="1" applyFill="1" applyBorder="1">
      <alignment vertical="center"/>
    </xf>
    <xf numFmtId="0" fontId="43" fillId="0" borderId="0" xfId="1" applyFont="1">
      <alignment vertical="center"/>
    </xf>
    <xf numFmtId="0" fontId="43" fillId="0" borderId="0" xfId="1" applyFont="1" applyFill="1">
      <alignment vertical="center"/>
    </xf>
    <xf numFmtId="0" fontId="43" fillId="2" borderId="0" xfId="1" applyFont="1" applyFill="1" applyAlignment="1" applyProtection="1"/>
    <xf numFmtId="0" fontId="43" fillId="2" borderId="0" xfId="1" applyFont="1" applyFill="1" applyProtection="1">
      <alignment vertical="center"/>
    </xf>
    <xf numFmtId="0" fontId="43" fillId="2" borderId="0" xfId="1" applyFont="1" applyFill="1" applyBorder="1" applyProtection="1">
      <alignment vertical="center"/>
    </xf>
    <xf numFmtId="0" fontId="43" fillId="2" borderId="1" xfId="1" applyFont="1" applyFill="1" applyBorder="1" applyAlignment="1" applyProtection="1">
      <alignment horizontal="center" vertical="center"/>
    </xf>
    <xf numFmtId="0" fontId="43" fillId="3" borderId="1" xfId="1" applyFont="1" applyFill="1" applyBorder="1" applyProtection="1">
      <alignment vertical="center"/>
    </xf>
    <xf numFmtId="168" fontId="43" fillId="3" borderId="1" xfId="1" applyNumberFormat="1" applyFont="1" applyFill="1" applyBorder="1" applyAlignment="1" applyProtection="1">
      <alignment vertical="center"/>
      <protection locked="0"/>
    </xf>
    <xf numFmtId="168" fontId="43" fillId="2" borderId="0" xfId="1" applyNumberFormat="1" applyFont="1" applyFill="1" applyBorder="1" applyAlignment="1" applyProtection="1">
      <alignment vertical="center"/>
    </xf>
    <xf numFmtId="0" fontId="43" fillId="2" borderId="0" xfId="1" applyFont="1" applyFill="1" applyBorder="1" applyAlignment="1" applyProtection="1">
      <alignment horizontal="center" vertical="center"/>
    </xf>
    <xf numFmtId="0" fontId="43" fillId="5" borderId="1" xfId="1" applyFont="1" applyFill="1" applyBorder="1" applyProtection="1">
      <alignment vertical="center"/>
    </xf>
    <xf numFmtId="0" fontId="43" fillId="2" borderId="0" xfId="1" applyFont="1" applyFill="1" applyBorder="1" applyAlignment="1" applyProtection="1">
      <alignment horizontal="right" vertical="center"/>
    </xf>
    <xf numFmtId="0" fontId="43" fillId="3" borderId="1" xfId="1" applyFont="1" applyFill="1" applyBorder="1" applyAlignment="1" applyProtection="1">
      <alignment horizontal="right" vertical="center"/>
      <protection locked="0"/>
    </xf>
    <xf numFmtId="0" fontId="43" fillId="2" borderId="0" xfId="1" applyFont="1" applyFill="1">
      <alignment vertical="center"/>
    </xf>
    <xf numFmtId="0" fontId="43" fillId="2" borderId="39" xfId="1" applyFont="1" applyFill="1" applyBorder="1" applyAlignment="1" applyProtection="1">
      <alignment vertical="center"/>
    </xf>
    <xf numFmtId="0" fontId="43" fillId="2" borderId="39" xfId="1" applyFont="1" applyFill="1" applyBorder="1" applyAlignment="1" applyProtection="1">
      <alignment horizontal="center" vertical="center"/>
    </xf>
    <xf numFmtId="169" fontId="43" fillId="3" borderId="1" xfId="1" applyNumberFormat="1" applyFont="1" applyFill="1" applyBorder="1" applyAlignment="1" applyProtection="1">
      <alignment horizontal="center" vertical="center"/>
      <protection locked="0"/>
    </xf>
    <xf numFmtId="169" fontId="43" fillId="3" borderId="10" xfId="1" applyNumberFormat="1" applyFont="1" applyFill="1" applyBorder="1" applyAlignment="1" applyProtection="1">
      <alignment horizontal="center" vertical="center"/>
      <protection locked="0"/>
    </xf>
    <xf numFmtId="169" fontId="43" fillId="5" borderId="1" xfId="1" applyNumberFormat="1" applyFont="1" applyFill="1" applyBorder="1" applyAlignment="1" applyProtection="1">
      <alignment horizontal="center" vertical="center"/>
    </xf>
    <xf numFmtId="164" fontId="43" fillId="5" borderId="1" xfId="1" applyNumberFormat="1" applyFont="1" applyFill="1" applyBorder="1" applyAlignment="1" applyProtection="1">
      <alignment horizontal="center" vertical="center"/>
    </xf>
    <xf numFmtId="175" fontId="43" fillId="3" borderId="1" xfId="1" applyNumberFormat="1" applyFont="1" applyFill="1" applyBorder="1" applyAlignment="1" applyProtection="1">
      <alignment vertical="center"/>
      <protection locked="0"/>
    </xf>
    <xf numFmtId="166" fontId="43" fillId="5" borderId="1" xfId="1" applyNumberFormat="1" applyFont="1" applyFill="1" applyBorder="1" applyAlignment="1" applyProtection="1">
      <alignment horizontal="center" vertical="center"/>
    </xf>
    <xf numFmtId="0" fontId="43" fillId="2" borderId="1" xfId="1" applyFont="1" applyFill="1" applyBorder="1" applyAlignment="1" applyProtection="1">
      <alignment horizontal="right" vertical="center"/>
    </xf>
    <xf numFmtId="168" fontId="43" fillId="2" borderId="1" xfId="1" applyNumberFormat="1" applyFont="1" applyFill="1" applyBorder="1" applyAlignment="1" applyProtection="1">
      <alignment horizontal="center" vertical="center"/>
    </xf>
    <xf numFmtId="166" fontId="43" fillId="2" borderId="1" xfId="1" applyNumberFormat="1" applyFont="1" applyFill="1" applyBorder="1" applyAlignment="1" applyProtection="1">
      <alignment horizontal="center" vertical="center"/>
    </xf>
    <xf numFmtId="49" fontId="43" fillId="2" borderId="1" xfId="1" applyNumberFormat="1" applyFont="1" applyFill="1" applyBorder="1" applyAlignment="1" applyProtection="1">
      <alignment horizontal="center" vertical="center"/>
    </xf>
    <xf numFmtId="49" fontId="43" fillId="2" borderId="0" xfId="1" applyNumberFormat="1" applyFont="1" applyFill="1" applyBorder="1" applyAlignment="1" applyProtection="1">
      <alignment horizontal="center" vertical="center"/>
    </xf>
    <xf numFmtId="168" fontId="43" fillId="2" borderId="0" xfId="1" applyNumberFormat="1" applyFont="1" applyFill="1" applyBorder="1" applyAlignment="1" applyProtection="1">
      <alignment horizontal="center" vertical="center"/>
    </xf>
    <xf numFmtId="166" fontId="43" fillId="2" borderId="0" xfId="1" applyNumberFormat="1" applyFont="1" applyFill="1" applyBorder="1" applyAlignment="1" applyProtection="1">
      <alignment horizontal="center" vertical="center"/>
    </xf>
    <xf numFmtId="0" fontId="43" fillId="2" borderId="41" xfId="1" applyFont="1" applyFill="1" applyBorder="1" applyAlignment="1" applyProtection="1">
      <alignment horizontal="right" vertical="center"/>
    </xf>
    <xf numFmtId="0" fontId="43" fillId="2" borderId="31" xfId="1" applyFont="1" applyFill="1" applyBorder="1" applyAlignment="1" applyProtection="1">
      <alignment horizontal="center" vertical="center"/>
    </xf>
    <xf numFmtId="0" fontId="43" fillId="2" borderId="8" xfId="1" applyFont="1" applyFill="1" applyBorder="1" applyAlignment="1" applyProtection="1">
      <alignment horizontal="center" vertical="center"/>
    </xf>
    <xf numFmtId="0" fontId="43" fillId="2" borderId="7" xfId="1" applyFont="1" applyFill="1" applyBorder="1" applyAlignment="1" applyProtection="1">
      <alignment horizontal="center" vertical="center"/>
    </xf>
    <xf numFmtId="0" fontId="43" fillId="2" borderId="0" xfId="1" applyFont="1" applyFill="1" applyBorder="1" applyAlignment="1" applyProtection="1">
      <alignment vertical="center"/>
    </xf>
    <xf numFmtId="173" fontId="43" fillId="5" borderId="1" xfId="1" applyNumberFormat="1" applyFont="1" applyFill="1" applyBorder="1" applyAlignment="1" applyProtection="1">
      <alignment horizontal="center" vertical="center"/>
    </xf>
    <xf numFmtId="173" fontId="43" fillId="5" borderId="29" xfId="1" applyNumberFormat="1" applyFont="1" applyFill="1" applyBorder="1" applyAlignment="1" applyProtection="1">
      <alignment horizontal="center" vertical="center"/>
    </xf>
    <xf numFmtId="0" fontId="43" fillId="2" borderId="0" xfId="1" applyFont="1" applyFill="1" applyBorder="1">
      <alignment vertical="center"/>
    </xf>
    <xf numFmtId="0" fontId="43" fillId="6" borderId="0" xfId="1" applyFont="1" applyFill="1" applyProtection="1">
      <alignment vertical="center"/>
    </xf>
    <xf numFmtId="166" fontId="43" fillId="6" borderId="31" xfId="1" applyNumberFormat="1" applyFont="1" applyFill="1" applyBorder="1" applyAlignment="1" applyProtection="1">
      <alignment horizontal="center" vertical="center"/>
    </xf>
    <xf numFmtId="49" fontId="43" fillId="6" borderId="8" xfId="1" applyNumberFormat="1" applyFont="1" applyFill="1" applyBorder="1" applyAlignment="1" applyProtection="1">
      <alignment horizontal="center" vertical="center"/>
    </xf>
    <xf numFmtId="166" fontId="43" fillId="6" borderId="8" xfId="1" applyNumberFormat="1" applyFont="1" applyFill="1" applyBorder="1" applyAlignment="1" applyProtection="1">
      <alignment horizontal="center" vertical="center"/>
    </xf>
    <xf numFmtId="49" fontId="43" fillId="6" borderId="7" xfId="1" applyNumberFormat="1" applyFont="1" applyFill="1" applyBorder="1" applyAlignment="1" applyProtection="1">
      <alignment horizontal="center" vertical="center"/>
    </xf>
    <xf numFmtId="49" fontId="43" fillId="6" borderId="0" xfId="1" applyNumberFormat="1" applyFont="1" applyFill="1" applyBorder="1" applyAlignment="1" applyProtection="1">
      <alignment horizontal="center" vertical="center"/>
    </xf>
    <xf numFmtId="0" fontId="43" fillId="6" borderId="0" xfId="1" applyFont="1" applyFill="1" applyBorder="1">
      <alignment vertical="center"/>
    </xf>
    <xf numFmtId="0" fontId="43" fillId="6" borderId="0" xfId="1" applyFont="1" applyFill="1">
      <alignment vertical="center"/>
    </xf>
    <xf numFmtId="0" fontId="43" fillId="6" borderId="0" xfId="1" applyFont="1" applyFill="1" applyBorder="1" applyAlignment="1" applyProtection="1">
      <alignment horizontal="right" vertical="center"/>
    </xf>
    <xf numFmtId="166" fontId="43" fillId="6" borderId="0" xfId="1" applyNumberFormat="1" applyFont="1" applyFill="1" applyBorder="1" applyAlignment="1" applyProtection="1">
      <alignment horizontal="center" vertical="center"/>
    </xf>
    <xf numFmtId="0" fontId="43" fillId="2" borderId="1" xfId="1" applyFont="1" applyFill="1" applyBorder="1" applyProtection="1">
      <alignment vertical="center"/>
    </xf>
    <xf numFmtId="0" fontId="43" fillId="0" borderId="1" xfId="1" applyFont="1" applyFill="1" applyBorder="1" applyAlignment="1" applyProtection="1">
      <alignment horizontal="center" vertical="center"/>
    </xf>
    <xf numFmtId="0" fontId="43" fillId="3" borderId="1" xfId="1" applyFont="1" applyFill="1" applyBorder="1" applyAlignment="1" applyProtection="1">
      <alignment horizontal="center" vertical="center"/>
      <protection locked="0"/>
    </xf>
    <xf numFmtId="0" fontId="43" fillId="11" borderId="1" xfId="1" applyFont="1" applyFill="1" applyBorder="1" applyAlignment="1" applyProtection="1">
      <alignment horizontal="center" vertical="center"/>
    </xf>
    <xf numFmtId="165" fontId="43" fillId="5" borderId="1" xfId="1" applyNumberFormat="1" applyFont="1" applyFill="1" applyBorder="1" applyAlignment="1" applyProtection="1">
      <alignment horizontal="center" vertical="center"/>
    </xf>
    <xf numFmtId="0" fontId="43" fillId="0" borderId="0" xfId="1" applyFont="1" applyFill="1" applyProtection="1">
      <alignment vertical="center"/>
    </xf>
    <xf numFmtId="0" fontId="43" fillId="0" borderId="7" xfId="1" applyFont="1" applyBorder="1" applyAlignment="1" applyProtection="1">
      <alignment horizontal="center" vertical="center"/>
    </xf>
    <xf numFmtId="166" fontId="43" fillId="5" borderId="31" xfId="1" applyNumberFormat="1" applyFont="1" applyFill="1" applyBorder="1" applyAlignment="1" applyProtection="1">
      <alignment horizontal="center" vertical="center"/>
    </xf>
    <xf numFmtId="169" fontId="43" fillId="3" borderId="1" xfId="1" applyNumberFormat="1" applyFont="1" applyFill="1" applyBorder="1" applyAlignment="1" applyProtection="1">
      <alignment vertical="center"/>
      <protection locked="0"/>
    </xf>
    <xf numFmtId="9" fontId="43" fillId="3" borderId="1" xfId="1" applyNumberFormat="1" applyFont="1" applyFill="1" applyBorder="1" applyAlignment="1" applyProtection="1">
      <alignment vertical="center"/>
      <protection locked="0"/>
    </xf>
    <xf numFmtId="175" fontId="43" fillId="5" borderId="7" xfId="1" applyNumberFormat="1" applyFont="1" applyFill="1" applyBorder="1" applyAlignment="1" applyProtection="1">
      <alignment horizontal="center" vertical="center"/>
    </xf>
    <xf numFmtId="168" fontId="43" fillId="2" borderId="31" xfId="1" applyNumberFormat="1" applyFont="1" applyFill="1" applyBorder="1" applyAlignment="1" applyProtection="1">
      <alignment horizontal="center" vertical="center"/>
    </xf>
    <xf numFmtId="168" fontId="43" fillId="2" borderId="7" xfId="1" applyNumberFormat="1" applyFont="1" applyFill="1" applyBorder="1" applyAlignment="1" applyProtection="1">
      <alignment horizontal="center" vertical="center"/>
    </xf>
    <xf numFmtId="0" fontId="43" fillId="2" borderId="0" xfId="1" applyFont="1" applyFill="1" applyAlignment="1" applyProtection="1">
      <alignment vertical="center"/>
    </xf>
    <xf numFmtId="0" fontId="43" fillId="2" borderId="1" xfId="1" applyFont="1" applyFill="1" applyBorder="1" applyAlignment="1" applyProtection="1">
      <alignment vertical="center"/>
    </xf>
    <xf numFmtId="0" fontId="43" fillId="3" borderId="1" xfId="1" applyFont="1" applyFill="1" applyBorder="1" applyAlignment="1" applyProtection="1">
      <alignment vertical="center"/>
      <protection locked="0"/>
    </xf>
    <xf numFmtId="0" fontId="43" fillId="2" borderId="0" xfId="1" applyFont="1" applyFill="1" applyBorder="1" applyAlignment="1" applyProtection="1">
      <alignment vertical="center" wrapText="1"/>
    </xf>
    <xf numFmtId="0" fontId="43" fillId="0" borderId="0" xfId="1" applyFont="1" applyProtection="1">
      <alignment vertical="center"/>
    </xf>
    <xf numFmtId="0" fontId="43" fillId="2" borderId="1" xfId="1" applyFont="1" applyFill="1" applyBorder="1" applyAlignment="1" applyProtection="1">
      <alignment horizontal="right" vertical="center" wrapText="1"/>
    </xf>
    <xf numFmtId="0" fontId="43" fillId="2" borderId="1" xfId="1" applyFont="1" applyFill="1" applyBorder="1" applyAlignment="1" applyProtection="1">
      <alignment vertical="center" wrapText="1"/>
    </xf>
    <xf numFmtId="0" fontId="43" fillId="3" borderId="1" xfId="1" applyFont="1" applyFill="1" applyBorder="1" applyProtection="1">
      <alignment vertical="center"/>
      <protection locked="0"/>
    </xf>
    <xf numFmtId="0" fontId="43" fillId="0" borderId="1" xfId="1" applyFont="1" applyBorder="1" applyProtection="1">
      <alignment vertical="center"/>
    </xf>
    <xf numFmtId="167" fontId="43" fillId="5" borderId="1" xfId="1" applyNumberFormat="1" applyFont="1" applyFill="1" applyBorder="1" applyProtection="1">
      <alignment vertical="center"/>
    </xf>
    <xf numFmtId="167" fontId="43" fillId="3" borderId="1" xfId="1" applyNumberFormat="1" applyFont="1" applyFill="1" applyBorder="1" applyProtection="1">
      <alignment vertical="center"/>
      <protection locked="0"/>
    </xf>
    <xf numFmtId="166" fontId="43" fillId="5" borderId="1" xfId="1" applyNumberFormat="1" applyFont="1" applyFill="1" applyBorder="1" applyProtection="1">
      <alignment vertical="center"/>
    </xf>
    <xf numFmtId="166" fontId="43" fillId="3" borderId="1" xfId="1" applyNumberFormat="1" applyFont="1" applyFill="1" applyBorder="1" applyProtection="1">
      <alignment vertical="center"/>
      <protection locked="0"/>
    </xf>
    <xf numFmtId="0" fontId="43" fillId="2" borderId="0" xfId="1" applyFont="1" applyFill="1" applyBorder="1" applyAlignment="1">
      <alignment vertical="center"/>
    </xf>
    <xf numFmtId="0" fontId="43" fillId="2" borderId="29" xfId="1" applyFont="1" applyFill="1" applyBorder="1" applyAlignment="1" applyProtection="1">
      <alignment vertical="center"/>
    </xf>
    <xf numFmtId="0" fontId="43" fillId="2" borderId="1" xfId="1" applyFont="1" applyFill="1" applyBorder="1" applyAlignment="1" applyProtection="1">
      <alignment horizontal="center" vertical="center" wrapText="1"/>
    </xf>
    <xf numFmtId="0" fontId="43" fillId="2" borderId="29" xfId="1" applyFont="1" applyFill="1" applyBorder="1" applyAlignment="1" applyProtection="1">
      <alignment vertical="center" wrapText="1"/>
    </xf>
    <xf numFmtId="170" fontId="43" fillId="3" borderId="1" xfId="1" applyNumberFormat="1" applyFont="1" applyFill="1" applyBorder="1" applyAlignment="1" applyProtection="1">
      <alignment horizontal="center" vertical="center"/>
      <protection locked="0"/>
    </xf>
    <xf numFmtId="168" fontId="43" fillId="3" borderId="1" xfId="1" applyNumberFormat="1" applyFont="1" applyFill="1" applyBorder="1" applyAlignment="1" applyProtection="1">
      <alignment horizontal="center" vertical="center"/>
      <protection locked="0"/>
    </xf>
    <xf numFmtId="9" fontId="43" fillId="3" borderId="48" xfId="1" applyNumberFormat="1" applyFont="1" applyFill="1" applyBorder="1" applyAlignment="1" applyProtection="1">
      <alignment horizontal="center" vertical="center"/>
      <protection locked="0"/>
    </xf>
    <xf numFmtId="9" fontId="43" fillId="3" borderId="7" xfId="1" applyNumberFormat="1" applyFont="1" applyFill="1" applyBorder="1" applyAlignment="1" applyProtection="1">
      <alignment horizontal="center" vertical="center"/>
      <protection locked="0"/>
    </xf>
    <xf numFmtId="0" fontId="43" fillId="0" borderId="1" xfId="1" applyFont="1" applyBorder="1" applyAlignment="1" applyProtection="1">
      <alignment horizontal="center" vertical="center"/>
    </xf>
    <xf numFmtId="0" fontId="43" fillId="2" borderId="29" xfId="1" applyFont="1" applyFill="1" applyBorder="1" applyAlignment="1" applyProtection="1">
      <alignment horizontal="center" vertical="center" wrapText="1"/>
    </xf>
    <xf numFmtId="175" fontId="43" fillId="3" borderId="1" xfId="1" applyNumberFormat="1" applyFont="1" applyFill="1" applyBorder="1" applyAlignment="1" applyProtection="1">
      <alignment horizontal="center" vertical="center"/>
      <protection locked="0"/>
    </xf>
    <xf numFmtId="175" fontId="43" fillId="5" borderId="1" xfId="1" applyNumberFormat="1" applyFont="1" applyFill="1" applyBorder="1" applyAlignment="1" applyProtection="1">
      <alignment horizontal="center" vertical="center"/>
    </xf>
    <xf numFmtId="165" fontId="43" fillId="5" borderId="29" xfId="1" applyNumberFormat="1" applyFont="1" applyFill="1" applyBorder="1" applyAlignment="1" applyProtection="1">
      <alignment horizontal="center" vertical="center"/>
    </xf>
    <xf numFmtId="166" fontId="43" fillId="2" borderId="0" xfId="1" applyNumberFormat="1" applyFont="1" applyFill="1" applyBorder="1" applyAlignment="1" applyProtection="1">
      <alignment horizontal="left" vertical="center"/>
    </xf>
    <xf numFmtId="168" fontId="43" fillId="0" borderId="0" xfId="1" applyNumberFormat="1" applyFont="1" applyFill="1" applyBorder="1" applyAlignment="1" applyProtection="1">
      <alignment vertical="center"/>
      <protection locked="0"/>
    </xf>
    <xf numFmtId="0" fontId="43" fillId="0" borderId="0" xfId="1" applyFont="1" applyFill="1" applyBorder="1">
      <alignment vertical="center"/>
    </xf>
    <xf numFmtId="0" fontId="43" fillId="0" borderId="0" xfId="1" applyFont="1" applyFill="1" applyBorder="1" applyProtection="1">
      <alignment vertical="center"/>
      <protection locked="0"/>
    </xf>
    <xf numFmtId="0" fontId="43" fillId="2" borderId="1" xfId="1" applyFont="1" applyFill="1" applyBorder="1">
      <alignment vertical="center"/>
    </xf>
    <xf numFmtId="0" fontId="43" fillId="3" borderId="7" xfId="1" applyFont="1" applyFill="1" applyBorder="1" applyAlignment="1" applyProtection="1">
      <alignment horizontal="center" vertical="center"/>
      <protection locked="0"/>
    </xf>
    <xf numFmtId="166" fontId="43" fillId="5" borderId="8" xfId="1" applyNumberFormat="1" applyFont="1" applyFill="1" applyBorder="1" applyAlignment="1" applyProtection="1">
      <alignment horizontal="center" vertical="center"/>
    </xf>
    <xf numFmtId="0" fontId="43" fillId="5" borderId="1" xfId="1" applyFont="1" applyFill="1" applyBorder="1" applyAlignment="1">
      <alignment horizontal="center" vertical="center"/>
    </xf>
    <xf numFmtId="0" fontId="43" fillId="3" borderId="28" xfId="1" applyFont="1" applyFill="1" applyBorder="1" applyAlignment="1" applyProtection="1">
      <alignment horizontal="center" vertical="center"/>
      <protection locked="0"/>
    </xf>
    <xf numFmtId="166" fontId="43" fillId="6" borderId="0" xfId="1" applyNumberFormat="1" applyFont="1" applyFill="1" applyBorder="1" applyAlignment="1" applyProtection="1">
      <alignment horizontal="left" vertical="center"/>
    </xf>
    <xf numFmtId="0" fontId="43" fillId="6" borderId="0" xfId="1" applyFont="1" applyFill="1" applyBorder="1" applyAlignment="1" applyProtection="1">
      <alignment horizontal="center" vertical="center"/>
    </xf>
    <xf numFmtId="0" fontId="43" fillId="6" borderId="0" xfId="1" applyFont="1" applyFill="1" applyBorder="1" applyProtection="1">
      <alignment vertical="center"/>
    </xf>
    <xf numFmtId="0" fontId="43" fillId="6" borderId="0" xfId="1" applyFont="1" applyFill="1" applyAlignment="1" applyProtection="1">
      <alignment vertical="center"/>
    </xf>
    <xf numFmtId="0" fontId="43" fillId="2" borderId="31" xfId="1" applyFont="1" applyFill="1" applyBorder="1" applyAlignment="1" applyProtection="1">
      <alignment vertical="center"/>
    </xf>
    <xf numFmtId="168" fontId="43" fillId="2" borderId="31" xfId="1" applyNumberFormat="1" applyFont="1" applyFill="1" applyBorder="1" applyAlignment="1" applyProtection="1">
      <alignment vertical="center"/>
    </xf>
    <xf numFmtId="166" fontId="43" fillId="2" borderId="0" xfId="1" applyNumberFormat="1" applyFont="1" applyFill="1" applyBorder="1" applyProtection="1">
      <alignment vertical="center"/>
    </xf>
    <xf numFmtId="168" fontId="43" fillId="6" borderId="0" xfId="1" applyNumberFormat="1" applyFont="1" applyFill="1" applyBorder="1" applyAlignment="1" applyProtection="1">
      <alignment horizontal="center" vertical="center"/>
    </xf>
    <xf numFmtId="168" fontId="43" fillId="5" borderId="1" xfId="1" applyNumberFormat="1" applyFont="1" applyFill="1" applyBorder="1" applyProtection="1">
      <alignment vertical="center"/>
    </xf>
    <xf numFmtId="0" fontId="43" fillId="2" borderId="7" xfId="1" applyFont="1" applyFill="1" applyBorder="1" applyAlignment="1" applyProtection="1">
      <alignment vertical="center"/>
    </xf>
    <xf numFmtId="168" fontId="43" fillId="5" borderId="49" xfId="1" applyNumberFormat="1" applyFont="1" applyFill="1" applyBorder="1" applyAlignment="1" applyProtection="1">
      <alignment horizontal="center" vertical="center"/>
    </xf>
    <xf numFmtId="168" fontId="43" fillId="5" borderId="0" xfId="1" applyNumberFormat="1" applyFont="1" applyFill="1" applyBorder="1" applyAlignment="1" applyProtection="1">
      <alignment horizontal="center" vertical="center"/>
    </xf>
    <xf numFmtId="168" fontId="43" fillId="5" borderId="50" xfId="1" applyNumberFormat="1" applyFont="1" applyFill="1" applyBorder="1" applyAlignment="1" applyProtection="1">
      <alignment horizontal="center" vertical="center"/>
    </xf>
    <xf numFmtId="168" fontId="43" fillId="5" borderId="31" xfId="1" applyNumberFormat="1" applyFont="1" applyFill="1" applyBorder="1" applyAlignment="1" applyProtection="1">
      <alignment horizontal="center" vertical="center"/>
    </xf>
    <xf numFmtId="168" fontId="43" fillId="5" borderId="8" xfId="1" applyNumberFormat="1" applyFont="1" applyFill="1" applyBorder="1" applyAlignment="1" applyProtection="1">
      <alignment horizontal="center" vertical="center"/>
    </xf>
    <xf numFmtId="168" fontId="43" fillId="5" borderId="7" xfId="1" applyNumberFormat="1" applyFont="1" applyFill="1" applyBorder="1" applyAlignment="1" applyProtection="1">
      <alignment horizontal="center" vertical="center"/>
    </xf>
    <xf numFmtId="168" fontId="43" fillId="2" borderId="8" xfId="1" applyNumberFormat="1" applyFont="1" applyFill="1" applyBorder="1" applyAlignment="1" applyProtection="1">
      <alignment horizontal="center" vertical="center"/>
    </xf>
    <xf numFmtId="0" fontId="43" fillId="2" borderId="11" xfId="1" applyFont="1" applyFill="1" applyBorder="1" applyProtection="1">
      <alignment vertical="center"/>
    </xf>
    <xf numFmtId="0" fontId="43" fillId="2" borderId="9" xfId="1" applyFont="1" applyFill="1" applyBorder="1" applyProtection="1">
      <alignment vertical="center"/>
    </xf>
    <xf numFmtId="0" fontId="43" fillId="2" borderId="18" xfId="1" applyFont="1" applyFill="1" applyBorder="1" applyProtection="1">
      <alignment vertical="center"/>
    </xf>
    <xf numFmtId="0" fontId="43" fillId="2" borderId="20" xfId="1" applyFont="1" applyFill="1" applyBorder="1" applyProtection="1">
      <alignment vertical="center"/>
    </xf>
    <xf numFmtId="0" fontId="43" fillId="5" borderId="51" xfId="1" applyFont="1" applyFill="1" applyBorder="1" applyAlignment="1" applyProtection="1">
      <alignment horizontal="center" vertical="center"/>
    </xf>
    <xf numFmtId="0" fontId="43" fillId="5" borderId="26" xfId="1" applyFont="1" applyFill="1" applyBorder="1" applyAlignment="1" applyProtection="1">
      <alignment horizontal="center" vertical="center"/>
    </xf>
    <xf numFmtId="0" fontId="43" fillId="5" borderId="27" xfId="1" applyFont="1" applyFill="1" applyBorder="1" applyAlignment="1" applyProtection="1">
      <alignment horizontal="center" vertical="center"/>
    </xf>
    <xf numFmtId="0" fontId="43" fillId="5" borderId="25" xfId="1" applyFont="1" applyFill="1" applyBorder="1" applyAlignment="1" applyProtection="1">
      <alignment horizontal="center" vertical="center"/>
    </xf>
    <xf numFmtId="0" fontId="43" fillId="2" borderId="52" xfId="1" applyFont="1" applyFill="1" applyBorder="1" applyProtection="1">
      <alignment vertical="center"/>
    </xf>
    <xf numFmtId="0" fontId="43" fillId="2" borderId="53" xfId="1" applyFont="1" applyFill="1" applyBorder="1" applyProtection="1">
      <alignment vertical="center"/>
    </xf>
    <xf numFmtId="166" fontId="43" fillId="5" borderId="0" xfId="1" applyNumberFormat="1" applyFont="1" applyFill="1" applyBorder="1" applyProtection="1">
      <alignment vertical="center"/>
    </xf>
    <xf numFmtId="166" fontId="43" fillId="5" borderId="19" xfId="1" applyNumberFormat="1" applyFont="1" applyFill="1" applyBorder="1" applyProtection="1">
      <alignment vertical="center"/>
    </xf>
    <xf numFmtId="166" fontId="43" fillId="5" borderId="20" xfId="1" applyNumberFormat="1" applyFont="1" applyFill="1" applyBorder="1" applyProtection="1">
      <alignment vertical="center"/>
    </xf>
    <xf numFmtId="166" fontId="43" fillId="5" borderId="18" xfId="1" applyNumberFormat="1" applyFont="1" applyFill="1" applyBorder="1" applyProtection="1">
      <alignment vertical="center"/>
    </xf>
    <xf numFmtId="167" fontId="43" fillId="5" borderId="8" xfId="1" applyNumberFormat="1" applyFont="1" applyFill="1" applyBorder="1" applyProtection="1">
      <alignment vertical="center"/>
    </xf>
    <xf numFmtId="167" fontId="43" fillId="5" borderId="9" xfId="1" applyNumberFormat="1" applyFont="1" applyFill="1" applyBorder="1" applyProtection="1">
      <alignment vertical="center"/>
    </xf>
    <xf numFmtId="167" fontId="43" fillId="5" borderId="11" xfId="1" applyNumberFormat="1" applyFont="1" applyFill="1" applyBorder="1" applyProtection="1">
      <alignment vertical="center"/>
    </xf>
    <xf numFmtId="0" fontId="43" fillId="2" borderId="54" xfId="1" applyFont="1" applyFill="1" applyBorder="1" applyProtection="1">
      <alignment vertical="center"/>
    </xf>
    <xf numFmtId="0" fontId="43" fillId="2" borderId="55" xfId="1" applyFont="1" applyFill="1" applyBorder="1" applyProtection="1">
      <alignment vertical="center"/>
    </xf>
    <xf numFmtId="165" fontId="43" fillId="5" borderId="56" xfId="1" applyNumberFormat="1" applyFont="1" applyFill="1" applyBorder="1" applyProtection="1">
      <alignment vertical="center"/>
    </xf>
    <xf numFmtId="165" fontId="43" fillId="5" borderId="45" xfId="1" applyNumberFormat="1" applyFont="1" applyFill="1" applyBorder="1" applyProtection="1">
      <alignment vertical="center"/>
    </xf>
    <xf numFmtId="165" fontId="43" fillId="5" borderId="47" xfId="1" applyNumberFormat="1" applyFont="1" applyFill="1" applyBorder="1" applyProtection="1">
      <alignment vertical="center"/>
    </xf>
    <xf numFmtId="165" fontId="43" fillId="5" borderId="57" xfId="1" applyNumberFormat="1" applyFont="1" applyFill="1" applyBorder="1" applyProtection="1">
      <alignment vertical="center"/>
    </xf>
    <xf numFmtId="165" fontId="43" fillId="2" borderId="0" xfId="1" applyNumberFormat="1" applyFont="1" applyFill="1" applyBorder="1" applyProtection="1">
      <alignment vertical="center"/>
    </xf>
    <xf numFmtId="14" fontId="43" fillId="0" borderId="1" xfId="1" applyNumberFormat="1" applyFont="1" applyFill="1" applyBorder="1" applyAlignment="1">
      <alignment horizontal="center" vertical="center"/>
    </xf>
    <xf numFmtId="173" fontId="43" fillId="0" borderId="1" xfId="1" applyNumberFormat="1" applyFont="1" applyBorder="1">
      <alignment vertical="center"/>
    </xf>
    <xf numFmtId="164" fontId="43" fillId="0" borderId="1" xfId="1" applyNumberFormat="1" applyFont="1" applyBorder="1">
      <alignment vertical="center"/>
    </xf>
    <xf numFmtId="164" fontId="43" fillId="2" borderId="1" xfId="1" applyNumberFormat="1" applyFont="1" applyFill="1" applyBorder="1" applyAlignment="1" applyProtection="1">
      <alignment vertical="center"/>
    </xf>
    <xf numFmtId="173" fontId="43" fillId="4" borderId="1" xfId="1" applyNumberFormat="1" applyFont="1" applyFill="1" applyBorder="1">
      <alignment vertical="center"/>
    </xf>
    <xf numFmtId="10" fontId="43" fillId="0" borderId="1" xfId="1" applyNumberFormat="1" applyFont="1" applyBorder="1">
      <alignment vertical="center"/>
    </xf>
    <xf numFmtId="172" fontId="43" fillId="2" borderId="0" xfId="1" applyNumberFormat="1" applyFont="1" applyFill="1" applyBorder="1" applyAlignment="1" applyProtection="1">
      <alignment vertical="center"/>
    </xf>
    <xf numFmtId="14" fontId="43" fillId="0" borderId="0" xfId="1" applyNumberFormat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left" vertical="center"/>
    </xf>
    <xf numFmtId="164" fontId="43" fillId="0" borderId="0" xfId="1" applyNumberFormat="1" applyFont="1" applyFill="1" applyBorder="1" applyAlignment="1" applyProtection="1">
      <alignment vertical="center"/>
    </xf>
    <xf numFmtId="168" fontId="43" fillId="0" borderId="0" xfId="1" applyNumberFormat="1" applyFont="1" applyFill="1" applyBorder="1" applyAlignment="1" applyProtection="1">
      <alignment vertical="center"/>
    </xf>
    <xf numFmtId="0" fontId="43" fillId="7" borderId="1" xfId="1" applyFont="1" applyFill="1" applyBorder="1" applyAlignment="1">
      <alignment horizontal="center" vertical="center"/>
    </xf>
    <xf numFmtId="10" fontId="43" fillId="0" borderId="0" xfId="1" applyNumberFormat="1" applyFont="1" applyFill="1" applyBorder="1" applyAlignment="1" applyProtection="1">
      <alignment vertical="center"/>
    </xf>
    <xf numFmtId="0" fontId="43" fillId="0" borderId="1" xfId="1" applyFont="1" applyFill="1" applyBorder="1">
      <alignment vertical="center"/>
    </xf>
    <xf numFmtId="166" fontId="43" fillId="0" borderId="1" xfId="1" applyNumberFormat="1" applyFont="1" applyBorder="1">
      <alignment vertical="center"/>
    </xf>
    <xf numFmtId="10" fontId="43" fillId="5" borderId="1" xfId="1" applyNumberFormat="1" applyFont="1" applyFill="1" applyBorder="1">
      <alignment vertical="center"/>
    </xf>
    <xf numFmtId="166" fontId="43" fillId="5" borderId="1" xfId="1" applyNumberFormat="1" applyFont="1" applyFill="1" applyBorder="1">
      <alignment vertical="center"/>
    </xf>
    <xf numFmtId="0" fontId="43" fillId="0" borderId="0" xfId="1" applyFont="1" applyFill="1" applyBorder="1" applyAlignment="1">
      <alignment vertical="center"/>
    </xf>
    <xf numFmtId="10" fontId="43" fillId="0" borderId="0" xfId="1" applyNumberFormat="1" applyFont="1" applyFill="1" applyBorder="1">
      <alignment vertical="center"/>
    </xf>
    <xf numFmtId="164" fontId="43" fillId="2" borderId="0" xfId="1" applyNumberFormat="1" applyFont="1" applyFill="1" applyBorder="1" applyAlignment="1" applyProtection="1">
      <alignment vertical="center"/>
    </xf>
    <xf numFmtId="10" fontId="43" fillId="2" borderId="0" xfId="1" applyNumberFormat="1" applyFont="1" applyFill="1" applyBorder="1" applyAlignment="1" applyProtection="1">
      <alignment vertical="center"/>
    </xf>
    <xf numFmtId="169" fontId="43" fillId="3" borderId="1" xfId="1" applyNumberFormat="1" applyFont="1" applyFill="1" applyBorder="1" applyAlignment="1" applyProtection="1">
      <alignment horizontal="right" vertical="center"/>
      <protection locked="0"/>
    </xf>
    <xf numFmtId="165" fontId="43" fillId="5" borderId="1" xfId="1" applyNumberFormat="1" applyFont="1" applyFill="1" applyBorder="1">
      <alignment vertical="center"/>
    </xf>
    <xf numFmtId="0" fontId="43" fillId="6" borderId="1" xfId="1" applyFont="1" applyFill="1" applyBorder="1" applyAlignment="1" applyProtection="1">
      <alignment horizontal="right" vertical="center"/>
      <protection locked="0"/>
    </xf>
    <xf numFmtId="165" fontId="43" fillId="5" borderId="1" xfId="1" applyNumberFormat="1" applyFont="1" applyFill="1" applyBorder="1" applyAlignment="1">
      <alignment horizontal="right" vertical="center"/>
    </xf>
    <xf numFmtId="0" fontId="43" fillId="0" borderId="0" xfId="1" applyFont="1" applyFill="1" applyBorder="1" applyAlignment="1">
      <alignment horizontal="center" vertical="center"/>
    </xf>
    <xf numFmtId="168" fontId="43" fillId="6" borderId="1" xfId="1" applyNumberFormat="1" applyFont="1" applyFill="1" applyBorder="1" applyAlignment="1" applyProtection="1">
      <alignment vertical="center"/>
      <protection locked="0"/>
    </xf>
    <xf numFmtId="166" fontId="43" fillId="0" borderId="0" xfId="1" applyNumberFormat="1" applyFont="1" applyFill="1" applyBorder="1" applyAlignment="1" applyProtection="1">
      <alignment vertical="center" wrapText="1"/>
      <protection locked="0"/>
    </xf>
    <xf numFmtId="0" fontId="43" fillId="0" borderId="0" xfId="1" applyFont="1" applyBorder="1">
      <alignment vertical="center"/>
    </xf>
    <xf numFmtId="0" fontId="43" fillId="2" borderId="0" xfId="1" applyFont="1" applyFill="1" applyBorder="1" applyAlignment="1">
      <alignment vertical="center" wrapText="1"/>
    </xf>
    <xf numFmtId="0" fontId="43" fillId="0" borderId="0" xfId="1" applyFont="1" applyFill="1" applyBorder="1" applyAlignment="1">
      <alignment vertical="center" wrapText="1"/>
    </xf>
    <xf numFmtId="0" fontId="43" fillId="0" borderId="58" xfId="1" applyFont="1" applyBorder="1" applyAlignment="1">
      <alignment vertical="center" wrapText="1"/>
    </xf>
    <xf numFmtId="0" fontId="43" fillId="2" borderId="58" xfId="1" applyFont="1" applyFill="1" applyBorder="1" applyAlignment="1">
      <alignment vertical="center" wrapText="1"/>
    </xf>
    <xf numFmtId="165" fontId="43" fillId="3" borderId="1" xfId="1" applyNumberFormat="1" applyFont="1" applyFill="1" applyBorder="1" applyAlignment="1">
      <alignment horizontal="center" vertical="center"/>
    </xf>
    <xf numFmtId="165" fontId="43" fillId="12" borderId="1" xfId="1" applyNumberFormat="1" applyFont="1" applyFill="1" applyBorder="1" applyAlignment="1">
      <alignment horizontal="center" vertical="center"/>
    </xf>
    <xf numFmtId="165" fontId="43" fillId="3" borderId="0" xfId="1" applyNumberFormat="1" applyFont="1" applyFill="1" applyBorder="1" applyAlignment="1">
      <alignment horizontal="center" vertical="center"/>
    </xf>
    <xf numFmtId="166" fontId="43" fillId="3" borderId="1" xfId="1" applyNumberFormat="1" applyFont="1" applyFill="1" applyBorder="1" applyAlignment="1" applyProtection="1">
      <alignment vertical="center" wrapText="1"/>
      <protection locked="0"/>
    </xf>
    <xf numFmtId="173" fontId="43" fillId="0" borderId="0" xfId="1" applyNumberFormat="1" applyFont="1" applyFill="1" applyBorder="1">
      <alignment vertical="center"/>
    </xf>
    <xf numFmtId="0" fontId="43" fillId="2" borderId="44" xfId="1" applyFont="1" applyFill="1" applyBorder="1" applyAlignment="1">
      <alignment vertical="center"/>
    </xf>
    <xf numFmtId="166" fontId="43" fillId="12" borderId="37" xfId="1" applyNumberFormat="1" applyFont="1" applyFill="1" applyBorder="1" applyAlignment="1">
      <alignment horizontal="center" vertical="center"/>
    </xf>
    <xf numFmtId="165" fontId="43" fillId="12" borderId="37" xfId="1" applyNumberFormat="1" applyFont="1" applyFill="1" applyBorder="1" applyAlignment="1">
      <alignment horizontal="center" vertical="center"/>
    </xf>
    <xf numFmtId="0" fontId="43" fillId="0" borderId="1" xfId="1" applyFont="1" applyFill="1" applyBorder="1" applyAlignment="1">
      <alignment horizontal="center" vertical="center"/>
    </xf>
    <xf numFmtId="168" fontId="43" fillId="0" borderId="0" xfId="1" applyNumberFormat="1" applyFont="1" applyFill="1" applyBorder="1">
      <alignment vertical="center"/>
    </xf>
    <xf numFmtId="169" fontId="43" fillId="0" borderId="0" xfId="1" applyNumberFormat="1" applyFont="1" applyFill="1" applyBorder="1" applyAlignment="1" applyProtection="1">
      <alignment vertical="center"/>
      <protection locked="0"/>
    </xf>
    <xf numFmtId="169" fontId="43" fillId="0" borderId="57" xfId="1" applyNumberFormat="1" applyFont="1" applyFill="1" applyBorder="1" applyAlignment="1">
      <alignment horizontal="right" vertical="center"/>
    </xf>
    <xf numFmtId="168" fontId="43" fillId="0" borderId="45" xfId="1" applyNumberFormat="1" applyFont="1" applyFill="1" applyBorder="1" applyAlignment="1">
      <alignment horizontal="center" vertical="center"/>
    </xf>
    <xf numFmtId="169" fontId="43" fillId="0" borderId="45" xfId="1" applyNumberFormat="1" applyFont="1" applyFill="1" applyBorder="1" applyAlignment="1">
      <alignment horizontal="center" vertical="center"/>
    </xf>
    <xf numFmtId="168" fontId="43" fillId="0" borderId="47" xfId="1" applyNumberFormat="1" applyFont="1" applyFill="1" applyBorder="1" applyAlignment="1">
      <alignment horizontal="center" vertical="center"/>
    </xf>
    <xf numFmtId="0" fontId="43" fillId="0" borderId="1" xfId="1" applyFont="1" applyBorder="1">
      <alignment vertical="center"/>
    </xf>
    <xf numFmtId="169" fontId="43" fillId="2" borderId="1" xfId="1" applyNumberFormat="1" applyFont="1" applyFill="1" applyBorder="1">
      <alignment vertical="center"/>
    </xf>
    <xf numFmtId="10" fontId="43" fillId="4" borderId="1" xfId="1" applyNumberFormat="1" applyFont="1" applyFill="1" applyBorder="1">
      <alignment vertical="center"/>
    </xf>
    <xf numFmtId="0" fontId="43" fillId="0" borderId="3" xfId="1" applyFont="1" applyBorder="1">
      <alignment vertical="center"/>
    </xf>
    <xf numFmtId="166" fontId="43" fillId="0" borderId="0" xfId="1" applyNumberFormat="1" applyFont="1" applyFill="1" applyBorder="1">
      <alignment vertical="center"/>
    </xf>
    <xf numFmtId="164" fontId="43" fillId="0" borderId="0" xfId="1" applyNumberFormat="1" applyFont="1" applyFill="1" applyBorder="1">
      <alignment vertical="center"/>
    </xf>
    <xf numFmtId="0" fontId="43" fillId="0" borderId="2" xfId="1" applyFont="1" applyBorder="1">
      <alignment vertical="center"/>
    </xf>
    <xf numFmtId="0" fontId="43" fillId="0" borderId="6" xfId="1" applyFont="1" applyBorder="1">
      <alignment vertical="center"/>
    </xf>
    <xf numFmtId="175" fontId="43" fillId="2" borderId="1" xfId="1" applyNumberFormat="1" applyFont="1" applyFill="1" applyBorder="1">
      <alignment vertical="center"/>
    </xf>
    <xf numFmtId="169" fontId="43" fillId="3" borderId="59" xfId="1" applyNumberFormat="1" applyFont="1" applyFill="1" applyBorder="1" applyAlignment="1">
      <alignment vertical="center"/>
    </xf>
    <xf numFmtId="169" fontId="43" fillId="3" borderId="19" xfId="1" applyNumberFormat="1" applyFont="1" applyFill="1" applyBorder="1" applyAlignment="1">
      <alignment vertical="center"/>
    </xf>
    <xf numFmtId="168" fontId="43" fillId="3" borderId="59" xfId="1" applyNumberFormat="1" applyFont="1" applyFill="1" applyBorder="1" applyAlignment="1">
      <alignment vertical="center"/>
    </xf>
    <xf numFmtId="167" fontId="43" fillId="0" borderId="0" xfId="1" applyNumberFormat="1" applyFont="1" applyFill="1" applyBorder="1">
      <alignment vertical="center"/>
    </xf>
    <xf numFmtId="166" fontId="43" fillId="3" borderId="1" xfId="1" applyNumberFormat="1" applyFont="1" applyFill="1" applyBorder="1" applyAlignment="1" applyProtection="1">
      <alignment vertical="center"/>
      <protection locked="0"/>
    </xf>
    <xf numFmtId="0" fontId="43" fillId="4" borderId="1" xfId="1" applyFont="1" applyFill="1" applyBorder="1">
      <alignment vertical="center"/>
    </xf>
    <xf numFmtId="0" fontId="43" fillId="2" borderId="0" xfId="1" applyFont="1" applyFill="1" applyAlignment="1">
      <alignment horizontal="right" vertical="center"/>
    </xf>
    <xf numFmtId="168" fontId="43" fillId="0" borderId="1" xfId="1" applyNumberFormat="1" applyFont="1" applyBorder="1">
      <alignment vertical="center"/>
    </xf>
    <xf numFmtId="0" fontId="43" fillId="0" borderId="1" xfId="1" applyFont="1" applyFill="1" applyBorder="1" applyAlignment="1">
      <alignment vertical="center"/>
    </xf>
    <xf numFmtId="164" fontId="43" fillId="4" borderId="1" xfId="1" applyNumberFormat="1" applyFont="1" applyFill="1" applyBorder="1">
      <alignment vertical="center"/>
    </xf>
    <xf numFmtId="166" fontId="43" fillId="0" borderId="1" xfId="1" applyNumberFormat="1" applyFont="1" applyFill="1" applyBorder="1">
      <alignment vertical="center"/>
    </xf>
    <xf numFmtId="168" fontId="43" fillId="0" borderId="0" xfId="1" applyNumberFormat="1" applyFont="1" applyBorder="1">
      <alignment vertical="center"/>
    </xf>
    <xf numFmtId="167" fontId="43" fillId="0" borderId="1" xfId="1" applyNumberFormat="1" applyFont="1" applyFill="1" applyBorder="1">
      <alignment vertical="center"/>
    </xf>
    <xf numFmtId="169" fontId="43" fillId="0" borderId="0" xfId="1" applyNumberFormat="1" applyFont="1" applyFill="1" applyBorder="1" applyAlignment="1" applyProtection="1">
      <alignment horizontal="right" vertical="center"/>
      <protection locked="0"/>
    </xf>
    <xf numFmtId="170" fontId="43" fillId="0" borderId="0" xfId="1" applyNumberFormat="1" applyFont="1" applyFill="1" applyBorder="1" applyAlignment="1" applyProtection="1">
      <alignment horizontal="right" vertical="center"/>
      <protection locked="0"/>
    </xf>
    <xf numFmtId="170" fontId="43" fillId="3" borderId="1" xfId="1" applyNumberFormat="1" applyFont="1" applyFill="1" applyBorder="1" applyAlignment="1" applyProtection="1">
      <alignment horizontal="right" vertical="center"/>
      <protection locked="0"/>
    </xf>
    <xf numFmtId="165" fontId="43" fillId="0" borderId="0" xfId="1" applyNumberFormat="1" applyFont="1" applyFill="1" applyBorder="1">
      <alignment vertical="center"/>
    </xf>
    <xf numFmtId="0" fontId="43" fillId="0" borderId="0" xfId="1" applyFont="1" applyFill="1" applyBorder="1" applyAlignment="1" applyProtection="1">
      <alignment horizontal="right" vertical="center"/>
      <protection locked="0"/>
    </xf>
    <xf numFmtId="169" fontId="43" fillId="0" borderId="0" xfId="1" applyNumberFormat="1" applyFont="1" applyFill="1" applyBorder="1" applyAlignment="1" applyProtection="1">
      <alignment vertical="center" wrapText="1"/>
      <protection locked="0"/>
    </xf>
    <xf numFmtId="175" fontId="43" fillId="0" borderId="1" xfId="1" applyNumberFormat="1" applyFont="1" applyFill="1" applyBorder="1">
      <alignment vertical="center"/>
    </xf>
    <xf numFmtId="165" fontId="43" fillId="0" borderId="0" xfId="1" applyNumberFormat="1" applyFont="1" applyFill="1" applyBorder="1" applyAlignment="1">
      <alignment horizontal="right" vertical="center"/>
    </xf>
    <xf numFmtId="165" fontId="43" fillId="5" borderId="0" xfId="1" applyNumberFormat="1" applyFont="1" applyFill="1" applyBorder="1" applyAlignment="1">
      <alignment horizontal="right" vertical="center"/>
    </xf>
    <xf numFmtId="0" fontId="43" fillId="0" borderId="0" xfId="1" applyFont="1" applyFill="1" applyBorder="1" applyAlignment="1" applyProtection="1">
      <alignment vertical="center" wrapText="1"/>
      <protection locked="0"/>
    </xf>
    <xf numFmtId="165" fontId="43" fillId="0" borderId="1" xfId="1" applyNumberFormat="1" applyFont="1" applyBorder="1">
      <alignment vertical="center"/>
    </xf>
    <xf numFmtId="0" fontId="43" fillId="0" borderId="26" xfId="1" applyFont="1" applyFill="1" applyBorder="1" applyAlignment="1">
      <alignment horizontal="center" vertical="center"/>
    </xf>
    <xf numFmtId="0" fontId="43" fillId="0" borderId="27" xfId="1" applyFont="1" applyFill="1" applyBorder="1" applyAlignment="1">
      <alignment horizontal="center" vertical="center"/>
    </xf>
    <xf numFmtId="168" fontId="43" fillId="6" borderId="0" xfId="1" applyNumberFormat="1" applyFont="1" applyFill="1" applyBorder="1" applyAlignment="1" applyProtection="1">
      <alignment vertical="center"/>
      <protection locked="0"/>
    </xf>
    <xf numFmtId="0" fontId="43" fillId="0" borderId="49" xfId="1" applyFont="1" applyFill="1" applyBorder="1" applyAlignment="1">
      <alignment horizontal="center" vertical="center"/>
    </xf>
    <xf numFmtId="0" fontId="43" fillId="0" borderId="60" xfId="1" applyFont="1" applyFill="1" applyBorder="1" applyAlignment="1">
      <alignment horizontal="center" vertical="center"/>
    </xf>
    <xf numFmtId="0" fontId="43" fillId="2" borderId="38" xfId="1" applyFont="1" applyFill="1" applyBorder="1" applyAlignment="1">
      <alignment vertical="center"/>
    </xf>
    <xf numFmtId="0" fontId="43" fillId="3" borderId="40" xfId="1" applyFont="1" applyFill="1" applyBorder="1">
      <alignment vertical="center"/>
    </xf>
    <xf numFmtId="169" fontId="43" fillId="0" borderId="0" xfId="1" applyNumberFormat="1" applyFont="1" applyFill="1" applyBorder="1">
      <alignment vertical="center"/>
    </xf>
    <xf numFmtId="166" fontId="43" fillId="2" borderId="1" xfId="1" applyNumberFormat="1" applyFont="1" applyFill="1" applyBorder="1">
      <alignment vertical="center"/>
    </xf>
    <xf numFmtId="0" fontId="43" fillId="3" borderId="37" xfId="1" applyFont="1" applyFill="1" applyBorder="1">
      <alignment vertical="center"/>
    </xf>
    <xf numFmtId="0" fontId="43" fillId="3" borderId="1" xfId="1" applyFont="1" applyFill="1" applyBorder="1">
      <alignment vertical="center"/>
    </xf>
    <xf numFmtId="0" fontId="43" fillId="0" borderId="0" xfId="1" applyFont="1" applyAlignment="1">
      <alignment vertical="center" wrapText="1"/>
    </xf>
    <xf numFmtId="170" fontId="43" fillId="3" borderId="37" xfId="1" applyNumberFormat="1" applyFont="1" applyFill="1" applyBorder="1" applyAlignment="1" applyProtection="1">
      <alignment vertical="center"/>
      <protection locked="0"/>
    </xf>
    <xf numFmtId="0" fontId="43" fillId="3" borderId="0" xfId="1" applyFont="1" applyFill="1">
      <alignment vertical="center"/>
    </xf>
    <xf numFmtId="9" fontId="43" fillId="0" borderId="0" xfId="1" applyNumberFormat="1" applyFont="1" applyFill="1" applyBorder="1" applyAlignment="1">
      <alignment horizontal="right" vertical="center"/>
    </xf>
    <xf numFmtId="9" fontId="43" fillId="3" borderId="1" xfId="1" applyNumberFormat="1" applyFont="1" applyFill="1" applyBorder="1" applyAlignment="1">
      <alignment horizontal="right" vertical="center"/>
    </xf>
    <xf numFmtId="175" fontId="43" fillId="0" borderId="0" xfId="1" applyNumberFormat="1" applyFont="1" applyFill="1" applyBorder="1">
      <alignment vertical="center"/>
    </xf>
    <xf numFmtId="0" fontId="43" fillId="0" borderId="57" xfId="1" applyFont="1" applyFill="1" applyBorder="1" applyAlignment="1">
      <alignment vertical="center"/>
    </xf>
    <xf numFmtId="9" fontId="43" fillId="3" borderId="47" xfId="1" applyNumberFormat="1" applyFont="1" applyFill="1" applyBorder="1">
      <alignment vertical="center"/>
    </xf>
    <xf numFmtId="9" fontId="43" fillId="3" borderId="30" xfId="1" applyNumberFormat="1" applyFont="1" applyFill="1" applyBorder="1">
      <alignment vertical="center"/>
    </xf>
    <xf numFmtId="10" fontId="43" fillId="2" borderId="0" xfId="1" applyNumberFormat="1" applyFont="1" applyFill="1">
      <alignment vertical="center"/>
    </xf>
    <xf numFmtId="10" fontId="43" fillId="0" borderId="0" xfId="1" applyNumberFormat="1" applyFont="1">
      <alignment vertical="center"/>
    </xf>
    <xf numFmtId="175" fontId="43" fillId="0" borderId="1" xfId="1" applyNumberFormat="1" applyFont="1" applyBorder="1">
      <alignment vertical="center"/>
    </xf>
    <xf numFmtId="175" fontId="43" fillId="0" borderId="1" xfId="1" applyNumberFormat="1" applyFont="1" applyBorder="1" applyAlignment="1">
      <alignment horizontal="left" vertical="center"/>
    </xf>
    <xf numFmtId="169" fontId="43" fillId="4" borderId="1" xfId="1" applyNumberFormat="1" applyFont="1" applyFill="1" applyBorder="1">
      <alignment vertical="center"/>
    </xf>
    <xf numFmtId="166" fontId="43" fillId="0" borderId="0" xfId="1" applyNumberFormat="1" applyFont="1" applyFill="1" applyBorder="1" applyAlignment="1" applyProtection="1">
      <alignment vertical="center"/>
      <protection locked="0"/>
    </xf>
    <xf numFmtId="175" fontId="43" fillId="0" borderId="0" xfId="1" applyNumberFormat="1" applyFont="1" applyFill="1" applyBorder="1" applyAlignment="1" applyProtection="1">
      <alignment vertical="center"/>
      <protection locked="0"/>
    </xf>
    <xf numFmtId="167" fontId="43" fillId="0" borderId="0" xfId="1" applyNumberFormat="1" applyFont="1" applyFill="1" applyBorder="1" applyAlignment="1" applyProtection="1">
      <alignment vertical="center"/>
      <protection locked="0"/>
    </xf>
    <xf numFmtId="169" fontId="43" fillId="0" borderId="1" xfId="1" applyNumberFormat="1" applyFont="1" applyBorder="1">
      <alignment vertical="center"/>
    </xf>
    <xf numFmtId="169" fontId="43" fillId="0" borderId="1" xfId="1" applyNumberFormat="1" applyFont="1" applyFill="1" applyBorder="1">
      <alignment vertical="center"/>
    </xf>
    <xf numFmtId="166" fontId="43" fillId="3" borderId="7" xfId="1" applyNumberFormat="1" applyFont="1" applyFill="1" applyBorder="1" applyAlignment="1" applyProtection="1">
      <alignment vertical="center" wrapText="1"/>
      <protection locked="0"/>
    </xf>
    <xf numFmtId="0" fontId="43" fillId="0" borderId="0" xfId="1" applyFont="1" applyFill="1" applyBorder="1" applyAlignment="1" applyProtection="1">
      <alignment vertical="center"/>
      <protection locked="0"/>
    </xf>
    <xf numFmtId="173" fontId="43" fillId="0" borderId="1" xfId="1" applyNumberFormat="1" applyFont="1" applyFill="1" applyBorder="1">
      <alignment vertical="center"/>
    </xf>
    <xf numFmtId="164" fontId="43" fillId="0" borderId="0" xfId="1" applyNumberFormat="1" applyFont="1">
      <alignment vertical="center"/>
    </xf>
    <xf numFmtId="167" fontId="43" fillId="3" borderId="1" xfId="1" applyNumberFormat="1" applyFont="1" applyFill="1" applyBorder="1" applyAlignment="1" applyProtection="1">
      <alignment vertical="center"/>
      <protection locked="0"/>
    </xf>
    <xf numFmtId="169" fontId="43" fillId="9" borderId="1" xfId="1" applyNumberFormat="1" applyFont="1" applyFill="1" applyBorder="1">
      <alignment vertical="center"/>
    </xf>
    <xf numFmtId="169" fontId="43" fillId="5" borderId="1" xfId="1" applyNumberFormat="1" applyFont="1" applyFill="1" applyBorder="1">
      <alignment vertical="center"/>
    </xf>
    <xf numFmtId="169" fontId="43" fillId="5" borderId="1" xfId="1" applyNumberFormat="1" applyFont="1" applyFill="1" applyBorder="1" applyAlignment="1" applyProtection="1">
      <alignment vertical="center"/>
      <protection locked="0"/>
    </xf>
    <xf numFmtId="166" fontId="43" fillId="9" borderId="1" xfId="1" applyNumberFormat="1" applyFont="1" applyFill="1" applyBorder="1">
      <alignment vertical="center"/>
    </xf>
    <xf numFmtId="0" fontId="43" fillId="9" borderId="1" xfId="1" applyFont="1" applyFill="1" applyBorder="1">
      <alignment vertical="center"/>
    </xf>
    <xf numFmtId="175" fontId="43" fillId="5" borderId="1" xfId="1" applyNumberFormat="1" applyFont="1" applyFill="1" applyBorder="1">
      <alignment vertical="center"/>
    </xf>
    <xf numFmtId="166" fontId="43" fillId="3" borderId="1" xfId="1" applyNumberFormat="1" applyFont="1" applyFill="1" applyBorder="1">
      <alignment vertical="center"/>
    </xf>
    <xf numFmtId="166" fontId="43" fillId="0" borderId="0" xfId="1" applyNumberFormat="1" applyFont="1" applyBorder="1">
      <alignment vertical="center"/>
    </xf>
    <xf numFmtId="9" fontId="43" fillId="0" borderId="0" xfId="1" applyNumberFormat="1" applyFont="1" applyBorder="1">
      <alignment vertical="center"/>
    </xf>
    <xf numFmtId="0" fontId="43" fillId="0" borderId="1" xfId="1" applyFont="1" applyBorder="1" applyAlignment="1">
      <alignment vertical="center" wrapText="1"/>
    </xf>
    <xf numFmtId="165" fontId="43" fillId="3" borderId="1" xfId="1" applyNumberFormat="1" applyFont="1" applyFill="1" applyBorder="1">
      <alignment vertical="center"/>
    </xf>
    <xf numFmtId="165" fontId="43" fillId="0" borderId="0" xfId="1" applyNumberFormat="1" applyFont="1" applyFill="1" applyBorder="1" applyAlignment="1">
      <alignment vertical="center"/>
    </xf>
    <xf numFmtId="164" fontId="43" fillId="0" borderId="0" xfId="1" applyNumberFormat="1" applyFont="1" applyFill="1" applyBorder="1" applyAlignment="1">
      <alignment vertical="center" wrapText="1"/>
    </xf>
    <xf numFmtId="166" fontId="43" fillId="0" borderId="0" xfId="1" applyNumberFormat="1" applyFont="1" applyFill="1" applyBorder="1" applyAlignment="1">
      <alignment vertical="center" wrapText="1"/>
    </xf>
    <xf numFmtId="167" fontId="43" fillId="0" borderId="0" xfId="1" applyNumberFormat="1" applyFont="1" applyFill="1" applyBorder="1" applyAlignment="1">
      <alignment horizontal="center" vertical="center"/>
    </xf>
    <xf numFmtId="167" fontId="43" fillId="5" borderId="1" xfId="1" applyNumberFormat="1" applyFont="1" applyFill="1" applyBorder="1" applyAlignment="1">
      <alignment horizontal="center" vertical="center"/>
    </xf>
    <xf numFmtId="0" fontId="43" fillId="2" borderId="8" xfId="1" applyFont="1" applyFill="1" applyBorder="1">
      <alignment vertical="center"/>
    </xf>
    <xf numFmtId="166" fontId="43" fillId="0" borderId="0" xfId="1" applyNumberFormat="1" applyFont="1" applyFill="1" applyBorder="1" applyAlignment="1">
      <alignment vertical="center"/>
    </xf>
    <xf numFmtId="166" fontId="43" fillId="5" borderId="1" xfId="1" applyNumberFormat="1" applyFont="1" applyFill="1" applyBorder="1" applyAlignment="1">
      <alignment vertical="center"/>
    </xf>
    <xf numFmtId="167" fontId="43" fillId="0" borderId="0" xfId="1" applyNumberFormat="1" applyFont="1" applyFill="1" applyBorder="1" applyAlignment="1">
      <alignment vertical="center"/>
    </xf>
    <xf numFmtId="167" fontId="43" fillId="5" borderId="1" xfId="1" applyNumberFormat="1" applyFont="1" applyFill="1" applyBorder="1" applyAlignment="1">
      <alignment vertical="center"/>
    </xf>
    <xf numFmtId="9" fontId="43" fillId="0" borderId="0" xfId="1" applyNumberFormat="1" applyFont="1" applyFill="1" applyBorder="1" applyAlignment="1">
      <alignment horizontal="right" vertical="center" wrapText="1"/>
    </xf>
    <xf numFmtId="168" fontId="43" fillId="0" borderId="0" xfId="1" applyNumberFormat="1" applyFont="1" applyFill="1" applyBorder="1" applyAlignment="1">
      <alignment vertical="center" wrapText="1"/>
    </xf>
    <xf numFmtId="168" fontId="43" fillId="5" borderId="1" xfId="1" applyNumberFormat="1" applyFont="1" applyFill="1" applyBorder="1" applyAlignment="1">
      <alignment vertical="center" wrapText="1"/>
    </xf>
    <xf numFmtId="9" fontId="43" fillId="0" borderId="0" xfId="1" applyNumberFormat="1" applyFont="1" applyFill="1" applyBorder="1">
      <alignment vertical="center"/>
    </xf>
    <xf numFmtId="9" fontId="43" fillId="0" borderId="0" xfId="1" applyNumberFormat="1" applyFont="1" applyFill="1" applyBorder="1" applyAlignment="1">
      <alignment horizontal="center" vertical="center"/>
    </xf>
    <xf numFmtId="9" fontId="43" fillId="0" borderId="1" xfId="1" applyNumberFormat="1" applyFont="1" applyBorder="1">
      <alignment vertical="center"/>
    </xf>
    <xf numFmtId="9" fontId="43" fillId="2" borderId="1" xfId="1" applyNumberFormat="1" applyFont="1" applyFill="1" applyBorder="1">
      <alignment vertical="center"/>
    </xf>
    <xf numFmtId="10" fontId="43" fillId="2" borderId="1" xfId="1" applyNumberFormat="1" applyFont="1" applyFill="1" applyBorder="1">
      <alignment vertical="center"/>
    </xf>
    <xf numFmtId="169" fontId="43" fillId="7" borderId="1" xfId="1" applyNumberFormat="1" applyFont="1" applyFill="1" applyBorder="1">
      <alignment vertical="center"/>
    </xf>
    <xf numFmtId="168" fontId="43" fillId="3" borderId="37" xfId="1" applyNumberFormat="1" applyFont="1" applyFill="1" applyBorder="1">
      <alignment vertical="center"/>
    </xf>
    <xf numFmtId="0" fontId="43" fillId="0" borderId="1" xfId="1" applyNumberFormat="1" applyFont="1" applyBorder="1">
      <alignment vertical="center"/>
    </xf>
    <xf numFmtId="168" fontId="43" fillId="0" borderId="0" xfId="1" applyNumberFormat="1" applyFont="1">
      <alignment vertical="center"/>
    </xf>
    <xf numFmtId="9" fontId="43" fillId="2" borderId="0" xfId="1" applyNumberFormat="1" applyFont="1" applyFill="1" applyBorder="1">
      <alignment vertical="center"/>
    </xf>
    <xf numFmtId="9" fontId="43" fillId="2" borderId="0" xfId="1" applyNumberFormat="1" applyFont="1" applyFill="1" applyBorder="1" applyAlignment="1">
      <alignment horizontal="center" vertical="center"/>
    </xf>
    <xf numFmtId="171" fontId="43" fillId="0" borderId="1" xfId="1" applyNumberFormat="1" applyFont="1" applyFill="1" applyBorder="1">
      <alignment vertical="center"/>
    </xf>
    <xf numFmtId="166" fontId="43" fillId="0" borderId="0" xfId="1" applyNumberFormat="1" applyFont="1">
      <alignment vertical="center"/>
    </xf>
    <xf numFmtId="171" fontId="43" fillId="8" borderId="1" xfId="1" applyNumberFormat="1" applyFont="1" applyFill="1" applyBorder="1">
      <alignment vertical="center"/>
    </xf>
    <xf numFmtId="171" fontId="43" fillId="5" borderId="1" xfId="1" applyNumberFormat="1" applyFont="1" applyFill="1" applyBorder="1">
      <alignment vertical="center"/>
    </xf>
    <xf numFmtId="167" fontId="43" fillId="5" borderId="1" xfId="1" applyNumberFormat="1" applyFont="1" applyFill="1" applyBorder="1">
      <alignment vertical="center"/>
    </xf>
    <xf numFmtId="169" fontId="43" fillId="0" borderId="1" xfId="1" applyNumberFormat="1" applyFont="1" applyFill="1" applyBorder="1" applyAlignment="1">
      <alignment horizontal="center" vertical="center"/>
    </xf>
    <xf numFmtId="169" fontId="43" fillId="0" borderId="1" xfId="1" applyNumberFormat="1" applyFont="1" applyBorder="1" applyAlignment="1">
      <alignment horizontal="center" vertical="center"/>
    </xf>
    <xf numFmtId="0" fontId="43" fillId="0" borderId="12" xfId="1" applyFont="1" applyBorder="1">
      <alignment vertical="center"/>
    </xf>
    <xf numFmtId="0" fontId="43" fillId="0" borderId="28" xfId="1" applyFont="1" applyBorder="1">
      <alignment vertical="center"/>
    </xf>
    <xf numFmtId="0" fontId="43" fillId="0" borderId="8" xfId="1" applyFont="1" applyFill="1" applyBorder="1" applyAlignment="1">
      <alignment horizontal="left" vertical="center"/>
    </xf>
    <xf numFmtId="0" fontId="43" fillId="0" borderId="7" xfId="1" applyFont="1" applyFill="1" applyBorder="1" applyAlignment="1">
      <alignment horizontal="left" vertical="center"/>
    </xf>
    <xf numFmtId="0" fontId="43" fillId="0" borderId="61" xfId="1" applyFont="1" applyFill="1" applyBorder="1" applyAlignment="1">
      <alignment horizontal="left" vertical="center"/>
    </xf>
    <xf numFmtId="0" fontId="43" fillId="0" borderId="48" xfId="1" applyFont="1" applyFill="1" applyBorder="1" applyAlignment="1">
      <alignment horizontal="left" vertical="center"/>
    </xf>
    <xf numFmtId="170" fontId="43" fillId="0" borderId="1" xfId="1" applyNumberFormat="1" applyFont="1" applyFill="1" applyBorder="1" applyAlignment="1">
      <alignment horizontal="center" vertical="center"/>
    </xf>
    <xf numFmtId="0" fontId="43" fillId="2" borderId="7" xfId="1" applyFont="1" applyFill="1" applyBorder="1">
      <alignment vertical="center"/>
    </xf>
    <xf numFmtId="0" fontId="43" fillId="0" borderId="61" xfId="1" applyFont="1" applyFill="1" applyBorder="1">
      <alignment vertical="center"/>
    </xf>
    <xf numFmtId="0" fontId="43" fillId="0" borderId="48" xfId="1" applyFont="1" applyFill="1" applyBorder="1">
      <alignment vertical="center"/>
    </xf>
    <xf numFmtId="0" fontId="43" fillId="0" borderId="1" xfId="1" applyNumberFormat="1" applyFont="1" applyFill="1" applyBorder="1">
      <alignment vertical="center"/>
    </xf>
    <xf numFmtId="169" fontId="43" fillId="0" borderId="0" xfId="1" applyNumberFormat="1" applyFont="1" applyFill="1" applyBorder="1" applyAlignment="1">
      <alignment horizontal="center" vertical="center"/>
    </xf>
    <xf numFmtId="0" fontId="43" fillId="5" borderId="0" xfId="1" applyFont="1" applyFill="1" applyBorder="1">
      <alignment vertical="center"/>
    </xf>
    <xf numFmtId="165" fontId="43" fillId="6" borderId="1" xfId="1" applyNumberFormat="1" applyFont="1" applyFill="1" applyBorder="1">
      <alignment vertical="center"/>
    </xf>
    <xf numFmtId="0" fontId="43" fillId="4" borderId="0" xfId="1" applyFont="1" applyFill="1" applyBorder="1">
      <alignment vertical="center"/>
    </xf>
    <xf numFmtId="165" fontId="43" fillId="0" borderId="1" xfId="1" applyNumberFormat="1" applyFont="1" applyFill="1" applyBorder="1">
      <alignment vertical="center"/>
    </xf>
    <xf numFmtId="0" fontId="43" fillId="0" borderId="50" xfId="1" applyFont="1" applyBorder="1">
      <alignment vertical="center"/>
    </xf>
    <xf numFmtId="0" fontId="43" fillId="0" borderId="61" xfId="1" applyFont="1" applyBorder="1">
      <alignment vertical="center"/>
    </xf>
    <xf numFmtId="0" fontId="43" fillId="0" borderId="48" xfId="1" applyFont="1" applyBorder="1">
      <alignment vertical="center"/>
    </xf>
    <xf numFmtId="170" fontId="43" fillId="6" borderId="0" xfId="1" applyNumberFormat="1" applyFont="1" applyFill="1" applyBorder="1">
      <alignment vertical="center"/>
    </xf>
    <xf numFmtId="0" fontId="43" fillId="0" borderId="7" xfId="1" applyFont="1" applyFill="1" applyBorder="1" applyAlignment="1">
      <alignment vertical="center"/>
    </xf>
    <xf numFmtId="10" fontId="43" fillId="2" borderId="7" xfId="1" applyNumberFormat="1" applyFont="1" applyFill="1" applyBorder="1">
      <alignment vertical="center"/>
    </xf>
    <xf numFmtId="10" fontId="43" fillId="4" borderId="7" xfId="1" applyNumberFormat="1" applyFont="1" applyFill="1" applyBorder="1">
      <alignment vertical="center"/>
    </xf>
    <xf numFmtId="0" fontId="43" fillId="2" borderId="1" xfId="1" applyNumberFormat="1" applyFont="1" applyFill="1" applyBorder="1">
      <alignment vertical="center"/>
    </xf>
    <xf numFmtId="0" fontId="43" fillId="6" borderId="38" xfId="1" applyFont="1" applyFill="1" applyBorder="1" applyAlignment="1">
      <alignment horizontal="center" vertical="center"/>
    </xf>
    <xf numFmtId="0" fontId="43" fillId="6" borderId="10" xfId="1" applyFont="1" applyFill="1" applyBorder="1" applyAlignment="1">
      <alignment horizontal="center" vertical="center"/>
    </xf>
    <xf numFmtId="0" fontId="43" fillId="6" borderId="40" xfId="1" applyFont="1" applyFill="1" applyBorder="1" applyAlignment="1">
      <alignment horizontal="center" vertical="center"/>
    </xf>
    <xf numFmtId="168" fontId="43" fillId="6" borderId="43" xfId="1" applyNumberFormat="1" applyFont="1" applyFill="1" applyBorder="1">
      <alignment vertical="center"/>
    </xf>
    <xf numFmtId="168" fontId="43" fillId="6" borderId="29" xfId="1" applyNumberFormat="1" applyFont="1" applyFill="1" applyBorder="1">
      <alignment vertical="center"/>
    </xf>
    <xf numFmtId="168" fontId="43" fillId="6" borderId="30" xfId="1" applyNumberFormat="1" applyFont="1" applyFill="1" applyBorder="1">
      <alignment vertical="center"/>
    </xf>
    <xf numFmtId="168" fontId="43" fillId="6" borderId="62" xfId="1" applyNumberFormat="1" applyFont="1" applyFill="1" applyBorder="1">
      <alignment vertical="center"/>
    </xf>
    <xf numFmtId="168" fontId="43" fillId="6" borderId="58" xfId="1" applyNumberFormat="1" applyFont="1" applyFill="1" applyBorder="1">
      <alignment vertical="center"/>
    </xf>
    <xf numFmtId="168" fontId="43" fillId="6" borderId="63" xfId="1" applyNumberFormat="1" applyFont="1" applyFill="1" applyBorder="1">
      <alignment vertical="center"/>
    </xf>
    <xf numFmtId="170" fontId="43" fillId="2" borderId="48" xfId="1" applyNumberFormat="1" applyFont="1" applyFill="1" applyBorder="1">
      <alignment vertical="center"/>
    </xf>
    <xf numFmtId="170" fontId="43" fillId="2" borderId="10" xfId="1" applyNumberFormat="1" applyFont="1" applyFill="1" applyBorder="1">
      <alignment vertical="center"/>
    </xf>
    <xf numFmtId="170" fontId="43" fillId="2" borderId="40" xfId="1" applyNumberFormat="1" applyFont="1" applyFill="1" applyBorder="1">
      <alignment vertical="center"/>
    </xf>
    <xf numFmtId="170" fontId="43" fillId="2" borderId="38" xfId="1" applyNumberFormat="1" applyFont="1" applyFill="1" applyBorder="1">
      <alignment vertical="center"/>
    </xf>
    <xf numFmtId="10" fontId="43" fillId="2" borderId="43" xfId="1" applyNumberFormat="1" applyFont="1" applyFill="1" applyBorder="1">
      <alignment vertical="center"/>
    </xf>
    <xf numFmtId="10" fontId="43" fillId="2" borderId="29" xfId="1" applyNumberFormat="1" applyFont="1" applyFill="1" applyBorder="1">
      <alignment vertical="center"/>
    </xf>
    <xf numFmtId="10" fontId="43" fillId="2" borderId="30" xfId="1" applyNumberFormat="1" applyFont="1" applyFill="1" applyBorder="1">
      <alignment vertical="center"/>
    </xf>
    <xf numFmtId="169" fontId="43" fillId="2" borderId="11" xfId="1" applyNumberFormat="1" applyFont="1" applyFill="1" applyBorder="1">
      <alignment vertical="center"/>
    </xf>
    <xf numFmtId="169" fontId="43" fillId="2" borderId="8" xfId="1" applyNumberFormat="1" applyFont="1" applyFill="1" applyBorder="1">
      <alignment vertical="center"/>
    </xf>
    <xf numFmtId="169" fontId="43" fillId="2" borderId="8" xfId="1" applyNumberFormat="1" applyFont="1" applyFill="1" applyBorder="1" applyAlignment="1">
      <alignment horizontal="right" vertical="center"/>
    </xf>
    <xf numFmtId="169" fontId="43" fillId="2" borderId="31" xfId="1" applyNumberFormat="1" applyFont="1" applyFill="1" applyBorder="1">
      <alignment vertical="center"/>
    </xf>
    <xf numFmtId="169" fontId="43" fillId="2" borderId="9" xfId="1" applyNumberFormat="1" applyFont="1" applyFill="1" applyBorder="1" applyAlignment="1">
      <alignment horizontal="right" vertical="center"/>
    </xf>
    <xf numFmtId="10" fontId="43" fillId="2" borderId="44" xfId="1" applyNumberFormat="1" applyFont="1" applyFill="1" applyBorder="1">
      <alignment vertical="center"/>
    </xf>
    <xf numFmtId="10" fontId="43" fillId="2" borderId="37" xfId="1" applyNumberFormat="1" applyFont="1" applyFill="1" applyBorder="1">
      <alignment vertical="center"/>
    </xf>
    <xf numFmtId="10" fontId="43" fillId="2" borderId="1" xfId="1" applyNumberFormat="1" applyFont="1" applyFill="1" applyBorder="1" applyAlignment="1">
      <alignment horizontal="right" vertical="center"/>
    </xf>
    <xf numFmtId="169" fontId="43" fillId="2" borderId="64" xfId="1" applyNumberFormat="1" applyFont="1" applyFill="1" applyBorder="1">
      <alignment vertical="center"/>
    </xf>
    <xf numFmtId="169" fontId="43" fillId="2" borderId="65" xfId="1" applyNumberFormat="1" applyFont="1" applyFill="1" applyBorder="1">
      <alignment vertical="center"/>
    </xf>
    <xf numFmtId="169" fontId="43" fillId="2" borderId="65" xfId="1" applyNumberFormat="1" applyFont="1" applyFill="1" applyBorder="1" applyAlignment="1">
      <alignment horizontal="right" vertical="center"/>
    </xf>
    <xf numFmtId="169" fontId="43" fillId="2" borderId="46" xfId="1" applyNumberFormat="1" applyFont="1" applyFill="1" applyBorder="1">
      <alignment vertical="center"/>
    </xf>
    <xf numFmtId="169" fontId="43" fillId="2" borderId="66" xfId="1" applyNumberFormat="1" applyFont="1" applyFill="1" applyBorder="1" applyAlignment="1">
      <alignment horizontal="right" vertical="center"/>
    </xf>
    <xf numFmtId="169" fontId="43" fillId="5" borderId="15" xfId="1" applyNumberFormat="1" applyFont="1" applyFill="1" applyBorder="1" applyAlignment="1" applyProtection="1">
      <alignment vertical="center"/>
      <protection locked="0"/>
    </xf>
    <xf numFmtId="169" fontId="43" fillId="5" borderId="10" xfId="1" applyNumberFormat="1" applyFont="1" applyFill="1" applyBorder="1" applyAlignment="1" applyProtection="1">
      <alignment vertical="center"/>
      <protection locked="0"/>
    </xf>
    <xf numFmtId="169" fontId="43" fillId="5" borderId="40" xfId="1" applyNumberFormat="1" applyFont="1" applyFill="1" applyBorder="1" applyAlignment="1" applyProtection="1">
      <alignment vertical="center"/>
      <protection locked="0"/>
    </xf>
    <xf numFmtId="169" fontId="43" fillId="2" borderId="37" xfId="1" applyNumberFormat="1" applyFont="1" applyFill="1" applyBorder="1">
      <alignment vertical="center"/>
    </xf>
    <xf numFmtId="0" fontId="43" fillId="0" borderId="37" xfId="1" applyFont="1" applyFill="1" applyBorder="1">
      <alignment vertical="center"/>
    </xf>
    <xf numFmtId="169" fontId="43" fillId="6" borderId="1" xfId="1" applyNumberFormat="1" applyFont="1" applyFill="1" applyBorder="1">
      <alignment vertical="center"/>
    </xf>
    <xf numFmtId="0" fontId="43" fillId="0" borderId="37" xfId="1" applyFont="1" applyBorder="1">
      <alignment vertical="center"/>
    </xf>
    <xf numFmtId="166" fontId="43" fillId="5" borderId="37" xfId="1" applyNumberFormat="1" applyFont="1" applyFill="1" applyBorder="1">
      <alignment vertical="center"/>
    </xf>
    <xf numFmtId="166" fontId="43" fillId="2" borderId="37" xfId="1" applyNumberFormat="1" applyFont="1" applyFill="1" applyBorder="1">
      <alignment vertical="center"/>
    </xf>
    <xf numFmtId="168" fontId="43" fillId="5" borderId="1" xfId="1" applyNumberFormat="1" applyFont="1" applyFill="1" applyBorder="1">
      <alignment vertical="center"/>
    </xf>
    <xf numFmtId="0" fontId="43" fillId="6" borderId="20" xfId="1" applyFont="1" applyFill="1" applyBorder="1">
      <alignment vertical="center"/>
    </xf>
    <xf numFmtId="166" fontId="43" fillId="6" borderId="0" xfId="1" applyNumberFormat="1" applyFont="1" applyFill="1" applyBorder="1">
      <alignment vertical="center"/>
    </xf>
    <xf numFmtId="0" fontId="43" fillId="2" borderId="37" xfId="1" applyFont="1" applyFill="1" applyBorder="1" applyAlignment="1" applyProtection="1">
      <alignment vertical="center"/>
      <protection locked="0"/>
    </xf>
    <xf numFmtId="165" fontId="43" fillId="2" borderId="1" xfId="1" applyNumberFormat="1" applyFont="1" applyFill="1" applyBorder="1">
      <alignment vertical="center"/>
    </xf>
    <xf numFmtId="167" fontId="43" fillId="5" borderId="8" xfId="1" applyNumberFormat="1" applyFont="1" applyFill="1" applyBorder="1">
      <alignment vertical="center"/>
    </xf>
    <xf numFmtId="165" fontId="43" fillId="5" borderId="8" xfId="1" applyNumberFormat="1" applyFont="1" applyFill="1" applyBorder="1">
      <alignment vertical="center"/>
    </xf>
    <xf numFmtId="0" fontId="43" fillId="6" borderId="8" xfId="1" applyFont="1" applyFill="1" applyBorder="1">
      <alignment vertical="center"/>
    </xf>
    <xf numFmtId="167" fontId="43" fillId="5" borderId="45" xfId="1" applyNumberFormat="1" applyFont="1" applyFill="1" applyBorder="1">
      <alignment vertical="center"/>
    </xf>
    <xf numFmtId="167" fontId="43" fillId="5" borderId="47" xfId="1" applyNumberFormat="1" applyFont="1" applyFill="1" applyBorder="1">
      <alignment vertical="center"/>
    </xf>
    <xf numFmtId="169" fontId="43" fillId="2" borderId="15" xfId="1" applyNumberFormat="1" applyFont="1" applyFill="1" applyBorder="1">
      <alignment vertical="center"/>
    </xf>
    <xf numFmtId="169" fontId="43" fillId="2" borderId="36" xfId="1" applyNumberFormat="1" applyFont="1" applyFill="1" applyBorder="1">
      <alignment vertical="center"/>
    </xf>
    <xf numFmtId="169" fontId="43" fillId="2" borderId="29" xfId="1" applyNumberFormat="1" applyFont="1" applyFill="1" applyBorder="1">
      <alignment vertical="center"/>
    </xf>
    <xf numFmtId="169" fontId="43" fillId="2" borderId="30" xfId="1" applyNumberFormat="1" applyFont="1" applyFill="1" applyBorder="1">
      <alignment vertical="center"/>
    </xf>
    <xf numFmtId="166" fontId="43" fillId="5" borderId="29" xfId="1" applyNumberFormat="1" applyFont="1" applyFill="1" applyBorder="1">
      <alignment vertical="center"/>
    </xf>
    <xf numFmtId="166" fontId="43" fillId="5" borderId="30" xfId="1" applyNumberFormat="1" applyFont="1" applyFill="1" applyBorder="1">
      <alignment vertical="center"/>
    </xf>
    <xf numFmtId="0" fontId="43" fillId="6" borderId="12" xfId="1" applyFont="1" applyFill="1" applyBorder="1">
      <alignment vertical="center"/>
    </xf>
    <xf numFmtId="167" fontId="43" fillId="5" borderId="29" xfId="1" applyNumberFormat="1" applyFont="1" applyFill="1" applyBorder="1">
      <alignment vertical="center"/>
    </xf>
    <xf numFmtId="166" fontId="43" fillId="2" borderId="29" xfId="1" applyNumberFormat="1" applyFont="1" applyFill="1" applyBorder="1">
      <alignment vertical="center"/>
    </xf>
    <xf numFmtId="166" fontId="43" fillId="2" borderId="41" xfId="1" applyNumberFormat="1" applyFont="1" applyFill="1" applyBorder="1">
      <alignment vertical="center"/>
    </xf>
    <xf numFmtId="168" fontId="43" fillId="3" borderId="1" xfId="1" applyNumberFormat="1" applyFont="1" applyFill="1" applyBorder="1">
      <alignment vertical="center"/>
    </xf>
    <xf numFmtId="170" fontId="43" fillId="12" borderId="7" xfId="1" applyNumberFormat="1" applyFont="1" applyFill="1" applyBorder="1">
      <alignment vertical="center"/>
    </xf>
    <xf numFmtId="170" fontId="43" fillId="6" borderId="20" xfId="1" applyNumberFormat="1" applyFont="1" applyFill="1" applyBorder="1">
      <alignment vertical="center"/>
    </xf>
    <xf numFmtId="0" fontId="43" fillId="6" borderId="16" xfId="1" applyFont="1" applyFill="1" applyBorder="1">
      <alignment vertical="center"/>
    </xf>
    <xf numFmtId="0" fontId="43" fillId="6" borderId="24" xfId="1" applyFont="1" applyFill="1" applyBorder="1">
      <alignment vertical="center"/>
    </xf>
    <xf numFmtId="169" fontId="43" fillId="6" borderId="16" xfId="1" applyNumberFormat="1" applyFont="1" applyFill="1" applyBorder="1">
      <alignment vertical="center"/>
    </xf>
    <xf numFmtId="169" fontId="43" fillId="6" borderId="24" xfId="1" applyNumberFormat="1" applyFont="1" applyFill="1" applyBorder="1">
      <alignment vertical="center"/>
    </xf>
    <xf numFmtId="169" fontId="43" fillId="6" borderId="0" xfId="1" applyNumberFormat="1" applyFont="1" applyFill="1" applyBorder="1">
      <alignment vertical="center"/>
    </xf>
    <xf numFmtId="169" fontId="43" fillId="6" borderId="20" xfId="1" applyNumberFormat="1" applyFont="1" applyFill="1" applyBorder="1">
      <alignment vertical="center"/>
    </xf>
    <xf numFmtId="169" fontId="43" fillId="6" borderId="18" xfId="1" applyNumberFormat="1" applyFont="1" applyFill="1" applyBorder="1">
      <alignment vertical="center"/>
    </xf>
    <xf numFmtId="0" fontId="43" fillId="6" borderId="17" xfId="1" applyFont="1" applyFill="1" applyBorder="1">
      <alignment vertical="center"/>
    </xf>
    <xf numFmtId="0" fontId="43" fillId="6" borderId="55" xfId="1" applyFont="1" applyFill="1" applyBorder="1">
      <alignment vertical="center"/>
    </xf>
    <xf numFmtId="0" fontId="43" fillId="8" borderId="0" xfId="1" applyFont="1" applyFill="1" applyBorder="1">
      <alignment vertical="center"/>
    </xf>
    <xf numFmtId="0" fontId="43" fillId="8" borderId="20" xfId="1" applyFont="1" applyFill="1" applyBorder="1">
      <alignment vertical="center"/>
    </xf>
    <xf numFmtId="165" fontId="43" fillId="8" borderId="12" xfId="1" applyNumberFormat="1" applyFont="1" applyFill="1" applyBorder="1">
      <alignment vertical="center"/>
    </xf>
    <xf numFmtId="167" fontId="43" fillId="8" borderId="0" xfId="1" applyNumberFormat="1" applyFont="1" applyFill="1" applyBorder="1">
      <alignment vertical="center"/>
    </xf>
    <xf numFmtId="0" fontId="43" fillId="13" borderId="0" xfId="1" applyFont="1" applyFill="1" applyBorder="1">
      <alignment vertical="center"/>
    </xf>
    <xf numFmtId="168" fontId="43" fillId="13" borderId="18" xfId="1" applyNumberFormat="1" applyFont="1" applyFill="1" applyBorder="1">
      <alignment vertical="center"/>
    </xf>
    <xf numFmtId="168" fontId="43" fillId="13" borderId="19" xfId="1" applyNumberFormat="1" applyFont="1" applyFill="1" applyBorder="1">
      <alignment vertical="center"/>
    </xf>
    <xf numFmtId="168" fontId="43" fillId="13" borderId="20" xfId="1" applyNumberFormat="1" applyFont="1" applyFill="1" applyBorder="1">
      <alignment vertical="center"/>
    </xf>
    <xf numFmtId="168" fontId="43" fillId="6" borderId="54" xfId="1" applyNumberFormat="1" applyFont="1" applyFill="1" applyBorder="1">
      <alignment vertical="center"/>
    </xf>
    <xf numFmtId="168" fontId="43" fillId="6" borderId="67" xfId="1" applyNumberFormat="1" applyFont="1" applyFill="1" applyBorder="1">
      <alignment vertical="center"/>
    </xf>
    <xf numFmtId="168" fontId="43" fillId="6" borderId="55" xfId="1" applyNumberFormat="1" applyFont="1" applyFill="1" applyBorder="1">
      <alignment vertical="center"/>
    </xf>
    <xf numFmtId="169" fontId="43" fillId="6" borderId="68" xfId="1" applyNumberFormat="1" applyFont="1" applyFill="1" applyBorder="1">
      <alignment vertical="center"/>
    </xf>
    <xf numFmtId="169" fontId="43" fillId="6" borderId="67" xfId="1" applyNumberFormat="1" applyFont="1" applyFill="1" applyBorder="1">
      <alignment vertical="center"/>
    </xf>
    <xf numFmtId="169" fontId="43" fillId="6" borderId="69" xfId="1" applyNumberFormat="1" applyFont="1" applyFill="1" applyBorder="1">
      <alignment vertical="center"/>
    </xf>
    <xf numFmtId="0" fontId="43" fillId="6" borderId="16" xfId="1" applyFont="1" applyFill="1" applyBorder="1" applyAlignment="1">
      <alignment vertical="center"/>
    </xf>
    <xf numFmtId="0" fontId="43" fillId="6" borderId="0" xfId="1" applyFont="1" applyFill="1" applyBorder="1" applyAlignment="1">
      <alignment vertical="center"/>
    </xf>
    <xf numFmtId="168" fontId="43" fillId="6" borderId="18" xfId="1" applyNumberFormat="1" applyFont="1" applyFill="1" applyBorder="1">
      <alignment vertical="center"/>
    </xf>
    <xf numFmtId="168" fontId="43" fillId="6" borderId="19" xfId="1" applyNumberFormat="1" applyFont="1" applyFill="1" applyBorder="1">
      <alignment vertical="center"/>
    </xf>
    <xf numFmtId="168" fontId="43" fillId="6" borderId="20" xfId="1" applyNumberFormat="1" applyFont="1" applyFill="1" applyBorder="1">
      <alignment vertical="center"/>
    </xf>
    <xf numFmtId="168" fontId="43" fillId="6" borderId="42" xfId="1" applyNumberFormat="1" applyFont="1" applyFill="1" applyBorder="1">
      <alignment vertical="center"/>
    </xf>
    <xf numFmtId="168" fontId="43" fillId="6" borderId="60" xfId="1" applyNumberFormat="1" applyFont="1" applyFill="1" applyBorder="1">
      <alignment vertical="center"/>
    </xf>
    <xf numFmtId="169" fontId="43" fillId="6" borderId="19" xfId="1" applyNumberFormat="1" applyFont="1" applyFill="1" applyBorder="1">
      <alignment vertical="center"/>
    </xf>
    <xf numFmtId="173" fontId="43" fillId="6" borderId="18" xfId="1" applyNumberFormat="1" applyFont="1" applyFill="1" applyBorder="1">
      <alignment vertical="center"/>
    </xf>
    <xf numFmtId="173" fontId="43" fillId="6" borderId="0" xfId="1" applyNumberFormat="1" applyFont="1" applyFill="1" applyBorder="1">
      <alignment vertical="center"/>
    </xf>
    <xf numFmtId="173" fontId="43" fillId="6" borderId="20" xfId="1" applyNumberFormat="1" applyFont="1" applyFill="1" applyBorder="1">
      <alignment vertical="center"/>
    </xf>
    <xf numFmtId="164" fontId="43" fillId="0" borderId="0" xfId="1" applyNumberFormat="1" applyFont="1" applyFill="1" applyBorder="1" applyAlignment="1">
      <alignment horizontal="center" vertical="center"/>
    </xf>
    <xf numFmtId="173" fontId="43" fillId="6" borderId="54" xfId="1" applyNumberFormat="1" applyFont="1" applyFill="1" applyBorder="1">
      <alignment vertical="center"/>
    </xf>
    <xf numFmtId="173" fontId="43" fillId="6" borderId="17" xfId="1" applyNumberFormat="1" applyFont="1" applyFill="1" applyBorder="1">
      <alignment vertical="center"/>
    </xf>
    <xf numFmtId="173" fontId="43" fillId="6" borderId="55" xfId="1" applyNumberFormat="1" applyFont="1" applyFill="1" applyBorder="1">
      <alignment vertical="center"/>
    </xf>
    <xf numFmtId="170" fontId="43" fillId="6" borderId="18" xfId="1" applyNumberFormat="1" applyFont="1" applyFill="1" applyBorder="1">
      <alignment vertical="center"/>
    </xf>
    <xf numFmtId="0" fontId="43" fillId="12" borderId="70" xfId="1" applyFont="1" applyFill="1" applyBorder="1">
      <alignment vertical="center"/>
    </xf>
    <xf numFmtId="0" fontId="43" fillId="12" borderId="35" xfId="1" applyFont="1" applyFill="1" applyBorder="1">
      <alignment vertical="center"/>
    </xf>
    <xf numFmtId="169" fontId="43" fillId="12" borderId="15" xfId="1" applyNumberFormat="1" applyFont="1" applyFill="1" applyBorder="1">
      <alignment vertical="center"/>
    </xf>
    <xf numFmtId="0" fontId="43" fillId="12" borderId="12" xfId="1" applyFont="1" applyFill="1" applyBorder="1">
      <alignment vertical="center"/>
    </xf>
    <xf numFmtId="0" fontId="43" fillId="12" borderId="28" xfId="1" applyFont="1" applyFill="1" applyBorder="1">
      <alignment vertical="center"/>
    </xf>
    <xf numFmtId="168" fontId="43" fillId="12" borderId="1" xfId="1" applyNumberFormat="1" applyFont="1" applyFill="1" applyBorder="1">
      <alignment vertical="center"/>
    </xf>
    <xf numFmtId="170" fontId="43" fillId="12" borderId="1" xfId="1" applyNumberFormat="1" applyFont="1" applyFill="1" applyBorder="1">
      <alignment vertical="center"/>
    </xf>
    <xf numFmtId="170" fontId="43" fillId="12" borderId="37" xfId="1" applyNumberFormat="1" applyFont="1" applyFill="1" applyBorder="1">
      <alignment vertical="center"/>
    </xf>
    <xf numFmtId="0" fontId="43" fillId="12" borderId="8" xfId="1" applyFont="1" applyFill="1" applyBorder="1">
      <alignment vertical="center"/>
    </xf>
    <xf numFmtId="0" fontId="43" fillId="12" borderId="7" xfId="1" applyFont="1" applyFill="1" applyBorder="1">
      <alignment vertical="center"/>
    </xf>
    <xf numFmtId="0" fontId="43" fillId="12" borderId="17" xfId="1" applyFont="1" applyFill="1" applyBorder="1">
      <alignment vertical="center"/>
    </xf>
    <xf numFmtId="0" fontId="43" fillId="12" borderId="71" xfId="1" applyFont="1" applyFill="1" applyBorder="1">
      <alignment vertical="center"/>
    </xf>
    <xf numFmtId="170" fontId="43" fillId="12" borderId="56" xfId="1" applyNumberFormat="1" applyFont="1" applyFill="1" applyBorder="1">
      <alignment vertical="center"/>
    </xf>
    <xf numFmtId="170" fontId="43" fillId="12" borderId="45" xfId="1" applyNumberFormat="1" applyFont="1" applyFill="1" applyBorder="1">
      <alignment vertical="center"/>
    </xf>
    <xf numFmtId="170" fontId="43" fillId="12" borderId="47" xfId="1" applyNumberFormat="1" applyFont="1" applyFill="1" applyBorder="1">
      <alignment vertical="center"/>
    </xf>
    <xf numFmtId="169" fontId="43" fillId="12" borderId="70" xfId="1" applyNumberFormat="1" applyFont="1" applyFill="1" applyBorder="1">
      <alignment vertical="center"/>
    </xf>
    <xf numFmtId="169" fontId="43" fillId="12" borderId="36" xfId="1" applyNumberFormat="1" applyFont="1" applyFill="1" applyBorder="1">
      <alignment vertical="center"/>
    </xf>
    <xf numFmtId="0" fontId="43" fillId="12" borderId="16" xfId="1" applyFont="1" applyFill="1" applyBorder="1">
      <alignment vertical="center"/>
    </xf>
    <xf numFmtId="0" fontId="43" fillId="12" borderId="72" xfId="1" applyFont="1" applyFill="1" applyBorder="1">
      <alignment vertical="center"/>
    </xf>
    <xf numFmtId="169" fontId="43" fillId="12" borderId="35" xfId="1" applyNumberFormat="1" applyFont="1" applyFill="1" applyBorder="1">
      <alignment vertical="center"/>
    </xf>
    <xf numFmtId="169" fontId="43" fillId="12" borderId="7" xfId="1" applyNumberFormat="1" applyFont="1" applyFill="1" applyBorder="1">
      <alignment vertical="center"/>
    </xf>
    <xf numFmtId="169" fontId="43" fillId="12" borderId="1" xfId="1" applyNumberFormat="1" applyFont="1" applyFill="1" applyBorder="1">
      <alignment vertical="center"/>
    </xf>
    <xf numFmtId="169" fontId="43" fillId="12" borderId="37" xfId="1" applyNumberFormat="1" applyFont="1" applyFill="1" applyBorder="1">
      <alignment vertical="center"/>
    </xf>
    <xf numFmtId="169" fontId="43" fillId="12" borderId="56" xfId="1" applyNumberFormat="1" applyFont="1" applyFill="1" applyBorder="1">
      <alignment vertical="center"/>
    </xf>
    <xf numFmtId="169" fontId="43" fillId="12" borderId="45" xfId="1" applyNumberFormat="1" applyFont="1" applyFill="1" applyBorder="1">
      <alignment vertical="center"/>
    </xf>
    <xf numFmtId="169" fontId="43" fillId="12" borderId="47" xfId="1" applyNumberFormat="1" applyFont="1" applyFill="1" applyBorder="1">
      <alignment vertical="center"/>
    </xf>
    <xf numFmtId="0" fontId="43" fillId="12" borderId="0" xfId="1" applyFont="1" applyFill="1" applyBorder="1">
      <alignment vertical="center"/>
    </xf>
    <xf numFmtId="169" fontId="43" fillId="12" borderId="29" xfId="1" applyNumberFormat="1" applyFont="1" applyFill="1" applyBorder="1">
      <alignment vertical="center"/>
    </xf>
    <xf numFmtId="169" fontId="43" fillId="12" borderId="30" xfId="1" applyNumberFormat="1" applyFont="1" applyFill="1" applyBorder="1">
      <alignment vertical="center"/>
    </xf>
    <xf numFmtId="169" fontId="43" fillId="0" borderId="29" xfId="1" applyNumberFormat="1" applyFont="1" applyFill="1" applyBorder="1">
      <alignment vertical="center"/>
    </xf>
    <xf numFmtId="169" fontId="43" fillId="0" borderId="30" xfId="1" applyNumberFormat="1" applyFont="1" applyFill="1" applyBorder="1">
      <alignment vertical="center"/>
    </xf>
    <xf numFmtId="0" fontId="43" fillId="2" borderId="12" xfId="1" applyFont="1" applyFill="1" applyBorder="1">
      <alignment vertical="center"/>
    </xf>
    <xf numFmtId="0" fontId="43" fillId="2" borderId="28" xfId="1" applyFont="1" applyFill="1" applyBorder="1">
      <alignment vertical="center"/>
    </xf>
    <xf numFmtId="0" fontId="43" fillId="2" borderId="50" xfId="1" applyFont="1" applyFill="1" applyBorder="1">
      <alignment vertical="center"/>
    </xf>
    <xf numFmtId="169" fontId="43" fillId="2" borderId="10" xfId="1" applyNumberFormat="1" applyFont="1" applyFill="1" applyBorder="1">
      <alignment vertical="center"/>
    </xf>
    <xf numFmtId="173" fontId="43" fillId="2" borderId="7" xfId="1" applyNumberFormat="1" applyFont="1" applyFill="1" applyBorder="1">
      <alignment vertical="center"/>
    </xf>
    <xf numFmtId="173" fontId="43" fillId="2" borderId="1" xfId="1" applyNumberFormat="1" applyFont="1" applyFill="1" applyBorder="1">
      <alignment vertical="center"/>
    </xf>
    <xf numFmtId="168" fontId="43" fillId="2" borderId="7" xfId="1" applyNumberFormat="1" applyFont="1" applyFill="1" applyBorder="1">
      <alignment vertical="center"/>
    </xf>
    <xf numFmtId="168" fontId="43" fillId="2" borderId="1" xfId="1" applyNumberFormat="1" applyFont="1" applyFill="1" applyBorder="1">
      <alignment vertical="center"/>
    </xf>
    <xf numFmtId="172" fontId="43" fillId="2" borderId="1" xfId="1" applyNumberFormat="1" applyFont="1" applyFill="1" applyBorder="1">
      <alignment vertical="center"/>
    </xf>
    <xf numFmtId="0" fontId="43" fillId="0" borderId="0" xfId="0" applyFont="1">
      <alignment vertical="center"/>
    </xf>
    <xf numFmtId="164" fontId="43" fillId="0" borderId="0" xfId="0" applyNumberFormat="1" applyFont="1">
      <alignment vertical="center"/>
    </xf>
    <xf numFmtId="168" fontId="43" fillId="2" borderId="0" xfId="1" applyNumberFormat="1" applyFont="1" applyFill="1" applyBorder="1">
      <alignment vertical="center"/>
    </xf>
    <xf numFmtId="172" fontId="43" fillId="2" borderId="0" xfId="1" applyNumberFormat="1" applyFont="1" applyFill="1" applyBorder="1">
      <alignment vertical="center"/>
    </xf>
    <xf numFmtId="166" fontId="43" fillId="2" borderId="0" xfId="1" applyNumberFormat="1" applyFont="1" applyFill="1" applyBorder="1">
      <alignment vertical="center"/>
    </xf>
    <xf numFmtId="169" fontId="43" fillId="0" borderId="10" xfId="1" applyNumberFormat="1" applyFont="1" applyFill="1" applyBorder="1">
      <alignment vertical="center"/>
    </xf>
    <xf numFmtId="169" fontId="43" fillId="2" borderId="40" xfId="1" applyNumberFormat="1" applyFont="1" applyFill="1" applyBorder="1">
      <alignment vertical="center"/>
    </xf>
    <xf numFmtId="0" fontId="43" fillId="2" borderId="17" xfId="1" applyFont="1" applyFill="1" applyBorder="1">
      <alignment vertical="center"/>
    </xf>
    <xf numFmtId="0" fontId="43" fillId="0" borderId="16" xfId="1" applyFont="1" applyFill="1" applyBorder="1">
      <alignment vertical="center"/>
    </xf>
    <xf numFmtId="169" fontId="43" fillId="0" borderId="15" xfId="1" applyNumberFormat="1" applyFont="1" applyFill="1" applyBorder="1">
      <alignment vertical="center"/>
    </xf>
    <xf numFmtId="169" fontId="43" fillId="0" borderId="36" xfId="1" applyNumberFormat="1" applyFont="1" applyFill="1" applyBorder="1">
      <alignment vertical="center"/>
    </xf>
    <xf numFmtId="168" fontId="43" fillId="8" borderId="0" xfId="1" applyNumberFormat="1" applyFont="1" applyFill="1" applyBorder="1">
      <alignment vertical="center"/>
    </xf>
    <xf numFmtId="168" fontId="43" fillId="8" borderId="1" xfId="1" applyNumberFormat="1" applyFont="1" applyFill="1" applyBorder="1">
      <alignment vertical="center"/>
    </xf>
    <xf numFmtId="168" fontId="43" fillId="8" borderId="20" xfId="1" applyNumberFormat="1" applyFont="1" applyFill="1" applyBorder="1">
      <alignment vertical="center"/>
    </xf>
    <xf numFmtId="168" fontId="43" fillId="8" borderId="18" xfId="1" applyNumberFormat="1" applyFont="1" applyFill="1" applyBorder="1">
      <alignment vertical="center"/>
    </xf>
    <xf numFmtId="0" fontId="43" fillId="2" borderId="20" xfId="1" applyFont="1" applyFill="1" applyBorder="1">
      <alignment vertical="center"/>
    </xf>
    <xf numFmtId="166" fontId="43" fillId="2" borderId="10" xfId="1" applyNumberFormat="1" applyFont="1" applyFill="1" applyBorder="1">
      <alignment vertical="center"/>
    </xf>
    <xf numFmtId="166" fontId="43" fillId="6" borderId="35" xfId="1" applyNumberFormat="1" applyFont="1" applyFill="1" applyBorder="1">
      <alignment vertical="center"/>
    </xf>
    <xf numFmtId="166" fontId="43" fillId="6" borderId="15" xfId="1" applyNumberFormat="1" applyFont="1" applyFill="1" applyBorder="1">
      <alignment vertical="center"/>
    </xf>
    <xf numFmtId="166" fontId="43" fillId="6" borderId="36" xfId="1" applyNumberFormat="1" applyFont="1" applyFill="1" applyBorder="1">
      <alignment vertical="center"/>
    </xf>
    <xf numFmtId="166" fontId="43" fillId="6" borderId="73" xfId="1" applyNumberFormat="1" applyFont="1" applyFill="1" applyBorder="1">
      <alignment vertical="center"/>
    </xf>
    <xf numFmtId="168" fontId="43" fillId="6" borderId="7" xfId="1" applyNumberFormat="1" applyFont="1" applyFill="1" applyBorder="1">
      <alignment vertical="center"/>
    </xf>
    <xf numFmtId="168" fontId="43" fillId="6" borderId="1" xfId="1" applyNumberFormat="1" applyFont="1" applyFill="1" applyBorder="1">
      <alignment vertical="center"/>
    </xf>
    <xf numFmtId="168" fontId="43" fillId="6" borderId="37" xfId="1" applyNumberFormat="1" applyFont="1" applyFill="1" applyBorder="1">
      <alignment vertical="center"/>
    </xf>
    <xf numFmtId="168" fontId="43" fillId="6" borderId="44" xfId="1" applyNumberFormat="1" applyFont="1" applyFill="1" applyBorder="1">
      <alignment vertical="center"/>
    </xf>
    <xf numFmtId="166" fontId="43" fillId="6" borderId="10" xfId="1" applyNumberFormat="1" applyFont="1" applyFill="1" applyBorder="1" applyAlignment="1">
      <alignment horizontal="center" vertical="center"/>
    </xf>
    <xf numFmtId="168" fontId="43" fillId="6" borderId="56" xfId="1" applyNumberFormat="1" applyFont="1" applyFill="1" applyBorder="1">
      <alignment vertical="center"/>
    </xf>
    <xf numFmtId="168" fontId="43" fillId="6" borderId="45" xfId="1" applyNumberFormat="1" applyFont="1" applyFill="1" applyBorder="1">
      <alignment vertical="center"/>
    </xf>
    <xf numFmtId="168" fontId="43" fillId="6" borderId="47" xfId="1" applyNumberFormat="1" applyFont="1" applyFill="1" applyBorder="1">
      <alignment vertical="center"/>
    </xf>
    <xf numFmtId="168" fontId="43" fillId="6" borderId="57" xfId="1" applyNumberFormat="1" applyFont="1" applyFill="1" applyBorder="1">
      <alignment vertical="center"/>
    </xf>
    <xf numFmtId="166" fontId="43" fillId="8" borderId="15" xfId="1" applyNumberFormat="1" applyFont="1" applyFill="1" applyBorder="1">
      <alignment vertical="center"/>
    </xf>
    <xf numFmtId="168" fontId="43" fillId="8" borderId="19" xfId="1" applyNumberFormat="1" applyFont="1" applyFill="1" applyBorder="1">
      <alignment vertical="center"/>
    </xf>
    <xf numFmtId="0" fontId="43" fillId="2" borderId="16" xfId="1" applyFont="1" applyFill="1" applyBorder="1">
      <alignment vertical="center"/>
    </xf>
    <xf numFmtId="0" fontId="43" fillId="2" borderId="72" xfId="1" applyFont="1" applyFill="1" applyBorder="1">
      <alignment vertical="center"/>
    </xf>
    <xf numFmtId="169" fontId="43" fillId="2" borderId="35" xfId="1" applyNumberFormat="1" applyFont="1" applyFill="1" applyBorder="1">
      <alignment vertical="center"/>
    </xf>
    <xf numFmtId="169" fontId="43" fillId="2" borderId="7" xfId="1" applyNumberFormat="1" applyFont="1" applyFill="1" applyBorder="1">
      <alignment vertical="center"/>
    </xf>
    <xf numFmtId="0" fontId="43" fillId="2" borderId="71" xfId="1" applyFont="1" applyFill="1" applyBorder="1">
      <alignment vertical="center"/>
    </xf>
    <xf numFmtId="169" fontId="43" fillId="2" borderId="56" xfId="1" applyNumberFormat="1" applyFont="1" applyFill="1" applyBorder="1">
      <alignment vertical="center"/>
    </xf>
    <xf numFmtId="169" fontId="43" fillId="2" borderId="45" xfId="1" applyNumberFormat="1" applyFont="1" applyFill="1" applyBorder="1">
      <alignment vertical="center"/>
    </xf>
    <xf numFmtId="169" fontId="43" fillId="2" borderId="47" xfId="1" applyNumberFormat="1" applyFont="1" applyFill="1" applyBorder="1">
      <alignment vertical="center"/>
    </xf>
    <xf numFmtId="0" fontId="43" fillId="2" borderId="61" xfId="1" applyFont="1" applyFill="1" applyBorder="1">
      <alignment vertical="center"/>
    </xf>
    <xf numFmtId="0" fontId="43" fillId="2" borderId="48" xfId="1" applyFont="1" applyFill="1" applyBorder="1">
      <alignment vertical="center"/>
    </xf>
    <xf numFmtId="166" fontId="43" fillId="12" borderId="48" xfId="1" applyNumberFormat="1" applyFont="1" applyFill="1" applyBorder="1">
      <alignment vertical="center"/>
    </xf>
    <xf numFmtId="166" fontId="43" fillId="12" borderId="10" xfId="1" applyNumberFormat="1" applyFont="1" applyFill="1" applyBorder="1">
      <alignment vertical="center"/>
    </xf>
    <xf numFmtId="166" fontId="43" fillId="12" borderId="40" xfId="1" applyNumberFormat="1" applyFont="1" applyFill="1" applyBorder="1">
      <alignment vertical="center"/>
    </xf>
    <xf numFmtId="169" fontId="43" fillId="2" borderId="48" xfId="1" applyNumberFormat="1" applyFont="1" applyFill="1" applyBorder="1">
      <alignment vertical="center"/>
    </xf>
    <xf numFmtId="166" fontId="43" fillId="12" borderId="71" xfId="1" applyNumberFormat="1" applyFont="1" applyFill="1" applyBorder="1">
      <alignment vertical="center"/>
    </xf>
    <xf numFmtId="166" fontId="43" fillId="12" borderId="67" xfId="1" applyNumberFormat="1" applyFont="1" applyFill="1" applyBorder="1">
      <alignment vertical="center"/>
    </xf>
    <xf numFmtId="166" fontId="43" fillId="12" borderId="69" xfId="1" applyNumberFormat="1" applyFont="1" applyFill="1" applyBorder="1">
      <alignment vertical="center"/>
    </xf>
    <xf numFmtId="169" fontId="43" fillId="8" borderId="15" xfId="1" applyNumberFormat="1" applyFont="1" applyFill="1" applyBorder="1">
      <alignment vertical="center"/>
    </xf>
    <xf numFmtId="168" fontId="43" fillId="6" borderId="10" xfId="1" applyNumberFormat="1" applyFont="1" applyFill="1" applyBorder="1">
      <alignment vertical="center"/>
    </xf>
    <xf numFmtId="168" fontId="43" fillId="2" borderId="10" xfId="1" applyNumberFormat="1" applyFont="1" applyFill="1" applyBorder="1">
      <alignment vertical="center"/>
    </xf>
    <xf numFmtId="169" fontId="43" fillId="6" borderId="10" xfId="1" applyNumberFormat="1" applyFont="1" applyFill="1" applyBorder="1">
      <alignment vertical="center"/>
    </xf>
    <xf numFmtId="0" fontId="43" fillId="3" borderId="0" xfId="1" applyFont="1" applyFill="1" applyBorder="1">
      <alignment vertical="center"/>
    </xf>
    <xf numFmtId="169" fontId="43" fillId="3" borderId="50" xfId="1" applyNumberFormat="1" applyFont="1" applyFill="1" applyBorder="1">
      <alignment vertical="center"/>
    </xf>
    <xf numFmtId="169" fontId="43" fillId="3" borderId="19" xfId="1" applyNumberFormat="1" applyFont="1" applyFill="1" applyBorder="1">
      <alignment vertical="center"/>
    </xf>
    <xf numFmtId="169" fontId="43" fillId="3" borderId="60" xfId="1" applyNumberFormat="1" applyFont="1" applyFill="1" applyBorder="1">
      <alignment vertical="center"/>
    </xf>
    <xf numFmtId="169" fontId="43" fillId="6" borderId="43" xfId="1" applyNumberFormat="1" applyFont="1" applyFill="1" applyBorder="1">
      <alignment vertical="center"/>
    </xf>
    <xf numFmtId="169" fontId="43" fillId="6" borderId="29" xfId="1" applyNumberFormat="1" applyFont="1" applyFill="1" applyBorder="1">
      <alignment vertical="center"/>
    </xf>
    <xf numFmtId="169" fontId="43" fillId="6" borderId="30" xfId="1" applyNumberFormat="1" applyFont="1" applyFill="1" applyBorder="1">
      <alignment vertical="center"/>
    </xf>
    <xf numFmtId="0" fontId="43" fillId="8" borderId="8" xfId="1" applyFont="1" applyFill="1" applyBorder="1">
      <alignment vertical="center"/>
    </xf>
    <xf numFmtId="0" fontId="43" fillId="8" borderId="7" xfId="1" applyFont="1" applyFill="1" applyBorder="1">
      <alignment vertical="center"/>
    </xf>
    <xf numFmtId="169" fontId="43" fillId="8" borderId="1" xfId="1" applyNumberFormat="1" applyFont="1" applyFill="1" applyBorder="1">
      <alignment vertical="center"/>
    </xf>
    <xf numFmtId="0" fontId="43" fillId="8" borderId="50" xfId="1" applyFont="1" applyFill="1" applyBorder="1">
      <alignment vertical="center"/>
    </xf>
    <xf numFmtId="170" fontId="43" fillId="6" borderId="10" xfId="1" applyNumberFormat="1" applyFont="1" applyFill="1" applyBorder="1">
      <alignment vertical="center"/>
    </xf>
    <xf numFmtId="169" fontId="43" fillId="6" borderId="11" xfId="1" applyNumberFormat="1" applyFont="1" applyFill="1" applyBorder="1" applyAlignment="1">
      <alignment horizontal="center" vertical="center"/>
    </xf>
    <xf numFmtId="169" fontId="43" fillId="6" borderId="8" xfId="1" applyNumberFormat="1" applyFont="1" applyFill="1" applyBorder="1" applyAlignment="1">
      <alignment horizontal="center" vertical="center"/>
    </xf>
    <xf numFmtId="169" fontId="43" fillId="6" borderId="9" xfId="1" applyNumberFormat="1" applyFont="1" applyFill="1" applyBorder="1" applyAlignment="1">
      <alignment horizontal="center" vertical="center"/>
    </xf>
    <xf numFmtId="170" fontId="43" fillId="6" borderId="43" xfId="1" applyNumberFormat="1" applyFont="1" applyFill="1" applyBorder="1">
      <alignment vertical="center"/>
    </xf>
    <xf numFmtId="170" fontId="43" fillId="6" borderId="29" xfId="1" applyNumberFormat="1" applyFont="1" applyFill="1" applyBorder="1">
      <alignment vertical="center"/>
    </xf>
    <xf numFmtId="170" fontId="43" fillId="6" borderId="30" xfId="1" applyNumberFormat="1" applyFont="1" applyFill="1" applyBorder="1">
      <alignment vertical="center"/>
    </xf>
    <xf numFmtId="170" fontId="43" fillId="8" borderId="44" xfId="1" applyNumberFormat="1" applyFont="1" applyFill="1" applyBorder="1">
      <alignment vertical="center"/>
    </xf>
    <xf numFmtId="170" fontId="43" fillId="8" borderId="1" xfId="1" applyNumberFormat="1" applyFont="1" applyFill="1" applyBorder="1">
      <alignment vertical="center"/>
    </xf>
    <xf numFmtId="170" fontId="43" fillId="8" borderId="37" xfId="1" applyNumberFormat="1" applyFont="1" applyFill="1" applyBorder="1">
      <alignment vertical="center"/>
    </xf>
    <xf numFmtId="170" fontId="43" fillId="6" borderId="44" xfId="1" applyNumberFormat="1" applyFont="1" applyFill="1" applyBorder="1">
      <alignment vertical="center"/>
    </xf>
    <xf numFmtId="170" fontId="43" fillId="6" borderId="1" xfId="1" applyNumberFormat="1" applyFont="1" applyFill="1" applyBorder="1">
      <alignment vertical="center"/>
    </xf>
    <xf numFmtId="170" fontId="43" fillId="6" borderId="37" xfId="1" applyNumberFormat="1" applyFont="1" applyFill="1" applyBorder="1">
      <alignment vertical="center"/>
    </xf>
    <xf numFmtId="168" fontId="43" fillId="8" borderId="44" xfId="1" applyNumberFormat="1" applyFont="1" applyFill="1" applyBorder="1">
      <alignment vertical="center"/>
    </xf>
    <xf numFmtId="168" fontId="43" fillId="8" borderId="37" xfId="1" applyNumberFormat="1" applyFont="1" applyFill="1" applyBorder="1">
      <alignment vertical="center"/>
    </xf>
    <xf numFmtId="168" fontId="43" fillId="8" borderId="43" xfId="1" applyNumberFormat="1" applyFont="1" applyFill="1" applyBorder="1">
      <alignment vertical="center"/>
    </xf>
    <xf numFmtId="168" fontId="43" fillId="8" borderId="29" xfId="1" applyNumberFormat="1" applyFont="1" applyFill="1" applyBorder="1">
      <alignment vertical="center"/>
    </xf>
    <xf numFmtId="168" fontId="43" fillId="8" borderId="30" xfId="1" applyNumberFormat="1" applyFont="1" applyFill="1" applyBorder="1">
      <alignment vertical="center"/>
    </xf>
    <xf numFmtId="0" fontId="43" fillId="6" borderId="4" xfId="1" applyFont="1" applyFill="1" applyBorder="1">
      <alignment vertical="center"/>
    </xf>
    <xf numFmtId="168" fontId="43" fillId="6" borderId="4" xfId="1" applyNumberFormat="1" applyFont="1" applyFill="1" applyBorder="1">
      <alignment vertical="center"/>
    </xf>
    <xf numFmtId="168" fontId="43" fillId="6" borderId="5" xfId="1" applyNumberFormat="1" applyFont="1" applyFill="1" applyBorder="1">
      <alignment vertical="center"/>
    </xf>
    <xf numFmtId="168" fontId="43" fillId="6" borderId="38" xfId="1" applyNumberFormat="1" applyFont="1" applyFill="1" applyBorder="1">
      <alignment vertical="center"/>
    </xf>
    <xf numFmtId="168" fontId="43" fillId="6" borderId="40" xfId="1" applyNumberFormat="1" applyFont="1" applyFill="1" applyBorder="1">
      <alignment vertical="center"/>
    </xf>
    <xf numFmtId="168" fontId="43" fillId="3" borderId="44" xfId="1" applyNumberFormat="1" applyFont="1" applyFill="1" applyBorder="1">
      <alignment vertical="center"/>
    </xf>
    <xf numFmtId="169" fontId="43" fillId="6" borderId="44" xfId="1" applyNumberFormat="1" applyFont="1" applyFill="1" applyBorder="1">
      <alignment vertical="center"/>
    </xf>
    <xf numFmtId="169" fontId="43" fillId="6" borderId="37" xfId="1" applyNumberFormat="1" applyFont="1" applyFill="1" applyBorder="1">
      <alignment vertical="center"/>
    </xf>
    <xf numFmtId="168" fontId="43" fillId="2" borderId="44" xfId="1" applyNumberFormat="1" applyFont="1" applyFill="1" applyBorder="1">
      <alignment vertical="center"/>
    </xf>
    <xf numFmtId="168" fontId="43" fillId="2" borderId="37" xfId="1" applyNumberFormat="1" applyFont="1" applyFill="1" applyBorder="1">
      <alignment vertical="center"/>
    </xf>
    <xf numFmtId="169" fontId="43" fillId="2" borderId="44" xfId="1" applyNumberFormat="1" applyFont="1" applyFill="1" applyBorder="1">
      <alignment vertical="center"/>
    </xf>
    <xf numFmtId="170" fontId="43" fillId="2" borderId="43" xfId="1" applyNumberFormat="1" applyFont="1" applyFill="1" applyBorder="1">
      <alignment vertical="center"/>
    </xf>
    <xf numFmtId="170" fontId="43" fillId="2" borderId="29" xfId="1" applyNumberFormat="1" applyFont="1" applyFill="1" applyBorder="1">
      <alignment vertical="center"/>
    </xf>
    <xf numFmtId="170" fontId="43" fillId="2" borderId="30" xfId="1" applyNumberFormat="1" applyFont="1" applyFill="1" applyBorder="1">
      <alignment vertical="center"/>
    </xf>
    <xf numFmtId="169" fontId="43" fillId="2" borderId="73" xfId="1" applyNumberFormat="1" applyFont="1" applyFill="1" applyBorder="1">
      <alignment vertical="center"/>
    </xf>
    <xf numFmtId="169" fontId="43" fillId="2" borderId="57" xfId="1" applyNumberFormat="1" applyFont="1" applyFill="1" applyBorder="1">
      <alignment vertical="center"/>
    </xf>
    <xf numFmtId="169" fontId="43" fillId="6" borderId="38" xfId="1" applyNumberFormat="1" applyFont="1" applyFill="1" applyBorder="1">
      <alignment vertical="center"/>
    </xf>
    <xf numFmtId="169" fontId="43" fillId="6" borderId="40" xfId="1" applyNumberFormat="1" applyFont="1" applyFill="1" applyBorder="1">
      <alignment vertical="center"/>
    </xf>
    <xf numFmtId="169" fontId="43" fillId="6" borderId="7" xfId="1" applyNumberFormat="1" applyFont="1" applyFill="1" applyBorder="1">
      <alignment vertical="center"/>
    </xf>
    <xf numFmtId="169" fontId="43" fillId="6" borderId="31" xfId="1" applyNumberFormat="1" applyFont="1" applyFill="1" applyBorder="1">
      <alignment vertical="center"/>
    </xf>
    <xf numFmtId="0" fontId="43" fillId="2" borderId="4" xfId="1" applyFont="1" applyFill="1" applyBorder="1">
      <alignment vertical="center"/>
    </xf>
    <xf numFmtId="168" fontId="43" fillId="2" borderId="4" xfId="1" applyNumberFormat="1" applyFont="1" applyFill="1" applyBorder="1">
      <alignment vertical="center"/>
    </xf>
    <xf numFmtId="168" fontId="43" fillId="2" borderId="5" xfId="1" applyNumberFormat="1" applyFont="1" applyFill="1" applyBorder="1">
      <alignment vertical="center"/>
    </xf>
    <xf numFmtId="168" fontId="43" fillId="6" borderId="23" xfId="1" applyNumberFormat="1" applyFont="1" applyFill="1" applyBorder="1">
      <alignment vertical="center"/>
    </xf>
    <xf numFmtId="168" fontId="43" fillId="6" borderId="24" xfId="1" applyNumberFormat="1" applyFont="1" applyFill="1" applyBorder="1">
      <alignment vertical="center"/>
    </xf>
    <xf numFmtId="169" fontId="43" fillId="6" borderId="42" xfId="1" applyNumberFormat="1" applyFont="1" applyFill="1" applyBorder="1">
      <alignment vertical="center"/>
    </xf>
    <xf numFmtId="169" fontId="43" fillId="6" borderId="60" xfId="1" applyNumberFormat="1" applyFont="1" applyFill="1" applyBorder="1">
      <alignment vertical="center"/>
    </xf>
    <xf numFmtId="169" fontId="43" fillId="14" borderId="19" xfId="1" applyNumberFormat="1" applyFont="1" applyFill="1" applyBorder="1">
      <alignment vertical="center"/>
    </xf>
    <xf numFmtId="169" fontId="43" fillId="6" borderId="50" xfId="1" applyNumberFormat="1" applyFont="1" applyFill="1" applyBorder="1">
      <alignment vertical="center"/>
    </xf>
    <xf numFmtId="169" fontId="43" fillId="6" borderId="49" xfId="1" applyNumberFormat="1" applyFont="1" applyFill="1" applyBorder="1">
      <alignment vertical="center"/>
    </xf>
    <xf numFmtId="168" fontId="43" fillId="6" borderId="50" xfId="1" applyNumberFormat="1" applyFont="1" applyFill="1" applyBorder="1">
      <alignment vertical="center"/>
    </xf>
    <xf numFmtId="168" fontId="43" fillId="6" borderId="49" xfId="1" applyNumberFormat="1" applyFont="1" applyFill="1" applyBorder="1">
      <alignment vertical="center"/>
    </xf>
    <xf numFmtId="169" fontId="43" fillId="2" borderId="58" xfId="1" applyNumberFormat="1" applyFont="1" applyFill="1" applyBorder="1">
      <alignment vertical="center"/>
    </xf>
    <xf numFmtId="169" fontId="43" fillId="2" borderId="19" xfId="1" applyNumberFormat="1" applyFont="1" applyFill="1" applyBorder="1">
      <alignment vertical="center"/>
    </xf>
    <xf numFmtId="169" fontId="43" fillId="2" borderId="60" xfId="1" applyNumberFormat="1" applyFont="1" applyFill="1" applyBorder="1">
      <alignment vertical="center"/>
    </xf>
    <xf numFmtId="169" fontId="43" fillId="2" borderId="67" xfId="1" applyNumberFormat="1" applyFont="1" applyFill="1" applyBorder="1">
      <alignment vertical="center"/>
    </xf>
    <xf numFmtId="0" fontId="43" fillId="15" borderId="0" xfId="1" applyFont="1" applyFill="1" applyBorder="1">
      <alignment vertical="center"/>
    </xf>
    <xf numFmtId="173" fontId="43" fillId="15" borderId="18" xfId="1" applyNumberFormat="1" applyFont="1" applyFill="1" applyBorder="1">
      <alignment vertical="center"/>
    </xf>
    <xf numFmtId="173" fontId="43" fillId="15" borderId="19" xfId="1" applyNumberFormat="1" applyFont="1" applyFill="1" applyBorder="1">
      <alignment vertical="center"/>
    </xf>
    <xf numFmtId="173" fontId="43" fillId="15" borderId="20" xfId="1" applyNumberFormat="1" applyFont="1" applyFill="1" applyBorder="1">
      <alignment vertical="center"/>
    </xf>
    <xf numFmtId="168" fontId="43" fillId="6" borderId="68" xfId="1" applyNumberFormat="1" applyFont="1" applyFill="1" applyBorder="1">
      <alignment vertical="center"/>
    </xf>
    <xf numFmtId="168" fontId="43" fillId="6" borderId="69" xfId="1" applyNumberFormat="1" applyFont="1" applyFill="1" applyBorder="1">
      <alignment vertical="center"/>
    </xf>
    <xf numFmtId="168" fontId="43" fillId="5" borderId="52" xfId="1" applyNumberFormat="1" applyFont="1" applyFill="1" applyBorder="1">
      <alignment vertical="center"/>
    </xf>
    <xf numFmtId="168" fontId="43" fillId="5" borderId="53" xfId="1" applyNumberFormat="1" applyFont="1" applyFill="1" applyBorder="1">
      <alignment vertical="center"/>
    </xf>
    <xf numFmtId="0" fontId="43" fillId="5" borderId="20" xfId="1" applyFont="1" applyFill="1" applyBorder="1">
      <alignment vertical="center"/>
    </xf>
    <xf numFmtId="168" fontId="43" fillId="5" borderId="18" xfId="1" applyNumberFormat="1" applyFont="1" applyFill="1" applyBorder="1" applyAlignment="1">
      <alignment horizontal="center" vertical="center"/>
    </xf>
    <xf numFmtId="168" fontId="43" fillId="5" borderId="0" xfId="1" applyNumberFormat="1" applyFont="1" applyFill="1" applyBorder="1" applyAlignment="1">
      <alignment horizontal="center" vertical="center"/>
    </xf>
    <xf numFmtId="168" fontId="43" fillId="5" borderId="20" xfId="1" applyNumberFormat="1" applyFont="1" applyFill="1" applyBorder="1" applyAlignment="1">
      <alignment horizontal="center" vertical="center"/>
    </xf>
    <xf numFmtId="0" fontId="43" fillId="5" borderId="23" xfId="1" applyFont="1" applyFill="1" applyBorder="1">
      <alignment vertical="center"/>
    </xf>
    <xf numFmtId="0" fontId="43" fillId="5" borderId="16" xfId="1" applyFont="1" applyFill="1" applyBorder="1">
      <alignment vertical="center"/>
    </xf>
    <xf numFmtId="169" fontId="43" fillId="5" borderId="1" xfId="1" applyNumberFormat="1" applyFont="1" applyFill="1" applyBorder="1" applyAlignment="1">
      <alignment horizontal="center" vertical="center"/>
    </xf>
    <xf numFmtId="0" fontId="43" fillId="5" borderId="17" xfId="1" applyFont="1" applyFill="1" applyBorder="1">
      <alignment vertical="center"/>
    </xf>
    <xf numFmtId="169" fontId="43" fillId="5" borderId="19" xfId="1" applyNumberFormat="1" applyFont="1" applyFill="1" applyBorder="1">
      <alignment vertical="center"/>
    </xf>
    <xf numFmtId="0" fontId="43" fillId="14" borderId="0" xfId="1" applyFont="1" applyFill="1" applyBorder="1">
      <alignment vertical="center"/>
    </xf>
    <xf numFmtId="169" fontId="43" fillId="8" borderId="19" xfId="1" applyNumberFormat="1" applyFont="1" applyFill="1" applyBorder="1">
      <alignment vertical="center"/>
    </xf>
    <xf numFmtId="169" fontId="43" fillId="8" borderId="0" xfId="1" applyNumberFormat="1" applyFont="1" applyFill="1" applyBorder="1">
      <alignment vertical="center"/>
    </xf>
    <xf numFmtId="168" fontId="43" fillId="5" borderId="18" xfId="1" applyNumberFormat="1" applyFont="1" applyFill="1" applyBorder="1">
      <alignment vertical="center"/>
    </xf>
    <xf numFmtId="168" fontId="43" fillId="5" borderId="19" xfId="1" applyNumberFormat="1" applyFont="1" applyFill="1" applyBorder="1">
      <alignment vertical="center"/>
    </xf>
    <xf numFmtId="168" fontId="43" fillId="5" borderId="20" xfId="1" applyNumberFormat="1" applyFont="1" applyFill="1" applyBorder="1">
      <alignment vertical="center"/>
    </xf>
    <xf numFmtId="168" fontId="43" fillId="6" borderId="42" xfId="1" applyNumberFormat="1" applyFont="1" applyFill="1" applyBorder="1" applyAlignment="1">
      <alignment horizontal="center" vertical="center"/>
    </xf>
    <xf numFmtId="168" fontId="43" fillId="6" borderId="19" xfId="1" applyNumberFormat="1" applyFont="1" applyFill="1" applyBorder="1" applyAlignment="1">
      <alignment horizontal="center" vertical="center"/>
    </xf>
    <xf numFmtId="168" fontId="43" fillId="6" borderId="60" xfId="1" applyNumberFormat="1" applyFont="1" applyFill="1" applyBorder="1" applyAlignment="1">
      <alignment horizontal="center" vertical="center"/>
    </xf>
    <xf numFmtId="0" fontId="43" fillId="12" borderId="4" xfId="1" applyFont="1" applyFill="1" applyBorder="1">
      <alignment vertical="center"/>
    </xf>
    <xf numFmtId="168" fontId="43" fillId="12" borderId="4" xfId="1" applyNumberFormat="1" applyFont="1" applyFill="1" applyBorder="1">
      <alignment vertical="center"/>
    </xf>
    <xf numFmtId="168" fontId="43" fillId="12" borderId="5" xfId="1" applyNumberFormat="1" applyFont="1" applyFill="1" applyBorder="1">
      <alignment vertical="center"/>
    </xf>
    <xf numFmtId="168" fontId="43" fillId="6" borderId="15" xfId="1" applyNumberFormat="1" applyFont="1" applyFill="1" applyBorder="1">
      <alignment vertical="center"/>
    </xf>
    <xf numFmtId="168" fontId="43" fillId="6" borderId="0" xfId="1" applyNumberFormat="1" applyFont="1" applyFill="1" applyBorder="1">
      <alignment vertical="center"/>
    </xf>
    <xf numFmtId="170" fontId="43" fillId="6" borderId="23" xfId="1" applyNumberFormat="1" applyFont="1" applyFill="1" applyBorder="1">
      <alignment vertical="center"/>
    </xf>
    <xf numFmtId="170" fontId="43" fillId="6" borderId="58" xfId="1" applyNumberFormat="1" applyFont="1" applyFill="1" applyBorder="1">
      <alignment vertical="center"/>
    </xf>
    <xf numFmtId="170" fontId="43" fillId="6" borderId="24" xfId="1" applyNumberFormat="1" applyFont="1" applyFill="1" applyBorder="1">
      <alignment vertical="center"/>
    </xf>
    <xf numFmtId="170" fontId="43" fillId="6" borderId="16" xfId="1" applyNumberFormat="1" applyFont="1" applyFill="1" applyBorder="1">
      <alignment vertical="center"/>
    </xf>
    <xf numFmtId="168" fontId="43" fillId="6" borderId="17" xfId="1" applyNumberFormat="1" applyFont="1" applyFill="1" applyBorder="1">
      <alignment vertical="center"/>
    </xf>
    <xf numFmtId="168" fontId="43" fillId="12" borderId="16" xfId="1" applyNumberFormat="1" applyFont="1" applyFill="1" applyBorder="1">
      <alignment vertical="center"/>
    </xf>
    <xf numFmtId="168" fontId="43" fillId="12" borderId="24" xfId="1" applyNumberFormat="1" applyFont="1" applyFill="1" applyBorder="1">
      <alignment vertical="center"/>
    </xf>
    <xf numFmtId="168" fontId="43" fillId="6" borderId="21" xfId="1" applyNumberFormat="1" applyFont="1" applyFill="1" applyBorder="1">
      <alignment vertical="center"/>
    </xf>
    <xf numFmtId="168" fontId="43" fillId="6" borderId="70" xfId="1" applyNumberFormat="1" applyFont="1" applyFill="1" applyBorder="1">
      <alignment vertical="center"/>
    </xf>
    <xf numFmtId="168" fontId="43" fillId="6" borderId="22" xfId="1" applyNumberFormat="1" applyFont="1" applyFill="1" applyBorder="1">
      <alignment vertical="center"/>
    </xf>
    <xf numFmtId="168" fontId="43" fillId="6" borderId="11" xfId="1" applyNumberFormat="1" applyFont="1" applyFill="1" applyBorder="1">
      <alignment vertical="center"/>
    </xf>
    <xf numFmtId="168" fontId="43" fillId="6" borderId="8" xfId="1" applyNumberFormat="1" applyFont="1" applyFill="1" applyBorder="1">
      <alignment vertical="center"/>
    </xf>
    <xf numFmtId="168" fontId="43" fillId="6" borderId="9" xfId="1" applyNumberFormat="1" applyFont="1" applyFill="1" applyBorder="1">
      <alignment vertical="center"/>
    </xf>
    <xf numFmtId="0" fontId="43" fillId="6" borderId="11" xfId="1" applyFont="1" applyFill="1" applyBorder="1">
      <alignment vertical="center"/>
    </xf>
    <xf numFmtId="0" fontId="43" fillId="6" borderId="9" xfId="1" applyFont="1" applyFill="1" applyBorder="1">
      <alignment vertical="center"/>
    </xf>
    <xf numFmtId="168" fontId="43" fillId="6" borderId="64" xfId="1" applyNumberFormat="1" applyFont="1" applyFill="1" applyBorder="1">
      <alignment vertical="center"/>
    </xf>
    <xf numFmtId="168" fontId="43" fillId="6" borderId="65" xfId="1" applyNumberFormat="1" applyFont="1" applyFill="1" applyBorder="1">
      <alignment vertical="center"/>
    </xf>
    <xf numFmtId="168" fontId="43" fillId="6" borderId="66" xfId="1" applyNumberFormat="1" applyFont="1" applyFill="1" applyBorder="1">
      <alignment vertical="center"/>
    </xf>
    <xf numFmtId="166" fontId="43" fillId="5" borderId="3" xfId="1" applyNumberFormat="1" applyFont="1" applyFill="1" applyBorder="1">
      <alignment vertical="center"/>
    </xf>
    <xf numFmtId="166" fontId="43" fillId="5" borderId="4" xfId="1" applyNumberFormat="1" applyFont="1" applyFill="1" applyBorder="1">
      <alignment vertical="center"/>
    </xf>
    <xf numFmtId="166" fontId="43" fillId="5" borderId="5" xfId="1" applyNumberFormat="1" applyFont="1" applyFill="1" applyBorder="1">
      <alignment vertical="center"/>
    </xf>
    <xf numFmtId="166" fontId="43" fillId="5" borderId="16" xfId="1" applyNumberFormat="1" applyFont="1" applyFill="1" applyBorder="1">
      <alignment vertical="center"/>
    </xf>
    <xf numFmtId="166" fontId="43" fillId="5" borderId="0" xfId="1" applyNumberFormat="1" applyFont="1" applyFill="1" applyBorder="1">
      <alignment vertical="center"/>
    </xf>
    <xf numFmtId="0" fontId="43" fillId="0" borderId="23" xfId="1" applyFont="1" applyBorder="1">
      <alignment vertical="center"/>
    </xf>
    <xf numFmtId="0" fontId="43" fillId="0" borderId="16" xfId="1" applyFont="1" applyBorder="1">
      <alignment vertical="center"/>
    </xf>
    <xf numFmtId="0" fontId="43" fillId="5" borderId="24" xfId="1" applyFont="1" applyFill="1" applyBorder="1">
      <alignment vertical="center"/>
    </xf>
    <xf numFmtId="0" fontId="43" fillId="0" borderId="4" xfId="1" applyFont="1" applyBorder="1">
      <alignment vertical="center"/>
    </xf>
    <xf numFmtId="164" fontId="43" fillId="5" borderId="16" xfId="1" applyNumberFormat="1" applyFont="1" applyFill="1" applyBorder="1">
      <alignment vertical="center"/>
    </xf>
    <xf numFmtId="164" fontId="43" fillId="5" borderId="24" xfId="1" applyNumberFormat="1" applyFont="1" applyFill="1" applyBorder="1">
      <alignment vertical="center"/>
    </xf>
    <xf numFmtId="164" fontId="43" fillId="5" borderId="23" xfId="1" applyNumberFormat="1" applyFont="1" applyFill="1" applyBorder="1">
      <alignment vertical="center"/>
    </xf>
    <xf numFmtId="164" fontId="43" fillId="5" borderId="4" xfId="1" applyNumberFormat="1" applyFont="1" applyFill="1" applyBorder="1">
      <alignment vertical="center"/>
    </xf>
    <xf numFmtId="164" fontId="43" fillId="5" borderId="5" xfId="1" applyNumberFormat="1" applyFont="1" applyFill="1" applyBorder="1">
      <alignment vertical="center"/>
    </xf>
    <xf numFmtId="164" fontId="43" fillId="5" borderId="3" xfId="1" applyNumberFormat="1" applyFont="1" applyFill="1" applyBorder="1">
      <alignment vertical="center"/>
    </xf>
    <xf numFmtId="0" fontId="43" fillId="0" borderId="17" xfId="1" applyFont="1" applyBorder="1">
      <alignment vertical="center"/>
    </xf>
    <xf numFmtId="164" fontId="43" fillId="5" borderId="17" xfId="1" applyNumberFormat="1" applyFont="1" applyFill="1" applyBorder="1">
      <alignment vertical="center"/>
    </xf>
    <xf numFmtId="164" fontId="43" fillId="5" borderId="55" xfId="1" applyNumberFormat="1" applyFont="1" applyFill="1" applyBorder="1">
      <alignment vertical="center"/>
    </xf>
    <xf numFmtId="164" fontId="43" fillId="5" borderId="54" xfId="1" applyNumberFormat="1" applyFont="1" applyFill="1" applyBorder="1">
      <alignment vertical="center"/>
    </xf>
    <xf numFmtId="165" fontId="43" fillId="2" borderId="4" xfId="1" applyNumberFormat="1" applyFont="1" applyFill="1" applyBorder="1">
      <alignment vertical="center"/>
    </xf>
    <xf numFmtId="165" fontId="43" fillId="2" borderId="5" xfId="1" applyNumberFormat="1" applyFont="1" applyFill="1" applyBorder="1">
      <alignment vertical="center"/>
    </xf>
    <xf numFmtId="165" fontId="43" fillId="5" borderId="0" xfId="1" applyNumberFormat="1" applyFont="1" applyFill="1" applyBorder="1">
      <alignment vertical="center"/>
    </xf>
    <xf numFmtId="165" fontId="43" fillId="5" borderId="20" xfId="1" applyNumberFormat="1" applyFont="1" applyFill="1" applyBorder="1">
      <alignment vertical="center"/>
    </xf>
    <xf numFmtId="165" fontId="43" fillId="5" borderId="18" xfId="1" applyNumberFormat="1" applyFont="1" applyFill="1" applyBorder="1">
      <alignment vertical="center"/>
    </xf>
    <xf numFmtId="165" fontId="43" fillId="0" borderId="0" xfId="1" applyNumberFormat="1" applyFont="1" applyBorder="1">
      <alignment vertical="center"/>
    </xf>
    <xf numFmtId="167" fontId="43" fillId="5" borderId="0" xfId="1" applyNumberFormat="1" applyFont="1" applyFill="1" applyBorder="1">
      <alignment vertical="center"/>
    </xf>
    <xf numFmtId="167" fontId="43" fillId="5" borderId="20" xfId="1" applyNumberFormat="1" applyFont="1" applyFill="1" applyBorder="1">
      <alignment vertical="center"/>
    </xf>
    <xf numFmtId="167" fontId="43" fillId="5" borderId="18" xfId="1" applyNumberFormat="1" applyFont="1" applyFill="1" applyBorder="1">
      <alignment vertical="center"/>
    </xf>
    <xf numFmtId="165" fontId="43" fillId="5" borderId="17" xfId="1" applyNumberFormat="1" applyFont="1" applyFill="1" applyBorder="1">
      <alignment vertical="center"/>
    </xf>
    <xf numFmtId="165" fontId="43" fillId="5" borderId="55" xfId="1" applyNumberFormat="1" applyFont="1" applyFill="1" applyBorder="1">
      <alignment vertical="center"/>
    </xf>
    <xf numFmtId="165" fontId="43" fillId="5" borderId="54" xfId="1" applyNumberFormat="1" applyFont="1" applyFill="1" applyBorder="1">
      <alignment vertical="center"/>
    </xf>
    <xf numFmtId="165" fontId="43" fillId="0" borderId="17" xfId="1" applyNumberFormat="1" applyFont="1" applyBorder="1">
      <alignment vertical="center"/>
    </xf>
    <xf numFmtId="167" fontId="43" fillId="0" borderId="0" xfId="0" applyNumberFormat="1" applyFont="1">
      <alignment vertical="center"/>
    </xf>
    <xf numFmtId="0" fontId="43" fillId="5" borderId="0" xfId="0" applyFont="1" applyFill="1">
      <alignment vertical="center"/>
    </xf>
    <xf numFmtId="0" fontId="43" fillId="10" borderId="0" xfId="1" applyFont="1" applyFill="1" applyBorder="1" applyAlignment="1" applyProtection="1">
      <alignment horizontal="center" vertical="center"/>
    </xf>
    <xf numFmtId="0" fontId="43" fillId="10" borderId="29" xfId="1" applyFont="1" applyFill="1" applyBorder="1" applyProtection="1">
      <alignment vertical="center"/>
    </xf>
    <xf numFmtId="0" fontId="43" fillId="10" borderId="7" xfId="1" applyFont="1" applyFill="1" applyBorder="1" applyAlignment="1" applyProtection="1">
      <alignment horizontal="center" vertical="center"/>
    </xf>
    <xf numFmtId="0" fontId="43" fillId="10" borderId="10" xfId="1" applyFont="1" applyFill="1" applyBorder="1" applyProtection="1">
      <alignment vertical="center"/>
    </xf>
    <xf numFmtId="0" fontId="43" fillId="10" borderId="39" xfId="1" applyFont="1" applyFill="1" applyBorder="1" applyAlignment="1" applyProtection="1">
      <alignment horizontal="center" vertical="center"/>
    </xf>
    <xf numFmtId="0" fontId="43" fillId="10" borderId="49" xfId="1" applyFont="1" applyFill="1" applyBorder="1" applyAlignment="1" applyProtection="1">
      <alignment vertical="center"/>
    </xf>
    <xf numFmtId="0" fontId="43" fillId="10" borderId="48" xfId="1" applyFont="1" applyFill="1" applyBorder="1" applyAlignment="1" applyProtection="1">
      <alignment vertical="center"/>
    </xf>
    <xf numFmtId="0" fontId="43" fillId="10" borderId="1" xfId="1" applyFont="1" applyFill="1" applyBorder="1" applyAlignment="1" applyProtection="1">
      <alignment horizontal="center" vertical="center"/>
    </xf>
    <xf numFmtId="168" fontId="43" fillId="10" borderId="1" xfId="1" applyNumberFormat="1" applyFont="1" applyFill="1" applyBorder="1" applyAlignment="1" applyProtection="1">
      <alignment horizontal="center" vertical="center"/>
    </xf>
    <xf numFmtId="168" fontId="43" fillId="10" borderId="39" xfId="1" applyNumberFormat="1" applyFont="1" applyFill="1" applyBorder="1" applyAlignment="1" applyProtection="1">
      <alignment vertical="center"/>
    </xf>
    <xf numFmtId="9" fontId="43" fillId="10" borderId="10" xfId="1" applyNumberFormat="1" applyFont="1" applyFill="1" applyBorder="1" applyAlignment="1" applyProtection="1">
      <alignment horizontal="center" vertical="center"/>
    </xf>
    <xf numFmtId="9" fontId="43" fillId="10" borderId="7" xfId="1" applyNumberFormat="1" applyFont="1" applyFill="1" applyBorder="1" applyAlignment="1" applyProtection="1">
      <alignment horizontal="center" vertical="center"/>
    </xf>
    <xf numFmtId="168" fontId="43" fillId="10" borderId="31" xfId="1" applyNumberFormat="1" applyFont="1" applyFill="1" applyBorder="1" applyAlignment="1" applyProtection="1">
      <alignment vertical="center"/>
    </xf>
    <xf numFmtId="9" fontId="43" fillId="10" borderId="1" xfId="1" applyNumberFormat="1" applyFont="1" applyFill="1" applyBorder="1" applyAlignment="1" applyProtection="1">
      <alignment horizontal="center" vertical="center"/>
    </xf>
    <xf numFmtId="0" fontId="43" fillId="10" borderId="1" xfId="1" applyFont="1" applyFill="1" applyBorder="1" applyAlignment="1" applyProtection="1">
      <alignment horizontal="right" vertical="center"/>
    </xf>
    <xf numFmtId="167" fontId="43" fillId="2" borderId="0" xfId="1" applyNumberFormat="1" applyFont="1" applyFill="1" applyBorder="1" applyAlignment="1" applyProtection="1">
      <alignment horizontal="center" vertical="center"/>
    </xf>
    <xf numFmtId="49" fontId="43" fillId="2" borderId="8" xfId="1" applyNumberFormat="1" applyFont="1" applyFill="1" applyBorder="1" applyAlignment="1" applyProtection="1">
      <alignment horizontal="center" vertical="center"/>
    </xf>
    <xf numFmtId="166" fontId="43" fillId="2" borderId="8" xfId="1" applyNumberFormat="1" applyFont="1" applyFill="1" applyBorder="1" applyAlignment="1" applyProtection="1">
      <alignment horizontal="center" vertical="center"/>
    </xf>
    <xf numFmtId="0" fontId="43" fillId="2" borderId="12" xfId="1" applyFont="1" applyFill="1" applyBorder="1" applyAlignment="1" applyProtection="1">
      <alignment horizontal="right" vertical="center"/>
    </xf>
    <xf numFmtId="0" fontId="27" fillId="2" borderId="41" xfId="1" applyFont="1" applyFill="1" applyBorder="1" applyAlignment="1" applyProtection="1">
      <alignment horizontal="left" vertical="center"/>
    </xf>
    <xf numFmtId="0" fontId="27" fillId="6" borderId="41" xfId="1" applyFont="1" applyFill="1" applyBorder="1" applyAlignment="1" applyProtection="1">
      <alignment horizontal="left" vertical="center"/>
    </xf>
    <xf numFmtId="0" fontId="43" fillId="11" borderId="7" xfId="1" applyFont="1" applyFill="1" applyBorder="1" applyAlignment="1" applyProtection="1">
      <alignment vertical="center"/>
    </xf>
    <xf numFmtId="0" fontId="29" fillId="2" borderId="0" xfId="1" applyFont="1" applyFill="1" applyAlignment="1" applyProtection="1">
      <alignment horizontal="right" vertical="center"/>
    </xf>
    <xf numFmtId="0" fontId="43" fillId="2" borderId="8" xfId="1" applyFont="1" applyFill="1" applyBorder="1" applyAlignment="1" applyProtection="1">
      <alignment vertical="center"/>
    </xf>
    <xf numFmtId="49" fontId="43" fillId="0" borderId="1" xfId="1" applyNumberFormat="1" applyFont="1" applyFill="1" applyBorder="1" applyAlignment="1" applyProtection="1">
      <alignment horizontal="center" vertical="center"/>
    </xf>
    <xf numFmtId="175" fontId="43" fillId="0" borderId="1" xfId="1" applyNumberFormat="1" applyFont="1" applyFill="1" applyBorder="1" applyAlignment="1" applyProtection="1">
      <alignment horizontal="center" vertical="center"/>
    </xf>
    <xf numFmtId="0" fontId="43" fillId="2" borderId="41" xfId="1" applyFont="1" applyFill="1" applyBorder="1" applyAlignment="1" applyProtection="1">
      <alignment vertical="center"/>
    </xf>
    <xf numFmtId="0" fontId="43" fillId="0" borderId="0" xfId="1" applyFont="1" applyFill="1" applyBorder="1" applyAlignment="1" applyProtection="1">
      <alignment vertical="center"/>
    </xf>
    <xf numFmtId="49" fontId="43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Protection="1">
      <alignment vertical="center"/>
    </xf>
    <xf numFmtId="0" fontId="43" fillId="11" borderId="31" xfId="1" applyFont="1" applyFill="1" applyBorder="1" applyProtection="1">
      <alignment vertical="center"/>
    </xf>
    <xf numFmtId="0" fontId="43" fillId="11" borderId="7" xfId="1" applyFont="1" applyFill="1" applyBorder="1" applyProtection="1">
      <alignment vertical="center"/>
    </xf>
    <xf numFmtId="0" fontId="43" fillId="2" borderId="31" xfId="1" applyFont="1" applyFill="1" applyBorder="1" applyAlignment="1" applyProtection="1">
      <alignment vertical="center" wrapText="1"/>
    </xf>
    <xf numFmtId="164" fontId="43" fillId="5" borderId="31" xfId="1" applyNumberFormat="1" applyFont="1" applyFill="1" applyBorder="1" applyAlignment="1" applyProtection="1">
      <alignment vertical="center"/>
    </xf>
    <xf numFmtId="173" fontId="43" fillId="0" borderId="1" xfId="1" applyNumberFormat="1" applyFont="1" applyFill="1" applyBorder="1" applyAlignment="1">
      <alignment vertical="center" wrapText="1"/>
    </xf>
    <xf numFmtId="173" fontId="43" fillId="0" borderId="0" xfId="1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Alignment="1">
      <alignment vertical="center" wrapText="1"/>
    </xf>
    <xf numFmtId="173" fontId="43" fillId="4" borderId="1" xfId="1" applyNumberFormat="1" applyFont="1" applyFill="1" applyBorder="1" applyAlignment="1">
      <alignment vertical="center" wrapText="1"/>
    </xf>
    <xf numFmtId="0" fontId="43" fillId="2" borderId="0" xfId="1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quotePrefix="1" applyFont="1" applyBorder="1" applyAlignment="1">
      <alignment vertical="center" wrapText="1"/>
    </xf>
    <xf numFmtId="166" fontId="43" fillId="5" borderId="1" xfId="1" applyNumberFormat="1" applyFont="1" applyFill="1" applyBorder="1" applyAlignment="1" applyProtection="1">
      <alignment vertical="center"/>
    </xf>
    <xf numFmtId="168" fontId="43" fillId="2" borderId="1" xfId="1" applyNumberFormat="1" applyFont="1" applyFill="1" applyBorder="1" applyAlignment="1" applyProtection="1">
      <alignment vertical="center"/>
    </xf>
    <xf numFmtId="0" fontId="4" fillId="0" borderId="1" xfId="1" applyFont="1" applyBorder="1" applyAlignment="1">
      <alignment vertical="center" wrapText="1"/>
    </xf>
    <xf numFmtId="173" fontId="16" fillId="0" borderId="1" xfId="1" applyNumberFormat="1" applyFont="1" applyFill="1" applyBorder="1">
      <alignment vertical="center"/>
    </xf>
    <xf numFmtId="0" fontId="16" fillId="0" borderId="1" xfId="1" applyFont="1" applyBorder="1">
      <alignment vertical="center"/>
    </xf>
    <xf numFmtId="164" fontId="16" fillId="0" borderId="1" xfId="1" applyNumberFormat="1" applyFont="1" applyBorder="1">
      <alignment vertical="center"/>
    </xf>
    <xf numFmtId="168" fontId="16" fillId="2" borderId="1" xfId="1" applyNumberFormat="1" applyFont="1" applyFill="1" applyBorder="1" applyAlignment="1" applyProtection="1">
      <alignment vertical="center"/>
    </xf>
    <xf numFmtId="0" fontId="16" fillId="2" borderId="0" xfId="1" applyNumberFormat="1" applyFont="1" applyFill="1" applyBorder="1" applyAlignment="1">
      <alignment horizontal="center" vertical="center"/>
    </xf>
    <xf numFmtId="0" fontId="43" fillId="2" borderId="7" xfId="1" applyFont="1" applyFill="1" applyBorder="1" applyAlignment="1" applyProtection="1">
      <alignment horizontal="center" vertical="center" wrapText="1"/>
    </xf>
    <xf numFmtId="0" fontId="16" fillId="2" borderId="0" xfId="1" applyFont="1" applyFill="1" applyProtection="1">
      <alignment vertical="center"/>
    </xf>
    <xf numFmtId="0" fontId="45" fillId="2" borderId="0" xfId="1" applyFont="1" applyFill="1" applyBorder="1" applyAlignment="1" applyProtection="1"/>
    <xf numFmtId="0" fontId="23" fillId="2" borderId="0" xfId="1" applyFont="1" applyFill="1" applyBorder="1" applyAlignment="1" applyProtection="1"/>
    <xf numFmtId="0" fontId="46" fillId="2" borderId="29" xfId="1" applyFont="1" applyFill="1" applyBorder="1" applyAlignment="1" applyProtection="1">
      <alignment horizontal="right" vertical="center"/>
    </xf>
    <xf numFmtId="0" fontId="46" fillId="2" borderId="10" xfId="1" applyFont="1" applyFill="1" applyBorder="1" applyAlignment="1" applyProtection="1">
      <alignment horizontal="right" vertical="center"/>
    </xf>
    <xf numFmtId="0" fontId="23" fillId="2" borderId="1" xfId="1" applyFont="1" applyFill="1" applyBorder="1" applyAlignment="1" applyProtection="1">
      <alignment vertical="center"/>
    </xf>
    <xf numFmtId="0" fontId="46" fillId="2" borderId="1" xfId="1" applyFont="1" applyFill="1" applyBorder="1" applyProtection="1">
      <alignment vertical="center"/>
    </xf>
    <xf numFmtId="0" fontId="46" fillId="2" borderId="1" xfId="1" applyFont="1" applyFill="1" applyBorder="1" applyAlignment="1" applyProtection="1">
      <alignment vertical="center"/>
    </xf>
    <xf numFmtId="0" fontId="46" fillId="0" borderId="0" xfId="1" applyFont="1" applyFill="1" applyBorder="1" applyAlignment="1" applyProtection="1">
      <alignment vertical="center"/>
    </xf>
    <xf numFmtId="0" fontId="46" fillId="2" borderId="1" xfId="1" applyFont="1" applyFill="1" applyBorder="1" applyAlignment="1" applyProtection="1">
      <alignment horizontal="right" vertical="center" wrapText="1"/>
    </xf>
    <xf numFmtId="0" fontId="23" fillId="2" borderId="0" xfId="1" applyFont="1" applyFill="1" applyBorder="1" applyAlignment="1" applyProtection="1">
      <alignment horizontal="left" vertical="center"/>
    </xf>
    <xf numFmtId="0" fontId="47" fillId="2" borderId="0" xfId="1" applyFont="1" applyFill="1" applyProtection="1">
      <alignment vertical="center"/>
    </xf>
    <xf numFmtId="0" fontId="23" fillId="2" borderId="10" xfId="1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>
      <alignment vertical="center"/>
    </xf>
    <xf numFmtId="0" fontId="20" fillId="2" borderId="0" xfId="1" applyFont="1" applyFill="1" applyAlignment="1" applyProtection="1">
      <alignment horizontal="left" vertical="center"/>
    </xf>
    <xf numFmtId="0" fontId="23" fillId="2" borderId="0" xfId="1" applyFont="1" applyFill="1" applyProtection="1">
      <alignment vertical="center"/>
    </xf>
    <xf numFmtId="0" fontId="46" fillId="2" borderId="31" xfId="1" applyFont="1" applyFill="1" applyBorder="1" applyAlignment="1" applyProtection="1">
      <alignment vertical="center"/>
    </xf>
    <xf numFmtId="0" fontId="45" fillId="2" borderId="0" xfId="1" applyFont="1" applyFill="1" applyProtection="1">
      <alignment vertical="center"/>
    </xf>
    <xf numFmtId="0" fontId="16" fillId="2" borderId="23" xfId="1" applyFont="1" applyFill="1" applyBorder="1" applyAlignment="1" applyProtection="1">
      <alignment vertical="center"/>
    </xf>
    <xf numFmtId="0" fontId="43" fillId="2" borderId="66" xfId="1" applyFont="1" applyFill="1" applyBorder="1" applyAlignment="1" applyProtection="1">
      <alignment horizontal="center" vertical="center"/>
    </xf>
    <xf numFmtId="0" fontId="16" fillId="2" borderId="3" xfId="1" applyFont="1" applyFill="1" applyBorder="1" applyAlignment="1" applyProtection="1">
      <alignment vertical="center"/>
    </xf>
    <xf numFmtId="0" fontId="23" fillId="0" borderId="0" xfId="1" applyFont="1" applyProtection="1">
      <alignment vertical="center"/>
    </xf>
    <xf numFmtId="0" fontId="23" fillId="2" borderId="31" xfId="1" applyFont="1" applyFill="1" applyBorder="1" applyAlignment="1" applyProtection="1">
      <alignment vertical="center"/>
    </xf>
    <xf numFmtId="0" fontId="43" fillId="2" borderId="64" xfId="1" applyFont="1" applyFill="1" applyBorder="1" applyAlignment="1" applyProtection="1">
      <alignment horizontal="center" vertical="center"/>
    </xf>
    <xf numFmtId="0" fontId="43" fillId="2" borderId="65" xfId="1" applyFont="1" applyFill="1" applyBorder="1" applyAlignment="1" applyProtection="1">
      <alignment horizontal="center" vertical="center"/>
    </xf>
    <xf numFmtId="0" fontId="43" fillId="0" borderId="0" xfId="0" applyFont="1" applyBorder="1" applyProtection="1">
      <alignment vertical="center"/>
    </xf>
    <xf numFmtId="0" fontId="4" fillId="0" borderId="0" xfId="1" applyFont="1" applyFill="1" applyAlignment="1" applyProtection="1"/>
    <xf numFmtId="168" fontId="43" fillId="3" borderId="1" xfId="1" applyNumberFormat="1" applyFont="1" applyFill="1" applyBorder="1" applyAlignment="1" applyProtection="1">
      <alignment vertical="center"/>
    </xf>
    <xf numFmtId="0" fontId="43" fillId="3" borderId="1" xfId="1" applyFont="1" applyFill="1" applyBorder="1" applyAlignment="1" applyProtection="1">
      <alignment horizontal="center" vertical="center"/>
    </xf>
    <xf numFmtId="9" fontId="43" fillId="3" borderId="1" xfId="1" applyNumberFormat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43" fillId="3" borderId="1" xfId="1" applyFont="1" applyFill="1" applyBorder="1" applyAlignment="1" applyProtection="1">
      <alignment vertical="center"/>
    </xf>
    <xf numFmtId="166" fontId="43" fillId="3" borderId="1" xfId="1" applyNumberFormat="1" applyFont="1" applyFill="1" applyBorder="1" applyProtection="1">
      <alignment vertical="center"/>
    </xf>
    <xf numFmtId="170" fontId="43" fillId="3" borderId="1" xfId="1" applyNumberFormat="1" applyFont="1" applyFill="1" applyBorder="1" applyAlignment="1" applyProtection="1">
      <alignment horizontal="center" vertical="center"/>
    </xf>
    <xf numFmtId="168" fontId="43" fillId="3" borderId="1" xfId="1" applyNumberFormat="1" applyFont="1" applyFill="1" applyBorder="1" applyAlignment="1" applyProtection="1">
      <alignment horizontal="center" vertical="center"/>
    </xf>
    <xf numFmtId="9" fontId="43" fillId="3" borderId="48" xfId="1" applyNumberFormat="1" applyFont="1" applyFill="1" applyBorder="1" applyAlignment="1" applyProtection="1">
      <alignment horizontal="center" vertical="center"/>
    </xf>
    <xf numFmtId="9" fontId="43" fillId="3" borderId="7" xfId="1" applyNumberFormat="1" applyFont="1" applyFill="1" applyBorder="1" applyAlignment="1" applyProtection="1">
      <alignment horizontal="center" vertical="center"/>
    </xf>
    <xf numFmtId="175" fontId="43" fillId="3" borderId="1" xfId="1" applyNumberFormat="1" applyFont="1" applyFill="1" applyBorder="1" applyAlignment="1" applyProtection="1">
      <alignment horizontal="center" vertical="center"/>
    </xf>
    <xf numFmtId="0" fontId="43" fillId="0" borderId="0" xfId="1" applyFont="1" applyFill="1" applyBorder="1" applyProtection="1">
      <alignment vertical="center"/>
    </xf>
    <xf numFmtId="0" fontId="43" fillId="3" borderId="7" xfId="1" applyFont="1" applyFill="1" applyBorder="1" applyAlignment="1" applyProtection="1">
      <alignment horizontal="center" vertical="center"/>
    </xf>
    <xf numFmtId="0" fontId="43" fillId="5" borderId="1" xfId="1" applyFont="1" applyFill="1" applyBorder="1" applyAlignment="1" applyProtection="1">
      <alignment horizontal="center" vertical="center"/>
    </xf>
    <xf numFmtId="0" fontId="43" fillId="3" borderId="28" xfId="1" applyFont="1" applyFill="1" applyBorder="1" applyAlignment="1" applyProtection="1">
      <alignment horizontal="center" vertical="center"/>
    </xf>
    <xf numFmtId="165" fontId="43" fillId="3" borderId="1" xfId="1" applyNumberFormat="1" applyFont="1" applyFill="1" applyBorder="1" applyProtection="1">
      <alignment vertical="center"/>
    </xf>
    <xf numFmtId="165" fontId="43" fillId="3" borderId="31" xfId="1" applyNumberFormat="1" applyFont="1" applyFill="1" applyBorder="1" applyAlignment="1" applyProtection="1">
      <alignment vertical="center"/>
    </xf>
    <xf numFmtId="167" fontId="43" fillId="3" borderId="31" xfId="1" applyNumberFormat="1" applyFont="1" applyFill="1" applyBorder="1" applyAlignment="1" applyProtection="1">
      <alignment vertical="center"/>
    </xf>
    <xf numFmtId="165" fontId="43" fillId="3" borderId="29" xfId="1" applyNumberFormat="1" applyFont="1" applyFill="1" applyBorder="1" applyAlignment="1" applyProtection="1">
      <alignment horizontal="center" vertical="center"/>
    </xf>
    <xf numFmtId="165" fontId="43" fillId="3" borderId="1" xfId="1" applyNumberFormat="1" applyFont="1" applyFill="1" applyBorder="1" applyAlignment="1" applyProtection="1">
      <alignment horizontal="center" vertical="center"/>
    </xf>
    <xf numFmtId="0" fontId="4" fillId="0" borderId="8" xfId="1" applyFont="1" applyFill="1" applyBorder="1" applyProtection="1">
      <alignment vertical="center"/>
    </xf>
    <xf numFmtId="0" fontId="4" fillId="0" borderId="7" xfId="1" applyFont="1" applyFill="1" applyBorder="1" applyProtection="1">
      <alignment vertical="center"/>
    </xf>
    <xf numFmtId="0" fontId="4" fillId="0" borderId="1" xfId="1" applyFont="1" applyBorder="1" applyAlignment="1" applyProtection="1">
      <alignment horizontal="center" vertical="center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10" fontId="43" fillId="5" borderId="1" xfId="1" applyNumberFormat="1" applyFont="1" applyFill="1" applyBorder="1" applyAlignment="1" applyProtection="1">
      <alignment horizontal="center" vertical="center"/>
    </xf>
    <xf numFmtId="0" fontId="11" fillId="7" borderId="31" xfId="0" applyFont="1" applyFill="1" applyBorder="1" applyProtection="1">
      <alignment vertical="center"/>
    </xf>
    <xf numFmtId="14" fontId="43" fillId="0" borderId="1" xfId="1" applyNumberFormat="1" applyFont="1" applyFill="1" applyBorder="1" applyAlignment="1" applyProtection="1">
      <alignment horizontal="center" vertical="center"/>
    </xf>
    <xf numFmtId="169" fontId="43" fillId="6" borderId="1" xfId="1" applyNumberFormat="1" applyFont="1" applyFill="1" applyBorder="1" applyAlignment="1" applyProtection="1">
      <alignment vertical="center"/>
    </xf>
    <xf numFmtId="0" fontId="43" fillId="0" borderId="31" xfId="1" applyFont="1" applyFill="1" applyBorder="1" applyAlignment="1" applyProtection="1">
      <alignment horizontal="left" vertical="center"/>
    </xf>
    <xf numFmtId="173" fontId="0" fillId="5" borderId="1" xfId="0" applyNumberFormat="1" applyFill="1" applyBorder="1" applyProtection="1">
      <alignment vertical="center"/>
    </xf>
    <xf numFmtId="0" fontId="31" fillId="0" borderId="31" xfId="1" applyFont="1" applyFill="1" applyBorder="1" applyAlignment="1" applyProtection="1">
      <alignment horizontal="right" vertical="center"/>
    </xf>
    <xf numFmtId="173" fontId="31" fillId="5" borderId="1" xfId="0" applyNumberFormat="1" applyFont="1" applyFill="1" applyBorder="1" applyProtection="1">
      <alignment vertical="center"/>
    </xf>
    <xf numFmtId="10" fontId="31" fillId="5" borderId="1" xfId="0" applyNumberFormat="1" applyFont="1" applyFill="1" applyBorder="1" applyProtection="1">
      <alignment vertical="center"/>
    </xf>
    <xf numFmtId="164" fontId="31" fillId="5" borderId="1" xfId="0" applyNumberFormat="1" applyFont="1" applyFill="1" applyBorder="1" applyProtection="1">
      <alignment vertical="center"/>
    </xf>
    <xf numFmtId="0" fontId="43" fillId="0" borderId="31" xfId="1" applyFont="1" applyFill="1" applyBorder="1" applyAlignment="1" applyProtection="1">
      <alignment horizontal="right" vertical="center"/>
    </xf>
    <xf numFmtId="173" fontId="43" fillId="0" borderId="1" xfId="1" applyNumberFormat="1" applyFont="1" applyBorder="1" applyProtection="1">
      <alignment vertical="center"/>
    </xf>
    <xf numFmtId="10" fontId="31" fillId="0" borderId="1" xfId="1" applyNumberFormat="1" applyFont="1" applyBorder="1" applyProtection="1">
      <alignment vertical="center"/>
    </xf>
    <xf numFmtId="164" fontId="43" fillId="0" borderId="1" xfId="1" applyNumberFormat="1" applyFont="1" applyBorder="1" applyProtection="1">
      <alignment vertical="center"/>
    </xf>
    <xf numFmtId="0" fontId="14" fillId="0" borderId="31" xfId="1" applyFont="1" applyFill="1" applyBorder="1" applyAlignment="1" applyProtection="1">
      <alignment horizontal="right" vertical="center"/>
    </xf>
    <xf numFmtId="0" fontId="11" fillId="0" borderId="31" xfId="1" applyFont="1" applyFill="1" applyBorder="1" applyAlignment="1" applyProtection="1">
      <alignment horizontal="left" vertical="center"/>
    </xf>
    <xf numFmtId="164" fontId="31" fillId="0" borderId="1" xfId="1" applyNumberFormat="1" applyFont="1" applyBorder="1" applyProtection="1">
      <alignment vertical="center"/>
    </xf>
    <xf numFmtId="0" fontId="43" fillId="0" borderId="41" xfId="1" applyFont="1" applyFill="1" applyBorder="1" applyAlignment="1" applyProtection="1">
      <alignment horizontal="right" vertical="center"/>
    </xf>
    <xf numFmtId="10" fontId="0" fillId="5" borderId="1" xfId="0" applyNumberFormat="1" applyFill="1" applyBorder="1" applyProtection="1">
      <alignment vertical="center"/>
    </xf>
    <xf numFmtId="0" fontId="9" fillId="0" borderId="31" xfId="1" applyFont="1" applyFill="1" applyBorder="1" applyAlignment="1" applyProtection="1">
      <alignment horizontal="left" vertical="center"/>
    </xf>
    <xf numFmtId="0" fontId="43" fillId="0" borderId="1" xfId="1" applyFont="1" applyFill="1" applyBorder="1" applyAlignment="1" applyProtection="1">
      <alignment horizontal="right" vertical="center"/>
    </xf>
    <xf numFmtId="10" fontId="43" fillId="0" borderId="1" xfId="1" applyNumberFormat="1" applyFont="1" applyFill="1" applyBorder="1" applyProtection="1">
      <alignment vertical="center"/>
    </xf>
    <xf numFmtId="173" fontId="43" fillId="4" borderId="1" xfId="1" applyNumberFormat="1" applyFont="1" applyFill="1" applyBorder="1" applyProtection="1">
      <alignment vertical="center"/>
    </xf>
    <xf numFmtId="10" fontId="43" fillId="0" borderId="1" xfId="1" applyNumberFormat="1" applyFont="1" applyBorder="1" applyProtection="1">
      <alignment vertical="center"/>
    </xf>
    <xf numFmtId="174" fontId="31" fillId="5" borderId="1" xfId="0" applyNumberFormat="1" applyFont="1" applyFill="1" applyBorder="1" applyProtection="1">
      <alignment vertical="center"/>
    </xf>
    <xf numFmtId="0" fontId="31" fillId="0" borderId="31" xfId="1" applyFont="1" applyBorder="1" applyAlignment="1" applyProtection="1">
      <alignment horizontal="right" vertical="center"/>
    </xf>
    <xf numFmtId="10" fontId="31" fillId="3" borderId="1" xfId="0" applyNumberFormat="1" applyFont="1" applyFill="1" applyBorder="1" applyProtection="1">
      <alignment vertical="center"/>
    </xf>
    <xf numFmtId="14" fontId="43" fillId="0" borderId="0" xfId="1" applyNumberFormat="1" applyFont="1" applyFill="1" applyBorder="1" applyAlignment="1" applyProtection="1">
      <alignment horizontal="center" vertical="center"/>
    </xf>
    <xf numFmtId="0" fontId="43" fillId="0" borderId="0" xfId="1" applyFont="1" applyFill="1" applyBorder="1" applyAlignment="1" applyProtection="1">
      <alignment horizontal="left" vertical="center"/>
    </xf>
    <xf numFmtId="0" fontId="43" fillId="7" borderId="1" xfId="1" applyFont="1" applyFill="1" applyBorder="1" applyAlignment="1" applyProtection="1">
      <alignment horizontal="center" vertical="center"/>
    </xf>
    <xf numFmtId="166" fontId="43" fillId="6" borderId="1" xfId="1" applyNumberFormat="1" applyFont="1" applyFill="1" applyBorder="1" applyAlignment="1" applyProtection="1">
      <alignment vertical="center" wrapText="1"/>
    </xf>
    <xf numFmtId="0" fontId="43" fillId="0" borderId="31" xfId="1" applyFont="1" applyBorder="1" applyProtection="1">
      <alignment vertical="center"/>
    </xf>
    <xf numFmtId="10" fontId="0" fillId="3" borderId="1" xfId="0" applyNumberFormat="1" applyFill="1" applyBorder="1" applyProtection="1">
      <alignment vertical="center"/>
    </xf>
    <xf numFmtId="0" fontId="43" fillId="0" borderId="1" xfId="1" applyFont="1" applyFill="1" applyBorder="1" applyProtection="1">
      <alignment vertical="center"/>
    </xf>
    <xf numFmtId="0" fontId="4" fillId="0" borderId="0" xfId="1" applyFont="1" applyFill="1" applyBorder="1" applyProtection="1">
      <alignment vertical="center"/>
    </xf>
    <xf numFmtId="166" fontId="43" fillId="0" borderId="1" xfId="1" applyNumberFormat="1" applyFont="1" applyBorder="1" applyProtection="1">
      <alignment vertical="center"/>
    </xf>
    <xf numFmtId="10" fontId="43" fillId="5" borderId="1" xfId="1" applyNumberFormat="1" applyFont="1" applyFill="1" applyBorder="1" applyProtection="1">
      <alignment vertical="center"/>
    </xf>
    <xf numFmtId="10" fontId="43" fillId="0" borderId="0" xfId="1" applyNumberFormat="1" applyFont="1" applyFill="1" applyBorder="1" applyProtection="1">
      <alignment vertical="center"/>
    </xf>
    <xf numFmtId="0" fontId="0" fillId="2" borderId="1" xfId="0" applyFill="1" applyBorder="1" applyProtection="1">
      <alignment vertical="center"/>
    </xf>
    <xf numFmtId="169" fontId="43" fillId="3" borderId="1" xfId="1" applyNumberFormat="1" applyFont="1" applyFill="1" applyBorder="1" applyProtection="1">
      <alignment vertical="center"/>
    </xf>
    <xf numFmtId="10" fontId="43" fillId="3" borderId="1" xfId="1" applyNumberFormat="1" applyFont="1" applyFill="1" applyBorder="1" applyAlignment="1" applyProtection="1">
      <alignment horizontal="right" vertical="center"/>
    </xf>
    <xf numFmtId="169" fontId="43" fillId="3" borderId="1" xfId="1" applyNumberFormat="1" applyFont="1" applyFill="1" applyBorder="1" applyAlignment="1" applyProtection="1">
      <alignment horizontal="right" vertical="center"/>
    </xf>
    <xf numFmtId="170" fontId="43" fillId="6" borderId="1" xfId="1" applyNumberFormat="1" applyFont="1" applyFill="1" applyBorder="1" applyAlignment="1" applyProtection="1">
      <alignment horizontal="right" vertical="center"/>
    </xf>
    <xf numFmtId="165" fontId="43" fillId="5" borderId="1" xfId="1" applyNumberFormat="1" applyFont="1" applyFill="1" applyBorder="1" applyProtection="1">
      <alignment vertical="center"/>
    </xf>
    <xf numFmtId="0" fontId="43" fillId="0" borderId="31" xfId="1" applyFont="1" applyFill="1" applyBorder="1" applyAlignment="1" applyProtection="1">
      <alignment vertical="center"/>
    </xf>
    <xf numFmtId="0" fontId="43" fillId="6" borderId="1" xfId="1" applyFont="1" applyFill="1" applyBorder="1" applyAlignment="1" applyProtection="1">
      <alignment horizontal="right" vertical="center"/>
    </xf>
    <xf numFmtId="165" fontId="43" fillId="5" borderId="1" xfId="1" applyNumberFormat="1" applyFont="1" applyFill="1" applyBorder="1" applyAlignment="1" applyProtection="1">
      <alignment horizontal="right" vertical="center"/>
    </xf>
    <xf numFmtId="0" fontId="43" fillId="0" borderId="0" xfId="1" applyFont="1" applyFill="1" applyBorder="1" applyAlignment="1" applyProtection="1">
      <alignment horizontal="center" vertical="center"/>
    </xf>
    <xf numFmtId="168" fontId="43" fillId="6" borderId="1" xfId="1" applyNumberFormat="1" applyFont="1" applyFill="1" applyBorder="1" applyAlignment="1" applyProtection="1">
      <alignment vertical="center"/>
    </xf>
    <xf numFmtId="166" fontId="43" fillId="0" borderId="0" xfId="1" applyNumberFormat="1" applyFont="1" applyFill="1" applyBorder="1" applyAlignment="1" applyProtection="1">
      <alignment vertical="center" wrapText="1"/>
    </xf>
    <xf numFmtId="0" fontId="43" fillId="0" borderId="0" xfId="1" applyFont="1" applyBorder="1" applyProtection="1">
      <alignment vertical="center"/>
    </xf>
    <xf numFmtId="164" fontId="43" fillId="2" borderId="0" xfId="1" applyNumberFormat="1" applyFont="1" applyFill="1" applyBorder="1" applyProtection="1">
      <alignment vertical="center"/>
    </xf>
    <xf numFmtId="10" fontId="0" fillId="0" borderId="0" xfId="0" applyNumberFormat="1" applyFill="1" applyBorder="1" applyProtection="1">
      <alignment vertical="center"/>
    </xf>
    <xf numFmtId="10" fontId="43" fillId="2" borderId="0" xfId="1" applyNumberFormat="1" applyFont="1" applyFill="1" applyBorder="1" applyProtection="1">
      <alignment vertical="center"/>
    </xf>
    <xf numFmtId="0" fontId="5" fillId="2" borderId="0" xfId="1" applyFont="1" applyFill="1" applyAlignment="1" applyProtection="1">
      <alignment vertical="center"/>
    </xf>
    <xf numFmtId="0" fontId="43" fillId="2" borderId="1" xfId="1" applyFont="1" applyFill="1" applyBorder="1" applyAlignment="1" applyProtection="1">
      <alignment horizontal="left" vertical="center"/>
    </xf>
    <xf numFmtId="166" fontId="43" fillId="3" borderId="1" xfId="1" applyNumberFormat="1" applyFont="1" applyFill="1" applyBorder="1" applyAlignment="1" applyProtection="1">
      <alignment vertical="center" wrapText="1"/>
    </xf>
    <xf numFmtId="173" fontId="43" fillId="0" borderId="0" xfId="1" applyNumberFormat="1" applyFont="1" applyFill="1" applyBorder="1" applyProtection="1">
      <alignment vertical="center"/>
    </xf>
    <xf numFmtId="168" fontId="43" fillId="0" borderId="0" xfId="1" applyNumberFormat="1" applyFont="1" applyFill="1" applyBorder="1" applyProtection="1">
      <alignment vertical="center"/>
    </xf>
    <xf numFmtId="169" fontId="43" fillId="0" borderId="0" xfId="1" applyNumberFormat="1" applyFont="1" applyFill="1" applyBorder="1" applyAlignment="1" applyProtection="1">
      <alignment vertical="center"/>
    </xf>
    <xf numFmtId="9" fontId="43" fillId="6" borderId="1" xfId="1" applyNumberFormat="1" applyFont="1" applyFill="1" applyBorder="1" applyAlignment="1" applyProtection="1">
      <alignment horizontal="right" vertical="center"/>
    </xf>
    <xf numFmtId="173" fontId="0" fillId="0" borderId="0" xfId="0" applyNumberFormat="1" applyFill="1" applyBorder="1" applyProtection="1">
      <alignment vertical="center"/>
    </xf>
    <xf numFmtId="0" fontId="14" fillId="14" borderId="1" xfId="0" applyFont="1" applyFill="1" applyBorder="1" applyProtection="1">
      <alignment vertical="center"/>
    </xf>
    <xf numFmtId="0" fontId="14" fillId="4" borderId="1" xfId="0" applyFont="1" applyFill="1" applyBorder="1" applyProtection="1">
      <alignment vertical="center"/>
    </xf>
    <xf numFmtId="0" fontId="14" fillId="4" borderId="29" xfId="0" applyFont="1" applyFill="1" applyBorder="1" applyProtection="1">
      <alignment vertical="center"/>
    </xf>
    <xf numFmtId="0" fontId="43" fillId="2" borderId="31" xfId="1" applyFont="1" applyFill="1" applyBorder="1" applyAlignment="1" applyProtection="1">
      <alignment horizontal="right" vertical="center"/>
    </xf>
    <xf numFmtId="169" fontId="43" fillId="2" borderId="10" xfId="1" applyNumberFormat="1" applyFont="1" applyFill="1" applyBorder="1" applyProtection="1">
      <alignment vertical="center"/>
    </xf>
    <xf numFmtId="169" fontId="43" fillId="2" borderId="1" xfId="1" applyNumberFormat="1" applyFont="1" applyFill="1" applyBorder="1" applyProtection="1">
      <alignment vertical="center"/>
    </xf>
    <xf numFmtId="164" fontId="43" fillId="0" borderId="0" xfId="1" applyNumberFormat="1" applyFont="1" applyFill="1" applyBorder="1" applyProtection="1">
      <alignment vertical="center"/>
    </xf>
    <xf numFmtId="175" fontId="43" fillId="2" borderId="1" xfId="1" applyNumberFormat="1" applyFont="1" applyFill="1" applyBorder="1" applyProtection="1">
      <alignment vertical="center"/>
    </xf>
    <xf numFmtId="0" fontId="30" fillId="0" borderId="1" xfId="1" applyFont="1" applyBorder="1" applyProtection="1">
      <alignment vertical="center"/>
    </xf>
    <xf numFmtId="0" fontId="30" fillId="0" borderId="0" xfId="1" applyFont="1" applyBorder="1" applyProtection="1">
      <alignment vertical="center"/>
    </xf>
    <xf numFmtId="175" fontId="43" fillId="2" borderId="0" xfId="1" applyNumberFormat="1" applyFont="1" applyFill="1" applyBorder="1" applyProtection="1">
      <alignment vertical="center"/>
    </xf>
    <xf numFmtId="0" fontId="4" fillId="2" borderId="0" xfId="1" applyFont="1" applyFill="1" applyAlignment="1" applyProtection="1">
      <alignment vertical="center" wrapText="1"/>
    </xf>
    <xf numFmtId="0" fontId="43" fillId="0" borderId="1" xfId="1" applyFont="1" applyBorder="1" applyAlignment="1" applyProtection="1">
      <alignment vertical="center" wrapText="1"/>
    </xf>
    <xf numFmtId="0" fontId="14" fillId="2" borderId="1" xfId="1" applyFont="1" applyFill="1" applyBorder="1" applyAlignment="1" applyProtection="1">
      <alignment vertical="center" wrapText="1"/>
    </xf>
    <xf numFmtId="173" fontId="43" fillId="0" borderId="1" xfId="1" applyNumberFormat="1" applyFont="1" applyFill="1" applyBorder="1" applyAlignment="1" applyProtection="1">
      <alignment vertical="center" wrapText="1"/>
    </xf>
    <xf numFmtId="164" fontId="43" fillId="2" borderId="1" xfId="1" applyNumberFormat="1" applyFont="1" applyFill="1" applyBorder="1" applyProtection="1">
      <alignment vertical="center"/>
    </xf>
    <xf numFmtId="167" fontId="43" fillId="0" borderId="1" xfId="1" applyNumberFormat="1" applyFont="1" applyBorder="1" applyProtection="1">
      <alignment vertical="center"/>
    </xf>
    <xf numFmtId="173" fontId="43" fillId="0" borderId="1" xfId="1" applyNumberFormat="1" applyFont="1" applyFill="1" applyBorder="1" applyProtection="1">
      <alignment vertical="center"/>
    </xf>
    <xf numFmtId="168" fontId="43" fillId="2" borderId="1" xfId="1" applyNumberFormat="1" applyFont="1" applyFill="1" applyBorder="1" applyProtection="1">
      <alignment vertical="center"/>
    </xf>
    <xf numFmtId="166" fontId="16" fillId="2" borderId="1" xfId="1" applyNumberFormat="1" applyFont="1" applyFill="1" applyBorder="1" applyProtection="1">
      <alignment vertical="center"/>
    </xf>
    <xf numFmtId="173" fontId="16" fillId="0" borderId="1" xfId="1" applyNumberFormat="1" applyFont="1" applyFill="1" applyBorder="1" applyProtection="1">
      <alignment vertical="center"/>
    </xf>
    <xf numFmtId="0" fontId="10" fillId="0" borderId="1" xfId="1" applyFont="1" applyBorder="1" applyProtection="1">
      <alignment vertical="center"/>
    </xf>
    <xf numFmtId="164" fontId="43" fillId="0" borderId="0" xfId="1" applyNumberFormat="1" applyFont="1" applyBorder="1" applyProtection="1">
      <alignment vertical="center"/>
    </xf>
    <xf numFmtId="167" fontId="43" fillId="0" borderId="0" xfId="1" applyNumberFormat="1" applyFont="1" applyBorder="1" applyProtection="1">
      <alignment vertical="center"/>
    </xf>
    <xf numFmtId="0" fontId="14" fillId="2" borderId="1" xfId="1" applyFont="1" applyFill="1" applyBorder="1" applyProtection="1">
      <alignment vertical="center"/>
    </xf>
    <xf numFmtId="0" fontId="14" fillId="3" borderId="1" xfId="1" applyFont="1" applyFill="1" applyBorder="1" applyAlignment="1" applyProtection="1">
      <alignment horizontal="right" vertical="center"/>
    </xf>
    <xf numFmtId="0" fontId="43" fillId="0" borderId="1" xfId="1" applyFont="1" applyFill="1" applyBorder="1" applyAlignment="1" applyProtection="1">
      <alignment vertical="center"/>
    </xf>
    <xf numFmtId="166" fontId="43" fillId="0" borderId="1" xfId="1" applyNumberFormat="1" applyFont="1" applyFill="1" applyBorder="1" applyAlignment="1" applyProtection="1">
      <alignment vertical="center"/>
    </xf>
    <xf numFmtId="169" fontId="43" fillId="0" borderId="1" xfId="1" applyNumberFormat="1" applyFont="1" applyFill="1" applyBorder="1" applyAlignment="1" applyProtection="1">
      <alignment vertical="center"/>
    </xf>
    <xf numFmtId="9" fontId="43" fillId="0" borderId="1" xfId="1" applyNumberFormat="1" applyFont="1" applyFill="1" applyBorder="1" applyAlignment="1" applyProtection="1">
      <alignment horizontal="right" vertical="center"/>
    </xf>
    <xf numFmtId="168" fontId="43" fillId="0" borderId="1" xfId="1" applyNumberFormat="1" applyFont="1" applyFill="1" applyBorder="1" applyProtection="1">
      <alignment vertical="center"/>
    </xf>
    <xf numFmtId="166" fontId="43" fillId="0" borderId="1" xfId="1" applyNumberFormat="1" applyFont="1" applyFill="1" applyBorder="1" applyProtection="1">
      <alignment vertical="center"/>
    </xf>
    <xf numFmtId="167" fontId="43" fillId="0" borderId="1" xfId="1" applyNumberFormat="1" applyFont="1" applyFill="1" applyBorder="1" applyProtection="1">
      <alignment vertical="center"/>
    </xf>
    <xf numFmtId="169" fontId="43" fillId="0" borderId="0" xfId="1" applyNumberFormat="1" applyFont="1" applyFill="1" applyBorder="1" applyAlignment="1" applyProtection="1">
      <alignment horizontal="right" vertical="center"/>
    </xf>
    <xf numFmtId="170" fontId="43" fillId="0" borderId="0" xfId="1" applyNumberFormat="1" applyFont="1" applyFill="1" applyBorder="1" applyAlignment="1" applyProtection="1">
      <alignment horizontal="right" vertical="center"/>
    </xf>
    <xf numFmtId="165" fontId="43" fillId="0" borderId="0" xfId="1" applyNumberFormat="1" applyFont="1" applyFill="1" applyBorder="1" applyProtection="1">
      <alignment vertical="center"/>
    </xf>
    <xf numFmtId="0" fontId="43" fillId="0" borderId="0" xfId="1" applyFont="1" applyFill="1" applyBorder="1" applyAlignment="1" applyProtection="1">
      <alignment horizontal="right" vertical="center"/>
    </xf>
    <xf numFmtId="175" fontId="43" fillId="0" borderId="1" xfId="1" applyNumberFormat="1" applyFont="1" applyFill="1" applyBorder="1" applyProtection="1">
      <alignment vertical="center"/>
    </xf>
    <xf numFmtId="165" fontId="43" fillId="0" borderId="0" xfId="1" applyNumberFormat="1" applyFont="1" applyFill="1" applyBorder="1" applyAlignment="1" applyProtection="1">
      <alignment horizontal="right" vertical="center"/>
    </xf>
    <xf numFmtId="0" fontId="44" fillId="7" borderId="31" xfId="0" applyFont="1" applyFill="1" applyBorder="1" applyProtection="1">
      <alignment vertical="center"/>
    </xf>
    <xf numFmtId="175" fontId="43" fillId="0" borderId="1" xfId="1" applyNumberFormat="1" applyFont="1" applyFill="1" applyBorder="1" applyAlignment="1" applyProtection="1">
      <alignment vertical="center"/>
    </xf>
    <xf numFmtId="0" fontId="20" fillId="0" borderId="1" xfId="1" applyNumberFormat="1" applyFont="1" applyFill="1" applyBorder="1" applyAlignment="1" applyProtection="1">
      <alignment vertical="center"/>
    </xf>
    <xf numFmtId="165" fontId="43" fillId="0" borderId="1" xfId="1" applyNumberFormat="1" applyFont="1" applyBorder="1" applyProtection="1">
      <alignment vertical="center"/>
    </xf>
    <xf numFmtId="164" fontId="43" fillId="0" borderId="1" xfId="1" applyNumberFormat="1" applyFont="1" applyFill="1" applyBorder="1" applyProtection="1">
      <alignment vertical="center"/>
    </xf>
    <xf numFmtId="169" fontId="43" fillId="0" borderId="0" xfId="1" applyNumberFormat="1" applyFont="1" applyFill="1" applyBorder="1" applyProtection="1">
      <alignment vertical="center"/>
    </xf>
    <xf numFmtId="166" fontId="43" fillId="0" borderId="0" xfId="1" applyNumberFormat="1" applyFont="1" applyFill="1" applyBorder="1" applyProtection="1">
      <alignment vertical="center"/>
    </xf>
    <xf numFmtId="166" fontId="14" fillId="0" borderId="0" xfId="1" applyNumberFormat="1" applyFont="1" applyFill="1" applyBorder="1" applyProtection="1">
      <alignment vertical="center"/>
    </xf>
    <xf numFmtId="0" fontId="21" fillId="0" borderId="1" xfId="1" applyFont="1" applyBorder="1" applyAlignment="1" applyProtection="1">
      <alignment horizontal="left" vertical="center"/>
    </xf>
    <xf numFmtId="10" fontId="16" fillId="0" borderId="1" xfId="1" applyNumberFormat="1" applyFont="1" applyFill="1" applyBorder="1" applyProtection="1">
      <alignment vertical="center"/>
    </xf>
    <xf numFmtId="0" fontId="21" fillId="0" borderId="1" xfId="1" applyFont="1" applyBorder="1" applyAlignment="1" applyProtection="1">
      <alignment horizontal="right" vertical="center"/>
    </xf>
    <xf numFmtId="175" fontId="43" fillId="0" borderId="0" xfId="1" applyNumberFormat="1" applyFont="1" applyFill="1" applyBorder="1" applyProtection="1">
      <alignment vertical="center"/>
    </xf>
    <xf numFmtId="167" fontId="43" fillId="0" borderId="0" xfId="1" applyNumberFormat="1" applyFont="1" applyFill="1" applyBorder="1" applyAlignment="1" applyProtection="1">
      <alignment vertical="center"/>
    </xf>
    <xf numFmtId="0" fontId="43" fillId="0" borderId="0" xfId="0" applyFont="1" applyFill="1" applyBorder="1" applyProtection="1">
      <alignment vertical="center"/>
    </xf>
    <xf numFmtId="9" fontId="43" fillId="0" borderId="0" xfId="1" applyNumberFormat="1" applyFont="1" applyFill="1" applyBorder="1" applyAlignment="1" applyProtection="1">
      <alignment horizontal="right" vertical="center"/>
    </xf>
    <xf numFmtId="0" fontId="43" fillId="0" borderId="1" xfId="1" applyFont="1" applyBorder="1" applyAlignment="1" applyProtection="1">
      <alignment horizontal="right" vertical="center"/>
    </xf>
    <xf numFmtId="0" fontId="43" fillId="0" borderId="10" xfId="1" applyFont="1" applyBorder="1" applyProtection="1">
      <alignment vertical="center"/>
    </xf>
    <xf numFmtId="166" fontId="43" fillId="0" borderId="10" xfId="1" applyNumberFormat="1" applyFont="1" applyFill="1" applyBorder="1" applyProtection="1">
      <alignment vertical="center"/>
    </xf>
    <xf numFmtId="0" fontId="32" fillId="0" borderId="10" xfId="1" applyFont="1" applyBorder="1" applyAlignment="1" applyProtection="1">
      <alignment horizontal="right" vertical="center"/>
    </xf>
    <xf numFmtId="10" fontId="43" fillId="0" borderId="10" xfId="1" applyNumberFormat="1" applyFont="1" applyFill="1" applyBorder="1" applyProtection="1">
      <alignment vertical="center"/>
    </xf>
    <xf numFmtId="166" fontId="31" fillId="5" borderId="1" xfId="0" applyNumberFormat="1" applyFont="1" applyFill="1" applyBorder="1" applyProtection="1">
      <alignment vertical="center"/>
    </xf>
    <xf numFmtId="0" fontId="31" fillId="0" borderId="1" xfId="1" applyFont="1" applyFill="1" applyBorder="1" applyAlignment="1" applyProtection="1">
      <alignment horizontal="left" vertical="center"/>
    </xf>
    <xf numFmtId="174" fontId="31" fillId="0" borderId="1" xfId="1" applyNumberFormat="1" applyFont="1" applyFill="1" applyBorder="1" applyProtection="1">
      <alignment vertical="center"/>
    </xf>
    <xf numFmtId="0" fontId="31" fillId="0" borderId="31" xfId="1" applyFont="1" applyFill="1" applyBorder="1" applyAlignment="1" applyProtection="1">
      <alignment horizontal="left" vertical="center"/>
    </xf>
    <xf numFmtId="174" fontId="43" fillId="0" borderId="1" xfId="1" applyNumberFormat="1" applyFont="1" applyFill="1" applyBorder="1" applyProtection="1">
      <alignment vertical="center"/>
    </xf>
    <xf numFmtId="166" fontId="43" fillId="0" borderId="0" xfId="1" applyNumberFormat="1" applyFont="1" applyFill="1" applyBorder="1" applyAlignment="1" applyProtection="1">
      <alignment vertical="center"/>
    </xf>
    <xf numFmtId="174" fontId="43" fillId="5" borderId="1" xfId="0" applyNumberFormat="1" applyFont="1" applyFill="1" applyBorder="1" applyProtection="1">
      <alignment vertical="center"/>
    </xf>
    <xf numFmtId="175" fontId="43" fillId="0" borderId="0" xfId="1" applyNumberFormat="1" applyFont="1" applyFill="1" applyBorder="1" applyAlignment="1" applyProtection="1">
      <alignment vertical="center"/>
    </xf>
    <xf numFmtId="0" fontId="11" fillId="10" borderId="0" xfId="1" applyFont="1" applyFill="1" applyProtection="1">
      <alignment vertical="center"/>
    </xf>
    <xf numFmtId="0" fontId="43" fillId="8" borderId="1" xfId="1" applyFont="1" applyFill="1" applyBorder="1" applyAlignment="1" applyProtection="1">
      <alignment vertical="center"/>
    </xf>
    <xf numFmtId="166" fontId="43" fillId="8" borderId="1" xfId="1" applyNumberFormat="1" applyFont="1" applyFill="1" applyBorder="1" applyProtection="1">
      <alignment vertical="center"/>
    </xf>
    <xf numFmtId="175" fontId="43" fillId="0" borderId="1" xfId="1" applyNumberFormat="1" applyFont="1" applyBorder="1" applyProtection="1">
      <alignment vertical="center"/>
    </xf>
    <xf numFmtId="167" fontId="43" fillId="0" borderId="0" xfId="1" applyNumberFormat="1" applyFont="1" applyFill="1" applyBorder="1" applyAlignment="1" applyProtection="1">
      <alignment horizontal="center" vertical="center"/>
    </xf>
    <xf numFmtId="168" fontId="43" fillId="0" borderId="0" xfId="1" applyNumberFormat="1" applyFont="1" applyFill="1" applyBorder="1" applyAlignment="1" applyProtection="1">
      <alignment vertical="center" wrapText="1"/>
    </xf>
    <xf numFmtId="0" fontId="7" fillId="0" borderId="1" xfId="1" applyFont="1" applyBorder="1" applyAlignment="1" applyProtection="1">
      <alignment horizontal="right" vertical="center"/>
    </xf>
    <xf numFmtId="9" fontId="43" fillId="0" borderId="0" xfId="1" applyNumberFormat="1" applyFont="1" applyFill="1" applyBorder="1" applyProtection="1">
      <alignment vertical="center"/>
    </xf>
    <xf numFmtId="0" fontId="21" fillId="2" borderId="1" xfId="1" applyFont="1" applyFill="1" applyBorder="1" applyAlignment="1" applyProtection="1">
      <alignment horizontal="left" vertical="center"/>
    </xf>
    <xf numFmtId="0" fontId="21" fillId="8" borderId="1" xfId="1" applyFont="1" applyFill="1" applyBorder="1" applyAlignment="1" applyProtection="1">
      <alignment horizontal="right" vertical="center"/>
    </xf>
    <xf numFmtId="0" fontId="21" fillId="2" borderId="1" xfId="1" applyFont="1" applyFill="1" applyBorder="1" applyAlignment="1" applyProtection="1">
      <alignment horizontal="right" vertical="center" wrapText="1"/>
    </xf>
    <xf numFmtId="0" fontId="21" fillId="2" borderId="1" xfId="1" applyFont="1" applyFill="1" applyBorder="1" applyAlignment="1" applyProtection="1">
      <alignment vertical="center"/>
    </xf>
    <xf numFmtId="0" fontId="21" fillId="0" borderId="10" xfId="1" applyFont="1" applyBorder="1" applyProtection="1">
      <alignment vertical="center"/>
    </xf>
    <xf numFmtId="0" fontId="11" fillId="7" borderId="23" xfId="0" applyFont="1" applyFill="1" applyBorder="1" applyProtection="1">
      <alignment vertical="center"/>
    </xf>
    <xf numFmtId="0" fontId="0" fillId="7" borderId="24" xfId="0" applyFill="1" applyBorder="1" applyProtection="1">
      <alignment vertical="center"/>
    </xf>
    <xf numFmtId="0" fontId="32" fillId="0" borderId="1" xfId="1" applyFont="1" applyBorder="1" applyAlignment="1" applyProtection="1">
      <alignment horizontal="right" vertical="center"/>
    </xf>
    <xf numFmtId="0" fontId="43" fillId="0" borderId="26" xfId="1" applyFont="1" applyFill="1" applyBorder="1" applyAlignment="1" applyProtection="1">
      <alignment horizontal="center" vertical="center"/>
    </xf>
    <xf numFmtId="0" fontId="43" fillId="0" borderId="27" xfId="1" applyFont="1" applyFill="1" applyBorder="1" applyAlignment="1" applyProtection="1">
      <alignment horizontal="center" vertical="center"/>
    </xf>
    <xf numFmtId="0" fontId="43" fillId="2" borderId="38" xfId="1" applyFont="1" applyFill="1" applyBorder="1" applyAlignment="1" applyProtection="1">
      <alignment vertical="center"/>
    </xf>
    <xf numFmtId="168" fontId="43" fillId="3" borderId="40" xfId="1" applyNumberFormat="1" applyFont="1" applyFill="1" applyBorder="1" applyProtection="1">
      <alignment vertical="center"/>
    </xf>
    <xf numFmtId="0" fontId="43" fillId="2" borderId="44" xfId="1" applyFont="1" applyFill="1" applyBorder="1" applyAlignment="1" applyProtection="1">
      <alignment vertical="center"/>
    </xf>
    <xf numFmtId="168" fontId="43" fillId="3" borderId="37" xfId="1" applyNumberFormat="1" applyFont="1" applyFill="1" applyBorder="1" applyProtection="1">
      <alignment vertical="center"/>
    </xf>
    <xf numFmtId="170" fontId="43" fillId="3" borderId="37" xfId="1" applyNumberFormat="1" applyFont="1" applyFill="1" applyBorder="1" applyAlignment="1" applyProtection="1">
      <alignment vertical="center"/>
    </xf>
    <xf numFmtId="168" fontId="43" fillId="0" borderId="1" xfId="1" applyNumberFormat="1" applyFont="1" applyBorder="1" applyProtection="1">
      <alignment vertical="center"/>
    </xf>
    <xf numFmtId="0" fontId="43" fillId="0" borderId="8" xfId="1" applyFont="1" applyBorder="1" applyProtection="1">
      <alignment vertical="center"/>
    </xf>
    <xf numFmtId="0" fontId="43" fillId="0" borderId="7" xfId="1" applyFont="1" applyBorder="1" applyProtection="1">
      <alignment vertical="center"/>
    </xf>
    <xf numFmtId="9" fontId="43" fillId="0" borderId="0" xfId="1" applyNumberFormat="1" applyFont="1" applyFill="1" applyBorder="1" applyAlignment="1" applyProtection="1">
      <alignment horizontal="center" vertical="center"/>
    </xf>
    <xf numFmtId="168" fontId="4" fillId="0" borderId="0" xfId="1" applyNumberFormat="1" applyFont="1" applyFill="1" applyBorder="1" applyProtection="1">
      <alignment vertical="center"/>
    </xf>
    <xf numFmtId="0" fontId="43" fillId="0" borderId="29" xfId="1" applyFont="1" applyBorder="1" applyProtection="1">
      <alignment vertical="center"/>
    </xf>
    <xf numFmtId="166" fontId="43" fillId="0" borderId="7" xfId="1" applyNumberFormat="1" applyFont="1" applyBorder="1" applyProtection="1">
      <alignment vertical="center"/>
    </xf>
    <xf numFmtId="171" fontId="43" fillId="0" borderId="0" xfId="1" applyNumberFormat="1" applyFont="1" applyFill="1" applyBorder="1" applyProtection="1">
      <alignment vertical="center"/>
    </xf>
    <xf numFmtId="168" fontId="43" fillId="0" borderId="1" xfId="1" applyNumberFormat="1" applyFont="1" applyFill="1" applyBorder="1" applyAlignment="1" applyProtection="1">
      <alignment vertical="center" wrapText="1"/>
    </xf>
    <xf numFmtId="167" fontId="4" fillId="0" borderId="0" xfId="1" applyNumberFormat="1" applyFont="1" applyFill="1" applyBorder="1" applyProtection="1">
      <alignment vertical="center"/>
    </xf>
    <xf numFmtId="9" fontId="43" fillId="2" borderId="0" xfId="1" applyNumberFormat="1" applyFont="1" applyFill="1" applyBorder="1" applyAlignment="1" applyProtection="1">
      <alignment horizontal="center" vertical="center"/>
    </xf>
    <xf numFmtId="169" fontId="43" fillId="0" borderId="1" xfId="1" applyNumberFormat="1" applyFont="1" applyFill="1" applyBorder="1" applyProtection="1">
      <alignment vertical="center"/>
    </xf>
    <xf numFmtId="167" fontId="43" fillId="0" borderId="0" xfId="1" applyNumberFormat="1" applyFont="1" applyFill="1" applyBorder="1" applyProtection="1">
      <alignment vertical="center"/>
    </xf>
    <xf numFmtId="0" fontId="43" fillId="0" borderId="0" xfId="1" applyNumberFormat="1" applyFont="1" applyFill="1" applyBorder="1" applyAlignment="1" applyProtection="1">
      <alignment horizontal="center" vertical="center"/>
    </xf>
    <xf numFmtId="0" fontId="12" fillId="0" borderId="0" xfId="1" applyFont="1" applyProtection="1">
      <alignment vertical="center"/>
    </xf>
    <xf numFmtId="0" fontId="9" fillId="0" borderId="31" xfId="1" applyFont="1" applyFill="1" applyBorder="1" applyAlignment="1" applyProtection="1">
      <alignment vertical="center"/>
    </xf>
    <xf numFmtId="0" fontId="43" fillId="0" borderId="41" xfId="1" applyFont="1" applyFill="1" applyBorder="1" applyAlignment="1" applyProtection="1">
      <alignment vertical="center"/>
    </xf>
    <xf numFmtId="166" fontId="43" fillId="5" borderId="29" xfId="1" applyNumberFormat="1" applyFont="1" applyFill="1" applyBorder="1" applyAlignment="1" applyProtection="1">
      <alignment vertical="center" wrapText="1"/>
    </xf>
    <xf numFmtId="0" fontId="43" fillId="0" borderId="49" xfId="1" applyFont="1" applyFill="1" applyBorder="1" applyAlignment="1" applyProtection="1">
      <alignment vertical="center"/>
    </xf>
    <xf numFmtId="0" fontId="4" fillId="0" borderId="1" xfId="1" applyFont="1" applyFill="1" applyBorder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43" fillId="0" borderId="49" xfId="1" applyFont="1" applyBorder="1" applyProtection="1">
      <alignment vertical="center"/>
    </xf>
    <xf numFmtId="0" fontId="43" fillId="0" borderId="41" xfId="1" applyFont="1" applyBorder="1" applyProtection="1">
      <alignment vertical="center"/>
    </xf>
    <xf numFmtId="167" fontId="43" fillId="5" borderId="1" xfId="1" applyNumberFormat="1" applyFont="1" applyFill="1" applyBorder="1" applyAlignment="1" applyProtection="1">
      <alignment horizontal="center" vertical="center"/>
    </xf>
    <xf numFmtId="0" fontId="43" fillId="0" borderId="39" xfId="1" applyFont="1" applyBorder="1" applyProtection="1">
      <alignment vertical="center"/>
    </xf>
    <xf numFmtId="0" fontId="43" fillId="2" borderId="8" xfId="1" applyFont="1" applyFill="1" applyBorder="1" applyProtection="1">
      <alignment vertical="center"/>
    </xf>
    <xf numFmtId="0" fontId="43" fillId="2" borderId="7" xfId="1" applyFont="1" applyFill="1" applyBorder="1" applyProtection="1">
      <alignment vertical="center"/>
    </xf>
    <xf numFmtId="0" fontId="43" fillId="0" borderId="39" xfId="1" applyFont="1" applyFill="1" applyBorder="1" applyProtection="1">
      <alignment vertical="center"/>
    </xf>
    <xf numFmtId="0" fontId="43" fillId="2" borderId="10" xfId="1" applyFont="1" applyFill="1" applyBorder="1" applyAlignment="1" applyProtection="1">
      <alignment vertical="center"/>
    </xf>
    <xf numFmtId="165" fontId="43" fillId="3" borderId="10" xfId="1" applyNumberFormat="1" applyFont="1" applyFill="1" applyBorder="1" applyProtection="1">
      <alignment vertical="center"/>
    </xf>
    <xf numFmtId="40" fontId="43" fillId="0" borderId="0" xfId="1" applyNumberFormat="1" applyFont="1" applyFill="1" applyBorder="1" applyProtection="1">
      <alignment vertical="center"/>
    </xf>
    <xf numFmtId="40" fontId="43" fillId="0" borderId="0" xfId="1" applyNumberFormat="1" applyFont="1" applyFill="1" applyBorder="1" applyAlignment="1" applyProtection="1">
      <alignment vertical="center"/>
    </xf>
    <xf numFmtId="168" fontId="43" fillId="0" borderId="0" xfId="1" applyNumberFormat="1" applyFont="1" applyFill="1" applyBorder="1" applyAlignment="1" applyProtection="1">
      <alignment horizontal="center" vertical="center" wrapText="1"/>
    </xf>
    <xf numFmtId="168" fontId="43" fillId="0" borderId="0" xfId="1" applyNumberFormat="1" applyFont="1" applyFill="1" applyBorder="1" applyAlignment="1" applyProtection="1">
      <alignment horizontal="left" vertical="center"/>
    </xf>
    <xf numFmtId="165" fontId="43" fillId="0" borderId="10" xfId="1" applyNumberFormat="1" applyFont="1" applyBorder="1" applyProtection="1">
      <alignment vertical="center"/>
    </xf>
    <xf numFmtId="166" fontId="43" fillId="0" borderId="0" xfId="1" applyNumberFormat="1" applyFont="1" applyFill="1" applyBorder="1" applyAlignment="1" applyProtection="1">
      <alignment horizontal="right" vertical="center"/>
    </xf>
    <xf numFmtId="166" fontId="43" fillId="0" borderId="0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Protection="1">
      <alignment vertical="center"/>
    </xf>
    <xf numFmtId="165" fontId="31" fillId="0" borderId="1" xfId="1" applyNumberFormat="1" applyFont="1" applyFill="1" applyBorder="1" applyProtection="1">
      <alignment vertical="center"/>
    </xf>
    <xf numFmtId="166" fontId="43" fillId="0" borderId="0" xfId="1" applyNumberFormat="1" applyFont="1" applyFill="1" applyBorder="1" applyAlignment="1" applyProtection="1">
      <alignment horizontal="left" vertical="center" wrapText="1"/>
    </xf>
    <xf numFmtId="0" fontId="43" fillId="5" borderId="0" xfId="1" applyFont="1" applyFill="1" applyBorder="1" applyProtection="1">
      <alignment vertical="center"/>
    </xf>
    <xf numFmtId="165" fontId="31" fillId="0" borderId="1" xfId="1" applyNumberFormat="1" applyFont="1" applyBorder="1" applyProtection="1">
      <alignment vertical="center"/>
    </xf>
    <xf numFmtId="0" fontId="9" fillId="2" borderId="31" xfId="1" applyFont="1" applyFill="1" applyBorder="1" applyAlignment="1" applyProtection="1">
      <alignment vertical="center"/>
    </xf>
    <xf numFmtId="0" fontId="43" fillId="5" borderId="0" xfId="1" applyFont="1" applyFill="1" applyProtection="1">
      <alignment vertical="center"/>
    </xf>
    <xf numFmtId="0" fontId="31" fillId="0" borderId="1" xfId="1" applyFont="1" applyFill="1" applyBorder="1" applyAlignment="1" applyProtection="1">
      <alignment horizontal="right" vertical="center"/>
    </xf>
    <xf numFmtId="0" fontId="31" fillId="0" borderId="1" xfId="1" applyFont="1" applyBorder="1" applyAlignment="1" applyProtection="1">
      <alignment horizontal="right" vertical="center"/>
    </xf>
    <xf numFmtId="0" fontId="43" fillId="4" borderId="0" xfId="1" applyFont="1" applyFill="1" applyBorder="1" applyProtection="1">
      <alignment vertical="center"/>
    </xf>
    <xf numFmtId="0" fontId="6" fillId="0" borderId="0" xfId="1" applyFont="1" applyFill="1" applyBorder="1" applyProtection="1">
      <alignment vertical="center"/>
    </xf>
    <xf numFmtId="0" fontId="43" fillId="5" borderId="49" xfId="1" applyFont="1" applyFill="1" applyBorder="1" applyProtection="1">
      <alignment vertical="center"/>
    </xf>
    <xf numFmtId="0" fontId="43" fillId="16" borderId="1" xfId="1" applyFont="1" applyFill="1" applyBorder="1" applyProtection="1">
      <alignment vertical="center"/>
    </xf>
    <xf numFmtId="9" fontId="43" fillId="16" borderId="1" xfId="1" applyNumberFormat="1" applyFont="1" applyFill="1" applyBorder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171" fontId="43" fillId="0" borderId="0" xfId="1" applyNumberFormat="1" applyFont="1" applyFill="1" applyBorder="1" applyAlignment="1" applyProtection="1">
      <alignment vertical="center"/>
    </xf>
    <xf numFmtId="0" fontId="32" fillId="16" borderId="1" xfId="1" applyFont="1" applyFill="1" applyBorder="1" applyProtection="1">
      <alignment vertical="center"/>
    </xf>
    <xf numFmtId="168" fontId="32" fillId="16" borderId="1" xfId="1" applyNumberFormat="1" applyFont="1" applyFill="1" applyBorder="1" applyProtection="1">
      <alignment vertical="center"/>
    </xf>
    <xf numFmtId="166" fontId="32" fillId="16" borderId="1" xfId="1" applyNumberFormat="1" applyFont="1" applyFill="1" applyBorder="1" applyProtection="1">
      <alignment vertical="center"/>
    </xf>
    <xf numFmtId="175" fontId="32" fillId="16" borderId="1" xfId="1" applyNumberFormat="1" applyFont="1" applyFill="1" applyBorder="1" applyProtection="1">
      <alignment vertical="center"/>
    </xf>
    <xf numFmtId="166" fontId="43" fillId="16" borderId="1" xfId="1" applyNumberFormat="1" applyFont="1" applyFill="1" applyBorder="1" applyProtection="1">
      <alignment vertical="center"/>
    </xf>
    <xf numFmtId="9" fontId="43" fillId="0" borderId="1" xfId="1" applyNumberFormat="1" applyFont="1" applyBorder="1" applyProtection="1">
      <alignment vertical="center"/>
    </xf>
    <xf numFmtId="0" fontId="7" fillId="0" borderId="0" xfId="1" applyFont="1" applyFill="1" applyBorder="1" applyProtection="1">
      <alignment vertical="center"/>
    </xf>
    <xf numFmtId="0" fontId="43" fillId="2" borderId="31" xfId="1" applyFont="1" applyFill="1" applyBorder="1" applyProtection="1">
      <alignment vertical="center"/>
    </xf>
    <xf numFmtId="0" fontId="15" fillId="0" borderId="0" xfId="1" applyFont="1" applyProtection="1">
      <alignment vertical="center"/>
    </xf>
    <xf numFmtId="0" fontId="9" fillId="6" borderId="3" xfId="1" applyFont="1" applyFill="1" applyBorder="1" applyAlignment="1" applyProtection="1">
      <alignment vertical="center"/>
    </xf>
    <xf numFmtId="165" fontId="43" fillId="0" borderId="0" xfId="1" applyNumberFormat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43" fillId="6" borderId="23" xfId="1" applyFont="1" applyFill="1" applyBorder="1" applyProtection="1">
      <alignment vertical="center"/>
    </xf>
    <xf numFmtId="0" fontId="43" fillId="2" borderId="14" xfId="1" applyFont="1" applyFill="1" applyBorder="1" applyProtection="1">
      <alignment vertical="center"/>
    </xf>
    <xf numFmtId="165" fontId="43" fillId="0" borderId="0" xfId="1" applyNumberFormat="1" applyFont="1" applyFill="1" applyBorder="1" applyAlignment="1" applyProtection="1">
      <alignment horizontal="center" vertical="center"/>
    </xf>
    <xf numFmtId="170" fontId="43" fillId="0" borderId="0" xfId="1" applyNumberFormat="1" applyFont="1" applyFill="1" applyBorder="1" applyAlignment="1" applyProtection="1">
      <alignment horizontal="center" vertical="center"/>
    </xf>
    <xf numFmtId="168" fontId="43" fillId="0" borderId="0" xfId="1" applyNumberFormat="1" applyFont="1" applyFill="1" applyBorder="1" applyAlignment="1" applyProtection="1">
      <alignment horizontal="center" vertical="center"/>
    </xf>
    <xf numFmtId="0" fontId="43" fillId="2" borderId="64" xfId="1" applyFont="1" applyFill="1" applyBorder="1" applyProtection="1">
      <alignment vertical="center"/>
    </xf>
    <xf numFmtId="0" fontId="43" fillId="2" borderId="21" xfId="1" applyFont="1" applyFill="1" applyBorder="1" applyAlignment="1" applyProtection="1">
      <alignment horizontal="left" vertical="center"/>
    </xf>
    <xf numFmtId="0" fontId="43" fillId="2" borderId="52" xfId="1" applyFont="1" applyFill="1" applyBorder="1" applyAlignment="1" applyProtection="1">
      <alignment horizontal="left" vertical="center"/>
    </xf>
    <xf numFmtId="164" fontId="43" fillId="0" borderId="0" xfId="1" applyNumberFormat="1" applyFont="1" applyFill="1" applyBorder="1" applyAlignment="1" applyProtection="1">
      <alignment vertical="center" wrapText="1"/>
    </xf>
    <xf numFmtId="0" fontId="43" fillId="2" borderId="11" xfId="1" applyFont="1" applyFill="1" applyBorder="1" applyAlignment="1" applyProtection="1">
      <alignment vertical="center"/>
    </xf>
    <xf numFmtId="0" fontId="0" fillId="7" borderId="8" xfId="0" applyFill="1" applyBorder="1" applyProtection="1">
      <alignment vertical="center"/>
    </xf>
    <xf numFmtId="0" fontId="43" fillId="3" borderId="1" xfId="0" applyFont="1" applyFill="1" applyBorder="1" applyProtection="1">
      <alignment vertical="center"/>
    </xf>
    <xf numFmtId="0" fontId="43" fillId="2" borderId="64" xfId="1" applyFont="1" applyFill="1" applyBorder="1" applyAlignment="1" applyProtection="1">
      <alignment vertical="center"/>
    </xf>
    <xf numFmtId="0" fontId="4" fillId="0" borderId="1" xfId="1" applyFont="1" applyBorder="1" applyProtection="1">
      <alignment vertical="center"/>
    </xf>
    <xf numFmtId="0" fontId="43" fillId="2" borderId="21" xfId="1" applyFont="1" applyFill="1" applyBorder="1" applyAlignment="1" applyProtection="1">
      <alignment vertical="center"/>
    </xf>
    <xf numFmtId="0" fontId="43" fillId="2" borderId="52" xfId="1" applyFont="1" applyFill="1" applyBorder="1" applyAlignment="1" applyProtection="1">
      <alignment vertical="center"/>
    </xf>
    <xf numFmtId="0" fontId="0" fillId="2" borderId="41" xfId="0" applyFill="1" applyBorder="1" applyProtection="1">
      <alignment vertical="center"/>
    </xf>
    <xf numFmtId="10" fontId="43" fillId="4" borderId="0" xfId="1" applyNumberFormat="1" applyFont="1" applyFill="1" applyProtection="1">
      <alignment vertical="center"/>
    </xf>
    <xf numFmtId="10" fontId="0" fillId="4" borderId="1" xfId="0" applyNumberFormat="1" applyFill="1" applyBorder="1" applyProtection="1">
      <alignment vertical="center"/>
    </xf>
    <xf numFmtId="10" fontId="43" fillId="3" borderId="1" xfId="1" applyNumberFormat="1" applyFont="1" applyFill="1" applyBorder="1" applyProtection="1">
      <alignment vertical="center"/>
    </xf>
    <xf numFmtId="0" fontId="43" fillId="2" borderId="14" xfId="1" applyFont="1" applyFill="1" applyBorder="1" applyAlignment="1" applyProtection="1">
      <alignment vertical="center"/>
    </xf>
    <xf numFmtId="0" fontId="0" fillId="2" borderId="39" xfId="0" applyFill="1" applyBorder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vertical="top"/>
    </xf>
    <xf numFmtId="0" fontId="0" fillId="3" borderId="1" xfId="0" applyNumberFormat="1" applyFill="1" applyBorder="1" applyProtection="1">
      <alignment vertical="center"/>
    </xf>
    <xf numFmtId="0" fontId="43" fillId="3" borderId="1" xfId="1" applyNumberFormat="1" applyFont="1" applyFill="1" applyBorder="1" applyAlignment="1" applyProtection="1">
      <alignment horizontal="right" vertical="center"/>
    </xf>
    <xf numFmtId="170" fontId="43" fillId="3" borderId="1" xfId="1" applyNumberFormat="1" applyFont="1" applyFill="1" applyBorder="1" applyAlignment="1" applyProtection="1">
      <alignment vertical="center"/>
    </xf>
    <xf numFmtId="0" fontId="0" fillId="2" borderId="49" xfId="0" applyFill="1" applyBorder="1" applyProtection="1">
      <alignment vertical="center"/>
    </xf>
    <xf numFmtId="0" fontId="0" fillId="2" borderId="31" xfId="0" applyFill="1" applyBorder="1" applyProtection="1">
      <alignment vertical="center"/>
    </xf>
    <xf numFmtId="168" fontId="43" fillId="3" borderId="1" xfId="1" applyNumberFormat="1" applyFont="1" applyFill="1" applyBorder="1" applyProtection="1">
      <alignment vertical="center"/>
    </xf>
    <xf numFmtId="0" fontId="19" fillId="0" borderId="0" xfId="1" applyFont="1" applyFill="1" applyBorder="1" applyProtection="1">
      <alignment vertical="center"/>
    </xf>
    <xf numFmtId="0" fontId="11" fillId="7" borderId="41" xfId="0" applyFont="1" applyFill="1" applyBorder="1" applyProtection="1">
      <alignment vertical="center"/>
    </xf>
    <xf numFmtId="0" fontId="11" fillId="7" borderId="8" xfId="0" applyFont="1" applyFill="1" applyBorder="1" applyAlignment="1" applyProtection="1">
      <alignment horizontal="center" vertical="center"/>
    </xf>
    <xf numFmtId="0" fontId="43" fillId="0" borderId="29" xfId="1" applyFont="1" applyFill="1" applyBorder="1" applyProtection="1">
      <alignment vertical="center"/>
    </xf>
    <xf numFmtId="170" fontId="43" fillId="12" borderId="7" xfId="1" applyNumberFormat="1" applyFont="1" applyFill="1" applyBorder="1" applyProtection="1">
      <alignment vertical="center"/>
    </xf>
    <xf numFmtId="0" fontId="43" fillId="0" borderId="19" xfId="1" applyFont="1" applyBorder="1" applyProtection="1">
      <alignment vertical="center"/>
    </xf>
    <xf numFmtId="0" fontId="43" fillId="6" borderId="18" xfId="1" applyFont="1" applyFill="1" applyBorder="1" applyProtection="1">
      <alignment vertical="center"/>
    </xf>
    <xf numFmtId="0" fontId="43" fillId="2" borderId="29" xfId="0" applyFont="1" applyFill="1" applyBorder="1" applyProtection="1">
      <alignment vertical="center"/>
    </xf>
    <xf numFmtId="170" fontId="43" fillId="12" borderId="7" xfId="0" applyNumberFormat="1" applyFont="1" applyFill="1" applyBorder="1" applyProtection="1">
      <alignment vertical="center"/>
    </xf>
    <xf numFmtId="0" fontId="43" fillId="0" borderId="7" xfId="1" applyFont="1" applyBorder="1" applyAlignment="1" applyProtection="1">
      <alignment vertical="center" wrapText="1"/>
    </xf>
    <xf numFmtId="168" fontId="43" fillId="6" borderId="18" xfId="1" applyNumberFormat="1" applyFont="1" applyFill="1" applyBorder="1" applyAlignment="1" applyProtection="1">
      <alignment vertical="center"/>
    </xf>
    <xf numFmtId="0" fontId="4" fillId="0" borderId="19" xfId="1" applyFont="1" applyBorder="1" applyProtection="1">
      <alignment vertical="center"/>
    </xf>
    <xf numFmtId="0" fontId="43" fillId="6" borderId="54" xfId="1" applyFont="1" applyFill="1" applyBorder="1" applyProtection="1">
      <alignment vertical="center"/>
    </xf>
    <xf numFmtId="0" fontId="43" fillId="0" borderId="28" xfId="1" applyFont="1" applyBorder="1" applyAlignment="1" applyProtection="1">
      <alignment vertical="center" wrapText="1"/>
    </xf>
    <xf numFmtId="0" fontId="43" fillId="8" borderId="18" xfId="1" applyFont="1" applyFill="1" applyBorder="1" applyProtection="1">
      <alignment vertical="center"/>
    </xf>
    <xf numFmtId="0" fontId="43" fillId="0" borderId="12" xfId="1" applyFont="1" applyBorder="1" applyProtection="1">
      <alignment vertical="center"/>
    </xf>
    <xf numFmtId="0" fontId="43" fillId="0" borderId="28" xfId="1" applyFont="1" applyBorder="1" applyProtection="1">
      <alignment vertical="center"/>
    </xf>
    <xf numFmtId="0" fontId="43" fillId="8" borderId="0" xfId="1" applyFont="1" applyFill="1" applyBorder="1" applyProtection="1">
      <alignment vertical="center"/>
    </xf>
    <xf numFmtId="9" fontId="43" fillId="0" borderId="1" xfId="1" applyNumberFormat="1" applyFont="1" applyFill="1" applyBorder="1" applyAlignment="1" applyProtection="1">
      <alignment horizontal="center" vertical="center" wrapText="1"/>
    </xf>
    <xf numFmtId="0" fontId="43" fillId="13" borderId="18" xfId="1" applyFont="1" applyFill="1" applyBorder="1" applyProtection="1">
      <alignment vertical="center"/>
    </xf>
    <xf numFmtId="0" fontId="19" fillId="0" borderId="0" xfId="1" applyFont="1" applyFill="1" applyBorder="1" applyAlignment="1" applyProtection="1">
      <alignment vertical="center"/>
    </xf>
    <xf numFmtId="0" fontId="43" fillId="6" borderId="23" xfId="1" applyFont="1" applyFill="1" applyBorder="1" applyAlignment="1" applyProtection="1">
      <alignment vertical="center"/>
    </xf>
    <xf numFmtId="0" fontId="43" fillId="6" borderId="18" xfId="1" applyFont="1" applyFill="1" applyBorder="1" applyAlignment="1" applyProtection="1">
      <alignment vertical="center"/>
    </xf>
    <xf numFmtId="167" fontId="43" fillId="5" borderId="1" xfId="1" applyNumberFormat="1" applyFont="1" applyFill="1" applyBorder="1" applyAlignment="1" applyProtection="1">
      <alignment vertical="center"/>
    </xf>
    <xf numFmtId="167" fontId="43" fillId="5" borderId="31" xfId="1" applyNumberFormat="1" applyFont="1" applyFill="1" applyBorder="1" applyAlignment="1" applyProtection="1">
      <alignment vertical="center"/>
    </xf>
    <xf numFmtId="168" fontId="43" fillId="5" borderId="1" xfId="1" applyNumberFormat="1" applyFont="1" applyFill="1" applyBorder="1" applyAlignment="1" applyProtection="1">
      <alignment vertical="center" wrapText="1"/>
    </xf>
    <xf numFmtId="165" fontId="43" fillId="0" borderId="31" xfId="1" applyNumberFormat="1" applyFont="1" applyBorder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vertical="center"/>
    </xf>
    <xf numFmtId="169" fontId="43" fillId="0" borderId="0" xfId="1" applyNumberFormat="1" applyFont="1" applyFill="1" applyBorder="1" applyAlignment="1" applyProtection="1">
      <alignment horizontal="center" vertical="center"/>
    </xf>
    <xf numFmtId="166" fontId="43" fillId="0" borderId="31" xfId="1" applyNumberFormat="1" applyFont="1" applyBorder="1" applyProtection="1">
      <alignment vertical="center"/>
    </xf>
    <xf numFmtId="10" fontId="43" fillId="0" borderId="31" xfId="1" applyNumberFormat="1" applyFont="1" applyBorder="1" applyProtection="1">
      <alignment vertical="center"/>
    </xf>
    <xf numFmtId="9" fontId="43" fillId="0" borderId="31" xfId="1" applyNumberFormat="1" applyFont="1" applyBorder="1" applyProtection="1">
      <alignment vertical="center"/>
    </xf>
    <xf numFmtId="9" fontId="43" fillId="2" borderId="1" xfId="1" applyNumberFormat="1" applyFont="1" applyFill="1" applyBorder="1" applyProtection="1">
      <alignment vertical="center"/>
    </xf>
    <xf numFmtId="9" fontId="43" fillId="2" borderId="31" xfId="1" applyNumberFormat="1" applyFont="1" applyFill="1" applyBorder="1" applyProtection="1">
      <alignment vertical="center"/>
    </xf>
    <xf numFmtId="10" fontId="43" fillId="2" borderId="1" xfId="1" applyNumberFormat="1" applyFont="1" applyFill="1" applyBorder="1" applyProtection="1">
      <alignment vertical="center"/>
    </xf>
    <xf numFmtId="10" fontId="43" fillId="2" borderId="31" xfId="1" applyNumberFormat="1" applyFont="1" applyFill="1" applyBorder="1" applyProtection="1">
      <alignment vertical="center"/>
    </xf>
    <xf numFmtId="0" fontId="43" fillId="12" borderId="21" xfId="1" applyFont="1" applyFill="1" applyBorder="1" applyProtection="1">
      <alignment vertical="center"/>
    </xf>
    <xf numFmtId="10" fontId="43" fillId="4" borderId="1" xfId="1" applyNumberFormat="1" applyFont="1" applyFill="1" applyBorder="1" applyProtection="1">
      <alignment vertical="center"/>
    </xf>
    <xf numFmtId="10" fontId="43" fillId="4" borderId="31" xfId="1" applyNumberFormat="1" applyFont="1" applyFill="1" applyBorder="1" applyProtection="1">
      <alignment vertical="center"/>
    </xf>
    <xf numFmtId="0" fontId="43" fillId="12" borderId="14" xfId="1" applyFont="1" applyFill="1" applyBorder="1" applyProtection="1">
      <alignment vertical="center"/>
    </xf>
    <xf numFmtId="0" fontId="43" fillId="12" borderId="11" xfId="1" applyFont="1" applyFill="1" applyBorder="1" applyProtection="1">
      <alignment vertical="center"/>
    </xf>
    <xf numFmtId="0" fontId="43" fillId="12" borderId="54" xfId="1" applyFont="1" applyFill="1" applyBorder="1" applyProtection="1">
      <alignment vertical="center"/>
    </xf>
    <xf numFmtId="0" fontId="43" fillId="7" borderId="1" xfId="1" applyFont="1" applyFill="1" applyBorder="1" applyProtection="1">
      <alignment vertical="center"/>
    </xf>
    <xf numFmtId="169" fontId="43" fillId="7" borderId="1" xfId="1" applyNumberFormat="1" applyFont="1" applyFill="1" applyBorder="1" applyProtection="1">
      <alignment vertical="center"/>
    </xf>
    <xf numFmtId="169" fontId="43" fillId="7" borderId="31" xfId="1" applyNumberFormat="1" applyFont="1" applyFill="1" applyBorder="1" applyProtection="1">
      <alignment vertical="center"/>
    </xf>
    <xf numFmtId="0" fontId="43" fillId="12" borderId="23" xfId="1" applyFont="1" applyFill="1" applyBorder="1" applyProtection="1">
      <alignment vertical="center"/>
    </xf>
    <xf numFmtId="0" fontId="4" fillId="0" borderId="31" xfId="1" applyFont="1" applyFill="1" applyBorder="1" applyProtection="1">
      <alignment vertical="center"/>
    </xf>
    <xf numFmtId="0" fontId="43" fillId="0" borderId="31" xfId="1" applyFont="1" applyFill="1" applyBorder="1" applyProtection="1">
      <alignment vertical="center"/>
    </xf>
    <xf numFmtId="0" fontId="43" fillId="12" borderId="18" xfId="1" applyFont="1" applyFill="1" applyBorder="1" applyProtection="1">
      <alignment vertical="center"/>
    </xf>
    <xf numFmtId="164" fontId="43" fillId="0" borderId="0" xfId="1" applyNumberFormat="1" applyFont="1" applyProtection="1">
      <alignment vertical="center"/>
    </xf>
    <xf numFmtId="0" fontId="43" fillId="0" borderId="18" xfId="1" applyFont="1" applyFill="1" applyBorder="1" applyProtection="1">
      <alignment vertical="center"/>
    </xf>
    <xf numFmtId="0" fontId="20" fillId="0" borderId="0" xfId="1" applyFont="1" applyProtection="1">
      <alignment vertical="center"/>
    </xf>
    <xf numFmtId="0" fontId="43" fillId="2" borderId="49" xfId="1" applyFont="1" applyFill="1" applyBorder="1" applyProtection="1">
      <alignment vertical="center"/>
    </xf>
    <xf numFmtId="0" fontId="4" fillId="0" borderId="31" xfId="1" applyFont="1" applyBorder="1" applyProtection="1">
      <alignment vertical="center"/>
    </xf>
    <xf numFmtId="0" fontId="43" fillId="2" borderId="41" xfId="1" applyFont="1" applyFill="1" applyBorder="1" applyProtection="1">
      <alignment vertical="center"/>
    </xf>
    <xf numFmtId="171" fontId="43" fillId="0" borderId="1" xfId="1" applyNumberFormat="1" applyFont="1" applyFill="1" applyBorder="1" applyProtection="1">
      <alignment vertical="center"/>
    </xf>
    <xf numFmtId="171" fontId="43" fillId="0" borderId="31" xfId="1" applyNumberFormat="1" applyFont="1" applyFill="1" applyBorder="1" applyProtection="1">
      <alignment vertical="center"/>
    </xf>
    <xf numFmtId="171" fontId="43" fillId="8" borderId="1" xfId="1" applyNumberFormat="1" applyFont="1" applyFill="1" applyBorder="1" applyProtection="1">
      <alignment vertical="center"/>
    </xf>
    <xf numFmtId="171" fontId="43" fillId="8" borderId="31" xfId="1" applyNumberFormat="1" applyFont="1" applyFill="1" applyBorder="1" applyProtection="1">
      <alignment vertical="center"/>
    </xf>
    <xf numFmtId="167" fontId="4" fillId="8" borderId="1" xfId="1" applyNumberFormat="1" applyFont="1" applyFill="1" applyBorder="1" applyProtection="1">
      <alignment vertical="center"/>
    </xf>
    <xf numFmtId="167" fontId="4" fillId="8" borderId="31" xfId="1" applyNumberFormat="1" applyFont="1" applyFill="1" applyBorder="1" applyProtection="1">
      <alignment vertical="center"/>
    </xf>
    <xf numFmtId="171" fontId="43" fillId="5" borderId="1" xfId="1" applyNumberFormat="1" applyFont="1" applyFill="1" applyBorder="1" applyProtection="1">
      <alignment vertical="center"/>
    </xf>
    <xf numFmtId="171" fontId="43" fillId="5" borderId="31" xfId="1" applyNumberFormat="1" applyFont="1" applyFill="1" applyBorder="1" applyProtection="1">
      <alignment vertical="center"/>
    </xf>
    <xf numFmtId="0" fontId="9" fillId="0" borderId="0" xfId="0" applyFont="1" applyProtection="1">
      <alignment vertical="center"/>
    </xf>
    <xf numFmtId="167" fontId="4" fillId="5" borderId="1" xfId="1" applyNumberFormat="1" applyFont="1" applyFill="1" applyBorder="1" applyProtection="1">
      <alignment vertical="center"/>
    </xf>
    <xf numFmtId="167" fontId="4" fillId="5" borderId="31" xfId="1" applyNumberFormat="1" applyFont="1" applyFill="1" applyBorder="1" applyProtection="1">
      <alignment vertical="center"/>
    </xf>
    <xf numFmtId="0" fontId="43" fillId="0" borderId="0" xfId="0" applyFont="1" applyProtection="1">
      <alignment vertical="center"/>
    </xf>
    <xf numFmtId="0" fontId="16" fillId="0" borderId="0" xfId="1" applyFont="1" applyFill="1" applyBorder="1" applyProtection="1">
      <alignment vertical="center"/>
    </xf>
    <xf numFmtId="0" fontId="4" fillId="2" borderId="74" xfId="1" applyFont="1" applyFill="1" applyBorder="1" applyProtection="1">
      <alignment vertical="center"/>
    </xf>
    <xf numFmtId="167" fontId="43" fillId="5" borderId="31" xfId="1" applyNumberFormat="1" applyFont="1" applyFill="1" applyBorder="1" applyProtection="1">
      <alignment vertical="center"/>
    </xf>
    <xf numFmtId="169" fontId="43" fillId="0" borderId="0" xfId="1" applyNumberFormat="1" applyFont="1" applyBorder="1" applyProtection="1">
      <alignment vertical="center"/>
    </xf>
    <xf numFmtId="166" fontId="43" fillId="0" borderId="0" xfId="1" applyNumberFormat="1" applyFont="1" applyBorder="1" applyAlignment="1" applyProtection="1">
      <alignment horizontal="center" vertical="center"/>
    </xf>
    <xf numFmtId="0" fontId="43" fillId="0" borderId="0" xfId="1" applyFont="1" applyBorder="1" applyAlignment="1" applyProtection="1">
      <alignment horizontal="center" vertical="center"/>
    </xf>
    <xf numFmtId="0" fontId="43" fillId="0" borderId="21" xfId="1" applyFont="1" applyFill="1" applyBorder="1" applyAlignment="1" applyProtection="1">
      <alignment vertical="center"/>
    </xf>
    <xf numFmtId="0" fontId="16" fillId="0" borderId="0" xfId="1" applyFont="1" applyBorder="1" applyProtection="1">
      <alignment vertical="center"/>
    </xf>
    <xf numFmtId="0" fontId="43" fillId="12" borderId="11" xfId="1" applyFont="1" applyFill="1" applyBorder="1" applyAlignment="1" applyProtection="1">
      <alignment vertical="center"/>
    </xf>
    <xf numFmtId="169" fontId="43" fillId="0" borderId="0" xfId="1" applyNumberFormat="1" applyFont="1" applyProtection="1">
      <alignment vertical="center"/>
    </xf>
    <xf numFmtId="169" fontId="43" fillId="0" borderId="0" xfId="1" applyNumberFormat="1" applyFont="1" applyFill="1" applyProtection="1">
      <alignment vertical="center"/>
    </xf>
    <xf numFmtId="0" fontId="43" fillId="12" borderId="18" xfId="1" applyFont="1" applyFill="1" applyBorder="1" applyAlignment="1" applyProtection="1">
      <alignment vertical="center"/>
    </xf>
    <xf numFmtId="0" fontId="7" fillId="6" borderId="18" xfId="1" applyFont="1" applyFill="1" applyBorder="1" applyProtection="1">
      <alignment vertical="center"/>
    </xf>
    <xf numFmtId="0" fontId="16" fillId="6" borderId="18" xfId="1" applyFont="1" applyFill="1" applyBorder="1" applyProtection="1">
      <alignment vertical="center"/>
    </xf>
    <xf numFmtId="0" fontId="43" fillId="2" borderId="23" xfId="1" applyFont="1" applyFill="1" applyBorder="1" applyProtection="1">
      <alignment vertical="center"/>
    </xf>
    <xf numFmtId="0" fontId="43" fillId="3" borderId="18" xfId="1" applyFont="1" applyFill="1" applyBorder="1" applyProtection="1">
      <alignment vertical="center"/>
    </xf>
    <xf numFmtId="0" fontId="43" fillId="8" borderId="31" xfId="1" applyFont="1" applyFill="1" applyBorder="1" applyProtection="1">
      <alignment vertical="center"/>
    </xf>
    <xf numFmtId="0" fontId="43" fillId="8" borderId="49" xfId="1" applyFont="1" applyFill="1" applyBorder="1" applyProtection="1">
      <alignment vertical="center"/>
    </xf>
    <xf numFmtId="0" fontId="43" fillId="2" borderId="39" xfId="1" applyFont="1" applyFill="1" applyBorder="1" applyProtection="1">
      <alignment vertical="center"/>
    </xf>
    <xf numFmtId="0" fontId="16" fillId="6" borderId="3" xfId="1" applyFont="1" applyFill="1" applyBorder="1" applyProtection="1">
      <alignment vertical="center"/>
    </xf>
    <xf numFmtId="0" fontId="16" fillId="2" borderId="3" xfId="1" applyFont="1" applyFill="1" applyBorder="1" applyProtection="1">
      <alignment vertical="center"/>
    </xf>
    <xf numFmtId="0" fontId="21" fillId="2" borderId="18" xfId="1" applyFont="1" applyFill="1" applyBorder="1" applyProtection="1">
      <alignment vertical="center"/>
    </xf>
    <xf numFmtId="0" fontId="7" fillId="2" borderId="18" xfId="1" applyFont="1" applyFill="1" applyBorder="1" applyProtection="1">
      <alignment vertical="center"/>
    </xf>
    <xf numFmtId="0" fontId="7" fillId="2" borderId="23" xfId="1" applyFont="1" applyFill="1" applyBorder="1" applyProtection="1">
      <alignment vertical="center"/>
    </xf>
    <xf numFmtId="0" fontId="7" fillId="2" borderId="54" xfId="1" applyFont="1" applyFill="1" applyBorder="1" applyProtection="1">
      <alignment vertical="center"/>
    </xf>
    <xf numFmtId="0" fontId="43" fillId="15" borderId="18" xfId="1" applyFont="1" applyFill="1" applyBorder="1" applyProtection="1">
      <alignment vertical="center"/>
    </xf>
    <xf numFmtId="0" fontId="43" fillId="5" borderId="18" xfId="1" applyFont="1" applyFill="1" applyBorder="1" applyProtection="1">
      <alignment vertical="center"/>
    </xf>
    <xf numFmtId="0" fontId="43" fillId="5" borderId="23" xfId="1" applyFont="1" applyFill="1" applyBorder="1" applyProtection="1">
      <alignment vertical="center"/>
    </xf>
    <xf numFmtId="0" fontId="43" fillId="5" borderId="54" xfId="1" applyFont="1" applyFill="1" applyBorder="1" applyProtection="1">
      <alignment vertical="center"/>
    </xf>
    <xf numFmtId="0" fontId="43" fillId="14" borderId="18" xfId="1" applyFont="1" applyFill="1" applyBorder="1" applyProtection="1">
      <alignment vertical="center"/>
    </xf>
    <xf numFmtId="0" fontId="16" fillId="12" borderId="3" xfId="1" applyFont="1" applyFill="1" applyBorder="1" applyProtection="1">
      <alignment vertical="center"/>
    </xf>
    <xf numFmtId="0" fontId="16" fillId="12" borderId="23" xfId="1" applyFont="1" applyFill="1" applyBorder="1" applyProtection="1">
      <alignment vertical="center"/>
    </xf>
    <xf numFmtId="0" fontId="43" fillId="0" borderId="18" xfId="1" applyFont="1" applyBorder="1" applyAlignment="1" applyProtection="1">
      <alignment vertical="center"/>
    </xf>
    <xf numFmtId="0" fontId="9" fillId="0" borderId="0" xfId="1" applyFont="1" applyProtection="1">
      <alignment vertical="center"/>
    </xf>
    <xf numFmtId="0" fontId="22" fillId="0" borderId="0" xfId="1" applyFont="1" applyProtection="1">
      <alignment vertical="center"/>
    </xf>
    <xf numFmtId="0" fontId="43" fillId="0" borderId="2" xfId="1" applyFont="1" applyBorder="1" applyProtection="1">
      <alignment vertical="center"/>
    </xf>
    <xf numFmtId="0" fontId="43" fillId="0" borderId="75" xfId="1" applyFont="1" applyBorder="1" applyProtection="1">
      <alignment vertical="center"/>
    </xf>
    <xf numFmtId="0" fontId="43" fillId="0" borderId="6" xfId="1" applyFont="1" applyBorder="1" applyProtection="1">
      <alignment vertical="center"/>
    </xf>
    <xf numFmtId="0" fontId="16" fillId="2" borderId="2" xfId="1" applyFont="1" applyFill="1" applyBorder="1" applyProtection="1">
      <alignment vertical="center"/>
    </xf>
    <xf numFmtId="0" fontId="43" fillId="0" borderId="59" xfId="1" applyFont="1" applyBorder="1" applyProtection="1">
      <alignment vertical="center"/>
    </xf>
    <xf numFmtId="0" fontId="43" fillId="2" borderId="21" xfId="1" applyFont="1" applyFill="1" applyBorder="1" applyAlignment="1" applyProtection="1">
      <alignment horizontal="center" vertical="center"/>
    </xf>
    <xf numFmtId="0" fontId="43" fillId="2" borderId="70" xfId="1" applyFont="1" applyFill="1" applyBorder="1" applyAlignment="1" applyProtection="1">
      <alignment horizontal="center" vertical="center"/>
    </xf>
    <xf numFmtId="0" fontId="43" fillId="2" borderId="22" xfId="1" applyFont="1" applyFill="1" applyBorder="1" applyAlignment="1" applyProtection="1">
      <alignment horizontal="center" vertical="center"/>
    </xf>
    <xf numFmtId="0" fontId="43" fillId="2" borderId="11" xfId="1" applyFont="1" applyFill="1" applyBorder="1" applyAlignment="1" applyProtection="1">
      <alignment horizontal="center" vertical="center"/>
    </xf>
    <xf numFmtId="0" fontId="43" fillId="2" borderId="9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vertical="center"/>
    </xf>
    <xf numFmtId="0" fontId="43" fillId="2" borderId="25" xfId="1" applyFont="1" applyFill="1" applyBorder="1" applyAlignment="1" applyProtection="1">
      <alignment horizontal="center" vertical="center"/>
    </xf>
    <xf numFmtId="166" fontId="43" fillId="2" borderId="18" xfId="1" applyNumberFormat="1" applyFont="1" applyFill="1" applyBorder="1" applyProtection="1">
      <alignment vertical="center"/>
    </xf>
    <xf numFmtId="166" fontId="43" fillId="2" borderId="19" xfId="1" applyNumberFormat="1" applyFont="1" applyFill="1" applyBorder="1" applyProtection="1">
      <alignment vertical="center"/>
    </xf>
    <xf numFmtId="166" fontId="43" fillId="2" borderId="20" xfId="1" applyNumberFormat="1" applyFont="1" applyFill="1" applyBorder="1" applyProtection="1">
      <alignment vertical="center"/>
    </xf>
    <xf numFmtId="165" fontId="43" fillId="2" borderId="11" xfId="1" applyNumberFormat="1" applyFont="1" applyFill="1" applyBorder="1" applyProtection="1">
      <alignment vertical="center"/>
    </xf>
    <xf numFmtId="165" fontId="43" fillId="2" borderId="1" xfId="1" applyNumberFormat="1" applyFont="1" applyFill="1" applyBorder="1" applyProtection="1">
      <alignment vertical="center"/>
    </xf>
    <xf numFmtId="165" fontId="43" fillId="2" borderId="9" xfId="1" applyNumberFormat="1" applyFont="1" applyFill="1" applyBorder="1" applyProtection="1">
      <alignment vertical="center"/>
    </xf>
    <xf numFmtId="166" fontId="43" fillId="2" borderId="44" xfId="1" applyNumberFormat="1" applyFont="1" applyFill="1" applyBorder="1" applyProtection="1">
      <alignment vertical="center"/>
    </xf>
    <xf numFmtId="166" fontId="43" fillId="2" borderId="1" xfId="1" applyNumberFormat="1" applyFont="1" applyFill="1" applyBorder="1" applyProtection="1">
      <alignment vertical="center"/>
    </xf>
    <xf numFmtId="166" fontId="43" fillId="2" borderId="37" xfId="1" applyNumberFormat="1" applyFont="1" applyFill="1" applyBorder="1" applyProtection="1">
      <alignment vertical="center"/>
    </xf>
    <xf numFmtId="0" fontId="43" fillId="2" borderId="13" xfId="1" applyFont="1" applyFill="1" applyBorder="1" applyProtection="1">
      <alignment vertical="center"/>
    </xf>
    <xf numFmtId="167" fontId="43" fillId="2" borderId="11" xfId="1" applyNumberFormat="1" applyFont="1" applyFill="1" applyBorder="1" applyAlignment="1" applyProtection="1">
      <alignment vertical="center"/>
    </xf>
    <xf numFmtId="167" fontId="43" fillId="2" borderId="8" xfId="1" applyNumberFormat="1" applyFont="1" applyFill="1" applyBorder="1" applyAlignment="1" applyProtection="1">
      <alignment horizontal="center" vertical="center"/>
    </xf>
    <xf numFmtId="167" fontId="43" fillId="2" borderId="9" xfId="1" applyNumberFormat="1" applyFont="1" applyFill="1" applyBorder="1" applyAlignment="1" applyProtection="1">
      <alignment vertical="center"/>
    </xf>
    <xf numFmtId="168" fontId="43" fillId="2" borderId="11" xfId="1" applyNumberFormat="1" applyFont="1" applyFill="1" applyBorder="1" applyAlignment="1" applyProtection="1">
      <alignment vertical="center"/>
    </xf>
    <xf numFmtId="168" fontId="43" fillId="2" borderId="9" xfId="1" applyNumberFormat="1" applyFont="1" applyFill="1" applyBorder="1" applyAlignment="1" applyProtection="1">
      <alignment vertical="center"/>
    </xf>
    <xf numFmtId="0" fontId="43" fillId="2" borderId="18" xfId="1" applyFont="1" applyFill="1" applyBorder="1" applyAlignment="1" applyProtection="1">
      <alignment vertical="center"/>
    </xf>
    <xf numFmtId="0" fontId="43" fillId="2" borderId="20" xfId="1" applyFont="1" applyFill="1" applyBorder="1" applyAlignment="1" applyProtection="1">
      <alignment vertical="center"/>
    </xf>
    <xf numFmtId="0" fontId="43" fillId="2" borderId="54" xfId="1" applyFont="1" applyFill="1" applyBorder="1" applyAlignment="1" applyProtection="1">
      <alignment vertical="center"/>
    </xf>
    <xf numFmtId="0" fontId="43" fillId="2" borderId="17" xfId="1" applyFont="1" applyFill="1" applyBorder="1" applyAlignment="1" applyProtection="1">
      <alignment horizontal="center" vertical="center"/>
    </xf>
    <xf numFmtId="0" fontId="43" fillId="2" borderId="55" xfId="1" applyFont="1" applyFill="1" applyBorder="1" applyAlignment="1" applyProtection="1">
      <alignment vertical="center"/>
    </xf>
    <xf numFmtId="168" fontId="43" fillId="3" borderId="8" xfId="1" applyNumberFormat="1" applyFont="1" applyFill="1" applyBorder="1" applyAlignment="1" applyProtection="1">
      <alignment horizontal="center" vertical="center"/>
    </xf>
    <xf numFmtId="0" fontId="4" fillId="10" borderId="0" xfId="1" applyFont="1" applyFill="1" applyProtection="1">
      <alignment vertical="center"/>
    </xf>
    <xf numFmtId="170" fontId="43" fillId="10" borderId="1" xfId="1" applyNumberFormat="1" applyFont="1" applyFill="1" applyBorder="1" applyAlignment="1" applyProtection="1">
      <alignment horizontal="center" vertical="center"/>
    </xf>
    <xf numFmtId="0" fontId="28" fillId="2" borderId="0" xfId="1" applyFont="1" applyFill="1" applyProtection="1">
      <alignment vertical="center"/>
    </xf>
    <xf numFmtId="0" fontId="46" fillId="0" borderId="29" xfId="1" applyFont="1" applyBorder="1" applyAlignment="1" applyProtection="1">
      <alignment horizontal="center" vertical="center"/>
    </xf>
    <xf numFmtId="0" fontId="46" fillId="0" borderId="10" xfId="1" applyFont="1" applyBorder="1" applyAlignment="1" applyProtection="1">
      <alignment horizontal="center" vertical="center"/>
    </xf>
    <xf numFmtId="0" fontId="43" fillId="2" borderId="1" xfId="1" applyFont="1" applyFill="1" applyBorder="1" applyAlignment="1" applyProtection="1">
      <alignment horizontal="right" vertical="center"/>
    </xf>
    <xf numFmtId="0" fontId="46" fillId="2" borderId="29" xfId="1" applyFont="1" applyFill="1" applyBorder="1" applyAlignment="1" applyProtection="1">
      <alignment horizontal="center" vertical="center"/>
    </xf>
    <xf numFmtId="0" fontId="46" fillId="2" borderId="10" xfId="1" applyFont="1" applyFill="1" applyBorder="1" applyAlignment="1" applyProtection="1">
      <alignment horizontal="center" vertical="center"/>
    </xf>
    <xf numFmtId="0" fontId="43" fillId="2" borderId="29" xfId="1" applyFont="1" applyFill="1" applyBorder="1" applyAlignment="1" applyProtection="1">
      <alignment horizontal="center" vertical="center"/>
    </xf>
    <xf numFmtId="0" fontId="43" fillId="2" borderId="10" xfId="1" applyFont="1" applyFill="1" applyBorder="1" applyAlignment="1" applyProtection="1">
      <alignment horizontal="center" vertical="center"/>
    </xf>
    <xf numFmtId="168" fontId="43" fillId="5" borderId="1" xfId="1" applyNumberFormat="1" applyFont="1" applyFill="1" applyBorder="1" applyAlignment="1" applyProtection="1">
      <alignment horizontal="center" vertical="center"/>
    </xf>
    <xf numFmtId="0" fontId="43" fillId="5" borderId="31" xfId="1" applyFont="1" applyFill="1" applyBorder="1" applyAlignment="1" applyProtection="1">
      <alignment horizontal="center" vertical="center"/>
    </xf>
    <xf numFmtId="0" fontId="43" fillId="5" borderId="8" xfId="1" applyFont="1" applyFill="1" applyBorder="1" applyAlignment="1" applyProtection="1">
      <alignment horizontal="center" vertical="center"/>
    </xf>
    <xf numFmtId="0" fontId="43" fillId="5" borderId="7" xfId="1" applyFont="1" applyFill="1" applyBorder="1" applyAlignment="1" applyProtection="1">
      <alignment horizontal="center" vertical="center"/>
    </xf>
    <xf numFmtId="0" fontId="43" fillId="2" borderId="31" xfId="1" applyFont="1" applyFill="1" applyBorder="1" applyAlignment="1" applyProtection="1">
      <alignment horizontal="center" vertical="center"/>
    </xf>
    <xf numFmtId="0" fontId="43" fillId="2" borderId="8" xfId="1" applyFont="1" applyFill="1" applyBorder="1" applyAlignment="1" applyProtection="1">
      <alignment horizontal="center" vertical="center"/>
    </xf>
    <xf numFmtId="0" fontId="43" fillId="2" borderId="7" xfId="1" applyFont="1" applyFill="1" applyBorder="1" applyAlignment="1" applyProtection="1">
      <alignment horizontal="center" vertical="center"/>
    </xf>
    <xf numFmtId="0" fontId="43" fillId="0" borderId="1" xfId="1" applyFont="1" applyBorder="1" applyAlignment="1" applyProtection="1">
      <alignment horizontal="center" vertical="center"/>
    </xf>
    <xf numFmtId="0" fontId="43" fillId="0" borderId="0" xfId="1" applyFont="1" applyFill="1" applyBorder="1" applyAlignment="1" applyProtection="1">
      <alignment horizontal="center" vertical="center"/>
    </xf>
    <xf numFmtId="168" fontId="43" fillId="2" borderId="31" xfId="1" applyNumberFormat="1" applyFont="1" applyFill="1" applyBorder="1" applyAlignment="1" applyProtection="1">
      <alignment horizontal="center" vertical="center"/>
    </xf>
    <xf numFmtId="168" fontId="43" fillId="2" borderId="8" xfId="1" applyNumberFormat="1" applyFont="1" applyFill="1" applyBorder="1" applyAlignment="1" applyProtection="1">
      <alignment horizontal="center" vertical="center"/>
    </xf>
    <xf numFmtId="168" fontId="43" fillId="2" borderId="7" xfId="1" applyNumberFormat="1" applyFont="1" applyFill="1" applyBorder="1" applyAlignment="1" applyProtection="1">
      <alignment horizontal="center" vertical="center"/>
    </xf>
    <xf numFmtId="0" fontId="43" fillId="2" borderId="0" xfId="1" applyFont="1" applyFill="1" applyBorder="1" applyAlignment="1" applyProtection="1">
      <alignment horizontal="center" vertical="center" wrapText="1"/>
    </xf>
    <xf numFmtId="0" fontId="43" fillId="5" borderId="21" xfId="1" applyFont="1" applyFill="1" applyBorder="1" applyAlignment="1" applyProtection="1">
      <alignment horizontal="center" vertical="center"/>
    </xf>
    <xf numFmtId="0" fontId="43" fillId="5" borderId="70" xfId="1" applyFont="1" applyFill="1" applyBorder="1" applyAlignment="1" applyProtection="1">
      <alignment horizontal="center" vertical="center"/>
    </xf>
    <xf numFmtId="0" fontId="43" fillId="5" borderId="22" xfId="1" applyFont="1" applyFill="1" applyBorder="1" applyAlignment="1" applyProtection="1">
      <alignment horizontal="center" vertical="center"/>
    </xf>
    <xf numFmtId="0" fontId="43" fillId="5" borderId="11" xfId="1" applyFont="1" applyFill="1" applyBorder="1" applyAlignment="1" applyProtection="1">
      <alignment horizontal="center" vertical="center"/>
    </xf>
    <xf numFmtId="0" fontId="43" fillId="5" borderId="9" xfId="1" applyFont="1" applyFill="1" applyBorder="1" applyAlignment="1" applyProtection="1">
      <alignment horizontal="center" vertical="center"/>
    </xf>
    <xf numFmtId="0" fontId="43" fillId="5" borderId="65" xfId="1" applyFont="1" applyFill="1" applyBorder="1" applyAlignment="1" applyProtection="1">
      <alignment horizontal="center" vertical="center"/>
    </xf>
    <xf numFmtId="0" fontId="43" fillId="5" borderId="66" xfId="1" applyFont="1" applyFill="1" applyBorder="1" applyAlignment="1" applyProtection="1">
      <alignment horizontal="center" vertical="center"/>
    </xf>
    <xf numFmtId="0" fontId="43" fillId="5" borderId="64" xfId="1" applyFont="1" applyFill="1" applyBorder="1" applyAlignment="1" applyProtection="1">
      <alignment horizontal="center" vertical="center"/>
    </xf>
    <xf numFmtId="9" fontId="43" fillId="2" borderId="0" xfId="1" applyNumberFormat="1" applyFont="1" applyFill="1" applyBorder="1" applyAlignment="1" applyProtection="1">
      <alignment horizontal="center" vertical="center" wrapText="1"/>
    </xf>
    <xf numFmtId="0" fontId="43" fillId="5" borderId="1" xfId="1" applyFont="1" applyFill="1" applyBorder="1" applyAlignment="1" applyProtection="1">
      <alignment horizontal="center" vertical="center" wrapText="1"/>
    </xf>
    <xf numFmtId="169" fontId="43" fillId="0" borderId="0" xfId="1" applyNumberFormat="1" applyFont="1" applyFill="1" applyBorder="1" applyAlignment="1" applyProtection="1">
      <alignment horizontal="center" vertical="center"/>
    </xf>
    <xf numFmtId="170" fontId="43" fillId="0" borderId="0" xfId="1" applyNumberFormat="1" applyFont="1" applyFill="1" applyBorder="1" applyAlignment="1" applyProtection="1">
      <alignment horizontal="center" vertical="center"/>
    </xf>
    <xf numFmtId="165" fontId="43" fillId="0" borderId="0" xfId="1" applyNumberFormat="1" applyFont="1" applyFill="1" applyBorder="1" applyAlignment="1" applyProtection="1">
      <alignment horizontal="center" vertical="center"/>
    </xf>
    <xf numFmtId="0" fontId="6" fillId="6" borderId="25" xfId="1" applyFont="1" applyFill="1" applyBorder="1" applyAlignment="1">
      <alignment horizontal="center" vertical="center"/>
    </xf>
    <xf numFmtId="0" fontId="6" fillId="6" borderId="51" xfId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center" vertical="center"/>
    </xf>
    <xf numFmtId="0" fontId="6" fillId="6" borderId="27" xfId="1" applyFont="1" applyFill="1" applyBorder="1" applyAlignment="1">
      <alignment horizontal="center" vertical="center"/>
    </xf>
    <xf numFmtId="0" fontId="43" fillId="6" borderId="23" xfId="1" applyFont="1" applyFill="1" applyBorder="1" applyAlignment="1" applyProtection="1">
      <alignment horizontal="left" vertical="center"/>
    </xf>
    <xf numFmtId="0" fontId="43" fillId="6" borderId="18" xfId="1" applyFont="1" applyFill="1" applyBorder="1" applyAlignment="1" applyProtection="1">
      <alignment horizontal="left" vertical="center"/>
    </xf>
    <xf numFmtId="0" fontId="16" fillId="2" borderId="31" xfId="1" applyFont="1" applyFill="1" applyBorder="1" applyAlignment="1" applyProtection="1">
      <alignment horizontal="center" vertical="center"/>
    </xf>
    <xf numFmtId="0" fontId="16" fillId="2" borderId="7" xfId="1" applyFont="1" applyFill="1" applyBorder="1" applyAlignment="1" applyProtection="1">
      <alignment horizontal="center" vertical="center"/>
    </xf>
    <xf numFmtId="0" fontId="16" fillId="0" borderId="1" xfId="1" applyFont="1" applyBorder="1" applyAlignment="1" applyProtection="1">
      <alignment horizontal="center" vertical="center" wrapText="1"/>
    </xf>
    <xf numFmtId="0" fontId="43" fillId="3" borderId="1" xfId="1" applyFont="1" applyFill="1" applyBorder="1" applyAlignment="1" applyProtection="1">
      <alignment horizontal="center" vertical="center" wrapText="1"/>
      <protection locked="0"/>
    </xf>
    <xf numFmtId="166" fontId="43" fillId="0" borderId="0" xfId="1" applyNumberFormat="1" applyFont="1" applyFill="1" applyBorder="1" applyAlignment="1" applyProtection="1">
      <alignment horizontal="left" vertical="center" wrapText="1"/>
    </xf>
    <xf numFmtId="0" fontId="16" fillId="6" borderId="8" xfId="1" applyNumberFormat="1" applyFont="1" applyFill="1" applyBorder="1" applyAlignment="1">
      <alignment horizontal="center" vertical="center"/>
    </xf>
    <xf numFmtId="0" fontId="16" fillId="6" borderId="9" xfId="1" applyNumberFormat="1" applyFont="1" applyFill="1" applyBorder="1" applyAlignment="1">
      <alignment horizontal="center" vertical="center"/>
    </xf>
    <xf numFmtId="168" fontId="43" fillId="5" borderId="18" xfId="1" applyNumberFormat="1" applyFont="1" applyFill="1" applyBorder="1" applyAlignment="1">
      <alignment horizontal="center" vertical="center"/>
    </xf>
    <xf numFmtId="168" fontId="43" fillId="5" borderId="0" xfId="1" applyNumberFormat="1" applyFont="1" applyFill="1" applyBorder="1" applyAlignment="1">
      <alignment horizontal="center" vertical="center"/>
    </xf>
    <xf numFmtId="168" fontId="43" fillId="5" borderId="20" xfId="1" applyNumberFormat="1" applyFont="1" applyFill="1" applyBorder="1" applyAlignment="1">
      <alignment horizontal="center" vertical="center"/>
    </xf>
    <xf numFmtId="0" fontId="16" fillId="6" borderId="14" xfId="1" applyNumberFormat="1" applyFont="1" applyFill="1" applyBorder="1" applyAlignment="1">
      <alignment horizontal="center" vertical="center"/>
    </xf>
    <xf numFmtId="0" fontId="16" fillId="6" borderId="12" xfId="1" applyNumberFormat="1" applyFont="1" applyFill="1" applyBorder="1" applyAlignment="1">
      <alignment horizontal="center" vertical="center"/>
    </xf>
    <xf numFmtId="0" fontId="16" fillId="6" borderId="13" xfId="1" applyNumberFormat="1" applyFont="1" applyFill="1" applyBorder="1" applyAlignment="1">
      <alignment horizontal="center" vertical="center"/>
    </xf>
    <xf numFmtId="166" fontId="43" fillId="0" borderId="0" xfId="1" applyNumberFormat="1" applyFont="1" applyBorder="1" applyAlignment="1" applyProtection="1">
      <alignment horizontal="center" vertical="center"/>
    </xf>
    <xf numFmtId="166" fontId="43" fillId="0" borderId="0" xfId="1" applyNumberFormat="1" applyFont="1" applyFill="1" applyBorder="1" applyAlignment="1" applyProtection="1">
      <alignment horizontal="center" vertical="center"/>
    </xf>
    <xf numFmtId="169" fontId="43" fillId="6" borderId="11" xfId="1" applyNumberFormat="1" applyFont="1" applyFill="1" applyBorder="1" applyAlignment="1">
      <alignment horizontal="center" vertical="center"/>
    </xf>
    <xf numFmtId="169" fontId="43" fillId="6" borderId="8" xfId="1" applyNumberFormat="1" applyFont="1" applyFill="1" applyBorder="1" applyAlignment="1">
      <alignment horizontal="center" vertical="center"/>
    </xf>
    <xf numFmtId="169" fontId="43" fillId="6" borderId="9" xfId="1" applyNumberFormat="1" applyFont="1" applyFill="1" applyBorder="1" applyAlignment="1">
      <alignment horizontal="center" vertical="center"/>
    </xf>
    <xf numFmtId="0" fontId="16" fillId="6" borderId="11" xfId="1" applyNumberFormat="1" applyFont="1" applyFill="1" applyBorder="1" applyAlignment="1">
      <alignment horizontal="center" vertical="center"/>
    </xf>
    <xf numFmtId="168" fontId="43" fillId="6" borderId="42" xfId="1" applyNumberFormat="1" applyFont="1" applyFill="1" applyBorder="1" applyAlignment="1">
      <alignment horizontal="center" vertical="center"/>
    </xf>
    <xf numFmtId="168" fontId="43" fillId="6" borderId="19" xfId="1" applyNumberFormat="1" applyFont="1" applyFill="1" applyBorder="1" applyAlignment="1">
      <alignment horizontal="center" vertical="center"/>
    </xf>
    <xf numFmtId="168" fontId="43" fillId="6" borderId="60" xfId="1" applyNumberFormat="1" applyFont="1" applyFill="1" applyBorder="1" applyAlignment="1">
      <alignment horizontal="center" vertical="center"/>
    </xf>
    <xf numFmtId="0" fontId="23" fillId="2" borderId="29" xfId="1" applyFont="1" applyFill="1" applyBorder="1" applyAlignment="1" applyProtection="1">
      <alignment horizontal="left" vertical="center"/>
    </xf>
    <xf numFmtId="0" fontId="23" fillId="2" borderId="10" xfId="1" applyFont="1" applyFill="1" applyBorder="1" applyAlignment="1" applyProtection="1">
      <alignment horizontal="left" vertical="center"/>
    </xf>
    <xf numFmtId="166" fontId="43" fillId="2" borderId="29" xfId="1" applyNumberFormat="1" applyFont="1" applyFill="1" applyBorder="1" applyAlignment="1" applyProtection="1">
      <alignment horizontal="center" vertical="center" wrapText="1"/>
    </xf>
    <xf numFmtId="166" fontId="43" fillId="2" borderId="10" xfId="1" applyNumberFormat="1" applyFont="1" applyFill="1" applyBorder="1" applyAlignment="1" applyProtection="1">
      <alignment horizontal="center" vertical="center" wrapText="1"/>
    </xf>
    <xf numFmtId="167" fontId="43" fillId="3" borderId="31" xfId="1" applyNumberFormat="1" applyFont="1" applyFill="1" applyBorder="1" applyAlignment="1" applyProtection="1">
      <alignment horizontal="center" vertical="center"/>
      <protection locked="0"/>
    </xf>
    <xf numFmtId="167" fontId="43" fillId="3" borderId="7" xfId="1" applyNumberFormat="1" applyFont="1" applyFill="1" applyBorder="1" applyAlignment="1" applyProtection="1">
      <alignment horizontal="center" vertical="center"/>
      <protection locked="0"/>
    </xf>
    <xf numFmtId="0" fontId="43" fillId="2" borderId="1" xfId="1" applyFont="1" applyFill="1" applyBorder="1" applyAlignment="1" applyProtection="1">
      <alignment horizontal="center" vertical="center" wrapText="1"/>
    </xf>
    <xf numFmtId="0" fontId="43" fillId="0" borderId="31" xfId="1" applyFont="1" applyBorder="1" applyAlignment="1" applyProtection="1">
      <alignment horizontal="center" vertical="center"/>
    </xf>
    <xf numFmtId="0" fontId="43" fillId="0" borderId="7" xfId="1" applyFont="1" applyBorder="1" applyAlignment="1" applyProtection="1">
      <alignment horizontal="center" vertical="center"/>
    </xf>
    <xf numFmtId="0" fontId="16" fillId="2" borderId="8" xfId="1" applyNumberFormat="1" applyFont="1" applyFill="1" applyBorder="1" applyAlignment="1">
      <alignment horizontal="center" vertical="center"/>
    </xf>
    <xf numFmtId="0" fontId="16" fillId="2" borderId="9" xfId="1" applyNumberFormat="1" applyFont="1" applyFill="1" applyBorder="1" applyAlignment="1">
      <alignment horizontal="center" vertical="center"/>
    </xf>
    <xf numFmtId="167" fontId="43" fillId="0" borderId="0" xfId="1" applyNumberFormat="1" applyFont="1" applyFill="1" applyBorder="1" applyAlignment="1" applyProtection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166" fontId="43" fillId="5" borderId="31" xfId="1" applyNumberFormat="1" applyFont="1" applyFill="1" applyBorder="1" applyAlignment="1" applyProtection="1">
      <alignment horizontal="center" vertical="center"/>
    </xf>
    <xf numFmtId="166" fontId="43" fillId="5" borderId="7" xfId="1" applyNumberFormat="1" applyFont="1" applyFill="1" applyBorder="1" applyAlignment="1" applyProtection="1">
      <alignment horizontal="center" vertical="center"/>
    </xf>
    <xf numFmtId="166" fontId="43" fillId="2" borderId="0" xfId="1" applyNumberFormat="1" applyFont="1" applyFill="1" applyBorder="1" applyAlignment="1" applyProtection="1">
      <alignment horizontal="center" vertical="center"/>
    </xf>
    <xf numFmtId="0" fontId="43" fillId="10" borderId="31" xfId="1" applyFont="1" applyFill="1" applyBorder="1" applyAlignment="1" applyProtection="1">
      <alignment horizontal="center" vertical="center"/>
    </xf>
    <xf numFmtId="0" fontId="43" fillId="10" borderId="7" xfId="1" applyFont="1" applyFill="1" applyBorder="1" applyAlignment="1" applyProtection="1">
      <alignment horizontal="center" vertical="center"/>
    </xf>
    <xf numFmtId="0" fontId="43" fillId="10" borderId="29" xfId="1" applyFont="1" applyFill="1" applyBorder="1" applyAlignment="1" applyProtection="1">
      <alignment horizontal="center" vertical="center"/>
    </xf>
    <xf numFmtId="0" fontId="43" fillId="10" borderId="19" xfId="1" applyFont="1" applyFill="1" applyBorder="1" applyAlignment="1" applyProtection="1">
      <alignment horizontal="center" vertical="center"/>
    </xf>
    <xf numFmtId="0" fontId="43" fillId="10" borderId="10" xfId="1" applyFont="1" applyFill="1" applyBorder="1" applyAlignment="1" applyProtection="1">
      <alignment horizontal="center" vertical="center"/>
    </xf>
    <xf numFmtId="0" fontId="43" fillId="10" borderId="41" xfId="1" applyFont="1" applyFill="1" applyBorder="1" applyAlignment="1" applyProtection="1">
      <alignment horizontal="center" vertical="center" wrapText="1"/>
    </xf>
    <xf numFmtId="0" fontId="43" fillId="10" borderId="28" xfId="1" applyFont="1" applyFill="1" applyBorder="1" applyAlignment="1" applyProtection="1">
      <alignment horizontal="center" vertical="center" wrapText="1"/>
    </xf>
    <xf numFmtId="0" fontId="43" fillId="10" borderId="49" xfId="1" applyFont="1" applyFill="1" applyBorder="1" applyAlignment="1" applyProtection="1">
      <alignment horizontal="center" vertical="center" wrapText="1"/>
    </xf>
    <xf numFmtId="0" fontId="43" fillId="10" borderId="50" xfId="1" applyFont="1" applyFill="1" applyBorder="1" applyAlignment="1" applyProtection="1">
      <alignment horizontal="center" vertical="center" wrapText="1"/>
    </xf>
    <xf numFmtId="0" fontId="43" fillId="10" borderId="39" xfId="1" applyFont="1" applyFill="1" applyBorder="1" applyAlignment="1" applyProtection="1">
      <alignment horizontal="center" vertical="center" wrapText="1"/>
    </xf>
    <xf numFmtId="0" fontId="43" fillId="10" borderId="48" xfId="1" applyFont="1" applyFill="1" applyBorder="1" applyAlignment="1" applyProtection="1">
      <alignment horizontal="center" vertical="center" wrapText="1"/>
    </xf>
    <xf numFmtId="0" fontId="43" fillId="10" borderId="19" xfId="1" applyFont="1" applyFill="1" applyBorder="1" applyAlignment="1" applyProtection="1">
      <alignment horizontal="center" vertical="center" wrapText="1"/>
    </xf>
    <xf numFmtId="0" fontId="43" fillId="10" borderId="10" xfId="1" applyFont="1" applyFill="1" applyBorder="1" applyAlignment="1" applyProtection="1">
      <alignment horizontal="center" vertical="center" wrapText="1"/>
    </xf>
    <xf numFmtId="168" fontId="43" fillId="10" borderId="31" xfId="1" applyNumberFormat="1" applyFont="1" applyFill="1" applyBorder="1" applyAlignment="1" applyProtection="1">
      <alignment horizontal="center" vertical="center"/>
    </xf>
    <xf numFmtId="168" fontId="43" fillId="10" borderId="7" xfId="1" applyNumberFormat="1" applyFont="1" applyFill="1" applyBorder="1" applyAlignment="1" applyProtection="1">
      <alignment horizontal="center" vertical="center"/>
    </xf>
    <xf numFmtId="0" fontId="43" fillId="10" borderId="8" xfId="1" applyFont="1" applyFill="1" applyBorder="1" applyAlignment="1" applyProtection="1">
      <alignment horizontal="center" vertical="center"/>
    </xf>
    <xf numFmtId="0" fontId="43" fillId="10" borderId="41" xfId="1" applyFont="1" applyFill="1" applyBorder="1" applyAlignment="1" applyProtection="1">
      <alignment horizontal="center" vertical="center"/>
    </xf>
    <xf numFmtId="0" fontId="43" fillId="10" borderId="28" xfId="1" applyFont="1" applyFill="1" applyBorder="1" applyAlignment="1" applyProtection="1">
      <alignment horizontal="center" vertical="center"/>
    </xf>
    <xf numFmtId="0" fontId="43" fillId="10" borderId="39" xfId="1" applyFont="1" applyFill="1" applyBorder="1" applyAlignment="1" applyProtection="1">
      <alignment horizontal="center" vertical="center"/>
    </xf>
    <xf numFmtId="0" fontId="43" fillId="10" borderId="48" xfId="1" applyFont="1" applyFill="1" applyBorder="1" applyAlignment="1" applyProtection="1">
      <alignment horizontal="center" vertical="center"/>
    </xf>
    <xf numFmtId="168" fontId="43" fillId="2" borderId="1" xfId="1" applyNumberFormat="1" applyFont="1" applyFill="1" applyBorder="1" applyAlignment="1" applyProtection="1">
      <alignment horizontal="center" vertical="center"/>
    </xf>
    <xf numFmtId="0" fontId="43" fillId="2" borderId="64" xfId="1" applyFont="1" applyFill="1" applyBorder="1" applyAlignment="1" applyProtection="1">
      <alignment horizontal="center" vertical="center"/>
    </xf>
    <xf numFmtId="0" fontId="43" fillId="2" borderId="65" xfId="1" applyFont="1" applyFill="1" applyBorder="1" applyAlignment="1" applyProtection="1">
      <alignment horizontal="center" vertical="center"/>
    </xf>
    <xf numFmtId="0" fontId="43" fillId="2" borderId="66" xfId="1" applyFont="1" applyFill="1" applyBorder="1" applyAlignment="1" applyProtection="1">
      <alignment horizontal="center" vertical="center"/>
    </xf>
    <xf numFmtId="0" fontId="43" fillId="2" borderId="1" xfId="1" applyFont="1" applyFill="1" applyBorder="1" applyAlignment="1" applyProtection="1">
      <alignment horizontal="center" vertical="center"/>
    </xf>
    <xf numFmtId="167" fontId="43" fillId="5" borderId="29" xfId="1" applyNumberFormat="1" applyFont="1" applyFill="1" applyBorder="1" applyAlignment="1" applyProtection="1">
      <alignment horizontal="center" vertical="center"/>
    </xf>
    <xf numFmtId="167" fontId="43" fillId="5" borderId="10" xfId="1" applyNumberFormat="1" applyFont="1" applyFill="1" applyBorder="1" applyAlignment="1" applyProtection="1">
      <alignment horizontal="center" vertical="center"/>
    </xf>
    <xf numFmtId="0" fontId="43" fillId="2" borderId="0" xfId="1" applyFont="1" applyFill="1" applyBorder="1" applyAlignment="1" applyProtection="1">
      <alignment horizontal="center" vertical="center"/>
    </xf>
    <xf numFmtId="0" fontId="14" fillId="2" borderId="31" xfId="1" applyFont="1" applyFill="1" applyBorder="1" applyAlignment="1" applyProtection="1">
      <alignment horizontal="center" vertical="center" wrapText="1"/>
    </xf>
    <xf numFmtId="0" fontId="14" fillId="2" borderId="7" xfId="1" applyFont="1" applyFill="1" applyBorder="1" applyAlignment="1" applyProtection="1">
      <alignment horizontal="center" vertical="center" wrapText="1"/>
    </xf>
    <xf numFmtId="164" fontId="43" fillId="0" borderId="0" xfId="1" applyNumberFormat="1" applyFont="1" applyFill="1" applyBorder="1" applyAlignment="1" applyProtection="1">
      <alignment horizontal="center" vertical="center"/>
    </xf>
    <xf numFmtId="0" fontId="43" fillId="2" borderId="11" xfId="1" applyFont="1" applyFill="1" applyBorder="1" applyAlignment="1" applyProtection="1">
      <alignment horizontal="center" vertical="center"/>
    </xf>
    <xf numFmtId="0" fontId="43" fillId="2" borderId="9" xfId="1" applyFont="1" applyFill="1" applyBorder="1" applyAlignment="1" applyProtection="1">
      <alignment horizontal="center" vertical="center"/>
    </xf>
    <xf numFmtId="0" fontId="43" fillId="2" borderId="21" xfId="1" applyFont="1" applyFill="1" applyBorder="1" applyAlignment="1" applyProtection="1">
      <alignment horizontal="center" vertical="center"/>
    </xf>
    <xf numFmtId="0" fontId="43" fillId="2" borderId="70" xfId="1" applyFont="1" applyFill="1" applyBorder="1" applyAlignment="1" applyProtection="1">
      <alignment horizontal="center" vertical="center"/>
    </xf>
    <xf numFmtId="0" fontId="43" fillId="2" borderId="22" xfId="1" applyFont="1" applyFill="1" applyBorder="1" applyAlignment="1" applyProtection="1">
      <alignment horizontal="center" vertical="center"/>
    </xf>
    <xf numFmtId="0" fontId="43" fillId="0" borderId="29" xfId="1" applyFont="1" applyBorder="1" applyAlignment="1" applyProtection="1">
      <alignment horizontal="center" vertical="center"/>
    </xf>
    <xf numFmtId="0" fontId="43" fillId="0" borderId="10" xfId="1" applyFont="1" applyBorder="1" applyAlignment="1" applyProtection="1">
      <alignment horizontal="center" vertical="center"/>
    </xf>
    <xf numFmtId="0" fontId="43" fillId="0" borderId="8" xfId="1" applyFont="1" applyBorder="1" applyAlignment="1" applyProtection="1">
      <alignment horizontal="center" vertical="center"/>
    </xf>
    <xf numFmtId="168" fontId="43" fillId="5" borderId="31" xfId="1" applyNumberFormat="1" applyFont="1" applyFill="1" applyBorder="1" applyAlignment="1" applyProtection="1">
      <alignment horizontal="center" vertical="center"/>
    </xf>
    <xf numFmtId="168" fontId="43" fillId="5" borderId="8" xfId="1" applyNumberFormat="1" applyFont="1" applyFill="1" applyBorder="1" applyAlignment="1" applyProtection="1">
      <alignment horizontal="center" vertical="center"/>
    </xf>
    <xf numFmtId="168" fontId="43" fillId="5" borderId="7" xfId="1" applyNumberFormat="1" applyFont="1" applyFill="1" applyBorder="1" applyAlignment="1" applyProtection="1">
      <alignment horizontal="center" vertical="center"/>
    </xf>
    <xf numFmtId="0" fontId="43" fillId="5" borderId="1" xfId="1" applyFont="1" applyFill="1" applyBorder="1" applyAlignment="1" applyProtection="1">
      <alignment horizontal="center" vertical="center"/>
    </xf>
    <xf numFmtId="0" fontId="14" fillId="2" borderId="8" xfId="1" applyFont="1" applyFill="1" applyBorder="1" applyAlignment="1" applyProtection="1">
      <alignment horizontal="center" vertical="center" wrapText="1"/>
    </xf>
    <xf numFmtId="0" fontId="46" fillId="2" borderId="31" xfId="1" applyFont="1" applyFill="1" applyBorder="1" applyAlignment="1" applyProtection="1">
      <alignment horizontal="center" vertical="center" wrapText="1"/>
    </xf>
    <xf numFmtId="0" fontId="46" fillId="2" borderId="7" xfId="1" applyFont="1" applyFill="1" applyBorder="1" applyAlignment="1" applyProtection="1">
      <alignment horizontal="center" vertical="center" wrapText="1"/>
    </xf>
    <xf numFmtId="0" fontId="23" fillId="2" borderId="1" xfId="1" applyFont="1" applyFill="1" applyBorder="1" applyAlignment="1" applyProtection="1">
      <alignment horizontal="left" vertical="center"/>
    </xf>
    <xf numFmtId="168" fontId="43" fillId="5" borderId="49" xfId="1" applyNumberFormat="1" applyFont="1" applyFill="1" applyBorder="1" applyAlignment="1" applyProtection="1">
      <alignment horizontal="center" vertical="center"/>
    </xf>
    <xf numFmtId="168" fontId="43" fillId="5" borderId="0" xfId="1" applyNumberFormat="1" applyFont="1" applyFill="1" applyBorder="1" applyAlignment="1" applyProtection="1">
      <alignment horizontal="center" vertical="center"/>
    </xf>
    <xf numFmtId="168" fontId="43" fillId="5" borderId="50" xfId="1" applyNumberFormat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 vertical="center" wrapText="1"/>
    </xf>
    <xf numFmtId="10" fontId="43" fillId="2" borderId="0" xfId="1" applyNumberFormat="1" applyFont="1" applyFill="1" applyBorder="1" applyAlignment="1" applyProtection="1">
      <alignment horizontal="center" vertical="center"/>
    </xf>
    <xf numFmtId="49" fontId="43" fillId="2" borderId="0" xfId="1" applyNumberFormat="1" applyFont="1" applyFill="1" applyBorder="1" applyAlignment="1" applyProtection="1">
      <alignment horizontal="center" vertical="center"/>
    </xf>
    <xf numFmtId="0" fontId="43" fillId="5" borderId="31" xfId="1" applyFont="1" applyFill="1" applyBorder="1" applyAlignment="1" applyProtection="1">
      <alignment horizontal="center" vertical="center" wrapText="1"/>
    </xf>
    <xf numFmtId="0" fontId="43" fillId="5" borderId="8" xfId="1" applyFont="1" applyFill="1" applyBorder="1" applyAlignment="1" applyProtection="1">
      <alignment horizontal="center" vertical="center" wrapText="1"/>
    </xf>
    <xf numFmtId="0" fontId="43" fillId="5" borderId="7" xfId="1" applyFont="1" applyFill="1" applyBorder="1" applyAlignment="1" applyProtection="1">
      <alignment horizontal="center" vertical="center" wrapText="1"/>
    </xf>
    <xf numFmtId="175" fontId="43" fillId="5" borderId="31" xfId="1" applyNumberFormat="1" applyFont="1" applyFill="1" applyBorder="1" applyAlignment="1" applyProtection="1">
      <alignment horizontal="center" vertical="center"/>
    </xf>
    <xf numFmtId="175" fontId="43" fillId="5" borderId="8" xfId="1" applyNumberFormat="1" applyFont="1" applyFill="1" applyBorder="1" applyAlignment="1" applyProtection="1">
      <alignment horizontal="center" vertical="center"/>
    </xf>
    <xf numFmtId="175" fontId="43" fillId="5" borderId="7" xfId="1" applyNumberFormat="1" applyFont="1" applyFill="1" applyBorder="1" applyAlignment="1" applyProtection="1">
      <alignment horizontal="center" vertical="center"/>
    </xf>
    <xf numFmtId="0" fontId="0" fillId="3" borderId="1" xfId="1" applyFont="1" applyFill="1" applyBorder="1" applyAlignment="1" applyProtection="1">
      <alignment horizontal="center" vertical="center" wrapText="1"/>
      <protection locked="0"/>
    </xf>
    <xf numFmtId="0" fontId="16" fillId="0" borderId="31" xfId="1" applyFont="1" applyBorder="1" applyAlignment="1" applyProtection="1">
      <alignment horizontal="center" vertical="center" wrapText="1"/>
    </xf>
    <xf numFmtId="0" fontId="16" fillId="0" borderId="8" xfId="1" applyFont="1" applyBorder="1" applyAlignment="1" applyProtection="1">
      <alignment horizontal="center" vertical="center" wrapText="1"/>
    </xf>
    <xf numFmtId="0" fontId="16" fillId="0" borderId="7" xfId="1" applyFont="1" applyBorder="1" applyAlignment="1" applyProtection="1">
      <alignment horizontal="center" vertical="center" wrapText="1"/>
    </xf>
    <xf numFmtId="0" fontId="12" fillId="2" borderId="31" xfId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horizontal="center" vertical="center"/>
    </xf>
    <xf numFmtId="0" fontId="12" fillId="2" borderId="7" xfId="1" applyFont="1" applyFill="1" applyBorder="1" applyAlignment="1" applyProtection="1">
      <alignment horizontal="center" vertical="center"/>
    </xf>
    <xf numFmtId="0" fontId="23" fillId="2" borderId="31" xfId="1" applyFont="1" applyFill="1" applyBorder="1" applyAlignment="1" applyProtection="1">
      <alignment horizontal="center" vertical="center"/>
    </xf>
    <xf numFmtId="0" fontId="23" fillId="2" borderId="8" xfId="1" applyFont="1" applyFill="1" applyBorder="1" applyAlignment="1" applyProtection="1">
      <alignment horizontal="center" vertical="center"/>
    </xf>
    <xf numFmtId="0" fontId="23" fillId="2" borderId="7" xfId="1" applyFont="1" applyFill="1" applyBorder="1" applyAlignment="1" applyProtection="1">
      <alignment horizontal="center" vertical="center"/>
    </xf>
    <xf numFmtId="0" fontId="43" fillId="2" borderId="31" xfId="1" applyFont="1" applyFill="1" applyBorder="1" applyAlignment="1" applyProtection="1">
      <alignment horizontal="center" vertical="center" wrapText="1"/>
    </xf>
    <xf numFmtId="0" fontId="43" fillId="2" borderId="8" xfId="1" applyFont="1" applyFill="1" applyBorder="1" applyAlignment="1" applyProtection="1">
      <alignment horizontal="center" vertical="center" wrapText="1"/>
    </xf>
    <xf numFmtId="0" fontId="43" fillId="2" borderId="7" xfId="1" applyFont="1" applyFill="1" applyBorder="1" applyAlignment="1" applyProtection="1">
      <alignment horizontal="center" vertical="center" wrapText="1"/>
    </xf>
    <xf numFmtId="166" fontId="43" fillId="5" borderId="8" xfId="1" applyNumberFormat="1" applyFont="1" applyFill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 wrapText="1"/>
    </xf>
    <xf numFmtId="0" fontId="14" fillId="2" borderId="43" xfId="2" applyFont="1" applyFill="1" applyBorder="1" applyAlignment="1">
      <alignment horizontal="center" vertical="center"/>
    </xf>
    <xf numFmtId="0" fontId="14" fillId="2" borderId="42" xfId="2" applyFont="1" applyFill="1" applyBorder="1" applyAlignment="1">
      <alignment horizontal="center" vertical="center"/>
    </xf>
    <xf numFmtId="0" fontId="14" fillId="2" borderId="38" xfId="2" applyFont="1" applyFill="1" applyBorder="1" applyAlignment="1">
      <alignment horizontal="center" vertical="center"/>
    </xf>
    <xf numFmtId="0" fontId="14" fillId="2" borderId="68" xfId="2" applyFont="1" applyFill="1" applyBorder="1" applyAlignment="1">
      <alignment horizontal="center" vertical="center"/>
    </xf>
    <xf numFmtId="0" fontId="14" fillId="2" borderId="0" xfId="2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標準_Calculate_01" xfId="1"/>
    <cellStyle name="標準_TPS51xxx_Check_List_latest" xfId="2"/>
  </cellStyles>
  <dxfs count="26">
    <dxf>
      <font>
        <b/>
        <i/>
        <condense val="0"/>
        <extend val="0"/>
        <color indexed="53"/>
      </font>
    </dxf>
    <dxf>
      <font>
        <b/>
        <i/>
        <condense val="0"/>
        <extend val="0"/>
        <color indexed="53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53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  <fill>
        <patternFill>
          <bgColor indexed="43"/>
        </patternFill>
      </fill>
    </dxf>
    <dxf>
      <font>
        <b/>
        <i/>
        <condense val="0"/>
        <extend val="0"/>
        <color indexed="10"/>
      </font>
      <fill>
        <patternFill>
          <bgColor indexed="43"/>
        </patternFill>
      </fill>
    </dxf>
    <dxf>
      <font>
        <b/>
        <i/>
        <condense val="0"/>
        <extend val="0"/>
        <color indexed="10"/>
      </font>
      <fill>
        <patternFill>
          <bgColor indexed="43"/>
        </patternFill>
      </fill>
    </dxf>
    <dxf>
      <font>
        <b/>
        <i/>
        <condense val="0"/>
        <extend val="0"/>
        <color indexed="10"/>
      </font>
      <fill>
        <patternFill>
          <bgColor indexed="43"/>
        </patternFill>
      </fill>
    </dxf>
    <dxf>
      <font>
        <b/>
        <i/>
        <condense val="0"/>
        <extend val="0"/>
        <color indexed="10"/>
      </font>
      <fill>
        <patternFill>
          <bgColor indexed="43"/>
        </patternFill>
      </fill>
    </dxf>
    <dxf>
      <font>
        <b/>
        <i/>
        <condense val="0"/>
        <extend val="0"/>
        <color indexed="53"/>
      </font>
      <fill>
        <patternFill>
          <bgColor indexed="43"/>
        </patternFill>
      </fill>
    </dxf>
    <dxf>
      <font>
        <b/>
        <i/>
        <condense val="0"/>
        <extend val="0"/>
        <color indexed="1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10"/>
      </font>
      <fill>
        <patternFill>
          <bgColor indexed="43"/>
        </patternFill>
      </fill>
    </dxf>
    <dxf>
      <font>
        <b/>
        <i/>
        <strike val="0"/>
        <condense val="0"/>
        <extend val="0"/>
        <color indexed="10"/>
      </font>
      <fill>
        <patternFill>
          <bgColor indexed="43"/>
        </patternFill>
      </fill>
    </dxf>
    <dxf>
      <font>
        <b/>
        <i/>
        <condense val="0"/>
        <extend val="0"/>
        <color indexed="12"/>
      </font>
      <fill>
        <patternFill>
          <bgColor indexed="41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53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53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Input capacitor RMS current vs. VIN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'2010-05'!$CD$537</c:f>
              <c:strCache>
                <c:ptCount val="1"/>
                <c:pt idx="0">
                  <c:v>CH1_only</c:v>
                </c:pt>
              </c:strCache>
            </c:strRef>
          </c:tx>
          <c:xVal>
            <c:numRef>
              <c:f>'2010-05'!$CC$538:$CC$550</c:f>
            </c:numRef>
          </c:xVal>
          <c:yVal>
            <c:numRef>
              <c:f>'2010-05'!$CD$538:$CD$550</c:f>
            </c:numRef>
          </c:yVal>
          <c:smooth val="1"/>
        </c:ser>
        <c:ser>
          <c:idx val="1"/>
          <c:order val="1"/>
          <c:tx>
            <c:strRef>
              <c:f>'2010-05'!$CE$537</c:f>
              <c:strCache>
                <c:ptCount val="1"/>
                <c:pt idx="0">
                  <c:v>CH2_only</c:v>
                </c:pt>
              </c:strCache>
            </c:strRef>
          </c:tx>
          <c:xVal>
            <c:numRef>
              <c:f>'2010-05'!$CC$538:$CC$550</c:f>
            </c:numRef>
          </c:xVal>
          <c:yVal>
            <c:numRef>
              <c:f>'2010-05'!$CE$538:$CE$550</c:f>
            </c:numRef>
          </c:yVal>
          <c:smooth val="1"/>
        </c:ser>
        <c:ser>
          <c:idx val="2"/>
          <c:order val="2"/>
          <c:tx>
            <c:strRef>
              <c:f>'2010-05'!$CG$537</c:f>
              <c:strCache>
                <c:ptCount val="1"/>
                <c:pt idx="0">
                  <c:v>180-phase shift</c:v>
                </c:pt>
              </c:strCache>
            </c:strRef>
          </c:tx>
          <c:xVal>
            <c:numRef>
              <c:f>'2010-05'!$CC$538:$CC$550</c:f>
            </c:numRef>
          </c:xVal>
          <c:yVal>
            <c:numRef>
              <c:f>'2010-05'!$CG$538:$CG$550</c:f>
            </c:numRef>
          </c:yVal>
          <c:smooth val="1"/>
        </c:ser>
        <c:ser>
          <c:idx val="3"/>
          <c:order val="3"/>
          <c:tx>
            <c:strRef>
              <c:f>'2010-05'!$CH$537</c:f>
              <c:strCache>
                <c:ptCount val="1"/>
                <c:pt idx="0">
                  <c:v>CH1+Ch2</c:v>
                </c:pt>
              </c:strCache>
            </c:strRef>
          </c:tx>
          <c:xVal>
            <c:numRef>
              <c:f>'2010-05'!$CC$538:$CC$550</c:f>
            </c:numRef>
          </c:xVal>
          <c:yVal>
            <c:numRef>
              <c:f>'2010-05'!$CH$538:$CH$550</c:f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60096"/>
        <c:axId val="114662016"/>
      </c:scatterChart>
      <c:valAx>
        <c:axId val="114660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VIN - V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62016"/>
        <c:crosses val="autoZero"/>
        <c:crossBetween val="midCat"/>
      </c:valAx>
      <c:valAx>
        <c:axId val="1146620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</a:t>
                </a:r>
                <a:r>
                  <a:rPr lang="en-US" sz="15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RMS</a:t>
                </a:r>
                <a:r>
                  <a:rPr lang="en-US" sz="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- 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600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'2010-05'!$S$414</c:f>
              <c:strCache>
                <c:ptCount val="1"/>
                <c:pt idx="0">
                  <c:v>Iout+line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'2010-05'!$S$415:$S$435</c:f>
            </c:numRef>
          </c:yVal>
          <c:smooth val="0"/>
        </c:ser>
        <c:ser>
          <c:idx val="1"/>
          <c:order val="1"/>
          <c:tx>
            <c:strRef>
              <c:f>'2010-05'!$X$414</c:f>
              <c:strCache>
                <c:ptCount val="1"/>
                <c:pt idx="0">
                  <c:v>I-ocl (DC) at Vin-typ, Ta-typ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'2010-05'!$X$415:$X$435</c:f>
            </c:numRef>
          </c:yVal>
          <c:smooth val="1"/>
        </c:ser>
        <c:ser>
          <c:idx val="2"/>
          <c:order val="2"/>
          <c:tx>
            <c:strRef>
              <c:f>'2010-05'!$Y$414</c:f>
              <c:strCache>
                <c:ptCount val="1"/>
                <c:pt idx="0">
                  <c:v>I-ocl (DC) at Vin-min, Ta-typ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'2010-05'!$Y$415:$Y$435</c:f>
            </c:numRef>
          </c:yVal>
          <c:smooth val="1"/>
        </c:ser>
        <c:ser>
          <c:idx val="3"/>
          <c:order val="3"/>
          <c:tx>
            <c:strRef>
              <c:f>'2010-05'!$Z$414</c:f>
              <c:strCache>
                <c:ptCount val="1"/>
                <c:pt idx="0">
                  <c:v>I-ocl (DC) at Vin-max, Ta-typ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'2010-05'!$Z$415:$Z$435</c:f>
            </c:numRef>
          </c:yVal>
          <c:smooth val="1"/>
        </c:ser>
        <c:ser>
          <c:idx val="4"/>
          <c:order val="4"/>
          <c:tx>
            <c:strRef>
              <c:f>'2010-05'!$AA$414</c:f>
              <c:strCache>
                <c:ptCount val="1"/>
                <c:pt idx="0">
                  <c:v>I-ocl (DC) at Vin-max, Ta-max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'2010-05'!$AA$415:$AA$435</c:f>
            </c:numRef>
          </c:yVal>
          <c:smooth val="0"/>
        </c:ser>
        <c:ser>
          <c:idx val="5"/>
          <c:order val="5"/>
          <c:tx>
            <c:strRef>
              <c:f>'2010-05'!$AB$414</c:f>
              <c:strCache>
                <c:ptCount val="1"/>
                <c:pt idx="0">
                  <c:v>I-ocl (DC) at Vin-min, Ta-min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'2010-05'!$AB$415:$AB$435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765056"/>
        <c:axId val="118766976"/>
      </c:scatterChart>
      <c:valAx>
        <c:axId val="118765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Iout - 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766976"/>
        <c:crosses val="autoZero"/>
        <c:crossBetween val="midCat"/>
      </c:valAx>
      <c:valAx>
        <c:axId val="118766976"/>
        <c:scaling>
          <c:orientation val="minMax"/>
          <c:max val="12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Vocl/Rs - I-ind-ripple/2 - 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7650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Input voltage dip  vs. VIN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'2010-05'!$CL$537</c:f>
              <c:strCache>
                <c:ptCount val="1"/>
                <c:pt idx="0">
                  <c:v>CH1_Delta-V</c:v>
                </c:pt>
              </c:strCache>
            </c:strRef>
          </c:tx>
          <c:xVal>
            <c:numRef>
              <c:f>'2010-05'!$CC$538:$CC$550</c:f>
            </c:numRef>
          </c:xVal>
          <c:yVal>
            <c:numRef>
              <c:f>'2010-05'!$CL$538:$CL$550</c:f>
            </c:numRef>
          </c:yVal>
          <c:smooth val="1"/>
        </c:ser>
        <c:ser>
          <c:idx val="1"/>
          <c:order val="1"/>
          <c:tx>
            <c:strRef>
              <c:f>'2010-05'!$CM$537</c:f>
              <c:strCache>
                <c:ptCount val="1"/>
                <c:pt idx="0">
                  <c:v>CH2_Delta-V</c:v>
                </c:pt>
              </c:strCache>
            </c:strRef>
          </c:tx>
          <c:xVal>
            <c:numRef>
              <c:f>'2010-05'!$CC$538:$CC$550</c:f>
            </c:numRef>
          </c:xVal>
          <c:yVal>
            <c:numRef>
              <c:f>'2010-05'!$CM$538:$CM$550</c:f>
            </c:numRef>
          </c:yVal>
          <c:smooth val="1"/>
        </c:ser>
        <c:ser>
          <c:idx val="2"/>
          <c:order val="2"/>
          <c:tx>
            <c:strRef>
              <c:f>'2010-05'!$CN$537</c:f>
              <c:strCache>
                <c:ptCount val="1"/>
                <c:pt idx="0">
                  <c:v>Both_Delta-V</c:v>
                </c:pt>
              </c:strCache>
            </c:strRef>
          </c:tx>
          <c:xVal>
            <c:numRef>
              <c:f>'2010-05'!$CC$538:$CC$550</c:f>
            </c:numRef>
          </c:xVal>
          <c:yVal>
            <c:numRef>
              <c:f>'2010-05'!$CN$538:$CN$550</c:f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84672"/>
        <c:axId val="114686592"/>
      </c:scatterChart>
      <c:valAx>
        <c:axId val="114684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VIN - V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86592"/>
        <c:crosses val="autoZero"/>
        <c:crossBetween val="midCat"/>
      </c:valAx>
      <c:valAx>
        <c:axId val="1146865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</a:t>
                </a:r>
                <a:r>
                  <a:rPr lang="en-US" sz="15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DIP</a:t>
                </a:r>
                <a:r>
                  <a:rPr lang="en-US" sz="1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- V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6846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'2010-05'!$C$365</c:f>
              <c:strCache>
                <c:ptCount val="1"/>
                <c:pt idx="0">
                  <c:v>L (CH1)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'2010-05'!$C$366:$C$386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20448"/>
        <c:axId val="87322624"/>
      </c:scatterChart>
      <c:scatterChart>
        <c:scatterStyle val="lineMarker"/>
        <c:varyColors val="0"/>
        <c:ser>
          <c:idx val="1"/>
          <c:order val="1"/>
          <c:tx>
            <c:strRef>
              <c:f>'2010-05'!$E$365</c:f>
              <c:strCache>
                <c:ptCount val="1"/>
                <c:pt idx="0">
                  <c:v>DCR at Ta-typ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'2010-05'!$E$366:$E$386</c:f>
            </c:numRef>
          </c:yVal>
          <c:smooth val="1"/>
        </c:ser>
        <c:ser>
          <c:idx val="2"/>
          <c:order val="2"/>
          <c:tx>
            <c:strRef>
              <c:f>'2010-05'!$F$365</c:f>
              <c:strCache>
                <c:ptCount val="1"/>
                <c:pt idx="0">
                  <c:v>DCR at Ta-max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'2010-05'!$F$366:$F$386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24544"/>
        <c:axId val="87326080"/>
      </c:scatterChart>
      <c:valAx>
        <c:axId val="87320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Iout - 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22624"/>
        <c:crosses val="autoZero"/>
        <c:crossBetween val="midCat"/>
      </c:valAx>
      <c:valAx>
        <c:axId val="8732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Inductance - uH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20448"/>
        <c:crosses val="autoZero"/>
        <c:crossBetween val="midCat"/>
      </c:valAx>
      <c:valAx>
        <c:axId val="87324544"/>
        <c:scaling>
          <c:orientation val="minMax"/>
        </c:scaling>
        <c:delete val="1"/>
        <c:axPos val="b"/>
        <c:majorTickMark val="out"/>
        <c:minorTickMark val="none"/>
        <c:tickLblPos val="none"/>
        <c:crossAx val="87326080"/>
        <c:crosses val="autoZero"/>
        <c:crossBetween val="midCat"/>
      </c:valAx>
      <c:valAx>
        <c:axId val="8732608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DCR - mohm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24544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'2010-05'!$G$365</c:f>
              <c:strCache>
                <c:ptCount val="1"/>
                <c:pt idx="0">
                  <c:v>Time-const Ta-typ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'2010-05'!$G$366:$G$386</c:f>
            </c:numRef>
          </c:yVal>
          <c:smooth val="0"/>
        </c:ser>
        <c:ser>
          <c:idx val="1"/>
          <c:order val="1"/>
          <c:tx>
            <c:strRef>
              <c:f>'2010-05'!$H$365</c:f>
              <c:strCache>
                <c:ptCount val="1"/>
                <c:pt idx="0">
                  <c:v>Time-const Ta-max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'2010-05'!$H$366:$H$386</c:f>
            </c:numRef>
          </c:yVal>
          <c:smooth val="1"/>
        </c:ser>
        <c:ser>
          <c:idx val="2"/>
          <c:order val="2"/>
          <c:tx>
            <c:strRef>
              <c:f>'2010-05'!$I$365</c:f>
              <c:strCache>
                <c:ptCount val="1"/>
                <c:pt idx="0">
                  <c:v>TC-Cx, Rc, Rx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'2010-05'!$I$366:$I$386</c:f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688576"/>
        <c:axId val="115690496"/>
      </c:scatterChart>
      <c:valAx>
        <c:axId val="115688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Iout - 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90496"/>
        <c:crosses val="autoZero"/>
        <c:crossBetween val="midCat"/>
      </c:valAx>
      <c:valAx>
        <c:axId val="11569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constant - nsec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885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'2010-05'!$C$414</c:f>
              <c:strCache>
                <c:ptCount val="1"/>
                <c:pt idx="0">
                  <c:v>L (CH2)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'2010-05'!$C$415:$C$435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25824"/>
        <c:axId val="115727744"/>
      </c:scatterChart>
      <c:scatterChart>
        <c:scatterStyle val="lineMarker"/>
        <c:varyColors val="0"/>
        <c:ser>
          <c:idx val="1"/>
          <c:order val="1"/>
          <c:tx>
            <c:strRef>
              <c:f>'2010-05'!$E$414</c:f>
              <c:strCache>
                <c:ptCount val="1"/>
                <c:pt idx="0">
                  <c:v>DCR at Ta-typ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'2010-05'!$E$415:$E$435</c:f>
            </c:numRef>
          </c:yVal>
          <c:smooth val="1"/>
        </c:ser>
        <c:ser>
          <c:idx val="2"/>
          <c:order val="2"/>
          <c:tx>
            <c:strRef>
              <c:f>'2010-05'!$F$414</c:f>
              <c:strCache>
                <c:ptCount val="1"/>
                <c:pt idx="0">
                  <c:v>DCR at Ta-max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'2010-05'!$F$415:$F$435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34016"/>
        <c:axId val="115735552"/>
      </c:scatterChart>
      <c:valAx>
        <c:axId val="115725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Iout - 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27744"/>
        <c:crosses val="autoZero"/>
        <c:crossBetween val="midCat"/>
      </c:valAx>
      <c:valAx>
        <c:axId val="11572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Inductance - uH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25824"/>
        <c:crosses val="autoZero"/>
        <c:crossBetween val="midCat"/>
      </c:valAx>
      <c:valAx>
        <c:axId val="115734016"/>
        <c:scaling>
          <c:orientation val="minMax"/>
        </c:scaling>
        <c:delete val="1"/>
        <c:axPos val="b"/>
        <c:majorTickMark val="out"/>
        <c:minorTickMark val="none"/>
        <c:tickLblPos val="none"/>
        <c:crossAx val="115735552"/>
        <c:crosses val="autoZero"/>
        <c:crossBetween val="midCat"/>
      </c:valAx>
      <c:valAx>
        <c:axId val="11573555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DCR - mohm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34016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'2010-05'!$G$414</c:f>
              <c:strCache>
                <c:ptCount val="1"/>
                <c:pt idx="0">
                  <c:v>Time-const Ta-typ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'2010-05'!$G$415:$G$435</c:f>
            </c:numRef>
          </c:yVal>
          <c:smooth val="0"/>
        </c:ser>
        <c:ser>
          <c:idx val="1"/>
          <c:order val="1"/>
          <c:tx>
            <c:strRef>
              <c:f>'2010-05'!$H$414</c:f>
              <c:strCache>
                <c:ptCount val="1"/>
                <c:pt idx="0">
                  <c:v>Time-const Ta-max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'2010-05'!$H$415:$H$435</c:f>
            </c:numRef>
          </c:yVal>
          <c:smooth val="1"/>
        </c:ser>
        <c:ser>
          <c:idx val="2"/>
          <c:order val="2"/>
          <c:tx>
            <c:strRef>
              <c:f>'2010-05'!$I$414</c:f>
              <c:strCache>
                <c:ptCount val="1"/>
                <c:pt idx="0">
                  <c:v>TC-Cx, Rc, Rx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'2010-05'!$I$415:$I$435</c:f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66016"/>
        <c:axId val="115767936"/>
      </c:scatterChart>
      <c:valAx>
        <c:axId val="115766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Iout - 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67936"/>
        <c:crosses val="autoZero"/>
        <c:crossBetween val="midCat"/>
      </c:valAx>
      <c:valAx>
        <c:axId val="11576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constant - nsec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7660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3"/>
          <c:order val="3"/>
          <c:tx>
            <c:strRef>
              <c:f>'2010-05'!$N$365</c:f>
              <c:strCache>
                <c:ptCount val="1"/>
                <c:pt idx="0">
                  <c:v>I-ocl (DC) at Vin-typ, Ta-typ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'2010-05'!$N$366:$N$386</c:f>
            </c:numRef>
          </c:yVal>
          <c:smooth val="1"/>
        </c:ser>
        <c:ser>
          <c:idx val="4"/>
          <c:order val="4"/>
          <c:tx>
            <c:strRef>
              <c:f>'2010-05'!$O$365</c:f>
              <c:strCache>
                <c:ptCount val="1"/>
                <c:pt idx="0">
                  <c:v>I-ocl (DC) at Vin-min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'2010-05'!$O$366:$O$386</c:f>
            </c:numRef>
          </c:yVal>
          <c:smooth val="1"/>
        </c:ser>
        <c:ser>
          <c:idx val="5"/>
          <c:order val="5"/>
          <c:tx>
            <c:strRef>
              <c:f>'2010-05'!$P$365</c:f>
              <c:strCache>
                <c:ptCount val="1"/>
                <c:pt idx="0">
                  <c:v>I-ocl (DC) at Vin-max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'2010-05'!$P$366:$P$386</c:f>
            </c:numRef>
          </c:yVal>
          <c:smooth val="1"/>
        </c:ser>
        <c:ser>
          <c:idx val="6"/>
          <c:order val="6"/>
          <c:tx>
            <c:strRef>
              <c:f>'2010-05'!$Q$365</c:f>
              <c:strCache>
                <c:ptCount val="1"/>
                <c:pt idx="0">
                  <c:v>I-ocl (DC) at Vin-max, Ta-max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'2010-05'!$Q$366:$Q$386</c:f>
            </c:numRef>
          </c:yVal>
          <c:smooth val="0"/>
        </c:ser>
        <c:ser>
          <c:idx val="7"/>
          <c:order val="7"/>
          <c:tx>
            <c:strRef>
              <c:f>'2010-05'!$R$365</c:f>
              <c:strCache>
                <c:ptCount val="1"/>
                <c:pt idx="0">
                  <c:v>I-ocl (DC) at Vin-min, Ta-min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'2010-05'!$R$366:$R$386</c:f>
            </c:numRef>
          </c:yVal>
          <c:smooth val="0"/>
        </c:ser>
        <c:ser>
          <c:idx val="8"/>
          <c:order val="8"/>
          <c:tx>
            <c:strRef>
              <c:f>'2010-05'!$S$365</c:f>
              <c:strCache>
                <c:ptCount val="1"/>
                <c:pt idx="0">
                  <c:v>Iout-line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'2010-05'!$S$366:$S$386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03680"/>
        <c:axId val="118522240"/>
      </c:scatterChart>
      <c:scatterChart>
        <c:scatterStyle val="lineMarker"/>
        <c:varyColors val="0"/>
        <c:ser>
          <c:idx val="0"/>
          <c:order val="0"/>
          <c:tx>
            <c:strRef>
              <c:f>'2010-05'!$J$365</c:f>
              <c:strCache>
                <c:ptCount val="1"/>
                <c:pt idx="0">
                  <c:v>I-ind rip at Vin-typ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'2010-05'!$J$366:$J$386</c:f>
            </c:numRef>
          </c:yVal>
          <c:smooth val="0"/>
        </c:ser>
        <c:ser>
          <c:idx val="1"/>
          <c:order val="1"/>
          <c:tx>
            <c:strRef>
              <c:f>'2010-05'!$K$365</c:f>
              <c:strCache>
                <c:ptCount val="1"/>
                <c:pt idx="0">
                  <c:v>I-ind rip at Vin-min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'2010-05'!$K$366:$K$386</c:f>
            </c:numRef>
          </c:yVal>
          <c:smooth val="1"/>
        </c:ser>
        <c:ser>
          <c:idx val="2"/>
          <c:order val="2"/>
          <c:tx>
            <c:strRef>
              <c:f>'2010-05'!$L$365</c:f>
              <c:strCache>
                <c:ptCount val="1"/>
                <c:pt idx="0">
                  <c:v>I-ind rip at Vin-max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'2010-05'!$L$366:$L$386</c:f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24160"/>
        <c:axId val="118525952"/>
      </c:scatterChart>
      <c:valAx>
        <c:axId val="118503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Iout - 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22240"/>
        <c:crosses val="autoZero"/>
        <c:crossBetween val="midCat"/>
      </c:valAx>
      <c:valAx>
        <c:axId val="11852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Vocl/Rs - I-ind-ripple/2 - 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03680"/>
        <c:crosses val="autoZero"/>
        <c:crossBetween val="midCat"/>
      </c:valAx>
      <c:valAx>
        <c:axId val="118524160"/>
        <c:scaling>
          <c:orientation val="minMax"/>
        </c:scaling>
        <c:delete val="1"/>
        <c:axPos val="b"/>
        <c:majorTickMark val="out"/>
        <c:minorTickMark val="none"/>
        <c:tickLblPos val="none"/>
        <c:crossAx val="118525952"/>
        <c:crosses val="autoZero"/>
        <c:crossBetween val="midCat"/>
      </c:valAx>
      <c:valAx>
        <c:axId val="11852595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Inductor ripple current - 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24160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3"/>
          <c:order val="3"/>
          <c:tx>
            <c:strRef>
              <c:f>'2010-05'!$N$414</c:f>
              <c:strCache>
                <c:ptCount val="1"/>
                <c:pt idx="0">
                  <c:v>I-ocl (DC) at Vin-typ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'2010-05'!$N$415:$N$435</c:f>
            </c:numRef>
          </c:yVal>
          <c:smooth val="1"/>
        </c:ser>
        <c:ser>
          <c:idx val="4"/>
          <c:order val="4"/>
          <c:tx>
            <c:strRef>
              <c:f>'2010-05'!$O$414</c:f>
              <c:strCache>
                <c:ptCount val="1"/>
                <c:pt idx="0">
                  <c:v>I-ocl (DC) at Vin-min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'2010-05'!$O$415:$O$435</c:f>
            </c:numRef>
          </c:yVal>
          <c:smooth val="1"/>
        </c:ser>
        <c:ser>
          <c:idx val="5"/>
          <c:order val="5"/>
          <c:tx>
            <c:strRef>
              <c:f>'2010-05'!$P$414</c:f>
              <c:strCache>
                <c:ptCount val="1"/>
                <c:pt idx="0">
                  <c:v>I-ocl (DC) at Vin-max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'2010-05'!$P$415:$P$435</c:f>
            </c:numRef>
          </c:yVal>
          <c:smooth val="1"/>
        </c:ser>
        <c:ser>
          <c:idx val="6"/>
          <c:order val="6"/>
          <c:tx>
            <c:strRef>
              <c:f>'2010-05'!$S$414</c:f>
              <c:strCache>
                <c:ptCount val="1"/>
                <c:pt idx="0">
                  <c:v>Iout+line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'2010-05'!$S$415:$S$435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42944"/>
        <c:axId val="118653312"/>
      </c:scatterChart>
      <c:scatterChart>
        <c:scatterStyle val="lineMarker"/>
        <c:varyColors val="0"/>
        <c:ser>
          <c:idx val="0"/>
          <c:order val="0"/>
          <c:tx>
            <c:strRef>
              <c:f>'2010-05'!$J$414</c:f>
              <c:strCache>
                <c:ptCount val="1"/>
                <c:pt idx="0">
                  <c:v>I-ind rip at Vin-typ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'2010-05'!$J$415:$J$435</c:f>
            </c:numRef>
          </c:yVal>
          <c:smooth val="0"/>
        </c:ser>
        <c:ser>
          <c:idx val="1"/>
          <c:order val="1"/>
          <c:tx>
            <c:strRef>
              <c:f>'2010-05'!$K$414</c:f>
              <c:strCache>
                <c:ptCount val="1"/>
                <c:pt idx="0">
                  <c:v>I-ind rip at Vin-min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'2010-05'!$K$415:$K$435</c:f>
            </c:numRef>
          </c:yVal>
          <c:smooth val="1"/>
        </c:ser>
        <c:ser>
          <c:idx val="2"/>
          <c:order val="2"/>
          <c:tx>
            <c:strRef>
              <c:f>'2010-05'!$L$414</c:f>
              <c:strCache>
                <c:ptCount val="1"/>
                <c:pt idx="0">
                  <c:v>I-ind rip at Vin-max</c:v>
                </c:pt>
              </c:strCache>
            </c:strRef>
          </c:tx>
          <c:xVal>
            <c:numRef>
              <c:f>'2010-05'!$B$415:$B$435</c:f>
            </c:numRef>
          </c:xVal>
          <c:yVal>
            <c:numRef>
              <c:f>'2010-05'!$L$415:$L$435</c:f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55232"/>
        <c:axId val="118673408"/>
      </c:scatterChart>
      <c:valAx>
        <c:axId val="11864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Iout - 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653312"/>
        <c:crosses val="autoZero"/>
        <c:crossBetween val="midCat"/>
      </c:valAx>
      <c:valAx>
        <c:axId val="11865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Inductor ripple current - 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642944"/>
        <c:crosses val="autoZero"/>
        <c:crossBetween val="midCat"/>
      </c:valAx>
      <c:valAx>
        <c:axId val="118655232"/>
        <c:scaling>
          <c:orientation val="minMax"/>
        </c:scaling>
        <c:delete val="1"/>
        <c:axPos val="b"/>
        <c:majorTickMark val="out"/>
        <c:minorTickMark val="none"/>
        <c:tickLblPos val="none"/>
        <c:crossAx val="118673408"/>
        <c:crosses val="autoZero"/>
        <c:crossBetween val="midCat"/>
      </c:valAx>
      <c:valAx>
        <c:axId val="118673408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655232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'2010-05'!$S$365</c:f>
              <c:strCache>
                <c:ptCount val="1"/>
                <c:pt idx="0">
                  <c:v>Iout-line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'2010-05'!$S$366:$S$386</c:f>
            </c:numRef>
          </c:yVal>
          <c:smooth val="0"/>
        </c:ser>
        <c:ser>
          <c:idx val="1"/>
          <c:order val="1"/>
          <c:tx>
            <c:strRef>
              <c:f>'2010-05'!$X$365</c:f>
              <c:strCache>
                <c:ptCount val="1"/>
                <c:pt idx="0">
                  <c:v>I-ocl (DC) at Vin-typ, Ta-typ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'2010-05'!$X$366:$X$386</c:f>
            </c:numRef>
          </c:yVal>
          <c:smooth val="1"/>
        </c:ser>
        <c:ser>
          <c:idx val="2"/>
          <c:order val="2"/>
          <c:tx>
            <c:strRef>
              <c:f>'2010-05'!$Y$365</c:f>
              <c:strCache>
                <c:ptCount val="1"/>
                <c:pt idx="0">
                  <c:v>I-ocl (DC) at Vin-min, Ta-typ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'2010-05'!$Y$366:$Y$386</c:f>
            </c:numRef>
          </c:yVal>
          <c:smooth val="1"/>
        </c:ser>
        <c:ser>
          <c:idx val="3"/>
          <c:order val="3"/>
          <c:tx>
            <c:strRef>
              <c:f>'2010-05'!$Z$365</c:f>
              <c:strCache>
                <c:ptCount val="1"/>
                <c:pt idx="0">
                  <c:v>I-ocl (DC) at Vin-max, Ta-typ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'2010-05'!$Z$366:$Z$386</c:f>
            </c:numRef>
          </c:yVal>
          <c:smooth val="1"/>
        </c:ser>
        <c:ser>
          <c:idx val="4"/>
          <c:order val="4"/>
          <c:tx>
            <c:strRef>
              <c:f>'2010-05'!$AA$365</c:f>
              <c:strCache>
                <c:ptCount val="1"/>
                <c:pt idx="0">
                  <c:v>I-ocl (DC) at Vin-max, Ta-max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'2010-05'!$AA$366:$AA$386</c:f>
            </c:numRef>
          </c:yVal>
          <c:smooth val="0"/>
        </c:ser>
        <c:ser>
          <c:idx val="5"/>
          <c:order val="5"/>
          <c:tx>
            <c:strRef>
              <c:f>'2010-05'!$AB$365</c:f>
              <c:strCache>
                <c:ptCount val="1"/>
                <c:pt idx="0">
                  <c:v>I-ocl (DC) at Vin-min, Ta-min</c:v>
                </c:pt>
              </c:strCache>
            </c:strRef>
          </c:tx>
          <c:xVal>
            <c:numRef>
              <c:f>'2010-05'!$B$366:$B$386</c:f>
            </c:numRef>
          </c:xVal>
          <c:yVal>
            <c:numRef>
              <c:f>'2010-05'!$AB$366:$AB$386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722560"/>
        <c:axId val="118724480"/>
      </c:scatterChart>
      <c:valAx>
        <c:axId val="118722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Iout - 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724480"/>
        <c:crosses val="autoZero"/>
        <c:crossBetween val="midCat"/>
      </c:valAx>
      <c:valAx>
        <c:axId val="118724480"/>
        <c:scaling>
          <c:orientation val="minMax"/>
          <c:max val="12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Vocl/Rs - I-ind-ripple/2 - 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7225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13" Type="http://schemas.openxmlformats.org/officeDocument/2006/relationships/chart" Target="../charts/chart7.xml"/><Relationship Id="rId3" Type="http://schemas.openxmlformats.org/officeDocument/2006/relationships/image" Target="../media/image11.jpeg"/><Relationship Id="rId7" Type="http://schemas.openxmlformats.org/officeDocument/2006/relationships/image" Target="../media/image15.emf"/><Relationship Id="rId12" Type="http://schemas.openxmlformats.org/officeDocument/2006/relationships/chart" Target="../charts/chart6.xml"/><Relationship Id="rId2" Type="http://schemas.openxmlformats.org/officeDocument/2006/relationships/chart" Target="../charts/chart2.xml"/><Relationship Id="rId16" Type="http://schemas.openxmlformats.org/officeDocument/2006/relationships/chart" Target="../charts/chart10.xml"/><Relationship Id="rId1" Type="http://schemas.openxmlformats.org/officeDocument/2006/relationships/chart" Target="../charts/chart1.xml"/><Relationship Id="rId6" Type="http://schemas.openxmlformats.org/officeDocument/2006/relationships/image" Target="../media/image14.emf"/><Relationship Id="rId11" Type="http://schemas.openxmlformats.org/officeDocument/2006/relationships/chart" Target="../charts/chart5.xml"/><Relationship Id="rId5" Type="http://schemas.openxmlformats.org/officeDocument/2006/relationships/image" Target="../media/image13.emf"/><Relationship Id="rId15" Type="http://schemas.openxmlformats.org/officeDocument/2006/relationships/chart" Target="../charts/chart9.xml"/><Relationship Id="rId10" Type="http://schemas.openxmlformats.org/officeDocument/2006/relationships/chart" Target="../charts/chart4.xml"/><Relationship Id="rId4" Type="http://schemas.openxmlformats.org/officeDocument/2006/relationships/image" Target="../media/image12.emf"/><Relationship Id="rId9" Type="http://schemas.openxmlformats.org/officeDocument/2006/relationships/chart" Target="../charts/chart3.xml"/><Relationship Id="rId14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87</xdr:col>
      <xdr:colOff>76200</xdr:colOff>
      <xdr:row>477</xdr:row>
      <xdr:rowOff>28575</xdr:rowOff>
    </xdr:from>
    <xdr:to>
      <xdr:col>91</xdr:col>
      <xdr:colOff>419100</xdr:colOff>
      <xdr:row>535</xdr:row>
      <xdr:rowOff>114300</xdr:rowOff>
    </xdr:to>
    <xdr:graphicFrame macro="">
      <xdr:nvGraphicFramePr>
        <xdr:cNvPr id="2868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91</xdr:col>
      <xdr:colOff>514350</xdr:colOff>
      <xdr:row>477</xdr:row>
      <xdr:rowOff>47625</xdr:rowOff>
    </xdr:from>
    <xdr:to>
      <xdr:col>95</xdr:col>
      <xdr:colOff>628650</xdr:colOff>
      <xdr:row>535</xdr:row>
      <xdr:rowOff>123825</xdr:rowOff>
    </xdr:to>
    <xdr:graphicFrame macro="">
      <xdr:nvGraphicFramePr>
        <xdr:cNvPr id="2868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76200</xdr:colOff>
      <xdr:row>0</xdr:row>
      <xdr:rowOff>152400</xdr:rowOff>
    </xdr:from>
    <xdr:to>
      <xdr:col>1</xdr:col>
      <xdr:colOff>1790700</xdr:colOff>
      <xdr:row>3</xdr:row>
      <xdr:rowOff>95250</xdr:rowOff>
    </xdr:to>
    <xdr:pic>
      <xdr:nvPicPr>
        <xdr:cNvPr id="28685" name="Picture 13" descr="ti_stk_2c_pos_rg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152400"/>
          <a:ext cx="171450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504825</xdr:colOff>
      <xdr:row>48</xdr:row>
      <xdr:rowOff>0</xdr:rowOff>
    </xdr:from>
    <xdr:to>
      <xdr:col>3</xdr:col>
      <xdr:colOff>514350</xdr:colOff>
      <xdr:row>50</xdr:row>
      <xdr:rowOff>9525</xdr:rowOff>
    </xdr:to>
    <xdr:sp macro="" textlink="">
      <xdr:nvSpPr>
        <xdr:cNvPr id="28687" name="Line 15"/>
        <xdr:cNvSpPr>
          <a:spLocks noChangeShapeType="1"/>
        </xdr:cNvSpPr>
      </xdr:nvSpPr>
      <xdr:spPr bwMode="auto">
        <a:xfrm>
          <a:off x="3752850" y="9029700"/>
          <a:ext cx="9525" cy="381000"/>
        </a:xfrm>
        <a:prstGeom prst="line">
          <a:avLst/>
        </a:prstGeom>
        <a:noFill/>
        <a:ln w="50800">
          <a:solidFill>
            <a:srgbClr val="0000FF"/>
          </a:solidFill>
          <a:round/>
          <a:headEnd type="triangle" w="med" len="sm"/>
          <a:tailEnd type="none" w="med" len="sm"/>
        </a:ln>
      </xdr:spPr>
    </xdr:sp>
    <xdr:clientData/>
  </xdr:twoCellAnchor>
  <xdr:twoCellAnchor>
    <xdr:from>
      <xdr:col>3</xdr:col>
      <xdr:colOff>504825</xdr:colOff>
      <xdr:row>102</xdr:row>
      <xdr:rowOff>0</xdr:rowOff>
    </xdr:from>
    <xdr:to>
      <xdr:col>3</xdr:col>
      <xdr:colOff>514350</xdr:colOff>
      <xdr:row>104</xdr:row>
      <xdr:rowOff>9525</xdr:rowOff>
    </xdr:to>
    <xdr:sp macro="" textlink="">
      <xdr:nvSpPr>
        <xdr:cNvPr id="28690" name="Line 18"/>
        <xdr:cNvSpPr>
          <a:spLocks noChangeShapeType="1"/>
        </xdr:cNvSpPr>
      </xdr:nvSpPr>
      <xdr:spPr bwMode="auto">
        <a:xfrm>
          <a:off x="3752850" y="16744950"/>
          <a:ext cx="9525" cy="0"/>
        </a:xfrm>
        <a:prstGeom prst="line">
          <a:avLst/>
        </a:prstGeom>
        <a:noFill/>
        <a:ln w="50800">
          <a:solidFill>
            <a:srgbClr val="0000FF"/>
          </a:solidFill>
          <a:round/>
          <a:headEnd type="triangle" w="med" len="sm"/>
          <a:tailEnd type="none" w="med" len="sm"/>
        </a:ln>
      </xdr:spPr>
    </xdr:sp>
    <xdr:clientData/>
  </xdr:twoCellAnchor>
  <xdr:twoCellAnchor editAs="oneCell">
    <xdr:from>
      <xdr:col>7</xdr:col>
      <xdr:colOff>495300</xdr:colOff>
      <xdr:row>13</xdr:row>
      <xdr:rowOff>123825</xdr:rowOff>
    </xdr:from>
    <xdr:to>
      <xdr:col>8</xdr:col>
      <xdr:colOff>752475</xdr:colOff>
      <xdr:row>22</xdr:row>
      <xdr:rowOff>76200</xdr:rowOff>
    </xdr:to>
    <xdr:pic>
      <xdr:nvPicPr>
        <xdr:cNvPr id="2869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05725" y="2609850"/>
          <a:ext cx="1247775" cy="16287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38100</xdr:colOff>
      <xdr:row>54</xdr:row>
      <xdr:rowOff>47625</xdr:rowOff>
    </xdr:from>
    <xdr:to>
      <xdr:col>13</xdr:col>
      <xdr:colOff>771525</xdr:colOff>
      <xdr:row>64</xdr:row>
      <xdr:rowOff>19050</xdr:rowOff>
    </xdr:to>
    <xdr:pic>
      <xdr:nvPicPr>
        <xdr:cNvPr id="286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191875" y="10172700"/>
          <a:ext cx="2695575" cy="19240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371475</xdr:colOff>
      <xdr:row>145</xdr:row>
      <xdr:rowOff>95250</xdr:rowOff>
    </xdr:from>
    <xdr:to>
      <xdr:col>13</xdr:col>
      <xdr:colOff>66675</xdr:colOff>
      <xdr:row>167</xdr:row>
      <xdr:rowOff>95250</xdr:rowOff>
    </xdr:to>
    <xdr:pic>
      <xdr:nvPicPr>
        <xdr:cNvPr id="2869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525250" y="17021175"/>
          <a:ext cx="1657350" cy="180975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552450</xdr:colOff>
      <xdr:row>65</xdr:row>
      <xdr:rowOff>171450</xdr:rowOff>
    </xdr:from>
    <xdr:to>
      <xdr:col>13</xdr:col>
      <xdr:colOff>638175</xdr:colOff>
      <xdr:row>75</xdr:row>
      <xdr:rowOff>19050</xdr:rowOff>
    </xdr:to>
    <xdr:pic>
      <xdr:nvPicPr>
        <xdr:cNvPr id="2869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706225" y="12430125"/>
          <a:ext cx="2047875" cy="180022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323850</xdr:colOff>
      <xdr:row>78</xdr:row>
      <xdr:rowOff>76200</xdr:rowOff>
    </xdr:from>
    <xdr:to>
      <xdr:col>13</xdr:col>
      <xdr:colOff>409575</xdr:colOff>
      <xdr:row>88</xdr:row>
      <xdr:rowOff>66675</xdr:rowOff>
    </xdr:to>
    <xdr:pic>
      <xdr:nvPicPr>
        <xdr:cNvPr id="286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477625" y="14830425"/>
          <a:ext cx="2047875" cy="1800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57150</xdr:colOff>
      <xdr:row>390</xdr:row>
      <xdr:rowOff>19050</xdr:rowOff>
    </xdr:from>
    <xdr:to>
      <xdr:col>5</xdr:col>
      <xdr:colOff>485775</xdr:colOff>
      <xdr:row>411</xdr:row>
      <xdr:rowOff>47625</xdr:rowOff>
    </xdr:to>
    <xdr:graphicFrame macro="">
      <xdr:nvGraphicFramePr>
        <xdr:cNvPr id="2869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695325</xdr:colOff>
      <xdr:row>390</xdr:row>
      <xdr:rowOff>38100</xdr:rowOff>
    </xdr:from>
    <xdr:to>
      <xdr:col>11</xdr:col>
      <xdr:colOff>323850</xdr:colOff>
      <xdr:row>411</xdr:row>
      <xdr:rowOff>66675</xdr:rowOff>
    </xdr:to>
    <xdr:graphicFrame macro="">
      <xdr:nvGraphicFramePr>
        <xdr:cNvPr id="2869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38100</xdr:colOff>
      <xdr:row>439</xdr:row>
      <xdr:rowOff>19050</xdr:rowOff>
    </xdr:from>
    <xdr:to>
      <xdr:col>5</xdr:col>
      <xdr:colOff>466725</xdr:colOff>
      <xdr:row>460</xdr:row>
      <xdr:rowOff>47625</xdr:rowOff>
    </xdr:to>
    <xdr:graphicFrame macro="">
      <xdr:nvGraphicFramePr>
        <xdr:cNvPr id="2870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714375</xdr:colOff>
      <xdr:row>439</xdr:row>
      <xdr:rowOff>19050</xdr:rowOff>
    </xdr:from>
    <xdr:to>
      <xdr:col>11</xdr:col>
      <xdr:colOff>342900</xdr:colOff>
      <xdr:row>460</xdr:row>
      <xdr:rowOff>47625</xdr:rowOff>
    </xdr:to>
    <xdr:graphicFrame macro="">
      <xdr:nvGraphicFramePr>
        <xdr:cNvPr id="2870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523875</xdr:colOff>
      <xdr:row>390</xdr:row>
      <xdr:rowOff>38100</xdr:rowOff>
    </xdr:from>
    <xdr:to>
      <xdr:col>17</xdr:col>
      <xdr:colOff>276225</xdr:colOff>
      <xdr:row>411</xdr:row>
      <xdr:rowOff>66675</xdr:rowOff>
    </xdr:to>
    <xdr:graphicFrame macro="">
      <xdr:nvGraphicFramePr>
        <xdr:cNvPr id="28702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581025</xdr:colOff>
      <xdr:row>439</xdr:row>
      <xdr:rowOff>19050</xdr:rowOff>
    </xdr:from>
    <xdr:to>
      <xdr:col>17</xdr:col>
      <xdr:colOff>333375</xdr:colOff>
      <xdr:row>460</xdr:row>
      <xdr:rowOff>47625</xdr:rowOff>
    </xdr:to>
    <xdr:graphicFrame macro="">
      <xdr:nvGraphicFramePr>
        <xdr:cNvPr id="28703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457200</xdr:colOff>
      <xdr:row>390</xdr:row>
      <xdr:rowOff>38100</xdr:rowOff>
    </xdr:from>
    <xdr:to>
      <xdr:col>23</xdr:col>
      <xdr:colOff>247650</xdr:colOff>
      <xdr:row>411</xdr:row>
      <xdr:rowOff>66675</xdr:rowOff>
    </xdr:to>
    <xdr:graphicFrame macro="">
      <xdr:nvGraphicFramePr>
        <xdr:cNvPr id="28704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514350</xdr:colOff>
      <xdr:row>439</xdr:row>
      <xdr:rowOff>38100</xdr:rowOff>
    </xdr:from>
    <xdr:to>
      <xdr:col>23</xdr:col>
      <xdr:colOff>304800</xdr:colOff>
      <xdr:row>460</xdr:row>
      <xdr:rowOff>66675</xdr:rowOff>
    </xdr:to>
    <xdr:graphicFrame macro="">
      <xdr:nvGraphicFramePr>
        <xdr:cNvPr id="28705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93</xdr:col>
          <xdr:colOff>122830</xdr:colOff>
          <xdr:row>185</xdr:row>
          <xdr:rowOff>0</xdr:rowOff>
        </xdr:from>
        <xdr:to>
          <xdr:col>97</xdr:col>
          <xdr:colOff>607325</xdr:colOff>
          <xdr:row>1511</xdr:row>
          <xdr:rowOff>6824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375313</xdr:colOff>
          <xdr:row>185</xdr:row>
          <xdr:rowOff>0</xdr:rowOff>
        </xdr:from>
        <xdr:to>
          <xdr:col>34</xdr:col>
          <xdr:colOff>566382</xdr:colOff>
          <xdr:row>185</xdr:row>
          <xdr:rowOff>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409433</xdr:colOff>
          <xdr:row>185</xdr:row>
          <xdr:rowOff>0</xdr:rowOff>
        </xdr:from>
        <xdr:to>
          <xdr:col>36</xdr:col>
          <xdr:colOff>464024</xdr:colOff>
          <xdr:row>185</xdr:row>
          <xdr:rowOff>0</xdr:rowOff>
        </xdr:to>
        <xdr:sp macro="" textlink="">
          <xdr:nvSpPr>
            <xdr:cNvPr id="28675" name="Object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327546</xdr:colOff>
          <xdr:row>185</xdr:row>
          <xdr:rowOff>0</xdr:rowOff>
        </xdr:from>
        <xdr:to>
          <xdr:col>36</xdr:col>
          <xdr:colOff>382137</xdr:colOff>
          <xdr:row>185</xdr:row>
          <xdr:rowOff>0</xdr:rowOff>
        </xdr:to>
        <xdr:sp macro="" textlink="">
          <xdr:nvSpPr>
            <xdr:cNvPr id="28676" name="Object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354842</xdr:colOff>
          <xdr:row>185</xdr:row>
          <xdr:rowOff>0</xdr:rowOff>
        </xdr:from>
        <xdr:to>
          <xdr:col>39</xdr:col>
          <xdr:colOff>197893</xdr:colOff>
          <xdr:row>185</xdr:row>
          <xdr:rowOff>0</xdr:rowOff>
        </xdr:to>
        <xdr:sp macro="" textlink="">
          <xdr:nvSpPr>
            <xdr:cNvPr id="28677" name="Object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388961</xdr:colOff>
          <xdr:row>185</xdr:row>
          <xdr:rowOff>0</xdr:rowOff>
        </xdr:from>
        <xdr:to>
          <xdr:col>35</xdr:col>
          <xdr:colOff>252484</xdr:colOff>
          <xdr:row>185</xdr:row>
          <xdr:rowOff>0</xdr:rowOff>
        </xdr:to>
        <xdr:sp macro="" textlink="">
          <xdr:nvSpPr>
            <xdr:cNvPr id="28678" name="Object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409433</xdr:colOff>
          <xdr:row>185</xdr:row>
          <xdr:rowOff>0</xdr:rowOff>
        </xdr:from>
        <xdr:to>
          <xdr:col>35</xdr:col>
          <xdr:colOff>68239</xdr:colOff>
          <xdr:row>185</xdr:row>
          <xdr:rowOff>0</xdr:rowOff>
        </xdr:to>
        <xdr:sp macro="" textlink="">
          <xdr:nvSpPr>
            <xdr:cNvPr id="28679" name="Object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293427</xdr:colOff>
          <xdr:row>185</xdr:row>
          <xdr:rowOff>0</xdr:rowOff>
        </xdr:from>
        <xdr:to>
          <xdr:col>37</xdr:col>
          <xdr:colOff>184245</xdr:colOff>
          <xdr:row>185</xdr:row>
          <xdr:rowOff>0</xdr:rowOff>
        </xdr:to>
        <xdr:sp macro="" textlink="">
          <xdr:nvSpPr>
            <xdr:cNvPr id="28680" name="Object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279779</xdr:colOff>
          <xdr:row>185</xdr:row>
          <xdr:rowOff>0</xdr:rowOff>
        </xdr:from>
        <xdr:to>
          <xdr:col>37</xdr:col>
          <xdr:colOff>177421</xdr:colOff>
          <xdr:row>185</xdr:row>
          <xdr:rowOff>0</xdr:rowOff>
        </xdr:to>
        <xdr:sp macro="" textlink="">
          <xdr:nvSpPr>
            <xdr:cNvPr id="28681" name="Object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818866</xdr:colOff>
          <xdr:row>185</xdr:row>
          <xdr:rowOff>0</xdr:rowOff>
        </xdr:from>
        <xdr:to>
          <xdr:col>38</xdr:col>
          <xdr:colOff>429904</xdr:colOff>
          <xdr:row>185</xdr:row>
          <xdr:rowOff>0</xdr:rowOff>
        </xdr:to>
        <xdr:sp macro="" textlink="">
          <xdr:nvSpPr>
            <xdr:cNvPr id="28682" name="Object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0797618/My%20Documents/11%20Developing_Products/TPS51220(Trunkfish)/ES1.3/TPS51220_ES1.3_DS_cal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a"/>
      <sheetName val="New"/>
      <sheetName val="Leno"/>
      <sheetName val="FJ280k (2)"/>
      <sheetName val="FJ300k"/>
      <sheetName val="FJ"/>
      <sheetName val="NTC_5"/>
      <sheetName val="NTC_3.3"/>
      <sheetName val="Sheet3 (2)"/>
      <sheetName val="1p1V"/>
      <sheetName val="FDV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H5">
            <v>4.7</v>
          </cell>
          <cell r="M5">
            <v>6.8</v>
          </cell>
        </row>
        <row r="6">
          <cell r="H6">
            <v>3500</v>
          </cell>
          <cell r="M6">
            <v>3.6</v>
          </cell>
        </row>
        <row r="7">
          <cell r="M7">
            <v>4.7</v>
          </cell>
        </row>
        <row r="8">
          <cell r="D8">
            <v>-40</v>
          </cell>
          <cell r="H8">
            <v>12.9</v>
          </cell>
          <cell r="M8">
            <v>5.3185448906396777</v>
          </cell>
        </row>
        <row r="9">
          <cell r="D9">
            <v>0.92</v>
          </cell>
          <cell r="H9">
            <v>3.9300000000000003E-3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C1508"/>
  <sheetViews>
    <sheetView showGridLines="0" tabSelected="1" view="pageBreakPreview" topLeftCell="A35" zoomScaleNormal="90" zoomScaleSheetLayoutView="100" workbookViewId="0">
      <selection activeCell="H52" sqref="H52"/>
    </sheetView>
  </sheetViews>
  <sheetFormatPr defaultColWidth="10.36328125" defaultRowHeight="13.45"/>
  <cols>
    <col min="1" max="1" width="1.54296875" style="112" customWidth="1"/>
    <col min="2" max="2" width="32.36328125" style="310" customWidth="1"/>
    <col min="3" max="6" width="14.90625" style="310" customWidth="1"/>
    <col min="7" max="7" width="14.90625" style="249" customWidth="1"/>
    <col min="8" max="9" width="14.90625" style="310" customWidth="1"/>
    <col min="10" max="11" width="14.6328125" style="310" customWidth="1"/>
    <col min="12" max="12" width="14.6328125" style="249" customWidth="1"/>
    <col min="13" max="14" width="14.6328125" style="310" customWidth="1"/>
    <col min="15" max="20" width="14.36328125" style="246" customWidth="1"/>
    <col min="21" max="21" width="14.36328125" style="2" customWidth="1"/>
    <col min="22" max="22" width="15" style="2" customWidth="1"/>
    <col min="23" max="25" width="14.36328125" style="2" customWidth="1"/>
    <col min="26" max="30" width="16.36328125" style="2" customWidth="1"/>
    <col min="31" max="31" width="13.36328125" style="2" customWidth="1"/>
    <col min="32" max="32" width="13.90625" style="2" customWidth="1"/>
    <col min="33" max="33" width="13.6328125" style="2" customWidth="1"/>
    <col min="34" max="34" width="15.453125" style="2" customWidth="1"/>
    <col min="35" max="36" width="12.6328125" style="2" customWidth="1"/>
    <col min="37" max="37" width="10.36328125" style="2" customWidth="1"/>
    <col min="38" max="46" width="12.6328125" style="2" customWidth="1"/>
    <col min="47" max="47" width="14.6328125" style="2" customWidth="1"/>
    <col min="48" max="48" width="15" style="2" customWidth="1"/>
    <col min="49" max="49" width="14.6328125" style="2" customWidth="1"/>
    <col min="50" max="50" width="15.54296875" style="2" customWidth="1"/>
    <col min="51" max="51" width="14.08984375" style="2" customWidth="1"/>
    <col min="52" max="52" width="15.453125" style="2" customWidth="1"/>
    <col min="53" max="53" width="14.08984375" style="2" customWidth="1"/>
    <col min="54" max="54" width="13.36328125" style="2" customWidth="1"/>
    <col min="55" max="55" width="16.453125" style="2" customWidth="1"/>
    <col min="56" max="66" width="10.36328125" style="2" customWidth="1"/>
    <col min="67" max="67" width="15" style="2" customWidth="1"/>
    <col min="68" max="16384" width="10.36328125" style="2"/>
  </cols>
  <sheetData>
    <row r="1" spans="1:38" s="244" customFormat="1" ht="12.9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982"/>
      <c r="AG1" s="245"/>
      <c r="AH1" s="245"/>
      <c r="AI1" s="245"/>
      <c r="AJ1" s="245"/>
      <c r="AK1" s="245"/>
      <c r="AL1" s="245"/>
    </row>
    <row r="2" spans="1:38" s="244" customFormat="1" ht="12.9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982"/>
      <c r="AG2" s="245"/>
      <c r="AH2" s="245"/>
      <c r="AI2" s="245"/>
      <c r="AJ2" s="245"/>
      <c r="AK2" s="245"/>
      <c r="AL2" s="245"/>
    </row>
    <row r="3" spans="1:38" s="244" customFormat="1" ht="12.9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982"/>
      <c r="AG3" s="245"/>
      <c r="AH3" s="245"/>
      <c r="AI3" s="245"/>
      <c r="AJ3" s="245"/>
      <c r="AK3" s="245"/>
      <c r="AL3" s="245"/>
    </row>
    <row r="4" spans="1:38" s="244" customFormat="1" ht="12.9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982"/>
      <c r="AG4" s="245"/>
      <c r="AH4" s="245"/>
      <c r="AI4" s="245"/>
      <c r="AJ4" s="245"/>
      <c r="AK4" s="245"/>
      <c r="AL4" s="245"/>
    </row>
    <row r="5" spans="1:38" s="244" customForma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982"/>
      <c r="O5" s="246"/>
      <c r="P5" s="246"/>
      <c r="Q5" s="246"/>
      <c r="R5" s="246"/>
      <c r="S5" s="246"/>
      <c r="T5" s="246"/>
      <c r="U5" s="2"/>
      <c r="V5" s="2"/>
      <c r="W5" s="15"/>
      <c r="X5" s="15"/>
      <c r="Y5" s="15"/>
      <c r="Z5" s="2"/>
      <c r="AA5" s="2"/>
      <c r="AB5" s="2"/>
      <c r="AC5" s="2"/>
      <c r="AD5" s="2"/>
      <c r="AG5" s="245"/>
      <c r="AH5" s="245"/>
      <c r="AI5" s="245"/>
      <c r="AJ5" s="245"/>
      <c r="AK5" s="245"/>
      <c r="AL5" s="245"/>
    </row>
    <row r="6" spans="1:38" s="244" customFormat="1" ht="15.85" customHeight="1">
      <c r="A6" s="243"/>
      <c r="B6" s="135" t="s">
        <v>1058</v>
      </c>
      <c r="C6" s="102"/>
      <c r="D6" s="102"/>
      <c r="E6" s="102"/>
      <c r="F6" s="102"/>
      <c r="G6" s="243"/>
      <c r="H6" s="243"/>
      <c r="I6" s="243"/>
      <c r="J6" s="243"/>
      <c r="K6" s="243"/>
      <c r="L6" s="243"/>
      <c r="M6" s="243"/>
      <c r="N6" s="982"/>
      <c r="O6" s="246"/>
      <c r="P6" s="246"/>
      <c r="Q6" s="246"/>
      <c r="R6" s="246"/>
      <c r="S6" s="246"/>
      <c r="T6" s="246"/>
      <c r="U6" s="2"/>
      <c r="V6" s="2"/>
      <c r="W6" s="15"/>
      <c r="X6" s="247"/>
      <c r="Y6" s="15"/>
      <c r="Z6" s="2"/>
      <c r="AA6" s="2"/>
      <c r="AB6" s="2"/>
      <c r="AC6" s="2"/>
      <c r="AD6" s="2"/>
      <c r="AG6" s="245"/>
      <c r="AH6" s="245"/>
      <c r="AI6" s="245"/>
      <c r="AJ6" s="245"/>
      <c r="AK6" s="245"/>
      <c r="AL6" s="245"/>
    </row>
    <row r="7" spans="1:38" s="244" customFormat="1" ht="15.85" customHeight="1">
      <c r="A7" s="243"/>
      <c r="B7" s="101" t="s">
        <v>194</v>
      </c>
      <c r="C7" s="102"/>
      <c r="D7" s="102"/>
      <c r="E7" s="102"/>
      <c r="F7" s="102"/>
      <c r="G7" s="243"/>
      <c r="H7" s="243"/>
      <c r="I7" s="243"/>
      <c r="J7" s="243"/>
      <c r="K7" s="243"/>
      <c r="L7" s="243"/>
      <c r="M7" s="243"/>
      <c r="N7" s="982"/>
      <c r="O7" s="246"/>
      <c r="P7" s="246"/>
      <c r="Q7" s="246"/>
      <c r="R7" s="246"/>
      <c r="S7" s="246"/>
      <c r="T7" s="246"/>
      <c r="U7" s="2"/>
      <c r="V7" s="2"/>
      <c r="W7" s="15"/>
      <c r="X7" s="15"/>
      <c r="Y7" s="15"/>
      <c r="Z7" s="2"/>
      <c r="AA7" s="2"/>
      <c r="AB7" s="2"/>
      <c r="AC7" s="2"/>
      <c r="AD7" s="2"/>
      <c r="AG7" s="245"/>
      <c r="AH7" s="245"/>
      <c r="AI7" s="245"/>
      <c r="AJ7" s="245"/>
      <c r="AK7" s="245"/>
      <c r="AL7" s="245"/>
    </row>
    <row r="8" spans="1:38" s="104" customFormat="1" ht="20.3" customHeight="1">
      <c r="A8" s="103"/>
      <c r="B8" s="248"/>
      <c r="C8" s="103"/>
      <c r="D8" s="105" t="s">
        <v>912</v>
      </c>
      <c r="E8" s="248"/>
      <c r="F8" s="248"/>
      <c r="G8" s="248"/>
      <c r="H8" s="106"/>
      <c r="I8" s="106"/>
      <c r="J8" s="106"/>
      <c r="K8" s="106"/>
      <c r="L8" s="106"/>
      <c r="M8" s="106"/>
      <c r="N8" s="983"/>
      <c r="O8" s="246"/>
      <c r="P8" s="246"/>
      <c r="Q8" s="246"/>
      <c r="R8" s="246"/>
      <c r="S8" s="246"/>
      <c r="T8" s="246"/>
      <c r="U8" s="2"/>
      <c r="V8" s="2"/>
      <c r="W8" s="15"/>
      <c r="X8" s="15"/>
      <c r="Y8" s="15"/>
      <c r="Z8" s="2"/>
      <c r="AA8" s="2"/>
      <c r="AB8" s="2"/>
      <c r="AC8" s="2"/>
      <c r="AD8" s="2"/>
    </row>
    <row r="9" spans="1:38" ht="14.25" customHeight="1">
      <c r="A9" s="249"/>
      <c r="B9" s="107"/>
      <c r="C9" s="107"/>
      <c r="D9" s="107"/>
      <c r="E9" s="249"/>
      <c r="F9" s="249"/>
      <c r="H9" s="108"/>
      <c r="I9" s="108"/>
      <c r="J9" s="108"/>
      <c r="K9" s="108"/>
      <c r="L9" s="108"/>
      <c r="M9" s="108"/>
      <c r="N9" s="112"/>
      <c r="O9" s="2"/>
      <c r="P9" s="2"/>
      <c r="Q9" s="2"/>
      <c r="R9" s="2"/>
      <c r="S9" s="2"/>
      <c r="T9" s="2"/>
    </row>
    <row r="10" spans="1:38" ht="18" customHeight="1">
      <c r="A10" s="249"/>
      <c r="B10" s="958" t="s">
        <v>1059</v>
      </c>
      <c r="C10" s="110"/>
      <c r="D10" s="110"/>
      <c r="E10" s="250"/>
      <c r="F10" s="250"/>
      <c r="G10" s="250"/>
      <c r="H10" s="957" t="s">
        <v>1060</v>
      </c>
      <c r="I10" s="108"/>
      <c r="J10" s="108"/>
      <c r="K10" s="249"/>
      <c r="M10" s="249"/>
      <c r="N10" s="112"/>
      <c r="O10" s="2"/>
      <c r="P10" s="2"/>
      <c r="Q10" s="2"/>
      <c r="R10" s="2"/>
      <c r="S10" s="2"/>
      <c r="T10" s="2"/>
    </row>
    <row r="11" spans="1:38">
      <c r="A11" s="249"/>
      <c r="B11" s="1456" t="s">
        <v>1061</v>
      </c>
      <c r="C11" s="251" t="s">
        <v>154</v>
      </c>
      <c r="D11" s="251" t="s">
        <v>155</v>
      </c>
      <c r="E11" s="251" t="s">
        <v>156</v>
      </c>
      <c r="F11" s="251" t="s">
        <v>987</v>
      </c>
      <c r="G11" s="250"/>
      <c r="H11" s="252"/>
      <c r="I11" s="108"/>
      <c r="J11" s="108"/>
      <c r="K11" s="249"/>
      <c r="M11" s="108"/>
      <c r="N11" s="112"/>
      <c r="O11" s="2"/>
      <c r="P11" s="2"/>
      <c r="Q11" s="2"/>
      <c r="R11" s="2"/>
      <c r="S11" s="2"/>
      <c r="T11" s="2"/>
    </row>
    <row r="12" spans="1:38">
      <c r="A12" s="249"/>
      <c r="B12" s="1457"/>
      <c r="C12" s="253">
        <v>21.5</v>
      </c>
      <c r="D12" s="253">
        <v>22.5</v>
      </c>
      <c r="E12" s="253">
        <v>23.5</v>
      </c>
      <c r="F12" s="251" t="s">
        <v>988</v>
      </c>
      <c r="G12" s="250"/>
      <c r="H12" s="249" t="s">
        <v>157</v>
      </c>
      <c r="I12" s="108"/>
      <c r="J12" s="108"/>
      <c r="K12" s="249"/>
      <c r="M12" s="108"/>
      <c r="N12" s="112"/>
      <c r="O12" s="2"/>
      <c r="P12" s="2"/>
      <c r="Q12" s="2"/>
      <c r="R12" s="2"/>
      <c r="S12" s="2"/>
      <c r="T12" s="2"/>
    </row>
    <row r="13" spans="1:38" ht="18" customHeight="1">
      <c r="A13" s="249"/>
      <c r="B13" s="959" t="s">
        <v>1062</v>
      </c>
      <c r="C13" s="111"/>
      <c r="D13" s="111"/>
      <c r="E13" s="254"/>
      <c r="F13" s="255"/>
      <c r="G13" s="250"/>
      <c r="H13" s="256"/>
      <c r="I13" s="257"/>
      <c r="J13" s="255"/>
      <c r="K13" s="249"/>
      <c r="M13" s="108"/>
      <c r="N13" s="112"/>
      <c r="O13" s="2"/>
      <c r="P13" s="2"/>
      <c r="Q13" s="2"/>
      <c r="R13" s="2"/>
      <c r="S13" s="2"/>
      <c r="T13" s="2"/>
    </row>
    <row r="14" spans="1:38">
      <c r="A14" s="249"/>
      <c r="B14" s="1456" t="s">
        <v>1063</v>
      </c>
      <c r="C14" s="251" t="s">
        <v>1064</v>
      </c>
      <c r="D14" s="251" t="s">
        <v>978</v>
      </c>
      <c r="E14" s="251" t="s">
        <v>987</v>
      </c>
      <c r="F14" s="254"/>
      <c r="G14" s="255"/>
      <c r="H14" s="112"/>
      <c r="I14" s="257"/>
      <c r="J14" s="257"/>
      <c r="K14" s="255"/>
      <c r="M14" s="249"/>
      <c r="N14" s="112"/>
      <c r="O14" s="2"/>
      <c r="P14" s="2"/>
      <c r="Q14" s="2"/>
      <c r="R14" s="2"/>
      <c r="S14" s="2"/>
      <c r="T14" s="2"/>
    </row>
    <row r="15" spans="1:38">
      <c r="A15" s="249"/>
      <c r="B15" s="1457"/>
      <c r="C15" s="258">
        <v>-10</v>
      </c>
      <c r="D15" s="258">
        <v>70</v>
      </c>
      <c r="E15" s="251" t="s">
        <v>1065</v>
      </c>
      <c r="F15" s="254"/>
      <c r="G15" s="255"/>
      <c r="H15" s="250"/>
      <c r="I15" s="257"/>
      <c r="J15" s="257"/>
      <c r="K15" s="255"/>
      <c r="M15" s="249"/>
      <c r="N15" s="112"/>
      <c r="O15" s="2"/>
      <c r="P15" s="2"/>
      <c r="Q15" s="2"/>
      <c r="R15" s="2"/>
      <c r="S15" s="2"/>
      <c r="T15" s="2"/>
    </row>
    <row r="16" spans="1:38" ht="18" customHeight="1">
      <c r="A16" s="249"/>
      <c r="B16" s="958" t="s">
        <v>1081</v>
      </c>
      <c r="C16" s="254"/>
      <c r="D16" s="254"/>
      <c r="E16" s="254"/>
      <c r="F16" s="250"/>
      <c r="G16" s="250"/>
      <c r="H16" s="250"/>
      <c r="I16" s="250"/>
      <c r="J16" s="250"/>
      <c r="K16" s="250"/>
      <c r="L16" s="250"/>
      <c r="M16" s="249"/>
      <c r="N16" s="112"/>
      <c r="O16" s="2"/>
      <c r="P16" s="2"/>
      <c r="Q16" s="2"/>
      <c r="R16" s="2"/>
      <c r="S16" s="2"/>
      <c r="T16" s="2"/>
    </row>
    <row r="17" spans="1:20" ht="14.25" customHeight="1">
      <c r="A17" s="249"/>
      <c r="B17" s="960"/>
      <c r="C17" s="1458" t="s">
        <v>1117</v>
      </c>
      <c r="D17" s="931" t="s">
        <v>519</v>
      </c>
      <c r="E17" s="1462" t="s">
        <v>158</v>
      </c>
      <c r="F17" s="931" t="s">
        <v>1082</v>
      </c>
      <c r="G17" s="1400" t="s">
        <v>1083</v>
      </c>
      <c r="J17" s="1523"/>
      <c r="K17" s="1523"/>
      <c r="M17" s="249"/>
      <c r="N17" s="112"/>
      <c r="Q17" s="2"/>
      <c r="R17" s="2"/>
      <c r="S17" s="2"/>
      <c r="T17" s="2"/>
    </row>
    <row r="18" spans="1:20">
      <c r="A18" s="249"/>
      <c r="B18" s="961"/>
      <c r="C18" s="1459"/>
      <c r="D18" s="260"/>
      <c r="E18" s="1462"/>
      <c r="F18" s="261"/>
      <c r="G18" s="1401"/>
      <c r="J18" s="1523"/>
      <c r="K18" s="1523"/>
      <c r="M18" s="249"/>
      <c r="N18" s="112"/>
      <c r="Q18" s="2"/>
      <c r="R18" s="2"/>
      <c r="S18" s="2"/>
      <c r="T18" s="2"/>
    </row>
    <row r="19" spans="1:20">
      <c r="A19" s="249"/>
      <c r="B19" s="962" t="s">
        <v>1005</v>
      </c>
      <c r="C19" s="262">
        <v>5</v>
      </c>
      <c r="D19" s="263">
        <v>10</v>
      </c>
      <c r="E19" s="264">
        <f>C303</f>
        <v>40</v>
      </c>
      <c r="F19" s="263">
        <v>40</v>
      </c>
      <c r="G19" s="265">
        <f>C226</f>
        <v>5</v>
      </c>
      <c r="J19" s="1524"/>
      <c r="K19" s="1524"/>
      <c r="M19" s="249"/>
      <c r="N19" s="112"/>
      <c r="Q19" s="2"/>
      <c r="R19" s="2"/>
      <c r="S19" s="2"/>
      <c r="T19" s="2"/>
    </row>
    <row r="20" spans="1:20">
      <c r="A20" s="249"/>
      <c r="B20" s="962" t="s">
        <v>1006</v>
      </c>
      <c r="C20" s="262"/>
      <c r="D20" s="262"/>
      <c r="E20" s="267">
        <f>D303</f>
        <v>0</v>
      </c>
      <c r="F20" s="262"/>
      <c r="G20" s="265" t="e">
        <f>D226</f>
        <v>#DIV/0!</v>
      </c>
      <c r="J20" s="1524"/>
      <c r="K20" s="1524"/>
      <c r="M20" s="249"/>
      <c r="N20" s="112"/>
      <c r="Q20" s="2"/>
      <c r="R20" s="2"/>
      <c r="S20" s="2"/>
      <c r="T20" s="2"/>
    </row>
    <row r="21" spans="1:20" s="15" customFormat="1">
      <c r="A21" s="249"/>
      <c r="B21" s="268" t="s">
        <v>195</v>
      </c>
      <c r="C21" s="269" t="s">
        <v>988</v>
      </c>
      <c r="D21" s="270" t="s">
        <v>1021</v>
      </c>
      <c r="E21" s="270" t="s">
        <v>1021</v>
      </c>
      <c r="F21" s="270" t="s">
        <v>1021</v>
      </c>
      <c r="G21" s="270" t="s">
        <v>988</v>
      </c>
      <c r="H21" s="934"/>
      <c r="I21" s="934"/>
      <c r="J21" s="1525"/>
      <c r="K21" s="1525"/>
      <c r="L21" s="249"/>
      <c r="M21" s="249"/>
      <c r="N21" s="934"/>
    </row>
    <row r="22" spans="1:20" s="15" customFormat="1">
      <c r="A22" s="249"/>
      <c r="B22" s="257"/>
      <c r="C22" s="273"/>
      <c r="D22" s="274"/>
      <c r="E22" s="272"/>
      <c r="F22" s="274"/>
      <c r="G22" s="274"/>
      <c r="H22" s="272"/>
      <c r="I22" s="274"/>
      <c r="J22" s="249"/>
      <c r="K22" s="249"/>
      <c r="L22" s="249"/>
      <c r="M22" s="249"/>
      <c r="N22" s="934"/>
    </row>
    <row r="23" spans="1:20" s="15" customFormat="1">
      <c r="A23" s="249"/>
      <c r="B23" s="958" t="s">
        <v>1012</v>
      </c>
      <c r="C23" s="273"/>
      <c r="D23" s="273"/>
      <c r="E23" s="274"/>
      <c r="F23" s="274"/>
      <c r="G23" s="109"/>
      <c r="H23" s="274"/>
      <c r="I23" s="274"/>
      <c r="J23" s="249"/>
      <c r="K23" s="249"/>
      <c r="L23" s="249"/>
      <c r="M23" s="249"/>
      <c r="N23" s="934"/>
    </row>
    <row r="24" spans="1:20" s="247" customFormat="1" ht="12.9">
      <c r="A24" s="249"/>
      <c r="B24" s="963"/>
      <c r="C24" s="294" t="s">
        <v>1017</v>
      </c>
      <c r="D24" s="294" t="s">
        <v>1016</v>
      </c>
      <c r="E24" s="294" t="s">
        <v>1018</v>
      </c>
      <c r="F24" s="251" t="s">
        <v>1019</v>
      </c>
      <c r="G24" s="270"/>
      <c r="H24" s="274"/>
      <c r="I24" s="274"/>
      <c r="J24" s="249"/>
      <c r="K24" s="249"/>
      <c r="L24" s="249"/>
      <c r="M24" s="249"/>
      <c r="N24" s="298"/>
    </row>
    <row r="25" spans="1:20" s="247" customFormat="1" ht="12.9">
      <c r="A25" s="249"/>
      <c r="B25" s="962" t="s">
        <v>1011</v>
      </c>
      <c r="C25" s="295">
        <v>500</v>
      </c>
      <c r="D25" s="296"/>
      <c r="E25" s="296"/>
      <c r="F25" s="297">
        <f>C324</f>
        <v>500</v>
      </c>
      <c r="G25" s="251" t="s">
        <v>163</v>
      </c>
      <c r="H25" s="274"/>
      <c r="I25" s="274"/>
      <c r="J25" s="249"/>
      <c r="K25" s="249"/>
      <c r="L25" s="249"/>
      <c r="M25" s="249"/>
      <c r="N25" s="298"/>
    </row>
    <row r="26" spans="1:20" s="247" customFormat="1" ht="12.9">
      <c r="A26" s="249"/>
      <c r="B26" s="962" t="s">
        <v>1013</v>
      </c>
      <c r="C26" s="296"/>
      <c r="D26" s="297">
        <f>C326</f>
        <v>200</v>
      </c>
      <c r="E26" s="295">
        <v>200</v>
      </c>
      <c r="F26" s="296"/>
      <c r="G26" s="270" t="s">
        <v>1014</v>
      </c>
      <c r="H26" s="298"/>
      <c r="I26" s="274"/>
      <c r="J26" s="249"/>
      <c r="K26" s="249"/>
      <c r="L26" s="249"/>
      <c r="M26" s="249"/>
      <c r="N26" s="298"/>
    </row>
    <row r="27" spans="1:20" s="247" customFormat="1">
      <c r="A27" s="249"/>
      <c r="B27" s="257"/>
      <c r="C27" s="273"/>
      <c r="D27" s="273"/>
      <c r="E27" s="114"/>
      <c r="F27" s="274"/>
      <c r="G27" s="274"/>
      <c r="H27" s="274"/>
      <c r="I27" s="274"/>
      <c r="J27" s="250"/>
      <c r="K27" s="249"/>
      <c r="L27" s="249"/>
      <c r="M27" s="249"/>
      <c r="N27" s="298"/>
    </row>
    <row r="28" spans="1:20" s="15" customFormat="1" ht="18" customHeight="1">
      <c r="A28" s="249"/>
      <c r="B28" s="958" t="s">
        <v>1085</v>
      </c>
      <c r="C28" s="273"/>
      <c r="D28" s="273"/>
      <c r="E28" s="274"/>
      <c r="F28" s="274"/>
      <c r="G28" s="109"/>
      <c r="H28" s="108"/>
      <c r="I28" s="108"/>
      <c r="J28" s="255"/>
      <c r="K28" s="273"/>
      <c r="L28" s="249"/>
      <c r="M28" s="249"/>
      <c r="N28" s="934"/>
    </row>
    <row r="29" spans="1:20" s="15" customFormat="1">
      <c r="A29" s="249"/>
      <c r="B29" s="963"/>
      <c r="C29" s="251" t="s">
        <v>795</v>
      </c>
      <c r="D29" s="1463" t="s">
        <v>164</v>
      </c>
      <c r="E29" s="1464"/>
      <c r="F29" s="251" t="s">
        <v>1020</v>
      </c>
      <c r="G29" s="251" t="s">
        <v>1086</v>
      </c>
      <c r="H29" s="251" t="s">
        <v>787</v>
      </c>
      <c r="I29" s="251" t="s">
        <v>1087</v>
      </c>
      <c r="J29" s="1406" t="s">
        <v>165</v>
      </c>
      <c r="K29" s="1407"/>
      <c r="L29" s="1408"/>
      <c r="M29" s="108"/>
      <c r="N29" s="934"/>
    </row>
    <row r="30" spans="1:20" s="15" customFormat="1">
      <c r="A30" s="249"/>
      <c r="B30" s="962" t="s">
        <v>166</v>
      </c>
      <c r="C30" s="253">
        <v>12.8</v>
      </c>
      <c r="D30" s="1470">
        <f>C334</f>
        <v>1.8413299663299663</v>
      </c>
      <c r="E30" s="1471"/>
      <c r="F30" s="301">
        <v>2.2000000000000002</v>
      </c>
      <c r="G30" s="301">
        <v>2.1</v>
      </c>
      <c r="H30" s="301">
        <v>2</v>
      </c>
      <c r="I30" s="302">
        <v>0.2</v>
      </c>
      <c r="J30" s="1529">
        <f>C353</f>
        <v>0.29286980749746705</v>
      </c>
      <c r="K30" s="1530"/>
      <c r="L30" s="1531"/>
      <c r="M30" s="108"/>
      <c r="N30" s="934"/>
    </row>
    <row r="31" spans="1:20" s="15" customFormat="1">
      <c r="A31" s="249"/>
      <c r="B31" s="962" t="s">
        <v>167</v>
      </c>
      <c r="C31" s="253">
        <v>1</v>
      </c>
      <c r="D31" s="1470" t="e">
        <f>D334</f>
        <v>#DIV/0!</v>
      </c>
      <c r="E31" s="1471"/>
      <c r="F31" s="301">
        <v>10</v>
      </c>
      <c r="G31" s="301">
        <v>9.5</v>
      </c>
      <c r="H31" s="301">
        <v>9</v>
      </c>
      <c r="I31" s="302">
        <v>0.2</v>
      </c>
      <c r="J31" s="1529" t="e">
        <f>D353</f>
        <v>#DIV/0!</v>
      </c>
      <c r="K31" s="1530"/>
      <c r="L31" s="1531"/>
      <c r="M31" s="108"/>
      <c r="N31" s="934"/>
    </row>
    <row r="32" spans="1:20" s="15" customFormat="1" ht="14.25" customHeight="1">
      <c r="A32" s="249"/>
      <c r="B32" s="268" t="s">
        <v>195</v>
      </c>
      <c r="C32" s="269" t="s">
        <v>989</v>
      </c>
      <c r="D32" s="1411" t="s">
        <v>168</v>
      </c>
      <c r="E32" s="1413"/>
      <c r="F32" s="305" t="s">
        <v>168</v>
      </c>
      <c r="G32" s="305" t="s">
        <v>168</v>
      </c>
      <c r="H32" s="305" t="s">
        <v>168</v>
      </c>
      <c r="I32" s="271" t="s">
        <v>159</v>
      </c>
      <c r="J32" s="1406" t="s">
        <v>1088</v>
      </c>
      <c r="K32" s="1407"/>
      <c r="L32" s="1408"/>
      <c r="M32" s="108"/>
      <c r="N32" s="934"/>
    </row>
    <row r="33" spans="1:20" s="15" customFormat="1" ht="14.25" customHeight="1">
      <c r="A33" s="249"/>
      <c r="B33" s="257"/>
      <c r="C33" s="273"/>
      <c r="D33" s="273"/>
      <c r="E33" s="273"/>
      <c r="F33" s="273"/>
      <c r="G33" s="272"/>
      <c r="H33" s="967" t="s">
        <v>496</v>
      </c>
      <c r="I33" s="255"/>
      <c r="J33" s="255"/>
      <c r="K33" s="108"/>
      <c r="L33" s="108"/>
      <c r="M33" s="108"/>
      <c r="N33" s="934"/>
    </row>
    <row r="34" spans="1:20" s="115" customFormat="1" ht="14.25" customHeight="1">
      <c r="A34" s="306"/>
      <c r="B34" s="958" t="s">
        <v>788</v>
      </c>
      <c r="C34" s="273"/>
      <c r="D34" s="255"/>
      <c r="E34" s="987"/>
      <c r="F34" s="250"/>
      <c r="G34" s="381"/>
      <c r="H34" s="381"/>
      <c r="I34" s="381"/>
      <c r="J34" s="108"/>
      <c r="K34" s="108"/>
      <c r="L34" s="279"/>
      <c r="M34" s="136"/>
      <c r="N34" s="987"/>
    </row>
    <row r="35" spans="1:20">
      <c r="A35" s="249"/>
      <c r="B35" s="958" t="s">
        <v>899</v>
      </c>
      <c r="C35" s="255"/>
      <c r="D35" s="272"/>
      <c r="E35" s="1536"/>
      <c r="F35" s="1537"/>
      <c r="G35" s="1538"/>
      <c r="H35" s="1434" t="s">
        <v>475</v>
      </c>
      <c r="I35" s="1435"/>
      <c r="J35" s="1533" t="s">
        <v>192</v>
      </c>
      <c r="K35" s="1534"/>
      <c r="L35" s="1535"/>
      <c r="M35" s="108"/>
      <c r="N35" s="112"/>
      <c r="O35" s="2"/>
      <c r="P35" s="2"/>
      <c r="Q35" s="2"/>
      <c r="R35" s="2"/>
      <c r="S35" s="2"/>
      <c r="T35" s="2"/>
    </row>
    <row r="36" spans="1:20" ht="14.25" customHeight="1">
      <c r="A36" s="249"/>
      <c r="B36" s="964" t="s">
        <v>947</v>
      </c>
      <c r="C36" s="308">
        <v>60</v>
      </c>
      <c r="D36" s="272"/>
      <c r="E36" s="1539" t="s">
        <v>476</v>
      </c>
      <c r="F36" s="1540"/>
      <c r="G36" s="1541"/>
      <c r="H36" s="1532" t="s">
        <v>1245</v>
      </c>
      <c r="I36" s="1437"/>
      <c r="J36" s="1526" t="str">
        <f>C822</f>
        <v>Vocl=60mV, Disable output-discharge</v>
      </c>
      <c r="K36" s="1527"/>
      <c r="L36" s="1528"/>
      <c r="M36" s="108"/>
      <c r="N36" s="112"/>
      <c r="O36" s="2"/>
      <c r="P36" s="2"/>
      <c r="Q36" s="2"/>
      <c r="R36" s="2"/>
      <c r="S36" s="2"/>
      <c r="T36" s="2"/>
    </row>
    <row r="37" spans="1:20" s="15" customFormat="1" ht="14.25" customHeight="1">
      <c r="A37" s="298"/>
      <c r="B37" s="965"/>
      <c r="C37" s="932"/>
      <c r="D37" s="933"/>
      <c r="E37" s="1539" t="s">
        <v>477</v>
      </c>
      <c r="F37" s="1540"/>
      <c r="G37" s="1541"/>
      <c r="H37" s="935"/>
      <c r="I37" s="936"/>
      <c r="J37" s="1526" t="str">
        <f>D824</f>
        <v>Vocl=60mV, Enable output-discharge</v>
      </c>
      <c r="K37" s="1527"/>
      <c r="L37" s="1528"/>
      <c r="M37" s="934"/>
      <c r="N37" s="934"/>
    </row>
    <row r="38" spans="1:20" ht="18" customHeight="1">
      <c r="A38" s="249"/>
      <c r="B38" s="958" t="s">
        <v>900</v>
      </c>
      <c r="C38" s="249"/>
      <c r="D38" s="309"/>
      <c r="E38" s="250"/>
      <c r="H38" s="249"/>
      <c r="I38" s="249"/>
      <c r="J38" s="108"/>
      <c r="K38" s="250"/>
      <c r="L38" s="108"/>
      <c r="M38" s="108"/>
      <c r="N38" s="112"/>
      <c r="O38" s="2"/>
      <c r="P38" s="2"/>
      <c r="Q38" s="2"/>
      <c r="R38" s="2"/>
      <c r="S38" s="2"/>
      <c r="T38" s="2"/>
    </row>
    <row r="39" spans="1:20" ht="25.7" customHeight="1">
      <c r="A39" s="249"/>
      <c r="B39" s="966"/>
      <c r="C39" s="312" t="s">
        <v>169</v>
      </c>
      <c r="D39" s="251" t="s">
        <v>789</v>
      </c>
      <c r="E39" s="1406" t="s">
        <v>848</v>
      </c>
      <c r="F39" s="1408"/>
      <c r="G39" s="1406" t="s">
        <v>849</v>
      </c>
      <c r="H39" s="1408"/>
      <c r="I39" s="1542" t="s">
        <v>170</v>
      </c>
      <c r="J39" s="1543"/>
      <c r="K39" s="1542" t="s">
        <v>171</v>
      </c>
      <c r="L39" s="1544"/>
      <c r="M39" s="108"/>
      <c r="N39" s="112"/>
      <c r="O39" s="2"/>
      <c r="P39" s="2"/>
      <c r="Q39" s="2"/>
      <c r="R39" s="2"/>
      <c r="S39" s="2"/>
      <c r="T39" s="2"/>
    </row>
    <row r="40" spans="1:20">
      <c r="A40" s="249"/>
      <c r="B40" s="962" t="str">
        <f>B30</f>
        <v>CH1; FDVE1040-3R3M (TOKO)</v>
      </c>
      <c r="C40" s="313">
        <v>5.5</v>
      </c>
      <c r="D40" s="302">
        <v>0.1</v>
      </c>
      <c r="E40" s="1460">
        <v>35</v>
      </c>
      <c r="F40" s="1461"/>
      <c r="G40" s="1460">
        <v>100</v>
      </c>
      <c r="H40" s="1461"/>
      <c r="I40" s="1470">
        <f>C472</f>
        <v>6.3646000000000003</v>
      </c>
      <c r="J40" s="1471"/>
      <c r="K40" s="1470">
        <f>C473</f>
        <v>7.7695749999999997</v>
      </c>
      <c r="L40" s="1471"/>
      <c r="M40" s="108"/>
      <c r="N40" s="112"/>
      <c r="O40" s="2"/>
      <c r="P40" s="2"/>
      <c r="Q40" s="2"/>
      <c r="R40" s="2"/>
      <c r="S40" s="2"/>
      <c r="T40" s="2"/>
    </row>
    <row r="41" spans="1:20">
      <c r="A41" s="249"/>
      <c r="B41" s="962" t="str">
        <f>B31</f>
        <v>CH2; FDVE1040-3R3M (TOKO)</v>
      </c>
      <c r="C41" s="313">
        <v>30</v>
      </c>
      <c r="D41" s="302">
        <v>0.1</v>
      </c>
      <c r="E41" s="1460">
        <v>35</v>
      </c>
      <c r="F41" s="1461"/>
      <c r="G41" s="1460">
        <v>40</v>
      </c>
      <c r="H41" s="1461"/>
      <c r="I41" s="1470">
        <f>D472</f>
        <v>34.716000000000001</v>
      </c>
      <c r="J41" s="1471"/>
      <c r="K41" s="1470">
        <f>D473</f>
        <v>35.305499999999995</v>
      </c>
      <c r="L41" s="1471"/>
      <c r="M41" s="108"/>
      <c r="N41" s="112"/>
      <c r="O41" s="2"/>
      <c r="P41" s="2"/>
      <c r="Q41" s="2"/>
      <c r="R41" s="2"/>
      <c r="S41" s="2"/>
      <c r="T41" s="2"/>
    </row>
    <row r="42" spans="1:20">
      <c r="A42" s="249"/>
      <c r="B42" s="268" t="s">
        <v>195</v>
      </c>
      <c r="C42" s="251" t="s">
        <v>990</v>
      </c>
      <c r="D42" s="271" t="s">
        <v>159</v>
      </c>
      <c r="E42" s="1411" t="s">
        <v>790</v>
      </c>
      <c r="F42" s="1413"/>
      <c r="G42" s="1411" t="s">
        <v>790</v>
      </c>
      <c r="H42" s="1413"/>
      <c r="I42" s="1411" t="s">
        <v>990</v>
      </c>
      <c r="J42" s="1413"/>
      <c r="K42" s="1411" t="s">
        <v>990</v>
      </c>
      <c r="L42" s="1413"/>
      <c r="M42" s="108"/>
      <c r="N42" s="112"/>
      <c r="O42" s="2"/>
      <c r="P42" s="2"/>
      <c r="Q42" s="2"/>
      <c r="R42" s="2"/>
      <c r="S42" s="2"/>
      <c r="T42" s="2"/>
    </row>
    <row r="43" spans="1:20">
      <c r="A43" s="249"/>
      <c r="B43" s="257"/>
      <c r="C43" s="255"/>
      <c r="D43" s="272"/>
      <c r="E43" s="273"/>
      <c r="F43" s="273"/>
      <c r="G43" s="273"/>
      <c r="H43" s="273"/>
      <c r="I43" s="273"/>
      <c r="J43" s="273"/>
      <c r="K43" s="273"/>
      <c r="L43" s="273"/>
      <c r="M43" s="108"/>
      <c r="N43" s="112"/>
      <c r="O43" s="2"/>
      <c r="P43" s="2"/>
      <c r="Q43" s="2"/>
      <c r="R43" s="2"/>
      <c r="S43" s="2"/>
      <c r="T43" s="2"/>
    </row>
    <row r="44" spans="1:20">
      <c r="A44" s="249"/>
      <c r="B44" s="958" t="s">
        <v>730</v>
      </c>
      <c r="C44" s="249"/>
      <c r="D44" s="309"/>
      <c r="E44" s="108"/>
      <c r="F44" s="257"/>
      <c r="G44" s="255"/>
      <c r="H44" s="272"/>
      <c r="I44" s="108"/>
      <c r="J44" s="108"/>
      <c r="K44" s="255"/>
      <c r="L44" s="108"/>
      <c r="M44" s="108"/>
      <c r="N44" s="112"/>
      <c r="O44" s="2"/>
      <c r="P44" s="2"/>
      <c r="Q44" s="2"/>
      <c r="R44" s="2"/>
      <c r="S44" s="2"/>
      <c r="T44" s="2"/>
    </row>
    <row r="45" spans="1:20">
      <c r="A45" s="249"/>
      <c r="B45" s="966"/>
      <c r="C45" s="251" t="s">
        <v>172</v>
      </c>
      <c r="D45" s="314" t="s">
        <v>979</v>
      </c>
      <c r="E45" s="251" t="s">
        <v>173</v>
      </c>
      <c r="F45" s="251" t="s">
        <v>174</v>
      </c>
      <c r="G45" s="255"/>
      <c r="H45" s="272"/>
      <c r="I45" s="108"/>
      <c r="J45" s="108"/>
      <c r="K45" s="255"/>
      <c r="L45" s="108"/>
      <c r="M45" s="108"/>
      <c r="N45" s="112"/>
      <c r="O45" s="2"/>
      <c r="P45" s="2"/>
      <c r="Q45" s="2"/>
      <c r="R45" s="2"/>
      <c r="S45" s="2"/>
      <c r="T45" s="2"/>
    </row>
    <row r="46" spans="1:20">
      <c r="A46" s="249"/>
      <c r="B46" s="962" t="s">
        <v>1005</v>
      </c>
      <c r="C46" s="315">
        <f>C476</f>
        <v>400</v>
      </c>
      <c r="D46" s="315">
        <f>C477</f>
        <v>360</v>
      </c>
      <c r="E46" s="315">
        <f>C478</f>
        <v>329.95003613738487</v>
      </c>
      <c r="F46" s="315">
        <f>C479</f>
        <v>257.41433733505374</v>
      </c>
      <c r="G46" s="255"/>
      <c r="H46" s="272"/>
      <c r="I46" s="108"/>
      <c r="J46" s="108"/>
      <c r="K46" s="255"/>
      <c r="L46" s="108"/>
      <c r="M46" s="108"/>
      <c r="N46" s="112"/>
      <c r="O46" s="2"/>
      <c r="P46" s="2"/>
      <c r="Q46" s="2"/>
      <c r="R46" s="2"/>
      <c r="S46" s="2"/>
      <c r="T46" s="2"/>
    </row>
    <row r="47" spans="1:20">
      <c r="A47" s="249"/>
      <c r="B47" s="962" t="s">
        <v>1006</v>
      </c>
      <c r="C47" s="315">
        <f>D476</f>
        <v>333.33333333333331</v>
      </c>
      <c r="D47" s="315">
        <f>D477</f>
        <v>300</v>
      </c>
      <c r="E47" s="315">
        <f>D478</f>
        <v>273.64903790759303</v>
      </c>
      <c r="F47" s="315">
        <f>D479</f>
        <v>254.91778901304335</v>
      </c>
      <c r="G47" s="255"/>
      <c r="H47" s="272"/>
      <c r="I47" s="108"/>
      <c r="J47" s="108"/>
      <c r="K47" s="255"/>
      <c r="L47" s="108"/>
      <c r="M47" s="108"/>
      <c r="N47" s="112"/>
      <c r="O47" s="2"/>
      <c r="P47" s="2"/>
      <c r="Q47" s="2"/>
      <c r="R47" s="2"/>
      <c r="S47" s="2"/>
      <c r="T47" s="2"/>
    </row>
    <row r="48" spans="1:20">
      <c r="A48" s="249"/>
      <c r="B48" s="268" t="s">
        <v>195</v>
      </c>
      <c r="C48" s="251" t="s">
        <v>1089</v>
      </c>
      <c r="D48" s="251" t="s">
        <v>1089</v>
      </c>
      <c r="E48" s="251" t="s">
        <v>1089</v>
      </c>
      <c r="F48" s="251" t="s">
        <v>1089</v>
      </c>
      <c r="G48" s="255"/>
      <c r="H48" s="272"/>
      <c r="I48" s="108"/>
      <c r="J48" s="108"/>
      <c r="K48" s="255"/>
      <c r="L48" s="108"/>
      <c r="M48" s="108"/>
      <c r="N48" s="112"/>
      <c r="O48" s="2"/>
      <c r="P48" s="2"/>
      <c r="Q48" s="2"/>
      <c r="R48" s="2"/>
      <c r="S48" s="2"/>
      <c r="T48" s="2"/>
    </row>
    <row r="49" spans="1:20" ht="14">
      <c r="A49" s="249"/>
      <c r="B49" s="257"/>
      <c r="C49" s="255"/>
      <c r="D49" s="272"/>
      <c r="E49" s="968" t="s">
        <v>38</v>
      </c>
      <c r="F49" s="968"/>
      <c r="G49" s="255"/>
      <c r="H49" s="272"/>
      <c r="I49" s="108"/>
      <c r="J49" s="108"/>
      <c r="K49" s="255"/>
      <c r="L49" s="108"/>
      <c r="M49" s="108"/>
      <c r="N49" s="112"/>
      <c r="O49" s="2"/>
      <c r="P49" s="2"/>
      <c r="Q49" s="2"/>
      <c r="R49" s="2"/>
      <c r="S49" s="2"/>
      <c r="T49" s="2"/>
    </row>
    <row r="50" spans="1:20">
      <c r="A50" s="249"/>
      <c r="B50" s="958" t="s">
        <v>982</v>
      </c>
      <c r="C50" s="249"/>
      <c r="D50" s="309"/>
      <c r="E50" s="108"/>
      <c r="F50" s="257"/>
      <c r="G50" s="255"/>
      <c r="H50" s="272"/>
      <c r="I50" s="108"/>
      <c r="J50" s="108"/>
      <c r="K50" s="255"/>
      <c r="L50" s="108"/>
      <c r="M50" s="108"/>
      <c r="N50" s="112"/>
      <c r="O50" s="2"/>
      <c r="P50" s="2"/>
      <c r="Q50" s="2"/>
      <c r="R50" s="2"/>
      <c r="S50" s="2"/>
      <c r="T50" s="2"/>
    </row>
    <row r="51" spans="1:20">
      <c r="A51" s="249"/>
      <c r="B51" s="966"/>
      <c r="C51" s="251" t="s">
        <v>1090</v>
      </c>
      <c r="D51" s="251" t="s">
        <v>791</v>
      </c>
      <c r="E51" s="251" t="s">
        <v>850</v>
      </c>
      <c r="F51" s="251" t="s">
        <v>850</v>
      </c>
      <c r="G51" s="251" t="s">
        <v>851</v>
      </c>
      <c r="H51" s="251" t="s">
        <v>851</v>
      </c>
      <c r="I51" s="1406" t="s">
        <v>981</v>
      </c>
      <c r="J51" s="1407"/>
      <c r="K51" s="1408"/>
      <c r="L51" s="926" t="s">
        <v>729</v>
      </c>
      <c r="M51" s="108"/>
      <c r="N51" s="112"/>
      <c r="O51" s="2"/>
      <c r="P51" s="2"/>
      <c r="Q51" s="2"/>
      <c r="R51" s="2"/>
      <c r="S51" s="2"/>
      <c r="T51" s="2"/>
    </row>
    <row r="52" spans="1:20">
      <c r="A52" s="249"/>
      <c r="B52" s="962" t="s">
        <v>1005</v>
      </c>
      <c r="C52" s="316">
        <v>100</v>
      </c>
      <c r="D52" s="315">
        <f>C612</f>
        <v>476.85421994884911</v>
      </c>
      <c r="E52" s="317">
        <f>C606</f>
        <v>7.9973625407678455</v>
      </c>
      <c r="F52" s="318">
        <v>11.3</v>
      </c>
      <c r="G52" s="317">
        <f>C609</f>
        <v>4.6602532051269465</v>
      </c>
      <c r="H52" s="318">
        <v>8.25</v>
      </c>
      <c r="I52" s="1470" t="str">
        <f>C613</f>
        <v>0.42 (selected Rx/Rc rate) &lt; 0.45</v>
      </c>
      <c r="J52" s="1545"/>
      <c r="K52" s="1545"/>
      <c r="L52" s="296" t="str">
        <f>C660</f>
        <v>Okay</v>
      </c>
      <c r="M52" s="108"/>
      <c r="N52" s="112"/>
      <c r="O52" s="2"/>
      <c r="P52" s="2"/>
      <c r="Q52" s="2"/>
      <c r="R52" s="2"/>
      <c r="S52" s="2"/>
      <c r="T52" s="2"/>
    </row>
    <row r="53" spans="1:20">
      <c r="A53" s="249"/>
      <c r="B53" s="962" t="s">
        <v>1006</v>
      </c>
      <c r="C53" s="316">
        <v>100</v>
      </c>
      <c r="D53" s="315">
        <f>D612</f>
        <v>75</v>
      </c>
      <c r="E53" s="317" t="e">
        <f>D606</f>
        <v>#DIV/0!</v>
      </c>
      <c r="F53" s="318">
        <v>3</v>
      </c>
      <c r="G53" s="317">
        <f>D609</f>
        <v>31.154350677743782</v>
      </c>
      <c r="H53" s="318">
        <v>1</v>
      </c>
      <c r="I53" s="1470" t="e">
        <f>D613</f>
        <v>#DIV/0!</v>
      </c>
      <c r="J53" s="1545"/>
      <c r="K53" s="1545"/>
      <c r="L53" s="296" t="e">
        <f>D660</f>
        <v>#DIV/0!</v>
      </c>
      <c r="M53" s="108"/>
      <c r="N53" s="112"/>
      <c r="O53" s="2"/>
      <c r="P53" s="2"/>
      <c r="Q53" s="2"/>
      <c r="R53" s="2"/>
      <c r="S53" s="2"/>
      <c r="T53" s="2"/>
    </row>
    <row r="54" spans="1:20">
      <c r="A54" s="249"/>
      <c r="B54" s="268" t="s">
        <v>195</v>
      </c>
      <c r="C54" s="251" t="s">
        <v>1091</v>
      </c>
      <c r="D54" s="251" t="s">
        <v>1089</v>
      </c>
      <c r="E54" s="251" t="s">
        <v>1021</v>
      </c>
      <c r="F54" s="251" t="s">
        <v>1021</v>
      </c>
      <c r="G54" s="251" t="s">
        <v>1021</v>
      </c>
      <c r="H54" s="251" t="s">
        <v>1021</v>
      </c>
      <c r="I54" s="1406" t="s">
        <v>973</v>
      </c>
      <c r="J54" s="1407"/>
      <c r="K54" s="1408"/>
      <c r="L54" s="278" t="s">
        <v>973</v>
      </c>
      <c r="M54" s="108"/>
      <c r="N54" s="112"/>
      <c r="O54" s="2"/>
      <c r="P54" s="2"/>
      <c r="Q54" s="2"/>
      <c r="R54" s="2"/>
      <c r="S54" s="2"/>
      <c r="T54" s="2"/>
    </row>
    <row r="55" spans="1:20">
      <c r="A55" s="249"/>
      <c r="B55" s="257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108"/>
      <c r="N55" s="112"/>
      <c r="O55" s="2"/>
      <c r="P55" s="2"/>
      <c r="Q55" s="2"/>
      <c r="R55" s="2"/>
      <c r="S55" s="2"/>
      <c r="T55" s="2"/>
    </row>
    <row r="56" spans="1:20">
      <c r="A56" s="249"/>
      <c r="B56" s="958" t="s">
        <v>954</v>
      </c>
      <c r="C56" s="254"/>
      <c r="D56" s="254"/>
      <c r="E56" s="250"/>
      <c r="F56" s="250"/>
      <c r="G56" s="254"/>
      <c r="H56" s="109"/>
      <c r="I56" s="250"/>
      <c r="J56" s="255"/>
      <c r="K56" s="255"/>
      <c r="L56" s="255"/>
      <c r="M56" s="108"/>
      <c r="N56" s="112"/>
      <c r="O56" s="2"/>
      <c r="P56" s="2"/>
      <c r="Q56" s="2"/>
      <c r="R56" s="2"/>
      <c r="S56" s="2"/>
      <c r="T56" s="2"/>
    </row>
    <row r="57" spans="1:20" ht="14.25" customHeight="1">
      <c r="A57" s="249"/>
      <c r="B57" s="1398"/>
      <c r="C57" s="1400" t="str">
        <f>D1259</f>
        <v>Vin= 21.5V</v>
      </c>
      <c r="D57" s="1400" t="str">
        <f>E1259</f>
        <v>Vin= 22.5V</v>
      </c>
      <c r="E57" s="1400" t="str">
        <f>F1259</f>
        <v>Vin= 23.5V</v>
      </c>
      <c r="F57" s="152" t="s">
        <v>237</v>
      </c>
      <c r="G57" s="152" t="s">
        <v>239</v>
      </c>
      <c r="H57" s="1546" t="s">
        <v>238</v>
      </c>
      <c r="I57" s="1546"/>
      <c r="J57" s="108"/>
      <c r="K57" s="108"/>
      <c r="L57" s="255"/>
      <c r="M57" s="108"/>
      <c r="N57" s="112"/>
      <c r="O57" s="2"/>
      <c r="P57" s="2"/>
      <c r="Q57" s="2"/>
      <c r="R57" s="2"/>
      <c r="S57" s="2"/>
      <c r="T57" s="2"/>
    </row>
    <row r="58" spans="1:20">
      <c r="A58" s="249"/>
      <c r="B58" s="1399"/>
      <c r="C58" s="1401"/>
      <c r="D58" s="1401"/>
      <c r="E58" s="1401"/>
      <c r="F58" s="1501" t="s">
        <v>240</v>
      </c>
      <c r="G58" s="1516"/>
      <c r="H58" s="1516"/>
      <c r="I58" s="1502"/>
      <c r="J58" s="108"/>
      <c r="K58" s="249"/>
      <c r="L58" s="255"/>
      <c r="M58" s="108"/>
      <c r="N58" s="112"/>
      <c r="O58" s="2"/>
      <c r="P58" s="2"/>
      <c r="Q58" s="2"/>
      <c r="R58" s="2"/>
      <c r="S58" s="2"/>
      <c r="T58" s="2"/>
    </row>
    <row r="59" spans="1:20">
      <c r="A59" s="249"/>
      <c r="B59" s="969" t="s">
        <v>1092</v>
      </c>
      <c r="C59" s="117">
        <f>C583</f>
        <v>16.381214603020119</v>
      </c>
      <c r="D59" s="117">
        <f>C582</f>
        <v>16.355374809738468</v>
      </c>
      <c r="E59" s="117">
        <f>C581</f>
        <v>16.331734147799931</v>
      </c>
      <c r="F59" s="151">
        <f>C621</f>
        <v>11.900933206307641</v>
      </c>
      <c r="G59" s="151">
        <f>C622</f>
        <v>21.423369680540908</v>
      </c>
      <c r="H59" s="330">
        <f>C623</f>
        <v>-0.27235337956171579</v>
      </c>
      <c r="I59" s="330">
        <f>C624</f>
        <v>0.30986724118268499</v>
      </c>
      <c r="J59" s="108"/>
      <c r="K59" s="249"/>
      <c r="L59" s="255"/>
      <c r="M59" s="108"/>
      <c r="N59" s="112"/>
      <c r="O59" s="2"/>
      <c r="P59" s="2"/>
      <c r="Q59" s="2"/>
      <c r="R59" s="2"/>
      <c r="S59" s="2"/>
      <c r="T59" s="2"/>
    </row>
    <row r="60" spans="1:20">
      <c r="A60" s="249"/>
      <c r="B60" s="969" t="s">
        <v>1093</v>
      </c>
      <c r="C60" s="117" t="e">
        <f>D583</f>
        <v>#DIV/0!</v>
      </c>
      <c r="D60" s="117" t="e">
        <f>D582</f>
        <v>#DIV/0!</v>
      </c>
      <c r="E60" s="117" t="e">
        <f>D581</f>
        <v>#DIV/0!</v>
      </c>
      <c r="F60" s="151" t="e">
        <f>D621</f>
        <v>#DIV/0!</v>
      </c>
      <c r="G60" s="151" t="e">
        <f>D622</f>
        <v>#DIV/0!</v>
      </c>
      <c r="H60" s="303" t="e">
        <f>D623</f>
        <v>#DIV/0!</v>
      </c>
      <c r="I60" s="330" t="e">
        <f>D624</f>
        <v>#DIV/0!</v>
      </c>
      <c r="J60" s="108"/>
      <c r="K60" s="249"/>
      <c r="L60" s="255"/>
      <c r="M60" s="108"/>
      <c r="N60" s="112"/>
      <c r="O60" s="2"/>
      <c r="P60" s="2"/>
      <c r="Q60" s="2"/>
      <c r="R60" s="2"/>
      <c r="S60" s="2"/>
      <c r="T60" s="2"/>
    </row>
    <row r="61" spans="1:20">
      <c r="A61" s="249"/>
      <c r="B61" s="268" t="s">
        <v>987</v>
      </c>
      <c r="C61" s="270" t="s">
        <v>989</v>
      </c>
      <c r="D61" s="270" t="s">
        <v>989</v>
      </c>
      <c r="E61" s="270" t="s">
        <v>989</v>
      </c>
      <c r="F61" s="270" t="s">
        <v>989</v>
      </c>
      <c r="G61" s="270" t="s">
        <v>989</v>
      </c>
      <c r="H61" s="327" t="s">
        <v>973</v>
      </c>
      <c r="I61" s="327" t="s">
        <v>973</v>
      </c>
      <c r="J61" s="108"/>
      <c r="K61" s="108"/>
      <c r="L61" s="255"/>
      <c r="M61" s="108"/>
      <c r="N61" s="112"/>
      <c r="O61" s="2"/>
      <c r="P61" s="2"/>
      <c r="Q61" s="2"/>
      <c r="R61" s="2"/>
      <c r="S61" s="2"/>
      <c r="T61" s="2"/>
    </row>
    <row r="62" spans="1:20">
      <c r="A62" s="249"/>
      <c r="B62" s="970"/>
      <c r="C62" s="149"/>
      <c r="D62" s="149"/>
      <c r="E62" s="149"/>
      <c r="F62" s="249"/>
      <c r="H62" s="249"/>
      <c r="I62" s="249"/>
      <c r="J62" s="108"/>
      <c r="K62" s="249"/>
      <c r="L62" s="255"/>
      <c r="M62" s="108"/>
      <c r="N62" s="112"/>
      <c r="O62" s="2"/>
      <c r="P62" s="2"/>
      <c r="Q62" s="2"/>
      <c r="R62" s="2"/>
      <c r="S62" s="2"/>
      <c r="T62" s="2"/>
    </row>
    <row r="63" spans="1:20" ht="14.25" customHeight="1">
      <c r="A63" s="249"/>
      <c r="B63" s="958" t="s">
        <v>811</v>
      </c>
      <c r="C63" s="279"/>
      <c r="D63" s="279"/>
      <c r="E63" s="120"/>
      <c r="F63" s="250"/>
      <c r="G63" s="250"/>
      <c r="H63" s="249"/>
      <c r="I63" s="249"/>
      <c r="J63" s="108"/>
      <c r="K63" s="108"/>
      <c r="M63" s="249"/>
      <c r="O63" s="250"/>
      <c r="P63" s="319"/>
      <c r="Q63" s="247"/>
      <c r="R63" s="247"/>
      <c r="S63" s="15"/>
      <c r="T63" s="2"/>
    </row>
    <row r="64" spans="1:20" ht="25.8">
      <c r="A64" s="249"/>
      <c r="B64" s="963"/>
      <c r="C64" s="320" t="s">
        <v>1094</v>
      </c>
      <c r="D64" s="320" t="s">
        <v>1095</v>
      </c>
      <c r="E64" s="321" t="s">
        <v>812</v>
      </c>
      <c r="F64" s="1497" t="s">
        <v>1096</v>
      </c>
      <c r="G64" s="1497"/>
      <c r="H64" s="956" t="s">
        <v>1078</v>
      </c>
      <c r="I64" s="956" t="s">
        <v>1079</v>
      </c>
      <c r="J64" s="322" t="s">
        <v>1074</v>
      </c>
      <c r="K64" s="249"/>
      <c r="M64" s="249"/>
      <c r="O64" s="250"/>
      <c r="P64" s="319"/>
      <c r="Q64" s="247"/>
      <c r="R64" s="247"/>
      <c r="S64" s="15"/>
      <c r="T64" s="2"/>
    </row>
    <row r="65" spans="1:20">
      <c r="A65" s="249"/>
      <c r="B65" s="969" t="s">
        <v>736</v>
      </c>
      <c r="C65" s="323">
        <v>330</v>
      </c>
      <c r="D65" s="324">
        <v>35</v>
      </c>
      <c r="E65" s="323">
        <v>2</v>
      </c>
      <c r="F65" s="1402" t="str">
        <f>C724</f>
        <v>More than 446-uF</v>
      </c>
      <c r="G65" s="1402"/>
      <c r="H65" s="325">
        <v>1</v>
      </c>
      <c r="I65" s="324">
        <v>2.5</v>
      </c>
      <c r="J65" s="326">
        <v>0.02</v>
      </c>
      <c r="K65" s="249"/>
      <c r="M65" s="249"/>
      <c r="O65" s="250"/>
      <c r="P65" s="319"/>
      <c r="Q65" s="247"/>
      <c r="R65" s="247"/>
      <c r="S65" s="15"/>
      <c r="T65" s="2"/>
    </row>
    <row r="66" spans="1:20">
      <c r="A66" s="249"/>
      <c r="B66" s="969" t="s">
        <v>737</v>
      </c>
      <c r="C66" s="323">
        <v>270</v>
      </c>
      <c r="D66" s="324">
        <v>35</v>
      </c>
      <c r="E66" s="323">
        <v>1</v>
      </c>
      <c r="F66" s="1402" t="e">
        <f>D724</f>
        <v>#DIV/0!</v>
      </c>
      <c r="G66" s="1402"/>
      <c r="H66" s="326">
        <v>1</v>
      </c>
      <c r="I66" s="324">
        <v>2.5</v>
      </c>
      <c r="J66" s="326">
        <v>0.02</v>
      </c>
      <c r="K66" s="249"/>
      <c r="M66" s="249"/>
      <c r="O66" s="250"/>
      <c r="P66" s="319"/>
      <c r="Q66" s="247"/>
      <c r="R66" s="247"/>
      <c r="S66" s="15"/>
      <c r="T66" s="2"/>
    </row>
    <row r="67" spans="1:20">
      <c r="A67" s="249"/>
      <c r="B67" s="268" t="s">
        <v>987</v>
      </c>
      <c r="C67" s="269" t="s">
        <v>991</v>
      </c>
      <c r="D67" s="269" t="s">
        <v>1099</v>
      </c>
      <c r="E67" s="269" t="s">
        <v>993</v>
      </c>
      <c r="F67" s="1463" t="s">
        <v>973</v>
      </c>
      <c r="G67" s="1464"/>
      <c r="H67" s="327" t="s">
        <v>973</v>
      </c>
      <c r="I67" s="327" t="s">
        <v>1080</v>
      </c>
      <c r="J67" s="299" t="s">
        <v>973</v>
      </c>
      <c r="K67" s="249"/>
      <c r="M67" s="249"/>
      <c r="O67" s="250"/>
      <c r="P67" s="319"/>
      <c r="Q67" s="247"/>
      <c r="R67" s="247"/>
      <c r="S67" s="15"/>
      <c r="T67" s="2"/>
    </row>
    <row r="68" spans="1:20">
      <c r="A68" s="249"/>
      <c r="B68" s="257"/>
      <c r="C68" s="273"/>
      <c r="D68" s="273"/>
      <c r="E68" s="273"/>
      <c r="F68" s="255"/>
      <c r="G68" s="255"/>
      <c r="H68" s="255"/>
      <c r="I68" s="255"/>
      <c r="J68" s="273"/>
      <c r="K68" s="255"/>
      <c r="L68" s="255"/>
      <c r="M68" s="108"/>
      <c r="N68" s="250"/>
      <c r="O68" s="250"/>
      <c r="P68" s="319"/>
      <c r="Q68" s="247"/>
      <c r="R68" s="247"/>
      <c r="S68" s="15"/>
      <c r="T68" s="2"/>
    </row>
    <row r="69" spans="1:20">
      <c r="A69" s="249"/>
      <c r="B69" s="958" t="s">
        <v>822</v>
      </c>
      <c r="C69" s="273"/>
      <c r="D69" s="273"/>
      <c r="E69" s="273"/>
      <c r="F69" s="255"/>
      <c r="G69" s="255"/>
      <c r="H69" s="255"/>
      <c r="I69" s="255"/>
      <c r="J69" s="273"/>
      <c r="K69" s="255"/>
      <c r="L69" s="255"/>
      <c r="M69" s="108"/>
      <c r="N69" s="250"/>
      <c r="O69" s="250"/>
      <c r="P69" s="319"/>
      <c r="Q69" s="247"/>
      <c r="R69" s="247"/>
      <c r="S69" s="15"/>
      <c r="T69" s="2"/>
    </row>
    <row r="70" spans="1:20" ht="25.8">
      <c r="A70" s="249"/>
      <c r="B70" s="963"/>
      <c r="C70" s="322" t="s">
        <v>813</v>
      </c>
      <c r="D70" s="1406" t="s">
        <v>824</v>
      </c>
      <c r="E70" s="1407"/>
      <c r="F70" s="1408"/>
      <c r="G70" s="137" t="s">
        <v>814</v>
      </c>
      <c r="H70" s="328" t="s">
        <v>815</v>
      </c>
      <c r="I70" s="328" t="s">
        <v>816</v>
      </c>
      <c r="J70" s="137" t="s">
        <v>817</v>
      </c>
      <c r="K70" s="255"/>
      <c r="L70" s="255"/>
      <c r="M70" s="108"/>
      <c r="N70" s="250"/>
      <c r="O70" s="250"/>
      <c r="P70" s="319"/>
      <c r="Q70" s="247"/>
      <c r="R70" s="247"/>
      <c r="S70" s="15"/>
      <c r="T70" s="2"/>
    </row>
    <row r="71" spans="1:20">
      <c r="A71" s="249"/>
      <c r="B71" s="969" t="s">
        <v>1005</v>
      </c>
      <c r="C71" s="329">
        <v>0.01</v>
      </c>
      <c r="D71" s="1403" t="str">
        <f>C646</f>
        <v>More than 14.-kohm (less than 20.-kohm)</v>
      </c>
      <c r="E71" s="1404"/>
      <c r="F71" s="1405"/>
      <c r="G71" s="295">
        <v>15</v>
      </c>
      <c r="H71" s="330">
        <f>C310</f>
        <v>9.3261394714407517E-3</v>
      </c>
      <c r="I71" s="330" t="str">
        <f>C677</f>
        <v>&gt; 770 pF</v>
      </c>
      <c r="J71" s="295">
        <v>1000</v>
      </c>
      <c r="K71" s="255"/>
      <c r="L71" s="255"/>
      <c r="M71" s="108"/>
      <c r="N71" s="250"/>
      <c r="O71" s="250"/>
      <c r="P71" s="319"/>
      <c r="Q71" s="247"/>
      <c r="R71" s="247"/>
      <c r="S71" s="15"/>
      <c r="T71" s="2"/>
    </row>
    <row r="72" spans="1:20">
      <c r="A72" s="249"/>
      <c r="B72" s="962" t="s">
        <v>1006</v>
      </c>
      <c r="C72" s="329">
        <v>0.01</v>
      </c>
      <c r="D72" s="1403" t="e">
        <f>D646</f>
        <v>#DIV/0!</v>
      </c>
      <c r="E72" s="1404"/>
      <c r="F72" s="1405"/>
      <c r="G72" s="295">
        <v>12</v>
      </c>
      <c r="H72" s="330" t="e">
        <f>D310</f>
        <v>#DIV/0!</v>
      </c>
      <c r="I72" s="330" t="str">
        <f>D677</f>
        <v>&gt; 788 pF</v>
      </c>
      <c r="J72" s="295">
        <v>1000</v>
      </c>
      <c r="K72" s="255"/>
      <c r="L72" s="255"/>
      <c r="M72" s="108"/>
      <c r="N72" s="250"/>
      <c r="O72" s="250"/>
      <c r="P72" s="319"/>
      <c r="Q72" s="247"/>
      <c r="R72" s="247"/>
      <c r="S72" s="15"/>
      <c r="T72" s="2"/>
    </row>
    <row r="73" spans="1:20">
      <c r="A73" s="249"/>
      <c r="B73" s="268" t="s">
        <v>987</v>
      </c>
      <c r="C73" s="269" t="s">
        <v>973</v>
      </c>
      <c r="D73" s="1406" t="s">
        <v>1021</v>
      </c>
      <c r="E73" s="1407"/>
      <c r="F73" s="1408"/>
      <c r="G73" s="327" t="s">
        <v>1021</v>
      </c>
      <c r="H73" s="269" t="s">
        <v>973</v>
      </c>
      <c r="I73" s="269" t="s">
        <v>973</v>
      </c>
      <c r="J73" s="327" t="s">
        <v>818</v>
      </c>
      <c r="K73" s="255"/>
      <c r="L73" s="255"/>
      <c r="M73" s="108"/>
      <c r="N73" s="250"/>
      <c r="O73" s="250"/>
      <c r="P73" s="319"/>
      <c r="Q73" s="247"/>
      <c r="R73" s="247"/>
      <c r="S73" s="15"/>
      <c r="T73" s="2"/>
    </row>
    <row r="74" spans="1:20">
      <c r="A74" s="249"/>
      <c r="B74" s="257"/>
      <c r="C74" s="971" t="s">
        <v>39</v>
      </c>
      <c r="D74" s="273"/>
      <c r="E74" s="273"/>
      <c r="F74" s="255"/>
      <c r="G74" s="255"/>
      <c r="H74" s="255"/>
      <c r="I74" s="255"/>
      <c r="J74" s="273"/>
      <c r="K74" s="255"/>
      <c r="L74" s="255"/>
      <c r="M74" s="108"/>
      <c r="N74" s="250"/>
      <c r="O74" s="250"/>
      <c r="P74" s="319"/>
      <c r="Q74" s="247"/>
      <c r="R74" s="247"/>
      <c r="S74" s="15"/>
      <c r="T74" s="2"/>
    </row>
    <row r="75" spans="1:20">
      <c r="A75" s="249"/>
      <c r="B75" s="958" t="s">
        <v>823</v>
      </c>
      <c r="C75" s="273"/>
      <c r="D75" s="273"/>
      <c r="E75" s="273"/>
      <c r="F75" s="255"/>
      <c r="G75" s="255"/>
      <c r="H75" s="255"/>
      <c r="I75" s="255"/>
      <c r="J75" s="273"/>
      <c r="K75" s="255"/>
      <c r="L75" s="255"/>
      <c r="M75" s="108"/>
      <c r="N75" s="250"/>
      <c r="O75" s="250"/>
      <c r="P75" s="319"/>
      <c r="Q75" s="247"/>
      <c r="R75" s="247"/>
      <c r="S75" s="15"/>
      <c r="T75" s="2"/>
    </row>
    <row r="76" spans="1:20">
      <c r="A76" s="249"/>
      <c r="B76" s="963"/>
      <c r="C76" s="251" t="s">
        <v>819</v>
      </c>
      <c r="D76" s="327" t="s">
        <v>1100</v>
      </c>
      <c r="E76" s="299" t="s">
        <v>821</v>
      </c>
      <c r="F76" s="112"/>
      <c r="G76" s="255"/>
      <c r="H76" s="255"/>
      <c r="I76" s="255"/>
      <c r="J76" s="273"/>
      <c r="K76" s="255"/>
      <c r="L76" s="255"/>
      <c r="M76" s="108"/>
      <c r="N76" s="250"/>
      <c r="O76" s="250"/>
      <c r="P76" s="319"/>
      <c r="Q76" s="247"/>
      <c r="R76" s="247"/>
      <c r="S76" s="15"/>
      <c r="T76" s="2"/>
    </row>
    <row r="77" spans="1:20">
      <c r="A77" s="249"/>
      <c r="B77" s="969" t="s">
        <v>1005</v>
      </c>
      <c r="C77" s="331">
        <f>C674</f>
        <v>66.193333908896633</v>
      </c>
      <c r="D77" s="1498">
        <f>C676</f>
        <v>125</v>
      </c>
      <c r="E77" s="1498">
        <f>C675</f>
        <v>166.66666666666666</v>
      </c>
      <c r="F77" s="972" t="s">
        <v>828</v>
      </c>
      <c r="G77" s="255"/>
      <c r="H77" s="255"/>
      <c r="I77" s="255"/>
      <c r="J77" s="273"/>
      <c r="K77" s="255"/>
      <c r="L77" s="255"/>
      <c r="M77" s="108"/>
      <c r="N77" s="250"/>
      <c r="O77" s="250"/>
      <c r="P77" s="319"/>
      <c r="Q77" s="247"/>
      <c r="R77" s="247"/>
      <c r="S77" s="15"/>
      <c r="T77" s="2"/>
    </row>
    <row r="78" spans="1:20">
      <c r="A78" s="249"/>
      <c r="B78" s="962" t="s">
        <v>1006</v>
      </c>
      <c r="C78" s="297" t="e">
        <f>D674</f>
        <v>#DIV/0!</v>
      </c>
      <c r="D78" s="1499"/>
      <c r="E78" s="1499"/>
      <c r="F78" s="112"/>
      <c r="G78" s="255"/>
      <c r="H78" s="255"/>
      <c r="I78" s="255"/>
      <c r="J78" s="273"/>
      <c r="K78" s="255"/>
      <c r="L78" s="255"/>
      <c r="M78" s="108"/>
      <c r="N78" s="250"/>
      <c r="O78" s="250"/>
      <c r="P78" s="319"/>
      <c r="Q78" s="247"/>
      <c r="R78" s="247"/>
      <c r="S78" s="15"/>
      <c r="T78" s="2"/>
    </row>
    <row r="79" spans="1:20">
      <c r="A79" s="249"/>
      <c r="B79" s="268" t="s">
        <v>987</v>
      </c>
      <c r="C79" s="269" t="s">
        <v>820</v>
      </c>
      <c r="D79" s="269" t="s">
        <v>820</v>
      </c>
      <c r="E79" s="305" t="s">
        <v>820</v>
      </c>
      <c r="F79" s="255"/>
      <c r="G79" s="255"/>
      <c r="H79" s="255"/>
      <c r="I79" s="255"/>
      <c r="J79" s="273"/>
      <c r="K79" s="255"/>
      <c r="L79" s="255"/>
      <c r="M79" s="108"/>
      <c r="N79" s="250"/>
      <c r="O79" s="250"/>
      <c r="P79" s="319"/>
      <c r="Q79" s="247"/>
      <c r="R79" s="247"/>
      <c r="S79" s="15"/>
      <c r="T79" s="2"/>
    </row>
    <row r="80" spans="1:20">
      <c r="A80" s="249"/>
      <c r="B80" s="332"/>
      <c r="C80" s="255"/>
      <c r="D80" s="274"/>
      <c r="E80" s="255"/>
      <c r="F80" s="274"/>
      <c r="G80" s="119"/>
      <c r="H80" s="114"/>
      <c r="I80" s="255"/>
      <c r="J80" s="274"/>
      <c r="K80" s="255"/>
      <c r="L80" s="274"/>
      <c r="M80" s="250"/>
      <c r="N80" s="392"/>
      <c r="O80" s="334"/>
      <c r="P80" s="335"/>
      <c r="Q80" s="2"/>
      <c r="R80" s="2"/>
      <c r="S80" s="2"/>
      <c r="T80" s="2"/>
    </row>
    <row r="81" spans="1:20">
      <c r="A81" s="249"/>
      <c r="B81" s="958" t="s">
        <v>919</v>
      </c>
      <c r="C81" s="273"/>
      <c r="D81" s="273"/>
      <c r="E81" s="273"/>
      <c r="F81" s="255"/>
      <c r="G81" s="255"/>
      <c r="H81" s="255"/>
      <c r="I81" s="255"/>
      <c r="J81" s="273"/>
      <c r="K81" s="255"/>
      <c r="L81" s="274"/>
      <c r="M81" s="250"/>
      <c r="N81" s="392"/>
      <c r="O81" s="334"/>
      <c r="P81" s="335"/>
      <c r="Q81" s="2"/>
      <c r="R81" s="2"/>
      <c r="S81" s="2"/>
      <c r="T81" s="2"/>
    </row>
    <row r="82" spans="1:20">
      <c r="A82" s="249"/>
      <c r="B82" s="963"/>
      <c r="C82" s="1409" t="s">
        <v>1239</v>
      </c>
      <c r="D82" s="1409"/>
      <c r="E82" s="1409"/>
      <c r="F82" s="160" t="s">
        <v>814</v>
      </c>
      <c r="G82" s="276" t="s">
        <v>518</v>
      </c>
      <c r="H82" s="277"/>
      <c r="I82" s="137" t="s">
        <v>140</v>
      </c>
      <c r="J82" s="293" t="s">
        <v>141</v>
      </c>
      <c r="K82" s="251" t="s">
        <v>819</v>
      </c>
      <c r="L82" s="255"/>
      <c r="M82" s="273"/>
      <c r="N82" s="995"/>
      <c r="O82" s="335"/>
      <c r="P82" s="2"/>
      <c r="Q82" s="2"/>
      <c r="R82" s="2"/>
      <c r="S82" s="2"/>
      <c r="T82" s="2"/>
    </row>
    <row r="83" spans="1:20">
      <c r="A83" s="249"/>
      <c r="B83" s="969" t="s">
        <v>1005</v>
      </c>
      <c r="C83" s="1402" t="str">
        <f>C649</f>
        <v>More than 6-kohm &amp; less than 20.-kohm</v>
      </c>
      <c r="D83" s="1402"/>
      <c r="E83" s="1402"/>
      <c r="F83" s="337">
        <v>10</v>
      </c>
      <c r="G83" s="300" t="str">
        <f>C684</f>
        <v>Approx. 22.7 nF</v>
      </c>
      <c r="H83" s="338"/>
      <c r="I83" s="295">
        <v>36</v>
      </c>
      <c r="J83" s="297">
        <f>C686</f>
        <v>2.7777777777777777</v>
      </c>
      <c r="K83" s="331">
        <f>C682</f>
        <v>44.12888927259776</v>
      </c>
      <c r="L83" s="255"/>
      <c r="M83" s="273"/>
      <c r="N83" s="995"/>
      <c r="O83" s="335"/>
      <c r="P83" s="2"/>
      <c r="Q83" s="2"/>
      <c r="R83" s="2"/>
      <c r="S83" s="2"/>
      <c r="T83" s="2"/>
    </row>
    <row r="84" spans="1:20">
      <c r="A84" s="249"/>
      <c r="B84" s="962" t="s">
        <v>1006</v>
      </c>
      <c r="C84" s="1515" t="e">
        <f>D649</f>
        <v>#DIV/0!</v>
      </c>
      <c r="D84" s="1515"/>
      <c r="E84" s="1515"/>
      <c r="F84" s="340">
        <v>10</v>
      </c>
      <c r="G84" s="300" t="e">
        <f>D684</f>
        <v>#DIV/0!</v>
      </c>
      <c r="H84" s="338"/>
      <c r="I84" s="295">
        <v>36</v>
      </c>
      <c r="J84" s="297">
        <f>D686</f>
        <v>2.7777777777777777</v>
      </c>
      <c r="K84" s="297" t="e">
        <f>D682</f>
        <v>#DIV/0!</v>
      </c>
      <c r="L84" s="255"/>
      <c r="M84" s="273"/>
      <c r="N84" s="995"/>
      <c r="O84" s="335"/>
      <c r="P84" s="2"/>
      <c r="Q84" s="2"/>
      <c r="R84" s="2"/>
      <c r="S84" s="2"/>
      <c r="T84" s="2"/>
    </row>
    <row r="85" spans="1:20">
      <c r="A85" s="249"/>
      <c r="B85" s="268" t="s">
        <v>987</v>
      </c>
      <c r="C85" s="1409" t="s">
        <v>1021</v>
      </c>
      <c r="D85" s="1409"/>
      <c r="E85" s="1409"/>
      <c r="F85" s="299" t="s">
        <v>1021</v>
      </c>
      <c r="G85" s="276" t="s">
        <v>1091</v>
      </c>
      <c r="H85" s="277"/>
      <c r="I85" s="327" t="s">
        <v>1091</v>
      </c>
      <c r="J85" s="269" t="s">
        <v>820</v>
      </c>
      <c r="K85" s="269" t="s">
        <v>820</v>
      </c>
      <c r="L85" s="274"/>
      <c r="M85" s="274"/>
      <c r="N85" s="995"/>
      <c r="O85" s="335"/>
      <c r="P85" s="2"/>
      <c r="Q85" s="2"/>
      <c r="R85" s="2"/>
      <c r="S85" s="2"/>
      <c r="T85" s="2"/>
    </row>
    <row r="86" spans="1:20" ht="14">
      <c r="A86" s="249"/>
      <c r="B86" s="332"/>
      <c r="C86" s="159" t="s">
        <v>1238</v>
      </c>
      <c r="D86" s="112"/>
      <c r="E86" s="255"/>
      <c r="F86" s="112"/>
      <c r="H86" s="274"/>
      <c r="I86" s="112"/>
      <c r="J86" s="927"/>
      <c r="K86" s="927" t="s">
        <v>478</v>
      </c>
      <c r="L86" s="274"/>
      <c r="M86" s="250"/>
      <c r="N86" s="392"/>
      <c r="O86" s="334"/>
      <c r="P86" s="335"/>
      <c r="Q86" s="2"/>
      <c r="R86" s="2"/>
      <c r="S86" s="2"/>
      <c r="T86" s="2"/>
    </row>
    <row r="87" spans="1:20" ht="14">
      <c r="A87" s="249"/>
      <c r="B87" s="332"/>
      <c r="C87" s="112"/>
      <c r="D87" s="112"/>
      <c r="E87" s="255"/>
      <c r="F87" s="112"/>
      <c r="H87" s="274"/>
      <c r="I87" s="138"/>
      <c r="J87" s="114"/>
      <c r="K87" s="927" t="s">
        <v>479</v>
      </c>
      <c r="L87" s="274"/>
      <c r="M87" s="250"/>
      <c r="N87" s="392"/>
      <c r="O87" s="334"/>
      <c r="P87" s="335"/>
      <c r="Q87" s="2"/>
      <c r="R87" s="2"/>
      <c r="S87" s="2"/>
      <c r="T87" s="2"/>
    </row>
    <row r="88" spans="1:20" ht="14">
      <c r="A88" s="249"/>
      <c r="B88" s="332"/>
      <c r="C88" s="112"/>
      <c r="D88" s="112"/>
      <c r="E88" s="255"/>
      <c r="F88" s="112"/>
      <c r="H88" s="274"/>
      <c r="I88" s="138"/>
      <c r="J88" s="114"/>
      <c r="K88" s="255"/>
      <c r="L88" s="274"/>
      <c r="M88" s="250"/>
      <c r="N88" s="392"/>
      <c r="O88" s="334"/>
      <c r="P88" s="335"/>
      <c r="Q88" s="2"/>
      <c r="R88" s="2"/>
      <c r="S88" s="2"/>
      <c r="T88" s="2"/>
    </row>
    <row r="89" spans="1:20" ht="14">
      <c r="A89" s="249"/>
      <c r="B89" s="332"/>
      <c r="C89" s="112"/>
      <c r="D89" s="112"/>
      <c r="E89" s="255"/>
      <c r="F89" s="112"/>
      <c r="H89" s="274"/>
      <c r="I89" s="138"/>
      <c r="J89" s="114"/>
      <c r="K89" s="255"/>
      <c r="L89" s="274"/>
      <c r="M89" s="250"/>
      <c r="N89" s="392"/>
      <c r="O89" s="334"/>
      <c r="P89" s="335"/>
      <c r="Q89" s="2"/>
      <c r="R89" s="2"/>
      <c r="S89" s="2"/>
      <c r="T89" s="2"/>
    </row>
    <row r="90" spans="1:20" ht="14" hidden="1">
      <c r="A90" s="249"/>
      <c r="B90" s="332"/>
      <c r="C90" s="159"/>
      <c r="D90" s="274"/>
      <c r="E90" s="255"/>
      <c r="H90" s="274"/>
      <c r="I90" s="138"/>
      <c r="J90" s="114"/>
      <c r="K90" s="255"/>
      <c r="L90" s="274"/>
      <c r="M90" s="250"/>
      <c r="N90" s="392"/>
      <c r="O90" s="334"/>
      <c r="P90" s="335"/>
      <c r="Q90" s="2"/>
      <c r="R90" s="2"/>
      <c r="S90" s="2"/>
      <c r="T90" s="2"/>
    </row>
    <row r="91" spans="1:20" hidden="1">
      <c r="A91" s="283"/>
      <c r="B91" s="341"/>
      <c r="C91" s="342"/>
      <c r="D91" s="292"/>
      <c r="E91" s="342"/>
      <c r="F91" s="292"/>
      <c r="G91" s="161"/>
      <c r="H91" s="162"/>
      <c r="I91" s="342"/>
      <c r="J91" s="292"/>
      <c r="K91" s="342"/>
      <c r="L91" s="292"/>
      <c r="M91" s="343"/>
      <c r="N91" s="392"/>
      <c r="O91" s="334"/>
      <c r="P91" s="335"/>
      <c r="Q91" s="2"/>
      <c r="R91" s="2"/>
      <c r="S91" s="2"/>
      <c r="T91" s="2"/>
    </row>
    <row r="92" spans="1:20" hidden="1">
      <c r="A92" s="344"/>
      <c r="B92" s="958" t="s">
        <v>901</v>
      </c>
      <c r="C92" s="273"/>
      <c r="D92" s="255"/>
      <c r="E92" s="255"/>
      <c r="F92" s="273"/>
      <c r="G92" s="273"/>
      <c r="H92" s="108"/>
      <c r="I92" s="108"/>
      <c r="J92" s="108"/>
      <c r="K92" s="108"/>
      <c r="L92" s="279"/>
      <c r="M92" s="163"/>
      <c r="N92" s="392"/>
      <c r="O92" s="334"/>
      <c r="P92" s="335"/>
      <c r="Q92" s="2"/>
      <c r="R92" s="2"/>
      <c r="S92" s="2"/>
      <c r="T92" s="2"/>
    </row>
    <row r="93" spans="1:20" hidden="1">
      <c r="A93" s="283"/>
      <c r="B93" s="958" t="s">
        <v>902</v>
      </c>
      <c r="C93" s="249"/>
      <c r="D93" s="309"/>
      <c r="E93" s="250"/>
      <c r="H93" s="249"/>
      <c r="I93" s="249"/>
      <c r="J93" s="108"/>
      <c r="K93" s="250"/>
      <c r="L93" s="108"/>
      <c r="M93" s="164"/>
      <c r="N93" s="392"/>
      <c r="O93" s="334"/>
      <c r="P93" s="335"/>
      <c r="Q93" s="2"/>
      <c r="R93" s="2"/>
      <c r="S93" s="2"/>
      <c r="T93" s="2"/>
    </row>
    <row r="94" spans="1:20" ht="25.7" hidden="1" customHeight="1">
      <c r="A94" s="283"/>
      <c r="B94" s="311"/>
      <c r="C94" s="312" t="s">
        <v>181</v>
      </c>
      <c r="D94" s="251" t="s">
        <v>903</v>
      </c>
      <c r="E94" s="345" t="s">
        <v>904</v>
      </c>
      <c r="F94" s="937" t="s">
        <v>482</v>
      </c>
      <c r="G94" s="937" t="s">
        <v>487</v>
      </c>
      <c r="H94" s="937" t="s">
        <v>848</v>
      </c>
      <c r="I94" s="937" t="s">
        <v>488</v>
      </c>
      <c r="J94" s="937" t="s">
        <v>849</v>
      </c>
      <c r="K94" s="321" t="s">
        <v>1142</v>
      </c>
      <c r="L94" s="312" t="s">
        <v>1143</v>
      </c>
      <c r="M94" s="164"/>
      <c r="N94" s="392"/>
      <c r="O94" s="164"/>
      <c r="P94" s="333"/>
      <c r="Q94" s="334"/>
      <c r="R94" s="335"/>
      <c r="S94" s="2"/>
      <c r="T94" s="2"/>
    </row>
    <row r="95" spans="1:20" hidden="1">
      <c r="A95" s="283"/>
      <c r="B95" s="962" t="s">
        <v>484</v>
      </c>
      <c r="C95" s="999">
        <v>5.3</v>
      </c>
      <c r="D95" s="986">
        <v>0.01</v>
      </c>
      <c r="E95" s="1000">
        <v>4</v>
      </c>
      <c r="F95" s="1000">
        <v>350</v>
      </c>
      <c r="G95" s="938">
        <f>C495</f>
        <v>0.87078338560000013</v>
      </c>
      <c r="H95" s="1001">
        <v>8</v>
      </c>
      <c r="I95" s="938">
        <f>C499</f>
        <v>0.4631937935541503</v>
      </c>
      <c r="J95" s="1001">
        <v>12</v>
      </c>
      <c r="K95" s="948">
        <f>C492</f>
        <v>5.3148399999999993</v>
      </c>
      <c r="L95" s="948">
        <f>C496</f>
        <v>5.32226</v>
      </c>
      <c r="M95" s="164"/>
      <c r="N95" s="392"/>
      <c r="O95" s="164"/>
      <c r="P95" s="333"/>
      <c r="Q95" s="334"/>
      <c r="R95" s="335"/>
      <c r="S95" s="2"/>
      <c r="T95" s="2"/>
    </row>
    <row r="96" spans="1:20" hidden="1">
      <c r="A96" s="283"/>
      <c r="B96" s="962" t="s">
        <v>485</v>
      </c>
      <c r="C96" s="999">
        <v>5.6</v>
      </c>
      <c r="D96" s="986">
        <v>0.01</v>
      </c>
      <c r="E96" s="1000">
        <v>4</v>
      </c>
      <c r="F96" s="1000">
        <v>350</v>
      </c>
      <c r="G96" s="938">
        <f>D495</f>
        <v>5.6156799999999996E-3</v>
      </c>
      <c r="H96" s="1001">
        <v>8</v>
      </c>
      <c r="I96" s="938" t="e">
        <f>D499</f>
        <v>#DIV/0!</v>
      </c>
      <c r="J96" s="1001">
        <v>12</v>
      </c>
      <c r="K96" s="948">
        <f>D492</f>
        <v>5.6156799999999993</v>
      </c>
      <c r="L96" s="948">
        <f>D496</f>
        <v>5.6235199999999992</v>
      </c>
      <c r="M96" s="164"/>
      <c r="N96" s="392"/>
      <c r="O96" s="164"/>
      <c r="P96" s="333"/>
      <c r="Q96" s="334"/>
      <c r="R96" s="335"/>
      <c r="S96" s="2"/>
      <c r="T96" s="2"/>
    </row>
    <row r="97" spans="1:20" hidden="1">
      <c r="A97" s="283"/>
      <c r="B97" s="268" t="s">
        <v>195</v>
      </c>
      <c r="C97" s="251" t="s">
        <v>990</v>
      </c>
      <c r="D97" s="271" t="s">
        <v>159</v>
      </c>
      <c r="E97" s="304" t="s">
        <v>905</v>
      </c>
      <c r="F97" s="304" t="s">
        <v>483</v>
      </c>
      <c r="G97" s="304" t="s">
        <v>486</v>
      </c>
      <c r="H97" s="346" t="s">
        <v>790</v>
      </c>
      <c r="I97" s="304" t="s">
        <v>486</v>
      </c>
      <c r="J97" s="346" t="s">
        <v>790</v>
      </c>
      <c r="K97" s="269" t="s">
        <v>990</v>
      </c>
      <c r="L97" s="949" t="s">
        <v>990</v>
      </c>
      <c r="M97" s="164"/>
      <c r="N97" s="392"/>
      <c r="O97" s="164"/>
      <c r="P97" s="333"/>
      <c r="Q97" s="334"/>
      <c r="R97" s="335"/>
      <c r="S97" s="2"/>
      <c r="T97" s="2"/>
    </row>
    <row r="98" spans="1:20" hidden="1">
      <c r="A98" s="283"/>
      <c r="B98" s="958" t="s">
        <v>906</v>
      </c>
      <c r="C98" s="249"/>
      <c r="D98" s="309"/>
      <c r="E98" s="108"/>
      <c r="F98" s="257"/>
      <c r="G98" s="255"/>
      <c r="H98" s="272"/>
      <c r="I98" s="108"/>
      <c r="J98" s="108"/>
      <c r="K98" s="255"/>
      <c r="L98" s="108"/>
      <c r="M98" s="164"/>
      <c r="N98" s="392"/>
      <c r="O98" s="334"/>
      <c r="P98" s="335"/>
      <c r="Q98" s="2"/>
      <c r="R98" s="2"/>
      <c r="S98" s="2"/>
      <c r="T98" s="2"/>
    </row>
    <row r="99" spans="1:20" hidden="1">
      <c r="A99" s="283"/>
      <c r="B99" s="1517"/>
      <c r="C99" s="1518"/>
      <c r="D99" s="251" t="s">
        <v>172</v>
      </c>
      <c r="E99" s="272"/>
      <c r="F99" s="108"/>
      <c r="G99" s="255"/>
      <c r="H99" s="272"/>
      <c r="I99" s="108"/>
      <c r="J99" s="108"/>
      <c r="K99" s="255"/>
      <c r="L99" s="108"/>
      <c r="M99" s="164"/>
      <c r="N99" s="392"/>
      <c r="O99" s="334"/>
      <c r="P99" s="335"/>
      <c r="Q99" s="2"/>
      <c r="R99" s="2"/>
      <c r="S99" s="2"/>
      <c r="T99" s="2"/>
    </row>
    <row r="100" spans="1:20" hidden="1">
      <c r="A100" s="283"/>
      <c r="B100" s="1519" t="s">
        <v>1005</v>
      </c>
      <c r="C100" s="1519"/>
      <c r="D100" s="317">
        <f>C486</f>
        <v>0.75471698113207553</v>
      </c>
      <c r="E100" s="272"/>
      <c r="F100" s="108"/>
      <c r="G100" s="255"/>
      <c r="H100" s="272"/>
      <c r="I100" s="108"/>
      <c r="J100" s="108"/>
      <c r="K100" s="255"/>
      <c r="L100" s="108"/>
      <c r="M100" s="164"/>
      <c r="N100" s="392"/>
      <c r="O100" s="334"/>
      <c r="P100" s="335"/>
      <c r="Q100" s="2"/>
      <c r="R100" s="2"/>
      <c r="S100" s="2"/>
      <c r="T100" s="2"/>
    </row>
    <row r="101" spans="1:20" hidden="1">
      <c r="A101" s="283"/>
      <c r="B101" s="1519" t="s">
        <v>1006</v>
      </c>
      <c r="C101" s="1519"/>
      <c r="D101" s="317">
        <f>D486</f>
        <v>0.7142857142857143</v>
      </c>
      <c r="E101" s="272"/>
      <c r="F101" s="108"/>
      <c r="G101" s="255"/>
      <c r="H101" s="272"/>
      <c r="I101" s="108"/>
      <c r="J101" s="108"/>
      <c r="K101" s="255"/>
      <c r="L101" s="108"/>
      <c r="M101" s="164"/>
      <c r="N101" s="392"/>
      <c r="O101" s="334"/>
      <c r="P101" s="335"/>
      <c r="Q101" s="2"/>
      <c r="R101" s="2"/>
      <c r="S101" s="2"/>
      <c r="T101" s="2"/>
    </row>
    <row r="102" spans="1:20" hidden="1">
      <c r="A102" s="283"/>
      <c r="B102" s="1397" t="s">
        <v>195</v>
      </c>
      <c r="C102" s="1397"/>
      <c r="D102" s="251" t="s">
        <v>807</v>
      </c>
      <c r="E102" s="272"/>
      <c r="F102" s="108"/>
      <c r="G102" s="255"/>
      <c r="H102" s="272"/>
      <c r="I102" s="108"/>
      <c r="J102" s="108"/>
      <c r="K102" s="255"/>
      <c r="L102" s="108"/>
      <c r="M102" s="164"/>
      <c r="N102" s="392"/>
      <c r="O102" s="334"/>
      <c r="P102" s="335"/>
      <c r="Q102" s="2"/>
      <c r="R102" s="2"/>
      <c r="S102" s="2"/>
      <c r="T102" s="2"/>
    </row>
    <row r="103" spans="1:20" hidden="1">
      <c r="A103" s="283"/>
      <c r="B103" s="257"/>
      <c r="C103" s="255"/>
      <c r="D103" s="272"/>
      <c r="E103" s="978" t="s">
        <v>38</v>
      </c>
      <c r="G103" s="255"/>
      <c r="H103" s="272"/>
      <c r="I103" s="108"/>
      <c r="J103" s="108"/>
      <c r="K103" s="255"/>
      <c r="L103" s="108"/>
      <c r="M103" s="164"/>
      <c r="N103" s="392"/>
      <c r="O103" s="334"/>
      <c r="P103" s="335"/>
      <c r="Q103" s="2"/>
      <c r="R103" s="2"/>
      <c r="S103" s="2"/>
      <c r="T103" s="2"/>
    </row>
    <row r="104" spans="1:20" hidden="1">
      <c r="A104" s="283"/>
      <c r="B104" s="958" t="s">
        <v>982</v>
      </c>
      <c r="C104" s="249"/>
      <c r="D104" s="309"/>
      <c r="E104" s="108"/>
      <c r="F104" s="257"/>
      <c r="G104" s="255"/>
      <c r="H104" s="272"/>
      <c r="I104" s="108"/>
      <c r="J104" s="108"/>
      <c r="K104" s="255"/>
      <c r="L104" s="108"/>
      <c r="M104" s="164"/>
      <c r="N104" s="392"/>
      <c r="O104" s="334"/>
      <c r="P104" s="335"/>
      <c r="Q104" s="2"/>
      <c r="R104" s="2"/>
      <c r="S104" s="2"/>
      <c r="T104" s="2"/>
    </row>
    <row r="105" spans="1:20" hidden="1">
      <c r="A105" s="283"/>
      <c r="B105" s="966"/>
      <c r="C105" s="251" t="s">
        <v>1090</v>
      </c>
      <c r="D105" s="251" t="s">
        <v>950</v>
      </c>
      <c r="E105" s="251" t="s">
        <v>850</v>
      </c>
      <c r="F105" s="251" t="s">
        <v>850</v>
      </c>
      <c r="G105" s="255"/>
      <c r="H105" s="255"/>
      <c r="I105" s="1500"/>
      <c r="J105" s="1500"/>
      <c r="K105" s="1500"/>
      <c r="L105" s="1500"/>
      <c r="M105" s="164"/>
      <c r="N105" s="392"/>
      <c r="O105" s="334"/>
      <c r="P105" s="335"/>
      <c r="Q105" s="2"/>
      <c r="R105" s="2"/>
      <c r="S105" s="2"/>
      <c r="T105" s="2"/>
    </row>
    <row r="106" spans="1:20" hidden="1">
      <c r="A106" s="283"/>
      <c r="B106" s="962" t="s">
        <v>1005</v>
      </c>
      <c r="C106" s="989">
        <v>1</v>
      </c>
      <c r="D106" s="317">
        <f>C490</f>
        <v>1</v>
      </c>
      <c r="E106" s="317">
        <f>C488</f>
        <v>0.75471698113207553</v>
      </c>
      <c r="F106" s="989">
        <v>1</v>
      </c>
      <c r="G106" s="347"/>
      <c r="H106" s="347"/>
      <c r="I106" s="1472"/>
      <c r="J106" s="1472"/>
      <c r="K106" s="1472"/>
      <c r="L106" s="1472"/>
      <c r="M106" s="164"/>
      <c r="N106" s="392"/>
      <c r="O106" s="334"/>
      <c r="P106" s="335"/>
      <c r="Q106" s="2"/>
      <c r="R106" s="2"/>
      <c r="S106" s="2"/>
      <c r="T106" s="2"/>
    </row>
    <row r="107" spans="1:20" hidden="1">
      <c r="A107" s="283"/>
      <c r="B107" s="962" t="s">
        <v>1006</v>
      </c>
      <c r="C107" s="989">
        <v>1</v>
      </c>
      <c r="D107" s="317">
        <f>D490</f>
        <v>1</v>
      </c>
      <c r="E107" s="317">
        <f>D488</f>
        <v>0.7142857142857143</v>
      </c>
      <c r="F107" s="989">
        <v>1</v>
      </c>
      <c r="G107" s="347"/>
      <c r="H107" s="347"/>
      <c r="I107" s="1472"/>
      <c r="J107" s="1472"/>
      <c r="K107" s="1472"/>
      <c r="L107" s="1472"/>
      <c r="M107" s="164"/>
      <c r="N107" s="392"/>
      <c r="O107" s="334"/>
      <c r="P107" s="335"/>
      <c r="Q107" s="2"/>
      <c r="R107" s="2"/>
      <c r="S107" s="2"/>
      <c r="T107" s="2"/>
    </row>
    <row r="108" spans="1:20" hidden="1">
      <c r="A108" s="283"/>
      <c r="B108" s="268" t="s">
        <v>195</v>
      </c>
      <c r="C108" s="251" t="s">
        <v>1091</v>
      </c>
      <c r="D108" s="251" t="s">
        <v>807</v>
      </c>
      <c r="E108" s="251" t="s">
        <v>808</v>
      </c>
      <c r="F108" s="251" t="s">
        <v>808</v>
      </c>
      <c r="G108" s="255"/>
      <c r="H108" s="255"/>
      <c r="I108" s="1500"/>
      <c r="J108" s="1500"/>
      <c r="K108" s="1500"/>
      <c r="L108" s="1500"/>
      <c r="M108" s="164"/>
      <c r="N108" s="392"/>
      <c r="O108" s="334"/>
      <c r="P108" s="335"/>
      <c r="Q108" s="2"/>
      <c r="R108" s="2"/>
      <c r="S108" s="2"/>
      <c r="T108" s="2"/>
    </row>
    <row r="109" spans="1:20" hidden="1">
      <c r="A109" s="283"/>
      <c r="B109" s="257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164"/>
      <c r="N109" s="392"/>
      <c r="O109" s="334"/>
      <c r="P109" s="335"/>
      <c r="Q109" s="2"/>
      <c r="R109" s="2"/>
      <c r="S109" s="2"/>
      <c r="T109" s="2"/>
    </row>
    <row r="110" spans="1:20" hidden="1">
      <c r="A110" s="283"/>
      <c r="B110" s="958" t="s">
        <v>954</v>
      </c>
      <c r="C110" s="254"/>
      <c r="D110" s="254"/>
      <c r="E110" s="250"/>
      <c r="F110" s="250"/>
      <c r="G110" s="254"/>
      <c r="H110" s="109"/>
      <c r="I110" s="250"/>
      <c r="J110" s="255"/>
      <c r="K110" s="255"/>
      <c r="L110" s="255"/>
      <c r="M110" s="164"/>
      <c r="N110" s="392"/>
      <c r="O110" s="334"/>
      <c r="P110" s="335"/>
      <c r="Q110" s="2"/>
      <c r="R110" s="2"/>
      <c r="S110" s="2"/>
      <c r="T110" s="2"/>
    </row>
    <row r="111" spans="1:20" ht="14.25" hidden="1" customHeight="1">
      <c r="A111" s="283"/>
      <c r="B111" s="1398"/>
      <c r="C111" s="1400" t="str">
        <f>D1259</f>
        <v>Vin= 21.5V</v>
      </c>
      <c r="D111" s="1400" t="str">
        <f>E1259</f>
        <v>Vin= 22.5V</v>
      </c>
      <c r="E111" s="1400" t="str">
        <f>F1259</f>
        <v>Vin= 23.5V</v>
      </c>
      <c r="F111" s="152" t="s">
        <v>237</v>
      </c>
      <c r="G111" s="152" t="s">
        <v>239</v>
      </c>
      <c r="H111" s="1501" t="s">
        <v>238</v>
      </c>
      <c r="I111" s="1502"/>
      <c r="J111" s="108"/>
      <c r="K111" s="108"/>
      <c r="L111" s="255"/>
      <c r="M111" s="164"/>
      <c r="N111" s="392"/>
      <c r="O111" s="334"/>
      <c r="P111" s="335"/>
      <c r="Q111" s="2"/>
      <c r="R111" s="2"/>
      <c r="S111" s="2"/>
      <c r="T111" s="2"/>
    </row>
    <row r="112" spans="1:20" hidden="1">
      <c r="A112" s="283"/>
      <c r="B112" s="1399"/>
      <c r="C112" s="1401"/>
      <c r="D112" s="1401"/>
      <c r="E112" s="1401"/>
      <c r="F112" s="1501" t="s">
        <v>240</v>
      </c>
      <c r="G112" s="1516"/>
      <c r="H112" s="1516"/>
      <c r="I112" s="1502"/>
      <c r="J112" s="108"/>
      <c r="K112" s="249"/>
      <c r="L112" s="255"/>
      <c r="M112" s="164"/>
      <c r="N112" s="392"/>
      <c r="O112" s="334"/>
      <c r="P112" s="335"/>
      <c r="Q112" s="2"/>
      <c r="R112" s="2"/>
      <c r="S112" s="2"/>
      <c r="T112" s="2"/>
    </row>
    <row r="113" spans="1:20" hidden="1">
      <c r="A113" s="283"/>
      <c r="B113" s="969" t="s">
        <v>1092</v>
      </c>
      <c r="C113" s="117">
        <f>C516</f>
        <v>9.3548017588960928</v>
      </c>
      <c r="D113" s="117">
        <f>C517</f>
        <v>9.3289619656144396</v>
      </c>
      <c r="E113" s="117">
        <f>C518</f>
        <v>9.305321303675905</v>
      </c>
      <c r="F113" s="151">
        <f>C530</f>
        <v>8.0558461070122469</v>
      </c>
      <c r="G113" s="151">
        <f>C529</f>
        <v>10.75167428783409</v>
      </c>
      <c r="H113" s="330">
        <f>C532</f>
        <v>-0.13646918738598809</v>
      </c>
      <c r="I113" s="330">
        <f>C531</f>
        <v>0.15250489041156098</v>
      </c>
      <c r="J113" s="108"/>
      <c r="K113" s="249"/>
      <c r="L113" s="255"/>
      <c r="M113" s="164"/>
      <c r="N113" s="392"/>
      <c r="O113" s="334"/>
      <c r="P113" s="335"/>
      <c r="Q113" s="2"/>
      <c r="R113" s="2"/>
      <c r="S113" s="2"/>
      <c r="T113" s="2"/>
    </row>
    <row r="114" spans="1:20" hidden="1">
      <c r="A114" s="283"/>
      <c r="B114" s="969" t="s">
        <v>1093</v>
      </c>
      <c r="C114" s="117" t="e">
        <f>D516</f>
        <v>#DIV/0!</v>
      </c>
      <c r="D114" s="117" t="e">
        <f>D517</f>
        <v>#DIV/0!</v>
      </c>
      <c r="E114" s="117" t="e">
        <f>D518</f>
        <v>#DIV/0!</v>
      </c>
      <c r="F114" s="151" t="e">
        <f>D530</f>
        <v>#DIV/0!</v>
      </c>
      <c r="G114" s="151" t="e">
        <f>D529</f>
        <v>#DIV/0!</v>
      </c>
      <c r="H114" s="303" t="e">
        <f>D532</f>
        <v>#DIV/0!</v>
      </c>
      <c r="I114" s="330" t="e">
        <f>D531</f>
        <v>#DIV/0!</v>
      </c>
      <c r="J114" s="108"/>
      <c r="K114" s="249"/>
      <c r="L114" s="255"/>
      <c r="M114" s="164"/>
      <c r="N114" s="392"/>
      <c r="O114" s="334"/>
      <c r="P114" s="335"/>
      <c r="Q114" s="2"/>
      <c r="R114" s="2"/>
      <c r="S114" s="2"/>
      <c r="T114" s="2"/>
    </row>
    <row r="115" spans="1:20" hidden="1">
      <c r="A115" s="283"/>
      <c r="B115" s="268" t="s">
        <v>987</v>
      </c>
      <c r="C115" s="270" t="s">
        <v>989</v>
      </c>
      <c r="D115" s="270" t="s">
        <v>989</v>
      </c>
      <c r="E115" s="270" t="s">
        <v>989</v>
      </c>
      <c r="F115" s="270" t="s">
        <v>989</v>
      </c>
      <c r="G115" s="270" t="s">
        <v>989</v>
      </c>
      <c r="H115" s="327" t="s">
        <v>973</v>
      </c>
      <c r="I115" s="327" t="s">
        <v>973</v>
      </c>
      <c r="J115" s="108"/>
      <c r="K115" s="108"/>
      <c r="L115" s="255"/>
      <c r="M115" s="164"/>
      <c r="N115" s="392"/>
      <c r="O115" s="334"/>
      <c r="P115" s="335"/>
      <c r="Q115" s="2"/>
      <c r="R115" s="2"/>
      <c r="S115" s="2"/>
      <c r="T115" s="2"/>
    </row>
    <row r="116" spans="1:20" hidden="1">
      <c r="A116" s="283"/>
      <c r="B116" s="970"/>
      <c r="C116" s="149"/>
      <c r="D116" s="149"/>
      <c r="E116" s="149"/>
      <c r="J116" s="108"/>
      <c r="K116" s="249"/>
      <c r="L116" s="255"/>
      <c r="M116" s="164"/>
      <c r="N116" s="392"/>
      <c r="O116" s="334"/>
      <c r="P116" s="335"/>
      <c r="Q116" s="2"/>
      <c r="R116" s="2"/>
      <c r="S116" s="2"/>
      <c r="T116" s="2"/>
    </row>
    <row r="117" spans="1:20" hidden="1">
      <c r="A117" s="283"/>
      <c r="B117" s="249"/>
      <c r="C117" s="249"/>
      <c r="D117" s="249"/>
      <c r="E117" s="249"/>
      <c r="F117" s="249"/>
      <c r="H117" s="249"/>
      <c r="I117" s="249"/>
      <c r="J117" s="108"/>
      <c r="K117" s="249"/>
      <c r="L117" s="250"/>
      <c r="M117" s="343"/>
      <c r="N117" s="392"/>
      <c r="O117" s="334"/>
      <c r="P117" s="335"/>
      <c r="Q117" s="2"/>
      <c r="R117" s="2"/>
      <c r="S117" s="2"/>
      <c r="T117" s="2"/>
    </row>
    <row r="118" spans="1:20" hidden="1">
      <c r="A118" s="283"/>
      <c r="B118" s="958" t="s">
        <v>811</v>
      </c>
      <c r="C118" s="279"/>
      <c r="D118" s="279"/>
      <c r="E118" s="120"/>
      <c r="F118" s="250"/>
      <c r="G118" s="250"/>
      <c r="H118" s="249"/>
      <c r="I118" s="249"/>
      <c r="J118" s="108"/>
      <c r="K118" s="108"/>
      <c r="M118" s="283"/>
      <c r="N118" s="392"/>
      <c r="O118" s="334"/>
      <c r="P118" s="335"/>
      <c r="Q118" s="2"/>
      <c r="R118" s="2"/>
      <c r="S118" s="2"/>
      <c r="T118" s="2"/>
    </row>
    <row r="119" spans="1:20" ht="25.8" hidden="1">
      <c r="A119" s="283"/>
      <c r="B119" s="963"/>
      <c r="C119" s="320" t="s">
        <v>1094</v>
      </c>
      <c r="D119" s="320" t="s">
        <v>1095</v>
      </c>
      <c r="E119" s="321" t="s">
        <v>812</v>
      </c>
      <c r="F119" s="1497" t="s">
        <v>1096</v>
      </c>
      <c r="G119" s="1497"/>
      <c r="H119" s="278" t="s">
        <v>1097</v>
      </c>
      <c r="I119" s="322" t="s">
        <v>1098</v>
      </c>
      <c r="J119" s="108"/>
      <c r="K119" s="249"/>
      <c r="M119" s="283"/>
      <c r="N119" s="392"/>
      <c r="O119" s="334"/>
      <c r="P119" s="335"/>
      <c r="Q119" s="2"/>
      <c r="R119" s="2"/>
      <c r="S119" s="2"/>
      <c r="T119" s="2"/>
    </row>
    <row r="120" spans="1:20" hidden="1">
      <c r="A120" s="283"/>
      <c r="B120" s="969" t="s">
        <v>736</v>
      </c>
      <c r="C120" s="990">
        <v>330</v>
      </c>
      <c r="D120" s="991">
        <v>18</v>
      </c>
      <c r="E120" s="990">
        <v>2</v>
      </c>
      <c r="F120" s="1402" t="str">
        <f>C744</f>
        <v>More than 142-uF</v>
      </c>
      <c r="G120" s="1402"/>
      <c r="H120" s="992">
        <v>0.5</v>
      </c>
      <c r="I120" s="993">
        <v>0.02</v>
      </c>
      <c r="J120" s="108"/>
      <c r="K120" s="249"/>
      <c r="M120" s="283"/>
      <c r="N120" s="392"/>
      <c r="O120" s="334"/>
      <c r="P120" s="335"/>
      <c r="Q120" s="2"/>
      <c r="R120" s="2"/>
      <c r="S120" s="2"/>
      <c r="T120" s="2"/>
    </row>
    <row r="121" spans="1:20" hidden="1">
      <c r="A121" s="283"/>
      <c r="B121" s="969" t="s">
        <v>737</v>
      </c>
      <c r="C121" s="990">
        <v>470</v>
      </c>
      <c r="D121" s="991">
        <v>15</v>
      </c>
      <c r="E121" s="990">
        <v>1</v>
      </c>
      <c r="F121" s="1402" t="e">
        <f>D744</f>
        <v>#DIV/0!</v>
      </c>
      <c r="G121" s="1402"/>
      <c r="H121" s="993">
        <v>0.5</v>
      </c>
      <c r="I121" s="993">
        <v>0.02</v>
      </c>
      <c r="J121" s="108"/>
      <c r="K121" s="249"/>
      <c r="M121" s="283"/>
      <c r="N121" s="392"/>
      <c r="O121" s="334"/>
      <c r="P121" s="335"/>
      <c r="Q121" s="2"/>
      <c r="R121" s="2"/>
      <c r="S121" s="2"/>
      <c r="T121" s="2"/>
    </row>
    <row r="122" spans="1:20" hidden="1">
      <c r="A122" s="283"/>
      <c r="B122" s="268" t="s">
        <v>987</v>
      </c>
      <c r="C122" s="269" t="s">
        <v>991</v>
      </c>
      <c r="D122" s="269" t="s">
        <v>1099</v>
      </c>
      <c r="E122" s="269" t="s">
        <v>993</v>
      </c>
      <c r="F122" s="1463" t="s">
        <v>973</v>
      </c>
      <c r="G122" s="1464"/>
      <c r="H122" s="327" t="s">
        <v>973</v>
      </c>
      <c r="I122" s="299" t="s">
        <v>973</v>
      </c>
      <c r="J122" s="108"/>
      <c r="K122" s="249"/>
      <c r="M122" s="283"/>
      <c r="N122" s="392"/>
      <c r="O122" s="334"/>
      <c r="P122" s="335"/>
      <c r="Q122" s="2"/>
      <c r="R122" s="2"/>
      <c r="S122" s="2"/>
      <c r="T122" s="2"/>
    </row>
    <row r="123" spans="1:20" hidden="1">
      <c r="A123" s="283"/>
      <c r="B123" s="257"/>
      <c r="C123" s="273"/>
      <c r="D123" s="273"/>
      <c r="E123" s="273"/>
      <c r="F123" s="255"/>
      <c r="G123" s="255"/>
      <c r="H123" s="255"/>
      <c r="I123" s="255"/>
      <c r="J123" s="273"/>
      <c r="K123" s="255"/>
      <c r="L123" s="255"/>
      <c r="M123" s="164"/>
      <c r="N123" s="392"/>
      <c r="O123" s="334"/>
      <c r="P123" s="335"/>
      <c r="Q123" s="2"/>
      <c r="R123" s="2"/>
      <c r="S123" s="2"/>
      <c r="T123" s="2"/>
    </row>
    <row r="124" spans="1:20" hidden="1">
      <c r="A124" s="283"/>
      <c r="B124" s="958" t="s">
        <v>822</v>
      </c>
      <c r="C124" s="273"/>
      <c r="D124" s="273"/>
      <c r="E124" s="273"/>
      <c r="F124" s="255"/>
      <c r="G124" s="255"/>
      <c r="H124" s="255"/>
      <c r="I124" s="255"/>
      <c r="J124" s="273"/>
      <c r="K124" s="255"/>
      <c r="L124" s="255"/>
      <c r="M124" s="164"/>
      <c r="N124" s="392"/>
      <c r="O124" s="334"/>
      <c r="P124" s="335"/>
      <c r="Q124" s="2"/>
      <c r="R124" s="2"/>
      <c r="S124" s="2"/>
      <c r="T124" s="2"/>
    </row>
    <row r="125" spans="1:20" ht="25.8" hidden="1">
      <c r="A125" s="283"/>
      <c r="B125" s="963"/>
      <c r="C125" s="322" t="s">
        <v>813</v>
      </c>
      <c r="D125" s="1406" t="s">
        <v>824</v>
      </c>
      <c r="E125" s="1407"/>
      <c r="F125" s="1408"/>
      <c r="G125" s="137" t="s">
        <v>814</v>
      </c>
      <c r="H125" s="328" t="s">
        <v>815</v>
      </c>
      <c r="I125" s="328" t="s">
        <v>816</v>
      </c>
      <c r="J125" s="137" t="s">
        <v>817</v>
      </c>
      <c r="K125" s="255"/>
      <c r="L125" s="255"/>
      <c r="M125" s="164"/>
      <c r="N125" s="392"/>
      <c r="O125" s="334"/>
      <c r="P125" s="335"/>
      <c r="Q125" s="2"/>
      <c r="R125" s="2"/>
      <c r="S125" s="2"/>
      <c r="T125" s="2"/>
    </row>
    <row r="126" spans="1:20" hidden="1">
      <c r="A126" s="283"/>
      <c r="B126" s="969" t="s">
        <v>1005</v>
      </c>
      <c r="C126" s="994">
        <v>0.01</v>
      </c>
      <c r="D126" s="1403" t="str">
        <f>C736</f>
        <v>More than 22.7-kohm (less than 20.-kohm)</v>
      </c>
      <c r="E126" s="1404"/>
      <c r="F126" s="1405"/>
      <c r="G126" s="985">
        <v>15</v>
      </c>
      <c r="H126" s="330">
        <f>C316</f>
        <v>1.5138872888888894E-2</v>
      </c>
      <c r="I126" s="330" t="str">
        <f>C756</f>
        <v>&gt; 770 pF</v>
      </c>
      <c r="J126" s="985">
        <v>100</v>
      </c>
      <c r="K126" s="255"/>
      <c r="L126" s="255"/>
      <c r="M126" s="164"/>
      <c r="N126" s="392"/>
      <c r="O126" s="334"/>
      <c r="P126" s="335"/>
      <c r="Q126" s="2"/>
      <c r="R126" s="2"/>
      <c r="S126" s="2"/>
      <c r="T126" s="2"/>
    </row>
    <row r="127" spans="1:20" hidden="1">
      <c r="A127" s="283"/>
      <c r="B127" s="962" t="s">
        <v>1006</v>
      </c>
      <c r="C127" s="994">
        <v>0.01</v>
      </c>
      <c r="D127" s="1403" t="e">
        <f>D736</f>
        <v>#DIV/0!</v>
      </c>
      <c r="E127" s="1404"/>
      <c r="F127" s="1405"/>
      <c r="G127" s="985">
        <v>12</v>
      </c>
      <c r="H127" s="330" t="e">
        <f>D316</f>
        <v>#DIV/0!</v>
      </c>
      <c r="I127" s="330" t="str">
        <f>D756</f>
        <v>&gt; 1371 pF</v>
      </c>
      <c r="J127" s="985">
        <v>470</v>
      </c>
      <c r="K127" s="255"/>
      <c r="L127" s="255"/>
      <c r="M127" s="164"/>
      <c r="N127" s="392"/>
      <c r="O127" s="334"/>
      <c r="P127" s="335"/>
      <c r="Q127" s="2"/>
      <c r="R127" s="2"/>
      <c r="S127" s="2"/>
      <c r="T127" s="2"/>
    </row>
    <row r="128" spans="1:20" hidden="1">
      <c r="A128" s="283"/>
      <c r="B128" s="268" t="s">
        <v>987</v>
      </c>
      <c r="C128" s="269" t="s">
        <v>973</v>
      </c>
      <c r="D128" s="1406" t="s">
        <v>1021</v>
      </c>
      <c r="E128" s="1407"/>
      <c r="F128" s="1408"/>
      <c r="G128" s="327" t="s">
        <v>1021</v>
      </c>
      <c r="H128" s="269" t="s">
        <v>973</v>
      </c>
      <c r="I128" s="269" t="s">
        <v>973</v>
      </c>
      <c r="J128" s="327" t="s">
        <v>818</v>
      </c>
      <c r="K128" s="255"/>
      <c r="L128" s="255"/>
      <c r="M128" s="164"/>
      <c r="N128" s="392"/>
      <c r="O128" s="334"/>
      <c r="P128" s="335"/>
      <c r="Q128" s="2"/>
      <c r="R128" s="2"/>
      <c r="S128" s="2"/>
      <c r="T128" s="2"/>
    </row>
    <row r="129" spans="1:20" ht="14" hidden="1">
      <c r="A129" s="283"/>
      <c r="B129" s="257"/>
      <c r="C129" s="159" t="s">
        <v>39</v>
      </c>
      <c r="D129" s="273"/>
      <c r="E129" s="273"/>
      <c r="F129" s="255"/>
      <c r="G129" s="255"/>
      <c r="H129" s="255"/>
      <c r="I129" s="255"/>
      <c r="J129" s="273"/>
      <c r="K129" s="255"/>
      <c r="L129" s="255"/>
      <c r="M129" s="164"/>
      <c r="N129" s="392"/>
      <c r="O129" s="334"/>
      <c r="P129" s="335"/>
      <c r="Q129" s="2"/>
      <c r="R129" s="2"/>
      <c r="S129" s="2"/>
      <c r="T129" s="2"/>
    </row>
    <row r="130" spans="1:20" hidden="1">
      <c r="A130" s="283"/>
      <c r="B130" s="958" t="s">
        <v>823</v>
      </c>
      <c r="C130" s="273"/>
      <c r="D130" s="273"/>
      <c r="E130" s="273"/>
      <c r="F130" s="255"/>
      <c r="G130" s="255"/>
      <c r="H130" s="255"/>
      <c r="I130" s="255"/>
      <c r="J130" s="273"/>
      <c r="K130" s="255"/>
      <c r="L130" s="255"/>
      <c r="M130" s="164"/>
      <c r="N130" s="392"/>
      <c r="O130" s="334"/>
      <c r="P130" s="335"/>
      <c r="Q130" s="2"/>
      <c r="R130" s="2"/>
      <c r="S130" s="2"/>
      <c r="T130" s="2"/>
    </row>
    <row r="131" spans="1:20" hidden="1">
      <c r="A131" s="283"/>
      <c r="B131" s="963"/>
      <c r="C131" s="251" t="s">
        <v>819</v>
      </c>
      <c r="D131" s="327" t="s">
        <v>1100</v>
      </c>
      <c r="E131" s="299" t="s">
        <v>821</v>
      </c>
      <c r="F131" s="112"/>
      <c r="G131" s="255"/>
      <c r="H131" s="255"/>
      <c r="I131" s="255"/>
      <c r="J131" s="273"/>
      <c r="K131" s="255"/>
      <c r="L131" s="255"/>
      <c r="M131" s="164"/>
      <c r="N131" s="392"/>
      <c r="O131" s="334"/>
      <c r="P131" s="335"/>
      <c r="Q131" s="2"/>
      <c r="R131" s="2"/>
      <c r="S131" s="2"/>
      <c r="T131" s="2"/>
    </row>
    <row r="132" spans="1:20" ht="14.25" hidden="1" customHeight="1">
      <c r="A132" s="283"/>
      <c r="B132" s="969" t="s">
        <v>1005</v>
      </c>
      <c r="C132" s="331">
        <f>C753</f>
        <v>40.777689901016593</v>
      </c>
      <c r="D132" s="1498">
        <f>C755</f>
        <v>125</v>
      </c>
      <c r="E132" s="1498">
        <f>C754</f>
        <v>166.66666666666666</v>
      </c>
      <c r="F132" s="138" t="s">
        <v>828</v>
      </c>
      <c r="G132" s="255"/>
      <c r="H132" s="255"/>
      <c r="I132" s="255"/>
      <c r="J132" s="273"/>
      <c r="K132" s="255"/>
      <c r="L132" s="255"/>
      <c r="M132" s="164"/>
      <c r="N132" s="392"/>
      <c r="O132" s="334"/>
      <c r="P132" s="335"/>
      <c r="Q132" s="2"/>
      <c r="R132" s="2"/>
      <c r="S132" s="2"/>
      <c r="T132" s="2"/>
    </row>
    <row r="133" spans="1:20" hidden="1">
      <c r="A133" s="283"/>
      <c r="B133" s="962" t="s">
        <v>1006</v>
      </c>
      <c r="C133" s="297" t="e">
        <f>D753</f>
        <v>#DIV/0!</v>
      </c>
      <c r="D133" s="1499"/>
      <c r="E133" s="1499"/>
      <c r="F133" s="112"/>
      <c r="G133" s="255"/>
      <c r="H133" s="255"/>
      <c r="I133" s="255"/>
      <c r="J133" s="273"/>
      <c r="K133" s="255"/>
      <c r="L133" s="255"/>
      <c r="M133" s="164"/>
      <c r="N133" s="392"/>
      <c r="O133" s="334"/>
      <c r="P133" s="335"/>
      <c r="Q133" s="2"/>
      <c r="R133" s="2"/>
      <c r="S133" s="2"/>
      <c r="T133" s="2"/>
    </row>
    <row r="134" spans="1:20" hidden="1">
      <c r="A134" s="283"/>
      <c r="B134" s="268" t="s">
        <v>987</v>
      </c>
      <c r="C134" s="269" t="s">
        <v>820</v>
      </c>
      <c r="D134" s="269" t="s">
        <v>820</v>
      </c>
      <c r="E134" s="305" t="s">
        <v>820</v>
      </c>
      <c r="F134" s="255"/>
      <c r="G134" s="255"/>
      <c r="H134" s="255"/>
      <c r="I134" s="255"/>
      <c r="J134" s="273"/>
      <c r="K134" s="255"/>
      <c r="L134" s="255"/>
      <c r="M134" s="164"/>
      <c r="N134" s="392"/>
      <c r="O134" s="334"/>
      <c r="P134" s="335"/>
      <c r="Q134" s="2"/>
      <c r="R134" s="2"/>
      <c r="S134" s="2"/>
      <c r="T134" s="2"/>
    </row>
    <row r="135" spans="1:20" hidden="1">
      <c r="A135" s="283"/>
      <c r="B135" s="332"/>
      <c r="C135" s="255"/>
      <c r="D135" s="274"/>
      <c r="E135" s="255"/>
      <c r="F135" s="274"/>
      <c r="G135" s="119"/>
      <c r="H135" s="114"/>
      <c r="I135" s="255"/>
      <c r="J135" s="274"/>
      <c r="K135" s="255"/>
      <c r="L135" s="274"/>
      <c r="M135" s="343"/>
      <c r="N135" s="392"/>
      <c r="O135" s="334"/>
      <c r="P135" s="335"/>
      <c r="Q135" s="2"/>
      <c r="R135" s="2"/>
      <c r="S135" s="2"/>
      <c r="T135" s="2"/>
    </row>
    <row r="136" spans="1:20" ht="14.25" hidden="1" customHeight="1">
      <c r="A136" s="283"/>
      <c r="B136" s="958" t="s">
        <v>919</v>
      </c>
      <c r="C136" s="273"/>
      <c r="D136" s="273"/>
      <c r="E136" s="273"/>
      <c r="F136" s="255"/>
      <c r="G136" s="255"/>
      <c r="H136" s="255"/>
      <c r="I136" s="255"/>
      <c r="J136" s="273"/>
      <c r="K136" s="255"/>
      <c r="L136" s="274"/>
      <c r="M136" s="343"/>
      <c r="N136" s="392"/>
      <c r="O136" s="334"/>
      <c r="P136" s="335"/>
      <c r="Q136" s="2"/>
      <c r="R136" s="2"/>
      <c r="S136" s="2"/>
      <c r="T136" s="2"/>
    </row>
    <row r="137" spans="1:20" hidden="1">
      <c r="A137" s="283"/>
      <c r="B137" s="963"/>
      <c r="C137" s="1409" t="s">
        <v>1239</v>
      </c>
      <c r="D137" s="1409"/>
      <c r="E137" s="1409"/>
      <c r="F137" s="160" t="s">
        <v>814</v>
      </c>
      <c r="G137" s="276" t="s">
        <v>518</v>
      </c>
      <c r="H137" s="277"/>
      <c r="I137" s="137" t="s">
        <v>140</v>
      </c>
      <c r="J137" s="293" t="s">
        <v>141</v>
      </c>
      <c r="K137" s="251" t="s">
        <v>819</v>
      </c>
      <c r="L137" s="255"/>
      <c r="M137" s="348"/>
      <c r="N137" s="392"/>
      <c r="O137" s="334"/>
      <c r="P137" s="335"/>
      <c r="Q137" s="2"/>
      <c r="R137" s="2"/>
      <c r="S137" s="2"/>
      <c r="T137" s="2"/>
    </row>
    <row r="138" spans="1:20" hidden="1">
      <c r="A138" s="283"/>
      <c r="B138" s="969" t="s">
        <v>1005</v>
      </c>
      <c r="C138" s="1402" t="str">
        <f>C739</f>
        <v>More than 6-kohm &amp; less than 20.-kohm</v>
      </c>
      <c r="D138" s="1402"/>
      <c r="E138" s="1402"/>
      <c r="F138" s="996">
        <v>10</v>
      </c>
      <c r="G138" s="300" t="str">
        <f>C763</f>
        <v>Approx. 36.8 nF</v>
      </c>
      <c r="H138" s="338"/>
      <c r="I138" s="985">
        <v>48</v>
      </c>
      <c r="J138" s="297">
        <f>C765</f>
        <v>2.0833333333333335</v>
      </c>
      <c r="K138" s="331">
        <f>C761</f>
        <v>27.185126600677727</v>
      </c>
      <c r="L138" s="255"/>
      <c r="M138" s="348"/>
      <c r="N138" s="392"/>
      <c r="O138" s="334"/>
      <c r="P138" s="335"/>
      <c r="Q138" s="2"/>
      <c r="R138" s="2"/>
      <c r="S138" s="2"/>
      <c r="T138" s="2"/>
    </row>
    <row r="139" spans="1:20" hidden="1">
      <c r="A139" s="283"/>
      <c r="B139" s="962" t="s">
        <v>1006</v>
      </c>
      <c r="C139" s="1402" t="e">
        <f>D739</f>
        <v>#DIV/0!</v>
      </c>
      <c r="D139" s="1515"/>
      <c r="E139" s="1515"/>
      <c r="F139" s="998">
        <v>10</v>
      </c>
      <c r="G139" s="300" t="e">
        <f>D763</f>
        <v>#DIV/0!</v>
      </c>
      <c r="H139" s="338"/>
      <c r="I139" s="985">
        <v>13</v>
      </c>
      <c r="J139" s="297">
        <f>D765</f>
        <v>7.6923076923076916</v>
      </c>
      <c r="K139" s="297" t="e">
        <f>D761</f>
        <v>#DIV/0!</v>
      </c>
      <c r="L139" s="255"/>
      <c r="M139" s="348"/>
      <c r="N139" s="392"/>
      <c r="O139" s="334"/>
      <c r="P139" s="335"/>
      <c r="Q139" s="2"/>
      <c r="R139" s="2"/>
      <c r="S139" s="2"/>
      <c r="T139" s="2"/>
    </row>
    <row r="140" spans="1:20" hidden="1">
      <c r="A140" s="283"/>
      <c r="B140" s="268" t="s">
        <v>987</v>
      </c>
      <c r="C140" s="1409" t="s">
        <v>1021</v>
      </c>
      <c r="D140" s="1409"/>
      <c r="E140" s="1409"/>
      <c r="F140" s="299" t="s">
        <v>1021</v>
      </c>
      <c r="G140" s="276" t="s">
        <v>1091</v>
      </c>
      <c r="H140" s="277"/>
      <c r="I140" s="327" t="s">
        <v>1091</v>
      </c>
      <c r="J140" s="269" t="s">
        <v>820</v>
      </c>
      <c r="K140" s="269" t="s">
        <v>820</v>
      </c>
      <c r="L140" s="274"/>
      <c r="M140" s="292"/>
      <c r="N140" s="392"/>
      <c r="O140" s="334"/>
      <c r="P140" s="335"/>
      <c r="Q140" s="2"/>
      <c r="R140" s="2"/>
      <c r="S140" s="2"/>
      <c r="T140" s="2"/>
    </row>
    <row r="141" spans="1:20" ht="14" hidden="1">
      <c r="A141" s="283"/>
      <c r="B141" s="332"/>
      <c r="C141" s="159" t="s">
        <v>1238</v>
      </c>
      <c r="D141" s="274"/>
      <c r="E141" s="255"/>
      <c r="H141" s="274"/>
      <c r="I141" s="138"/>
      <c r="J141" s="114"/>
      <c r="K141" s="927" t="s">
        <v>478</v>
      </c>
      <c r="L141" s="274"/>
      <c r="M141" s="343"/>
      <c r="N141" s="392"/>
      <c r="O141" s="334"/>
      <c r="P141" s="335"/>
      <c r="Q141" s="2"/>
      <c r="R141" s="2"/>
      <c r="S141" s="2"/>
      <c r="T141" s="2"/>
    </row>
    <row r="142" spans="1:20" ht="14" hidden="1">
      <c r="A142" s="283"/>
      <c r="B142" s="332"/>
      <c r="C142" s="159"/>
      <c r="D142" s="274"/>
      <c r="E142" s="255"/>
      <c r="H142" s="274"/>
      <c r="I142" s="138"/>
      <c r="J142" s="114"/>
      <c r="K142" s="927" t="s">
        <v>479</v>
      </c>
      <c r="L142" s="274"/>
      <c r="M142" s="343"/>
      <c r="N142" s="392"/>
      <c r="O142" s="334"/>
      <c r="P142" s="335"/>
      <c r="Q142" s="2"/>
      <c r="R142" s="2"/>
      <c r="S142" s="2"/>
      <c r="T142" s="2"/>
    </row>
    <row r="143" spans="1:20" hidden="1">
      <c r="A143" s="283"/>
      <c r="B143" s="341"/>
      <c r="C143" s="342"/>
      <c r="D143" s="292"/>
      <c r="E143" s="342"/>
      <c r="F143" s="292"/>
      <c r="G143" s="161"/>
      <c r="H143" s="162"/>
      <c r="I143" s="342"/>
      <c r="J143" s="292"/>
      <c r="K143" s="342"/>
      <c r="L143" s="292"/>
      <c r="M143" s="343"/>
      <c r="N143" s="392"/>
      <c r="O143" s="334"/>
      <c r="P143" s="335"/>
      <c r="Q143" s="2"/>
      <c r="R143" s="2"/>
      <c r="S143" s="2"/>
      <c r="T143" s="2"/>
    </row>
    <row r="144" spans="1:20" hidden="1">
      <c r="A144" s="249"/>
      <c r="B144" s="332"/>
      <c r="C144" s="255"/>
      <c r="D144" s="274"/>
      <c r="E144" s="255"/>
      <c r="F144" s="274"/>
      <c r="G144" s="119"/>
      <c r="H144" s="114"/>
      <c r="I144" s="255"/>
      <c r="J144" s="274"/>
      <c r="K144" s="255"/>
      <c r="L144" s="274"/>
      <c r="M144" s="250"/>
      <c r="N144" s="392"/>
      <c r="O144" s="334"/>
      <c r="P144" s="335"/>
      <c r="Q144" s="2"/>
      <c r="R144" s="2"/>
      <c r="S144" s="2"/>
      <c r="T144" s="2"/>
    </row>
    <row r="145" spans="1:20">
      <c r="A145" s="249"/>
      <c r="B145" s="332"/>
      <c r="C145" s="255"/>
      <c r="D145" s="274"/>
      <c r="E145" s="255"/>
      <c r="F145" s="274"/>
      <c r="G145" s="119"/>
      <c r="H145" s="114"/>
      <c r="I145" s="255"/>
      <c r="J145" s="274"/>
      <c r="K145" s="255"/>
      <c r="L145" s="274"/>
      <c r="M145" s="250"/>
      <c r="N145" s="392"/>
      <c r="O145" s="334"/>
      <c r="P145" s="335"/>
      <c r="Q145" s="2"/>
      <c r="R145" s="2"/>
      <c r="S145" s="2"/>
      <c r="T145" s="2"/>
    </row>
    <row r="146" spans="1:20">
      <c r="A146" s="249"/>
      <c r="B146" s="958" t="s">
        <v>920</v>
      </c>
      <c r="C146" s="255"/>
      <c r="D146" s="274"/>
      <c r="E146" s="255"/>
      <c r="F146" s="274"/>
      <c r="G146" s="119"/>
      <c r="H146" s="114"/>
      <c r="I146" s="255"/>
      <c r="J146" s="274"/>
      <c r="K146" s="255"/>
      <c r="L146" s="274"/>
      <c r="M146" s="250"/>
      <c r="N146" s="392"/>
      <c r="O146" s="334"/>
      <c r="P146" s="335"/>
      <c r="Q146" s="2"/>
      <c r="R146" s="2"/>
      <c r="S146" s="2"/>
      <c r="T146" s="2"/>
    </row>
    <row r="147" spans="1:20">
      <c r="A147" s="249"/>
      <c r="B147" s="1395"/>
      <c r="C147" s="1463" t="s">
        <v>182</v>
      </c>
      <c r="D147" s="1511"/>
      <c r="E147" s="1464"/>
      <c r="F147" s="1463" t="s">
        <v>183</v>
      </c>
      <c r="G147" s="1511"/>
      <c r="H147" s="1464"/>
      <c r="I147" s="1400" t="s">
        <v>819</v>
      </c>
      <c r="J147" s="1509" t="s">
        <v>821</v>
      </c>
      <c r="K147" s="255"/>
      <c r="L147" s="255"/>
      <c r="M147" s="108"/>
      <c r="N147" s="250"/>
      <c r="O147" s="250"/>
      <c r="P147" s="319"/>
      <c r="Q147" s="247"/>
      <c r="R147" s="247"/>
      <c r="S147" s="15"/>
      <c r="T147" s="2"/>
    </row>
    <row r="148" spans="1:20">
      <c r="A148" s="249"/>
      <c r="B148" s="1396"/>
      <c r="C148" s="251" t="str">
        <f>$D$1259</f>
        <v>Vin= 21.5V</v>
      </c>
      <c r="D148" s="251" t="str">
        <f>$E$1259</f>
        <v>Vin= 22.5V</v>
      </c>
      <c r="E148" s="251" t="str">
        <f>$F$1259</f>
        <v>Vin= 23.5V</v>
      </c>
      <c r="F148" s="251" t="str">
        <f>$D$1259</f>
        <v>Vin= 21.5V</v>
      </c>
      <c r="G148" s="251" t="str">
        <f>$E$1259</f>
        <v>Vin= 22.5V</v>
      </c>
      <c r="H148" s="251" t="str">
        <f>$F$1259</f>
        <v>Vin= 23.5V</v>
      </c>
      <c r="I148" s="1401"/>
      <c r="J148" s="1510"/>
      <c r="K148" s="255"/>
      <c r="L148" s="255"/>
      <c r="M148" s="108"/>
      <c r="N148" s="250"/>
      <c r="O148" s="250"/>
      <c r="P148" s="319"/>
      <c r="Q148" s="247"/>
      <c r="R148" s="247"/>
      <c r="S148" s="15"/>
      <c r="T148" s="2"/>
    </row>
    <row r="149" spans="1:20">
      <c r="A149" s="249"/>
      <c r="B149" s="962" t="s">
        <v>1005</v>
      </c>
      <c r="C149" s="349">
        <f>C692</f>
        <v>63.95348837209302</v>
      </c>
      <c r="D149" s="349">
        <f>C693</f>
        <v>64.81481481481481</v>
      </c>
      <c r="E149" s="349">
        <f>C694</f>
        <v>65.602836879432616</v>
      </c>
      <c r="F149" s="349">
        <f>C695</f>
        <v>12.790697674418603</v>
      </c>
      <c r="G149" s="349">
        <f>C696</f>
        <v>12.962962962962962</v>
      </c>
      <c r="H149" s="349">
        <f>C697</f>
        <v>13.120567375886523</v>
      </c>
      <c r="I149" s="331">
        <f>C690</f>
        <v>13.779648752545052</v>
      </c>
      <c r="J149" s="1498">
        <f>C675</f>
        <v>166.66666666666666</v>
      </c>
      <c r="K149" s="255"/>
      <c r="L149" s="255"/>
      <c r="M149" s="108"/>
      <c r="N149" s="250"/>
      <c r="O149" s="250"/>
      <c r="P149" s="319"/>
      <c r="Q149" s="247"/>
      <c r="R149" s="247"/>
      <c r="S149" s="15"/>
      <c r="T149" s="2"/>
    </row>
    <row r="150" spans="1:20">
      <c r="A150" s="249"/>
      <c r="B150" s="962" t="s">
        <v>1006</v>
      </c>
      <c r="C150" s="349" t="e">
        <f>D692</f>
        <v>#DIV/0!</v>
      </c>
      <c r="D150" s="349" t="e">
        <f>D693</f>
        <v>#DIV/0!</v>
      </c>
      <c r="E150" s="349" t="e">
        <f>D694</f>
        <v>#DIV/0!</v>
      </c>
      <c r="F150" s="349" t="e">
        <f>D695</f>
        <v>#DIV/0!</v>
      </c>
      <c r="G150" s="349" t="e">
        <f>D696</f>
        <v>#DIV/0!</v>
      </c>
      <c r="H150" s="349" t="e">
        <f>D697</f>
        <v>#DIV/0!</v>
      </c>
      <c r="I150" s="297">
        <f>D690</f>
        <v>16.841792919777287</v>
      </c>
      <c r="J150" s="1499"/>
      <c r="K150" s="255"/>
      <c r="L150" s="255"/>
      <c r="M150" s="108"/>
      <c r="N150" s="250"/>
      <c r="O150" s="250"/>
      <c r="P150" s="319"/>
      <c r="Q150" s="247"/>
      <c r="R150" s="247"/>
      <c r="S150" s="15"/>
      <c r="T150" s="2"/>
    </row>
    <row r="151" spans="1:20">
      <c r="A151" s="249"/>
      <c r="B151" s="268" t="s">
        <v>195</v>
      </c>
      <c r="C151" s="269" t="s">
        <v>1104</v>
      </c>
      <c r="D151" s="269" t="s">
        <v>1104</v>
      </c>
      <c r="E151" s="269" t="s">
        <v>1104</v>
      </c>
      <c r="F151" s="269" t="s">
        <v>1104</v>
      </c>
      <c r="G151" s="269" t="s">
        <v>1104</v>
      </c>
      <c r="H151" s="269" t="s">
        <v>1104</v>
      </c>
      <c r="I151" s="269" t="s">
        <v>820</v>
      </c>
      <c r="J151" s="269" t="s">
        <v>820</v>
      </c>
      <c r="K151" s="255"/>
      <c r="L151" s="255"/>
      <c r="M151" s="108"/>
      <c r="N151" s="250"/>
      <c r="O151" s="250"/>
      <c r="P151" s="319"/>
      <c r="Q151" s="247"/>
      <c r="R151" s="247"/>
      <c r="S151" s="15"/>
      <c r="T151" s="2"/>
    </row>
    <row r="152" spans="1:20">
      <c r="A152" s="249"/>
      <c r="B152" s="257"/>
      <c r="C152" s="273"/>
      <c r="D152" s="273"/>
      <c r="E152" s="273"/>
      <c r="F152" s="255"/>
      <c r="G152" s="255"/>
      <c r="H152" s="255"/>
      <c r="I152" s="972" t="s">
        <v>828</v>
      </c>
      <c r="J152" s="273"/>
      <c r="K152" s="255"/>
      <c r="L152" s="255"/>
      <c r="M152" s="108"/>
      <c r="N152" s="250"/>
      <c r="O152" s="250"/>
      <c r="P152" s="319"/>
      <c r="Q152" s="247"/>
      <c r="R152" s="247"/>
      <c r="S152" s="15"/>
      <c r="T152" s="2"/>
    </row>
    <row r="153" spans="1:20" ht="14">
      <c r="A153" s="249"/>
      <c r="B153" s="257"/>
      <c r="C153" s="273"/>
      <c r="D153" s="273"/>
      <c r="E153" s="273"/>
      <c r="F153" s="255"/>
      <c r="G153" s="255"/>
      <c r="H153" s="255"/>
      <c r="I153" s="138"/>
      <c r="J153" s="273"/>
      <c r="K153" s="255"/>
      <c r="L153" s="255"/>
      <c r="M153" s="108"/>
      <c r="N153" s="250"/>
      <c r="O153" s="250"/>
      <c r="P153" s="319"/>
      <c r="Q153" s="247"/>
      <c r="R153" s="247"/>
      <c r="S153" s="15"/>
      <c r="T153" s="2"/>
    </row>
    <row r="154" spans="1:20" hidden="1">
      <c r="A154" s="249"/>
      <c r="B154" s="119" t="s">
        <v>1109</v>
      </c>
      <c r="C154" s="255"/>
      <c r="D154" s="274"/>
      <c r="E154" s="255"/>
      <c r="F154" s="274"/>
      <c r="G154" s="274"/>
      <c r="H154" s="274"/>
      <c r="I154" s="108"/>
      <c r="J154" s="108"/>
      <c r="K154" s="255"/>
      <c r="L154" s="255"/>
      <c r="M154" s="108"/>
      <c r="N154" s="250"/>
      <c r="O154" s="250"/>
      <c r="P154" s="319"/>
      <c r="Q154" s="247"/>
      <c r="R154" s="247"/>
      <c r="S154" s="15"/>
      <c r="T154" s="2"/>
    </row>
    <row r="155" spans="1:20" hidden="1">
      <c r="A155" s="249"/>
      <c r="B155" s="958" t="s">
        <v>992</v>
      </c>
      <c r="C155" s="255"/>
      <c r="D155" s="255"/>
      <c r="E155" s="255"/>
      <c r="F155" s="249"/>
      <c r="H155" s="958" t="s">
        <v>1110</v>
      </c>
      <c r="I155" s="108"/>
      <c r="J155" s="108"/>
      <c r="K155" s="255"/>
      <c r="L155" s="255"/>
      <c r="M155" s="108"/>
      <c r="N155" s="250"/>
      <c r="O155" s="250"/>
      <c r="P155" s="319"/>
      <c r="Q155" s="247"/>
      <c r="R155" s="247"/>
      <c r="S155" s="15"/>
      <c r="T155" s="2"/>
    </row>
    <row r="156" spans="1:20" hidden="1">
      <c r="A156" s="249"/>
      <c r="B156" s="973"/>
      <c r="C156" s="1406" t="s">
        <v>1111</v>
      </c>
      <c r="D156" s="1407"/>
      <c r="E156" s="1408"/>
      <c r="F156" s="251" t="s">
        <v>1112</v>
      </c>
      <c r="G156" s="350"/>
      <c r="H156" s="251" t="s">
        <v>184</v>
      </c>
      <c r="I156" s="251" t="s">
        <v>185</v>
      </c>
      <c r="J156" s="251" t="s">
        <v>186</v>
      </c>
      <c r="K156" s="255"/>
      <c r="L156" s="255"/>
      <c r="M156" s="108"/>
      <c r="N156" s="250"/>
      <c r="O156" s="250"/>
      <c r="P156" s="319"/>
      <c r="Q156" s="247"/>
      <c r="R156" s="247"/>
      <c r="S156" s="15"/>
      <c r="T156" s="2"/>
    </row>
    <row r="157" spans="1:20" hidden="1">
      <c r="A157" s="249"/>
      <c r="B157" s="969" t="s">
        <v>1005</v>
      </c>
      <c r="C157" s="1520" t="str">
        <f>C708</f>
        <v>unnecessary</v>
      </c>
      <c r="D157" s="1521"/>
      <c r="E157" s="1522"/>
      <c r="F157" s="984">
        <v>12</v>
      </c>
      <c r="G157" s="979" t="s">
        <v>198</v>
      </c>
      <c r="H157" s="121">
        <f>C705</f>
        <v>24.645659553841181</v>
      </c>
      <c r="I157" s="121">
        <f>C706</f>
        <v>24.977587628640382</v>
      </c>
      <c r="J157" s="121">
        <f>C707</f>
        <v>25.281266505584341</v>
      </c>
      <c r="K157" s="255"/>
      <c r="L157" s="255"/>
      <c r="M157" s="108"/>
      <c r="N157" s="250"/>
      <c r="O157" s="250"/>
      <c r="P157" s="319"/>
      <c r="Q157" s="247"/>
      <c r="R157" s="247"/>
      <c r="S157" s="15"/>
      <c r="T157" s="2"/>
    </row>
    <row r="158" spans="1:20" hidden="1">
      <c r="A158" s="249"/>
      <c r="B158" s="962" t="s">
        <v>1006</v>
      </c>
      <c r="C158" s="1512" t="e">
        <f>D708</f>
        <v>#DIV/0!</v>
      </c>
      <c r="D158" s="1513"/>
      <c r="E158" s="1514"/>
      <c r="F158" s="984">
        <v>1</v>
      </c>
      <c r="G158" s="979" t="s">
        <v>199</v>
      </c>
      <c r="H158" s="121" t="e">
        <f>D705</f>
        <v>#DIV/0!</v>
      </c>
      <c r="I158" s="121" t="e">
        <f>D706</f>
        <v>#DIV/0!</v>
      </c>
      <c r="J158" s="121" t="e">
        <f>D707</f>
        <v>#DIV/0!</v>
      </c>
      <c r="K158" s="255"/>
      <c r="L158" s="255"/>
      <c r="M158" s="108"/>
      <c r="N158" s="250"/>
      <c r="O158" s="250"/>
      <c r="P158" s="319"/>
      <c r="Q158" s="247"/>
      <c r="R158" s="247"/>
      <c r="S158" s="15"/>
      <c r="T158" s="2"/>
    </row>
    <row r="159" spans="1:20" hidden="1">
      <c r="A159" s="249"/>
      <c r="B159" s="268" t="s">
        <v>987</v>
      </c>
      <c r="C159" s="1411" t="s">
        <v>818</v>
      </c>
      <c r="D159" s="1412"/>
      <c r="E159" s="1413"/>
      <c r="F159" s="269" t="s">
        <v>818</v>
      </c>
      <c r="G159" s="350"/>
      <c r="H159" s="270" t="s">
        <v>1104</v>
      </c>
      <c r="I159" s="270" t="s">
        <v>1104</v>
      </c>
      <c r="J159" s="270" t="s">
        <v>1104</v>
      </c>
      <c r="K159" s="255"/>
      <c r="L159" s="255"/>
      <c r="M159" s="108"/>
      <c r="N159" s="250"/>
      <c r="O159" s="250"/>
      <c r="P159" s="319"/>
      <c r="Q159" s="247"/>
      <c r="R159" s="247"/>
      <c r="S159" s="15"/>
      <c r="T159" s="2"/>
    </row>
    <row r="160" spans="1:20" ht="14" hidden="1">
      <c r="A160" s="249"/>
      <c r="B160" s="257"/>
      <c r="C160" s="273"/>
      <c r="D160" s="273"/>
      <c r="E160" s="273"/>
      <c r="F160" s="255"/>
      <c r="G160" s="255"/>
      <c r="H160" s="255"/>
      <c r="I160" s="138"/>
      <c r="J160" s="273"/>
      <c r="K160" s="255"/>
      <c r="L160" s="255"/>
      <c r="M160" s="108"/>
      <c r="N160" s="250"/>
      <c r="O160" s="250"/>
      <c r="P160" s="319"/>
      <c r="Q160" s="247"/>
      <c r="R160" s="247"/>
      <c r="S160" s="15"/>
      <c r="T160" s="2"/>
    </row>
    <row r="161" spans="1:20" ht="14">
      <c r="A161" s="249"/>
      <c r="B161" s="257"/>
      <c r="C161" s="273"/>
      <c r="D161" s="273"/>
      <c r="E161" s="273"/>
      <c r="F161" s="255"/>
      <c r="G161" s="255"/>
      <c r="H161" s="255"/>
      <c r="I161" s="138"/>
      <c r="J161" s="273"/>
      <c r="K161" s="255"/>
      <c r="L161" s="255"/>
      <c r="M161" s="108"/>
      <c r="N161" s="250"/>
      <c r="O161" s="250"/>
      <c r="P161" s="319"/>
      <c r="Q161" s="247"/>
      <c r="R161" s="247"/>
      <c r="S161" s="15"/>
      <c r="T161" s="2"/>
    </row>
    <row r="162" spans="1:20" hidden="1">
      <c r="A162" s="249"/>
      <c r="B162" s="958" t="s">
        <v>913</v>
      </c>
      <c r="C162" s="273"/>
      <c r="D162" s="273"/>
      <c r="E162" s="273"/>
      <c r="F162" s="274"/>
      <c r="G162" s="119"/>
      <c r="H162" s="114"/>
      <c r="I162" s="255"/>
      <c r="J162" s="274"/>
      <c r="K162" s="255"/>
      <c r="L162" s="274"/>
      <c r="M162" s="250"/>
      <c r="N162" s="392"/>
      <c r="O162" s="334"/>
      <c r="P162" s="335"/>
      <c r="Q162" s="2"/>
      <c r="R162" s="2"/>
      <c r="S162" s="2"/>
      <c r="T162" s="2"/>
    </row>
    <row r="163" spans="1:20" hidden="1">
      <c r="A163" s="249"/>
      <c r="B163" s="963"/>
      <c r="C163" s="251" t="s">
        <v>951</v>
      </c>
      <c r="D163" s="251" t="str">
        <f>D1259</f>
        <v>Vin= 21.5V</v>
      </c>
      <c r="E163" s="251" t="str">
        <f>E1259</f>
        <v>Vin= 22.5V</v>
      </c>
      <c r="F163" s="251" t="str">
        <f>F1259</f>
        <v>Vin= 23.5V</v>
      </c>
      <c r="G163" s="119"/>
      <c r="H163" s="114"/>
      <c r="I163" s="255"/>
      <c r="J163" s="274"/>
      <c r="K163" s="255"/>
      <c r="L163" s="274"/>
      <c r="M163" s="250"/>
      <c r="N163" s="392"/>
      <c r="O163" s="334"/>
      <c r="P163" s="335"/>
      <c r="Q163" s="2"/>
      <c r="R163" s="2"/>
      <c r="S163" s="2"/>
      <c r="T163" s="2"/>
    </row>
    <row r="164" spans="1:20" hidden="1">
      <c r="A164" s="249"/>
      <c r="B164" s="969" t="s">
        <v>1005</v>
      </c>
      <c r="C164" s="1002">
        <v>8</v>
      </c>
      <c r="D164" s="331">
        <f>C775</f>
        <v>1.3188028614127698</v>
      </c>
      <c r="E164" s="331">
        <f>C776</f>
        <v>1.3189130849593724</v>
      </c>
      <c r="F164" s="331">
        <f>C777</f>
        <v>1.319014233303331</v>
      </c>
      <c r="G164" s="119"/>
      <c r="H164" s="114"/>
      <c r="I164" s="255"/>
      <c r="J164" s="274"/>
      <c r="K164" s="255"/>
      <c r="L164" s="274"/>
      <c r="M164" s="250"/>
      <c r="N164" s="392"/>
      <c r="O164" s="334"/>
      <c r="P164" s="335"/>
      <c r="Q164" s="2"/>
      <c r="R164" s="2"/>
      <c r="S164" s="2"/>
      <c r="T164" s="2"/>
    </row>
    <row r="165" spans="1:20" hidden="1">
      <c r="A165" s="249"/>
      <c r="B165" s="962" t="s">
        <v>1006</v>
      </c>
      <c r="C165" s="1003">
        <v>8</v>
      </c>
      <c r="D165" s="297" t="e">
        <f>D775</f>
        <v>#DIV/0!</v>
      </c>
      <c r="E165" s="297" t="e">
        <f>D776</f>
        <v>#DIV/0!</v>
      </c>
      <c r="F165" s="297" t="e">
        <f>D777</f>
        <v>#DIV/0!</v>
      </c>
      <c r="G165" s="119"/>
      <c r="H165" s="114"/>
      <c r="I165" s="255"/>
      <c r="J165" s="274"/>
      <c r="K165" s="255"/>
      <c r="L165" s="274"/>
      <c r="M165" s="250"/>
      <c r="N165" s="392"/>
      <c r="O165" s="334"/>
      <c r="P165" s="335"/>
      <c r="Q165" s="2"/>
      <c r="R165" s="2"/>
      <c r="S165" s="2"/>
      <c r="T165" s="2"/>
    </row>
    <row r="166" spans="1:20" hidden="1">
      <c r="A166" s="249"/>
      <c r="B166" s="268" t="s">
        <v>987</v>
      </c>
      <c r="C166" s="269" t="s">
        <v>989</v>
      </c>
      <c r="D166" s="269" t="s">
        <v>988</v>
      </c>
      <c r="E166" s="269" t="s">
        <v>988</v>
      </c>
      <c r="F166" s="269" t="s">
        <v>988</v>
      </c>
      <c r="G166" s="119"/>
      <c r="H166" s="114"/>
      <c r="I166" s="255"/>
      <c r="J166" s="274"/>
      <c r="K166" s="255"/>
      <c r="L166" s="274"/>
      <c r="M166" s="250"/>
      <c r="N166" s="392"/>
      <c r="O166" s="334"/>
      <c r="P166" s="335"/>
      <c r="Q166" s="2"/>
      <c r="R166" s="2"/>
      <c r="S166" s="2"/>
      <c r="T166" s="2"/>
    </row>
    <row r="167" spans="1:20">
      <c r="A167" s="249"/>
      <c r="B167" s="332"/>
      <c r="C167" s="255"/>
      <c r="D167" s="274"/>
      <c r="E167" s="255"/>
      <c r="F167" s="274"/>
      <c r="G167" s="119"/>
      <c r="H167" s="114"/>
      <c r="I167" s="255"/>
      <c r="J167" s="274"/>
      <c r="K167" s="255"/>
      <c r="L167" s="274"/>
      <c r="M167" s="250"/>
      <c r="N167" s="392"/>
      <c r="O167" s="334"/>
      <c r="P167" s="335"/>
      <c r="Q167" s="2"/>
      <c r="R167" s="2"/>
      <c r="S167" s="2"/>
      <c r="T167" s="2"/>
    </row>
    <row r="168" spans="1:20" ht="14" thickBot="1">
      <c r="A168" s="249"/>
      <c r="B168" s="974" t="s">
        <v>834</v>
      </c>
      <c r="C168" s="139"/>
      <c r="D168" s="139"/>
      <c r="E168" s="249"/>
      <c r="F168" s="249"/>
      <c r="H168" s="108"/>
      <c r="I168" s="108"/>
      <c r="J168" s="108"/>
      <c r="K168" s="108"/>
      <c r="L168" s="108"/>
      <c r="M168" s="108"/>
      <c r="N168" s="112"/>
      <c r="O168" s="2"/>
      <c r="P168" s="2"/>
      <c r="Q168" s="2"/>
      <c r="R168" s="2"/>
      <c r="S168" s="2"/>
      <c r="T168" s="2"/>
    </row>
    <row r="169" spans="1:20" ht="14" thickBot="1">
      <c r="A169" s="249"/>
      <c r="B169" s="975" t="s">
        <v>829</v>
      </c>
      <c r="C169" s="141"/>
      <c r="D169" s="143"/>
      <c r="E169" s="143" t="s">
        <v>835</v>
      </c>
      <c r="F169" s="144"/>
      <c r="G169" s="142"/>
      <c r="H169" s="143" t="s">
        <v>1006</v>
      </c>
      <c r="I169" s="144"/>
      <c r="J169" s="249"/>
      <c r="K169" s="108"/>
      <c r="L169" s="108"/>
      <c r="M169" s="108"/>
      <c r="N169" s="112"/>
      <c r="O169" s="2"/>
      <c r="P169" s="2"/>
      <c r="Q169" s="2"/>
      <c r="R169" s="2"/>
      <c r="S169" s="2"/>
      <c r="T169" s="2"/>
    </row>
    <row r="170" spans="1:20">
      <c r="A170" s="249"/>
      <c r="B170" s="358" t="s">
        <v>196</v>
      </c>
      <c r="C170" s="359"/>
      <c r="D170" s="1416" t="str">
        <f t="shared" ref="D170:D176" si="0">D1255</f>
        <v>Fsw = 500-kHz</v>
      </c>
      <c r="E170" s="1416"/>
      <c r="F170" s="1417"/>
      <c r="G170" s="1415" t="str">
        <f>G1255</f>
        <v>Fsw = 500-kHz</v>
      </c>
      <c r="H170" s="1416"/>
      <c r="I170" s="1417"/>
      <c r="J170" s="145"/>
      <c r="K170" s="108"/>
      <c r="L170" s="108"/>
      <c r="M170" s="108"/>
      <c r="N170" s="112"/>
      <c r="O170" s="2"/>
      <c r="P170" s="2"/>
      <c r="Q170" s="2"/>
      <c r="R170" s="2"/>
      <c r="S170" s="2"/>
      <c r="T170" s="2"/>
    </row>
    <row r="171" spans="1:20">
      <c r="A171" s="249"/>
      <c r="B171" s="360" t="s">
        <v>844</v>
      </c>
      <c r="C171" s="361"/>
      <c r="D171" s="1404" t="str">
        <f t="shared" si="0"/>
        <v>Vout1 = 5.00-V</v>
      </c>
      <c r="E171" s="1404"/>
      <c r="F171" s="1419"/>
      <c r="G171" s="1418" t="e">
        <f>G1256</f>
        <v>#DIV/0!</v>
      </c>
      <c r="H171" s="1404"/>
      <c r="I171" s="1419"/>
      <c r="J171" s="145"/>
      <c r="K171" s="108"/>
      <c r="L171" s="108"/>
      <c r="M171" s="108"/>
      <c r="N171" s="112"/>
      <c r="O171" s="2"/>
      <c r="P171" s="2"/>
      <c r="Q171" s="2"/>
      <c r="R171" s="2"/>
      <c r="S171" s="2"/>
      <c r="T171" s="2"/>
    </row>
    <row r="172" spans="1:20">
      <c r="A172" s="250"/>
      <c r="B172" s="358" t="s">
        <v>1003</v>
      </c>
      <c r="C172" s="359"/>
      <c r="D172" s="1404" t="str">
        <f t="shared" si="0"/>
        <v>Iout1 = 12.8-A</v>
      </c>
      <c r="E172" s="1404"/>
      <c r="F172" s="1419"/>
      <c r="G172" s="1418" t="str">
        <f>G1257</f>
        <v>Iout2 = 1.0-A</v>
      </c>
      <c r="H172" s="1404"/>
      <c r="I172" s="1419"/>
      <c r="J172" s="145"/>
      <c r="K172" s="108"/>
      <c r="L172" s="108"/>
      <c r="M172" s="108"/>
      <c r="N172" s="112"/>
      <c r="O172" s="2"/>
      <c r="P172" s="2"/>
      <c r="Q172" s="2"/>
      <c r="R172" s="2"/>
      <c r="S172" s="2"/>
      <c r="T172" s="2"/>
    </row>
    <row r="173" spans="1:20" ht="14" thickBot="1">
      <c r="A173" s="250"/>
      <c r="B173" s="360" t="s">
        <v>845</v>
      </c>
      <c r="C173" s="361"/>
      <c r="D173" s="1420" t="str">
        <f t="shared" si="0"/>
        <v>L1 = 2.2-uH</v>
      </c>
      <c r="E173" s="1420"/>
      <c r="F173" s="1421"/>
      <c r="G173" s="1422" t="str">
        <f>G1258</f>
        <v>L2= 10.-uH</v>
      </c>
      <c r="H173" s="1420"/>
      <c r="I173" s="1421"/>
      <c r="J173" s="145"/>
      <c r="K173" s="108"/>
      <c r="L173" s="108"/>
      <c r="M173" s="108"/>
      <c r="N173" s="112"/>
      <c r="O173" s="2"/>
      <c r="P173" s="2"/>
      <c r="Q173" s="2"/>
      <c r="R173" s="2"/>
      <c r="S173" s="2"/>
      <c r="T173" s="2"/>
    </row>
    <row r="174" spans="1:20" ht="14" thickBot="1">
      <c r="A174" s="249"/>
      <c r="B174" s="977"/>
      <c r="C174" s="150"/>
      <c r="D174" s="362" t="str">
        <f t="shared" si="0"/>
        <v>Vin= 21.5V</v>
      </c>
      <c r="E174" s="363" t="str">
        <f t="shared" ref="E174:F176" si="1">E1259</f>
        <v>Vin= 22.5V</v>
      </c>
      <c r="F174" s="364" t="str">
        <f t="shared" si="1"/>
        <v>Vin= 23.5V</v>
      </c>
      <c r="G174" s="365" t="str">
        <f>D174</f>
        <v>Vin= 21.5V</v>
      </c>
      <c r="H174" s="363" t="str">
        <f>E174</f>
        <v>Vin= 22.5V</v>
      </c>
      <c r="I174" s="364" t="str">
        <f>F174</f>
        <v>Vin= 23.5V</v>
      </c>
      <c r="J174" s="249"/>
      <c r="K174" s="108"/>
      <c r="L174" s="108"/>
      <c r="M174" s="108"/>
      <c r="N174" s="112"/>
      <c r="O174" s="2"/>
      <c r="P174" s="2"/>
      <c r="Q174" s="2"/>
      <c r="R174" s="2"/>
      <c r="S174" s="2"/>
      <c r="T174" s="2"/>
    </row>
    <row r="175" spans="1:20">
      <c r="A175" s="249"/>
      <c r="B175" s="366" t="s">
        <v>188</v>
      </c>
      <c r="C175" s="367"/>
      <c r="D175" s="368">
        <f t="shared" si="0"/>
        <v>3.654485049833887</v>
      </c>
      <c r="E175" s="369">
        <f t="shared" si="1"/>
        <v>3.7037037037037037</v>
      </c>
      <c r="F175" s="370">
        <f t="shared" si="1"/>
        <v>3.7487335359675784</v>
      </c>
      <c r="G175" s="371" t="e">
        <f t="shared" ref="G175:I176" si="2">G1260</f>
        <v>#DIV/0!</v>
      </c>
      <c r="H175" s="369" t="e">
        <f t="shared" si="2"/>
        <v>#DIV/0!</v>
      </c>
      <c r="I175" s="370" t="e">
        <f t="shared" si="2"/>
        <v>#DIV/0!</v>
      </c>
      <c r="J175" s="139"/>
      <c r="K175" s="108"/>
      <c r="L175" s="108"/>
      <c r="M175" s="108"/>
      <c r="N175" s="112"/>
      <c r="O175" s="2"/>
      <c r="P175" s="2"/>
      <c r="Q175" s="2"/>
      <c r="R175" s="2"/>
      <c r="S175" s="2"/>
      <c r="T175" s="2"/>
    </row>
    <row r="176" spans="1:20">
      <c r="A176" s="249"/>
      <c r="B176" s="358" t="s">
        <v>78</v>
      </c>
      <c r="C176" s="359"/>
      <c r="D176" s="372">
        <f t="shared" si="0"/>
        <v>63.95348837209302</v>
      </c>
      <c r="E176" s="315">
        <f t="shared" si="1"/>
        <v>64.81481481481481</v>
      </c>
      <c r="F176" s="373">
        <f t="shared" si="1"/>
        <v>65.602836879432616</v>
      </c>
      <c r="G176" s="374" t="e">
        <f t="shared" si="2"/>
        <v>#DIV/0!</v>
      </c>
      <c r="H176" s="315" t="e">
        <f t="shared" si="2"/>
        <v>#DIV/0!</v>
      </c>
      <c r="I176" s="373" t="e">
        <f t="shared" si="2"/>
        <v>#DIV/0!</v>
      </c>
      <c r="J176" s="139"/>
      <c r="K176" s="108"/>
      <c r="L176" s="108"/>
      <c r="M176" s="108"/>
      <c r="N176" s="112"/>
      <c r="O176" s="2"/>
      <c r="P176" s="2"/>
      <c r="Q176" s="2"/>
      <c r="R176" s="2"/>
      <c r="S176" s="2"/>
      <c r="T176" s="2"/>
    </row>
    <row r="177" spans="1:20" ht="14" thickBot="1">
      <c r="A177" s="249"/>
      <c r="B177" s="375" t="s">
        <v>197</v>
      </c>
      <c r="C177" s="376"/>
      <c r="D177" s="377">
        <f t="shared" ref="D177:I177" si="3">D1263</f>
        <v>16.381214603020119</v>
      </c>
      <c r="E177" s="378">
        <f t="shared" si="3"/>
        <v>16.355374809738468</v>
      </c>
      <c r="F177" s="379">
        <f t="shared" si="3"/>
        <v>16.331734147799931</v>
      </c>
      <c r="G177" s="380" t="e">
        <f t="shared" si="3"/>
        <v>#DIV/0!</v>
      </c>
      <c r="H177" s="378" t="e">
        <f t="shared" si="3"/>
        <v>#DIV/0!</v>
      </c>
      <c r="I177" s="379" t="e">
        <f t="shared" si="3"/>
        <v>#DIV/0!</v>
      </c>
      <c r="J177" s="139"/>
      <c r="K177" s="108"/>
      <c r="L177" s="108"/>
      <c r="M177" s="108"/>
      <c r="N177" s="112"/>
      <c r="O177" s="2"/>
      <c r="P177" s="2"/>
      <c r="Q177" s="2"/>
      <c r="R177" s="2"/>
      <c r="S177" s="2"/>
      <c r="T177" s="2"/>
    </row>
    <row r="178" spans="1:20">
      <c r="A178" s="249"/>
      <c r="B178" s="250"/>
      <c r="C178" s="250"/>
      <c r="D178" s="381"/>
      <c r="E178" s="381"/>
      <c r="F178" s="381"/>
      <c r="G178" s="381"/>
      <c r="H178" s="381"/>
      <c r="I178" s="381"/>
      <c r="J178" s="139"/>
      <c r="K178" s="108"/>
      <c r="L178" s="108"/>
      <c r="M178" s="108"/>
      <c r="N178" s="112"/>
      <c r="O178" s="2"/>
      <c r="P178" s="2"/>
      <c r="Q178" s="2"/>
      <c r="R178" s="2"/>
      <c r="S178" s="2"/>
      <c r="T178" s="2"/>
    </row>
    <row r="179" spans="1:20">
      <c r="A179" s="249"/>
      <c r="B179" s="974" t="s">
        <v>191</v>
      </c>
      <c r="C179" s="250"/>
      <c r="D179" s="381"/>
      <c r="E179" s="381"/>
      <c r="F179" s="381"/>
      <c r="G179" s="381"/>
      <c r="H179" s="381"/>
      <c r="I179" s="381"/>
      <c r="J179" s="139"/>
      <c r="K179" s="108"/>
      <c r="M179" s="108"/>
      <c r="N179" s="112"/>
      <c r="O179" s="2"/>
      <c r="P179" s="2"/>
      <c r="Q179" s="2"/>
      <c r="R179" s="2"/>
      <c r="S179" s="2"/>
      <c r="T179" s="2"/>
    </row>
    <row r="180" spans="1:20">
      <c r="A180" s="249"/>
      <c r="B180" s="963"/>
      <c r="C180" s="1434" t="s">
        <v>200</v>
      </c>
      <c r="D180" s="1435"/>
      <c r="E180" s="1436" t="s">
        <v>201</v>
      </c>
      <c r="F180" s="1436"/>
      <c r="G180" s="1414"/>
      <c r="H180" s="1414"/>
      <c r="I180" s="1414"/>
      <c r="J180" s="1414"/>
      <c r="K180" s="1414"/>
      <c r="L180" s="1414"/>
      <c r="M180" s="108"/>
      <c r="N180" s="108"/>
      <c r="O180" s="108"/>
      <c r="P180" s="2"/>
      <c r="Q180" s="2"/>
      <c r="R180" s="2"/>
      <c r="S180" s="2"/>
      <c r="T180" s="2"/>
    </row>
    <row r="181" spans="1:20" ht="14.25" customHeight="1">
      <c r="A181" s="249"/>
      <c r="B181" s="969" t="s">
        <v>909</v>
      </c>
      <c r="C181" s="1437" t="s">
        <v>1246</v>
      </c>
      <c r="D181" s="1437"/>
      <c r="E181" s="1424" t="str">
        <f>C819</f>
        <v>Auto-skip</v>
      </c>
      <c r="F181" s="1424"/>
      <c r="G181" s="1423"/>
      <c r="H181" s="1423"/>
      <c r="I181" s="1414"/>
      <c r="J181" s="1414"/>
      <c r="K181" s="1414"/>
      <c r="L181" s="1414"/>
      <c r="M181" s="108"/>
      <c r="N181" s="108"/>
      <c r="O181" s="108"/>
      <c r="P181" s="2"/>
      <c r="Q181" s="2"/>
      <c r="R181" s="2"/>
      <c r="S181" s="2"/>
      <c r="T181" s="2"/>
    </row>
    <row r="182" spans="1:20">
      <c r="A182" s="249"/>
      <c r="B182" s="962" t="s">
        <v>193</v>
      </c>
      <c r="C182" s="1437" t="s">
        <v>1247</v>
      </c>
      <c r="D182" s="1437"/>
      <c r="E182" s="1424" t="str">
        <f>C825</f>
        <v>Current mode,  Enable OVP</v>
      </c>
      <c r="F182" s="1424"/>
      <c r="G182" s="1414"/>
      <c r="H182" s="1414"/>
      <c r="I182" s="1414"/>
      <c r="J182" s="1414"/>
      <c r="K182" s="1414"/>
      <c r="L182" s="1414"/>
      <c r="M182" s="108"/>
      <c r="N182" s="108"/>
      <c r="O182" s="108"/>
      <c r="P182" s="2"/>
      <c r="Q182" s="2"/>
      <c r="R182" s="2"/>
      <c r="S182" s="2"/>
      <c r="T182" s="2"/>
    </row>
    <row r="183" spans="1:20">
      <c r="A183" s="249"/>
      <c r="B183" s="250"/>
      <c r="C183" s="250"/>
      <c r="D183" s="381"/>
      <c r="E183" s="381"/>
      <c r="F183" s="381"/>
      <c r="G183" s="381"/>
      <c r="H183" s="381"/>
      <c r="I183" s="381"/>
      <c r="J183" s="139"/>
      <c r="M183" s="108"/>
      <c r="N183" s="112"/>
      <c r="O183" s="2"/>
      <c r="P183" s="2"/>
      <c r="Q183" s="2"/>
      <c r="R183" s="2"/>
      <c r="S183" s="2"/>
      <c r="T183" s="2"/>
    </row>
    <row r="184" spans="1:20">
      <c r="A184" s="249"/>
      <c r="B184" s="957" t="s">
        <v>866</v>
      </c>
      <c r="C184" s="255"/>
      <c r="D184" s="274"/>
      <c r="E184" s="255"/>
      <c r="F184" s="274"/>
      <c r="G184" s="274"/>
      <c r="H184" s="274"/>
      <c r="I184" s="274"/>
      <c r="J184" s="255"/>
      <c r="K184" s="255"/>
      <c r="L184" s="254"/>
      <c r="M184" s="250"/>
      <c r="N184" s="392"/>
      <c r="O184" s="334"/>
      <c r="P184" s="335"/>
      <c r="Q184" s="2"/>
      <c r="R184" s="2"/>
      <c r="S184" s="2"/>
      <c r="T184" s="2"/>
    </row>
    <row r="185" spans="1:20">
      <c r="A185" s="249"/>
      <c r="B185" s="107"/>
      <c r="C185" s="255"/>
      <c r="D185" s="274"/>
      <c r="E185" s="255"/>
      <c r="F185" s="274"/>
      <c r="G185" s="274"/>
      <c r="H185" s="274"/>
      <c r="I185" s="274"/>
      <c r="J185" s="255"/>
      <c r="K185" s="255"/>
      <c r="L185" s="254"/>
      <c r="M185" s="250"/>
      <c r="N185" s="392"/>
      <c r="O185" s="334"/>
      <c r="P185" s="335"/>
      <c r="Q185" s="2"/>
      <c r="R185" s="2"/>
      <c r="S185" s="2"/>
      <c r="T185" s="2"/>
    </row>
    <row r="186" spans="1:20" s="15" customFormat="1" ht="14.25" hidden="1" customHeight="1">
      <c r="A186" s="249"/>
      <c r="B186" s="275"/>
      <c r="C186" s="345" t="s">
        <v>1171</v>
      </c>
      <c r="D186" s="1004"/>
      <c r="E186" s="1004"/>
      <c r="F186" s="345" t="s">
        <v>1172</v>
      </c>
      <c r="G186" s="928"/>
      <c r="H186" s="350"/>
      <c r="I186" s="345" t="s">
        <v>520</v>
      </c>
      <c r="J186" s="1005"/>
      <c r="K186" s="350"/>
      <c r="L186" s="934"/>
      <c r="M186" s="1006" t="s">
        <v>468</v>
      </c>
      <c r="N186" s="1006" t="s">
        <v>469</v>
      </c>
      <c r="Q186" s="249"/>
    </row>
    <row r="187" spans="1:20" s="15" customFormat="1" hidden="1">
      <c r="A187" s="249"/>
      <c r="B187" s="155" t="s">
        <v>160</v>
      </c>
      <c r="C187" s="1007" t="s">
        <v>521</v>
      </c>
      <c r="D187" s="1007" t="s">
        <v>161</v>
      </c>
      <c r="E187" s="153" t="s">
        <v>734</v>
      </c>
      <c r="F187" s="1007" t="s">
        <v>521</v>
      </c>
      <c r="G187" s="1007" t="s">
        <v>161</v>
      </c>
      <c r="H187" s="153" t="s">
        <v>734</v>
      </c>
      <c r="I187" s="1007" t="s">
        <v>521</v>
      </c>
      <c r="J187" s="1008" t="s">
        <v>162</v>
      </c>
      <c r="K187" s="152" t="s">
        <v>734</v>
      </c>
      <c r="L187" s="934"/>
      <c r="M187" s="294" t="s">
        <v>1118</v>
      </c>
      <c r="N187" s="294" t="s">
        <v>1118</v>
      </c>
      <c r="Q187" s="249"/>
    </row>
    <row r="188" spans="1:20" s="15" customFormat="1" hidden="1">
      <c r="A188" s="249"/>
      <c r="B188" s="113" t="s">
        <v>1005</v>
      </c>
      <c r="C188" s="280">
        <f>C238</f>
        <v>5.0249999999999995</v>
      </c>
      <c r="D188" s="280">
        <f>C239</f>
        <v>5.0907527539714144</v>
      </c>
      <c r="E188" s="1009">
        <f>C240</f>
        <v>1.815055079428287E-2</v>
      </c>
      <c r="F188" s="280">
        <f>C226</f>
        <v>5</v>
      </c>
      <c r="G188" s="280">
        <f>C234</f>
        <v>5.0654256258422041</v>
      </c>
      <c r="H188" s="1009">
        <f>C236</f>
        <v>1.3085125168440825E-2</v>
      </c>
      <c r="I188" s="280">
        <f>C242</f>
        <v>4.9533693026427965</v>
      </c>
      <c r="J188" s="280">
        <f>C241</f>
        <v>4.8879436768005924</v>
      </c>
      <c r="K188" s="1009">
        <f>C244</f>
        <v>-2.2411264639881523E-2</v>
      </c>
      <c r="L188" s="934"/>
      <c r="M188" s="930">
        <v>0.01</v>
      </c>
      <c r="N188" s="930">
        <v>0.01</v>
      </c>
      <c r="Q188" s="249"/>
    </row>
    <row r="189" spans="1:20" s="15" customFormat="1" hidden="1">
      <c r="A189" s="249"/>
      <c r="B189" s="113" t="s">
        <v>1006</v>
      </c>
      <c r="C189" s="281" t="e">
        <f>D238</f>
        <v>#DIV/0!</v>
      </c>
      <c r="D189" s="281" t="e">
        <f>D239</f>
        <v>#DIV/0!</v>
      </c>
      <c r="E189" s="1009" t="e">
        <f>D240</f>
        <v>#DIV/0!</v>
      </c>
      <c r="F189" s="281" t="e">
        <f>D226</f>
        <v>#DIV/0!</v>
      </c>
      <c r="G189" s="281" t="e">
        <f>D234</f>
        <v>#DIV/0!</v>
      </c>
      <c r="H189" s="1009" t="e">
        <f>D236</f>
        <v>#DIV/0!</v>
      </c>
      <c r="I189" s="281" t="e">
        <f>D242</f>
        <v>#DIV/0!</v>
      </c>
      <c r="J189" s="280" t="e">
        <f>D241</f>
        <v>#DIV/0!</v>
      </c>
      <c r="K189" s="1009" t="e">
        <f>D244</f>
        <v>#DIV/0!</v>
      </c>
      <c r="L189" s="934"/>
      <c r="M189" s="930">
        <v>0.01</v>
      </c>
      <c r="N189" s="930">
        <v>0.01</v>
      </c>
      <c r="Q189" s="249"/>
    </row>
    <row r="190" spans="1:20" s="15" customFormat="1" hidden="1">
      <c r="A190" s="249"/>
      <c r="B190" s="268" t="s">
        <v>1084</v>
      </c>
      <c r="C190" s="270" t="s">
        <v>988</v>
      </c>
      <c r="D190" s="270" t="s">
        <v>988</v>
      </c>
      <c r="E190" s="271" t="s">
        <v>159</v>
      </c>
      <c r="F190" s="270" t="s">
        <v>988</v>
      </c>
      <c r="G190" s="270" t="s">
        <v>988</v>
      </c>
      <c r="H190" s="271" t="s">
        <v>159</v>
      </c>
      <c r="I190" s="270" t="s">
        <v>988</v>
      </c>
      <c r="J190" s="270" t="s">
        <v>988</v>
      </c>
      <c r="K190" s="271" t="s">
        <v>159</v>
      </c>
      <c r="L190" s="934"/>
      <c r="M190" s="929" t="s">
        <v>159</v>
      </c>
      <c r="N190" s="929" t="s">
        <v>159</v>
      </c>
      <c r="Q190" s="249"/>
    </row>
    <row r="191" spans="1:20" s="22" customFormat="1" hidden="1">
      <c r="A191" s="250"/>
      <c r="B191" s="923"/>
      <c r="C191" s="922"/>
      <c r="D191" s="921"/>
      <c r="E191" s="922"/>
      <c r="F191" s="921"/>
      <c r="G191" s="922"/>
      <c r="H191" s="921"/>
      <c r="I191" s="922"/>
      <c r="J191" s="921"/>
      <c r="K191" s="272"/>
      <c r="L191" s="250"/>
      <c r="M191" s="250"/>
      <c r="N191" s="250"/>
      <c r="O191" s="282"/>
      <c r="P191" s="282"/>
      <c r="Q191" s="250"/>
    </row>
    <row r="192" spans="1:20" s="15" customFormat="1" hidden="1">
      <c r="A192" s="283"/>
      <c r="B192" s="925" t="s">
        <v>522</v>
      </c>
      <c r="C192" s="284"/>
      <c r="D192" s="285"/>
      <c r="E192" s="286"/>
      <c r="F192" s="287"/>
      <c r="G192" s="284"/>
      <c r="H192" s="285"/>
      <c r="I192" s="286"/>
      <c r="J192" s="287"/>
      <c r="K192" s="288"/>
      <c r="L192" s="343"/>
      <c r="M192" s="283"/>
      <c r="N192" s="249"/>
      <c r="O192" s="259"/>
      <c r="P192" s="259"/>
      <c r="Q192" s="249"/>
    </row>
    <row r="193" spans="1:17" s="15" customFormat="1" hidden="1">
      <c r="A193" s="283"/>
      <c r="B193" s="924"/>
      <c r="C193" s="1406" t="s">
        <v>733</v>
      </c>
      <c r="D193" s="1407"/>
      <c r="E193" s="1407"/>
      <c r="F193" s="1408"/>
      <c r="G193" s="1406" t="s">
        <v>735</v>
      </c>
      <c r="H193" s="1407"/>
      <c r="I193" s="1407"/>
      <c r="J193" s="1408"/>
      <c r="K193" s="272"/>
      <c r="L193" s="250"/>
      <c r="M193" s="283"/>
      <c r="N193" s="249"/>
      <c r="O193" s="259"/>
      <c r="P193" s="259"/>
      <c r="Q193" s="249"/>
    </row>
    <row r="194" spans="1:17" s="15" customFormat="1" hidden="1">
      <c r="A194" s="283"/>
      <c r="B194" s="155" t="s">
        <v>160</v>
      </c>
      <c r="C194" s="1007" t="s">
        <v>161</v>
      </c>
      <c r="D194" s="153" t="s">
        <v>734</v>
      </c>
      <c r="E194" s="1007" t="s">
        <v>162</v>
      </c>
      <c r="F194" s="153" t="s">
        <v>734</v>
      </c>
      <c r="G194" s="1007" t="s">
        <v>161</v>
      </c>
      <c r="H194" s="152" t="s">
        <v>734</v>
      </c>
      <c r="I194" s="1008" t="s">
        <v>162</v>
      </c>
      <c r="J194" s="152" t="s">
        <v>734</v>
      </c>
      <c r="K194" s="272"/>
      <c r="L194" s="250"/>
      <c r="M194" s="283"/>
      <c r="N194" s="249"/>
      <c r="O194" s="259"/>
      <c r="P194" s="259"/>
      <c r="Q194" s="249"/>
    </row>
    <row r="195" spans="1:17" s="15" customFormat="1" hidden="1">
      <c r="A195" s="283"/>
      <c r="B195" s="113" t="s">
        <v>1005</v>
      </c>
      <c r="C195" s="280">
        <f>C239</f>
        <v>5.0907527539714144</v>
      </c>
      <c r="D195" s="1009">
        <f>C240</f>
        <v>1.815055079428287E-2</v>
      </c>
      <c r="E195" s="280">
        <f>C241</f>
        <v>4.8879436768005924</v>
      </c>
      <c r="F195" s="1009">
        <f>C244</f>
        <v>-2.2411264639881523E-2</v>
      </c>
      <c r="G195" s="280">
        <f>C234</f>
        <v>5.0654256258422041</v>
      </c>
      <c r="H195" s="1009">
        <f>C236</f>
        <v>1.3085125168440825E-2</v>
      </c>
      <c r="I195" s="280">
        <f>C246</f>
        <v>4.8588800097133511</v>
      </c>
      <c r="J195" s="1009">
        <f>C249</f>
        <v>-2.822399805732978E-2</v>
      </c>
      <c r="K195" s="272"/>
      <c r="L195" s="250"/>
      <c r="M195" s="283"/>
      <c r="N195" s="249"/>
      <c r="O195" s="259"/>
      <c r="P195" s="259"/>
      <c r="Q195" s="249"/>
    </row>
    <row r="196" spans="1:17" s="15" customFormat="1" hidden="1">
      <c r="A196" s="283"/>
      <c r="B196" s="113" t="s">
        <v>1006</v>
      </c>
      <c r="C196" s="281" t="e">
        <f>D239</f>
        <v>#DIV/0!</v>
      </c>
      <c r="D196" s="1009" t="e">
        <f>D240</f>
        <v>#DIV/0!</v>
      </c>
      <c r="E196" s="280" t="e">
        <f>D241</f>
        <v>#DIV/0!</v>
      </c>
      <c r="F196" s="1009" t="e">
        <f>D244</f>
        <v>#DIV/0!</v>
      </c>
      <c r="G196" s="281" t="e">
        <f>D234</f>
        <v>#DIV/0!</v>
      </c>
      <c r="H196" s="1009" t="e">
        <f>D236</f>
        <v>#DIV/0!</v>
      </c>
      <c r="I196" s="280" t="e">
        <f>D246</f>
        <v>#DIV/0!</v>
      </c>
      <c r="J196" s="1009">
        <f>C249</f>
        <v>-2.822399805732978E-2</v>
      </c>
      <c r="K196" s="272"/>
      <c r="L196" s="250"/>
      <c r="M196" s="283"/>
      <c r="N196" s="249"/>
      <c r="O196" s="259"/>
      <c r="P196" s="259"/>
      <c r="Q196" s="249"/>
    </row>
    <row r="197" spans="1:17" s="15" customFormat="1" hidden="1">
      <c r="A197" s="283"/>
      <c r="B197" s="268" t="s">
        <v>1084</v>
      </c>
      <c r="C197" s="270" t="s">
        <v>988</v>
      </c>
      <c r="D197" s="271" t="s">
        <v>159</v>
      </c>
      <c r="E197" s="270" t="s">
        <v>988</v>
      </c>
      <c r="F197" s="271" t="s">
        <v>159</v>
      </c>
      <c r="G197" s="270" t="s">
        <v>988</v>
      </c>
      <c r="H197" s="271" t="s">
        <v>159</v>
      </c>
      <c r="I197" s="270" t="s">
        <v>988</v>
      </c>
      <c r="J197" s="271" t="s">
        <v>159</v>
      </c>
      <c r="K197" s="272"/>
      <c r="L197" s="250"/>
      <c r="M197" s="283"/>
      <c r="N197" s="249"/>
      <c r="O197" s="259"/>
      <c r="P197" s="259"/>
      <c r="Q197" s="249"/>
    </row>
    <row r="198" spans="1:17" s="15" customFormat="1" hidden="1">
      <c r="A198" s="283"/>
      <c r="B198" s="291"/>
      <c r="C198" s="292"/>
      <c r="D198" s="288"/>
      <c r="E198" s="292"/>
      <c r="F198" s="288"/>
      <c r="G198" s="292"/>
      <c r="H198" s="288"/>
      <c r="I198" s="292"/>
      <c r="J198" s="288"/>
      <c r="K198" s="288"/>
      <c r="L198" s="343"/>
      <c r="M198" s="283"/>
      <c r="N198" s="249"/>
      <c r="O198" s="259"/>
      <c r="P198" s="259"/>
      <c r="Q198" s="249"/>
    </row>
    <row r="199" spans="1:17" s="15" customFormat="1" hidden="1">
      <c r="A199" s="283"/>
      <c r="B199" s="291"/>
      <c r="C199" s="292"/>
      <c r="D199" s="288"/>
      <c r="E199" s="292"/>
      <c r="F199" s="288"/>
      <c r="G199" s="292"/>
      <c r="H199" s="288"/>
      <c r="I199" s="292"/>
      <c r="J199" s="288"/>
      <c r="K199" s="288"/>
      <c r="L199" s="343"/>
      <c r="M199" s="283"/>
      <c r="N199" s="249"/>
      <c r="O199" s="259"/>
      <c r="P199" s="259"/>
      <c r="Q199" s="249"/>
    </row>
    <row r="200" spans="1:17" s="15" customFormat="1" hidden="1">
      <c r="A200" s="283"/>
      <c r="B200" s="291"/>
      <c r="C200" s="292"/>
      <c r="D200" s="288"/>
      <c r="E200" s="292"/>
      <c r="F200" s="288"/>
      <c r="G200" s="292"/>
      <c r="H200" s="288"/>
      <c r="I200" s="292"/>
      <c r="J200" s="288"/>
      <c r="K200" s="288"/>
      <c r="L200" s="343"/>
      <c r="M200" s="283"/>
      <c r="N200" s="249"/>
      <c r="O200" s="259"/>
      <c r="P200" s="259"/>
      <c r="Q200" s="249"/>
    </row>
    <row r="201" spans="1:17" s="15" customFormat="1" hidden="1">
      <c r="A201" s="283"/>
      <c r="B201" s="291"/>
      <c r="C201" s="292"/>
      <c r="D201" s="288"/>
      <c r="E201" s="292"/>
      <c r="F201" s="288"/>
      <c r="G201" s="292"/>
      <c r="H201" s="288"/>
      <c r="I201" s="292"/>
      <c r="J201" s="288"/>
      <c r="K201" s="288"/>
      <c r="L201" s="343"/>
      <c r="M201" s="283"/>
      <c r="N201" s="249"/>
      <c r="O201" s="259"/>
      <c r="P201" s="259"/>
      <c r="Q201" s="249"/>
    </row>
    <row r="202" spans="1:17" s="15" customFormat="1" hidden="1">
      <c r="A202" s="283"/>
      <c r="B202" s="291"/>
      <c r="C202" s="292"/>
      <c r="D202" s="288"/>
      <c r="E202" s="292"/>
      <c r="F202" s="288"/>
      <c r="G202" s="292"/>
      <c r="H202" s="288"/>
      <c r="I202" s="292"/>
      <c r="J202" s="288"/>
      <c r="K202" s="288"/>
      <c r="L202" s="343"/>
      <c r="M202" s="283"/>
      <c r="N202" s="249"/>
      <c r="O202" s="259"/>
      <c r="P202" s="259"/>
      <c r="Q202" s="249"/>
    </row>
    <row r="203" spans="1:17" s="15" customFormat="1" hidden="1">
      <c r="A203" s="283"/>
      <c r="B203" s="291"/>
      <c r="C203" s="292"/>
      <c r="D203" s="288"/>
      <c r="E203" s="292"/>
      <c r="F203" s="288"/>
      <c r="G203" s="292"/>
      <c r="H203" s="288"/>
      <c r="I203" s="292"/>
      <c r="J203" s="288"/>
      <c r="K203" s="288"/>
      <c r="L203" s="343"/>
      <c r="M203" s="283"/>
      <c r="N203" s="249"/>
      <c r="O203" s="259"/>
      <c r="P203" s="259"/>
      <c r="Q203" s="249"/>
    </row>
    <row r="204" spans="1:17" s="15" customFormat="1" hidden="1">
      <c r="A204" s="283"/>
      <c r="B204" s="291"/>
      <c r="C204" s="292"/>
      <c r="D204" s="288"/>
      <c r="E204" s="292"/>
      <c r="F204" s="288"/>
      <c r="G204" s="292"/>
      <c r="H204" s="288"/>
      <c r="I204" s="292"/>
      <c r="J204" s="288"/>
      <c r="K204" s="288"/>
      <c r="L204" s="343"/>
      <c r="M204" s="283"/>
      <c r="N204" s="249"/>
      <c r="O204" s="259"/>
      <c r="P204" s="259"/>
      <c r="Q204" s="249"/>
    </row>
    <row r="205" spans="1:17" s="15" customFormat="1" hidden="1">
      <c r="A205" s="283"/>
      <c r="B205" s="291"/>
      <c r="C205" s="292"/>
      <c r="D205" s="288"/>
      <c r="E205" s="292"/>
      <c r="F205" s="288"/>
      <c r="G205" s="292"/>
      <c r="H205" s="288"/>
      <c r="I205" s="292"/>
      <c r="J205" s="288"/>
      <c r="K205" s="288"/>
      <c r="L205" s="343"/>
      <c r="M205" s="283"/>
      <c r="N205" s="249"/>
      <c r="O205" s="259"/>
      <c r="P205" s="259"/>
      <c r="Q205" s="249"/>
    </row>
    <row r="206" spans="1:17" s="15" customFormat="1" hidden="1">
      <c r="A206" s="283"/>
      <c r="B206" s="291"/>
      <c r="C206" s="292"/>
      <c r="D206" s="288"/>
      <c r="E206" s="292"/>
      <c r="F206" s="288"/>
      <c r="G206" s="292"/>
      <c r="H206" s="288"/>
      <c r="I206" s="292"/>
      <c r="J206" s="288"/>
      <c r="K206" s="288"/>
      <c r="L206" s="343"/>
      <c r="M206" s="283"/>
      <c r="N206" s="249"/>
      <c r="O206" s="259"/>
      <c r="P206" s="259"/>
      <c r="Q206" s="249"/>
    </row>
    <row r="207" spans="1:17" s="15" customFormat="1" hidden="1">
      <c r="A207" s="283"/>
      <c r="B207" s="291"/>
      <c r="C207" s="292"/>
      <c r="D207" s="288"/>
      <c r="E207" s="292"/>
      <c r="F207" s="288"/>
      <c r="G207" s="292"/>
      <c r="H207" s="288"/>
      <c r="I207" s="292"/>
      <c r="J207" s="288"/>
      <c r="K207" s="288"/>
      <c r="L207" s="343"/>
      <c r="M207" s="283"/>
      <c r="N207" s="249"/>
      <c r="O207" s="259"/>
      <c r="P207" s="259"/>
      <c r="Q207" s="249"/>
    </row>
    <row r="208" spans="1:17" s="15" customFormat="1" hidden="1">
      <c r="A208" s="283"/>
      <c r="B208" s="291"/>
      <c r="C208" s="292"/>
      <c r="D208" s="288"/>
      <c r="E208" s="292"/>
      <c r="F208" s="288"/>
      <c r="G208" s="292"/>
      <c r="H208" s="288"/>
      <c r="I208" s="292"/>
      <c r="J208" s="288"/>
      <c r="K208" s="288"/>
      <c r="L208" s="343"/>
      <c r="M208" s="283"/>
      <c r="N208" s="249"/>
      <c r="O208" s="259"/>
      <c r="P208" s="259"/>
      <c r="Q208" s="249"/>
    </row>
    <row r="209" spans="1:20" s="15" customFormat="1" hidden="1">
      <c r="A209" s="283"/>
      <c r="B209" s="291"/>
      <c r="C209" s="292"/>
      <c r="D209" s="288"/>
      <c r="E209" s="292"/>
      <c r="F209" s="288"/>
      <c r="G209" s="292"/>
      <c r="H209" s="288"/>
      <c r="I209" s="292"/>
      <c r="J209" s="288"/>
      <c r="K209" s="288"/>
      <c r="L209" s="343"/>
      <c r="M209" s="283"/>
      <c r="N209" s="249"/>
      <c r="O209" s="259"/>
      <c r="P209" s="259"/>
      <c r="Q209" s="249"/>
    </row>
    <row r="210" spans="1:20" s="15" customFormat="1" hidden="1">
      <c r="A210" s="283"/>
      <c r="B210" s="291"/>
      <c r="C210" s="292"/>
      <c r="D210" s="288"/>
      <c r="E210" s="292"/>
      <c r="F210" s="288"/>
      <c r="G210" s="292"/>
      <c r="H210" s="288"/>
      <c r="I210" s="292"/>
      <c r="J210" s="288"/>
      <c r="K210" s="288"/>
      <c r="L210" s="343"/>
      <c r="M210" s="283"/>
      <c r="N210" s="249"/>
      <c r="O210" s="259"/>
      <c r="P210" s="259"/>
      <c r="Q210" s="249"/>
    </row>
    <row r="211" spans="1:20" s="15" customFormat="1" hidden="1">
      <c r="A211" s="283"/>
      <c r="B211" s="291"/>
      <c r="C211" s="292"/>
      <c r="D211" s="288"/>
      <c r="E211" s="292"/>
      <c r="F211" s="288"/>
      <c r="G211" s="292"/>
      <c r="H211" s="288"/>
      <c r="I211" s="292"/>
      <c r="J211" s="288"/>
      <c r="K211" s="288"/>
      <c r="L211" s="343"/>
      <c r="M211" s="283"/>
      <c r="N211" s="249"/>
      <c r="O211" s="259"/>
      <c r="P211" s="259"/>
      <c r="Q211" s="249"/>
    </row>
    <row r="212" spans="1:20" s="15" customFormat="1" hidden="1">
      <c r="A212" s="283"/>
      <c r="B212" s="291"/>
      <c r="C212" s="292"/>
      <c r="D212" s="288"/>
      <c r="E212" s="292"/>
      <c r="F212" s="288"/>
      <c r="G212" s="292"/>
      <c r="H212" s="288"/>
      <c r="I212" s="292"/>
      <c r="J212" s="288"/>
      <c r="K212" s="288"/>
      <c r="L212" s="343"/>
      <c r="M212" s="283"/>
      <c r="N212" s="249"/>
      <c r="O212" s="259"/>
      <c r="P212" s="259"/>
      <c r="Q212" s="249"/>
    </row>
    <row r="213" spans="1:20" s="15" customFormat="1" hidden="1">
      <c r="A213" s="283"/>
      <c r="B213" s="291"/>
      <c r="C213" s="292"/>
      <c r="D213" s="288"/>
      <c r="E213" s="292"/>
      <c r="F213" s="288"/>
      <c r="G213" s="292"/>
      <c r="H213" s="288"/>
      <c r="I213" s="292"/>
      <c r="J213" s="288"/>
      <c r="K213" s="288"/>
      <c r="L213" s="343"/>
      <c r="M213" s="283"/>
      <c r="N213" s="249"/>
      <c r="O213" s="259"/>
      <c r="P213" s="259"/>
      <c r="Q213" s="249"/>
    </row>
    <row r="214" spans="1:20" s="15" customFormat="1" hidden="1">
      <c r="A214" s="283"/>
      <c r="B214" s="291"/>
      <c r="C214" s="292"/>
      <c r="D214" s="288"/>
      <c r="E214" s="292"/>
      <c r="F214" s="288"/>
      <c r="G214" s="292"/>
      <c r="H214" s="288"/>
      <c r="I214" s="292"/>
      <c r="J214" s="288"/>
      <c r="K214" s="288"/>
      <c r="L214" s="343"/>
      <c r="M214" s="283"/>
      <c r="N214" s="249"/>
      <c r="O214" s="259"/>
      <c r="P214" s="259"/>
      <c r="Q214" s="249"/>
    </row>
    <row r="215" spans="1:20" s="15" customFormat="1" hidden="1">
      <c r="A215" s="283"/>
      <c r="B215" s="291"/>
      <c r="C215" s="292"/>
      <c r="D215" s="288"/>
      <c r="E215" s="292"/>
      <c r="F215" s="288"/>
      <c r="G215" s="292"/>
      <c r="H215" s="288"/>
      <c r="I215" s="292"/>
      <c r="J215" s="288"/>
      <c r="K215" s="288"/>
      <c r="L215" s="343"/>
      <c r="M215" s="283"/>
      <c r="N215" s="249"/>
      <c r="O215" s="259"/>
      <c r="P215" s="259"/>
      <c r="Q215" s="249"/>
    </row>
    <row r="216" spans="1:20" s="15" customFormat="1" hidden="1">
      <c r="A216" s="283"/>
      <c r="B216" s="291"/>
      <c r="C216" s="292"/>
      <c r="D216" s="288"/>
      <c r="E216" s="292"/>
      <c r="F216" s="288"/>
      <c r="G216" s="292"/>
      <c r="H216" s="288"/>
      <c r="I216" s="292"/>
      <c r="J216" s="288"/>
      <c r="K216" s="288"/>
      <c r="L216" s="343"/>
      <c r="M216" s="283"/>
      <c r="N216" s="249"/>
      <c r="O216" s="259"/>
      <c r="P216" s="259"/>
      <c r="Q216" s="249"/>
    </row>
    <row r="217" spans="1:20" s="15" customFormat="1" hidden="1">
      <c r="A217" s="283"/>
      <c r="B217" s="291"/>
      <c r="C217" s="292"/>
      <c r="D217" s="288"/>
      <c r="E217" s="292"/>
      <c r="F217" s="288"/>
      <c r="G217" s="292"/>
      <c r="H217" s="288"/>
      <c r="I217" s="292"/>
      <c r="J217" s="288"/>
      <c r="K217" s="288"/>
      <c r="L217" s="343"/>
      <c r="M217" s="283"/>
      <c r="N217" s="249"/>
      <c r="O217" s="259"/>
      <c r="P217" s="259"/>
      <c r="Q217" s="249"/>
    </row>
    <row r="218" spans="1:20" s="15" customFormat="1" hidden="1">
      <c r="A218" s="283"/>
      <c r="B218" s="291"/>
      <c r="C218" s="292"/>
      <c r="D218" s="288"/>
      <c r="E218" s="292"/>
      <c r="F218" s="288"/>
      <c r="G218" s="292"/>
      <c r="H218" s="288"/>
      <c r="I218" s="292"/>
      <c r="J218" s="288"/>
      <c r="K218" s="288"/>
      <c r="L218" s="343"/>
      <c r="M218" s="283"/>
      <c r="N218" s="249"/>
      <c r="O218" s="259"/>
      <c r="P218" s="259"/>
      <c r="Q218" s="249"/>
    </row>
    <row r="219" spans="1:20" s="15" customFormat="1" hidden="1">
      <c r="A219" s="283"/>
      <c r="B219" s="291"/>
      <c r="C219" s="292"/>
      <c r="D219" s="288"/>
      <c r="E219" s="292"/>
      <c r="F219" s="288"/>
      <c r="G219" s="292"/>
      <c r="H219" s="288"/>
      <c r="I219" s="292"/>
      <c r="J219" s="288"/>
      <c r="K219" s="288"/>
      <c r="L219" s="343"/>
      <c r="M219" s="283"/>
      <c r="N219" s="249"/>
      <c r="O219" s="259"/>
      <c r="P219" s="259"/>
      <c r="Q219" s="249"/>
    </row>
    <row r="220" spans="1:20" s="15" customFormat="1" hidden="1">
      <c r="A220" s="283"/>
      <c r="B220" s="291"/>
      <c r="C220" s="292"/>
      <c r="D220" s="288"/>
      <c r="E220" s="292"/>
      <c r="F220" s="288"/>
      <c r="G220" s="292"/>
      <c r="H220" s="288"/>
      <c r="I220" s="292"/>
      <c r="J220" s="288"/>
      <c r="K220" s="288"/>
      <c r="L220" s="343"/>
      <c r="M220" s="283"/>
      <c r="N220" s="249"/>
      <c r="O220" s="259"/>
      <c r="P220" s="259"/>
      <c r="Q220" s="249"/>
    </row>
    <row r="221" spans="1:20" s="15" customFormat="1" hidden="1">
      <c r="A221" s="249"/>
      <c r="B221" s="257"/>
      <c r="C221" s="274"/>
      <c r="D221" s="272"/>
      <c r="E221" s="274"/>
      <c r="F221" s="272"/>
      <c r="G221" s="274"/>
      <c r="H221" s="272"/>
      <c r="I221" s="274"/>
      <c r="J221" s="272"/>
      <c r="K221" s="272"/>
      <c r="L221" s="250"/>
      <c r="M221" s="249"/>
      <c r="N221" s="249"/>
      <c r="O221" s="259"/>
      <c r="P221" s="259"/>
      <c r="Q221" s="249"/>
    </row>
    <row r="222" spans="1:20" hidden="1">
      <c r="A222" s="249"/>
      <c r="B222" s="112"/>
      <c r="C222" s="254"/>
      <c r="D222" s="254"/>
      <c r="E222" s="254"/>
      <c r="F222" s="254"/>
      <c r="G222" s="254"/>
      <c r="H222" s="250"/>
      <c r="I222" s="254"/>
      <c r="J222" s="250"/>
      <c r="K222" s="250"/>
      <c r="L222" s="250"/>
      <c r="M222" s="108"/>
      <c r="N222" s="112"/>
      <c r="O222" s="2"/>
      <c r="P222" s="2"/>
      <c r="Q222" s="2"/>
      <c r="R222" s="2"/>
      <c r="S222" s="2"/>
      <c r="T222" s="2"/>
    </row>
    <row r="223" spans="1:20" hidden="1">
      <c r="A223" s="249"/>
      <c r="B223" s="112"/>
      <c r="C223" s="254"/>
      <c r="D223" s="254"/>
      <c r="E223" s="254"/>
      <c r="F223" s="254"/>
      <c r="G223" s="254"/>
      <c r="H223" s="250"/>
      <c r="I223" s="254"/>
      <c r="J223" s="250"/>
      <c r="K223" s="250"/>
      <c r="L223" s="250"/>
      <c r="M223" s="108"/>
      <c r="N223" s="112"/>
      <c r="O223" s="2"/>
      <c r="P223" s="2"/>
      <c r="Q223" s="2"/>
      <c r="R223" s="2"/>
      <c r="S223" s="2"/>
      <c r="T223" s="2"/>
    </row>
    <row r="224" spans="1:20" hidden="1">
      <c r="A224" s="249"/>
      <c r="B224" s="1010" t="s">
        <v>1116</v>
      </c>
      <c r="C224" s="1011" t="s">
        <v>1049</v>
      </c>
      <c r="D224" s="1011" t="s">
        <v>1048</v>
      </c>
      <c r="E224" s="254"/>
      <c r="I224" s="254"/>
      <c r="J224" s="250"/>
      <c r="K224" s="250"/>
      <c r="L224" s="250"/>
      <c r="M224" s="108"/>
      <c r="N224" s="112"/>
      <c r="O224" s="2"/>
      <c r="P224" s="2"/>
      <c r="Q224" s="2"/>
      <c r="R224" s="2"/>
      <c r="S224" s="2"/>
      <c r="T224" s="2"/>
    </row>
    <row r="225" spans="1:20" hidden="1">
      <c r="A225" s="249"/>
      <c r="B225" s="345" t="s">
        <v>202</v>
      </c>
      <c r="C225" s="1012">
        <f>C19</f>
        <v>5</v>
      </c>
      <c r="D225" s="1012">
        <f>C20</f>
        <v>0</v>
      </c>
      <c r="E225" s="254"/>
      <c r="I225" s="254"/>
      <c r="J225" s="250"/>
      <c r="K225" s="250"/>
      <c r="L225" s="250"/>
      <c r="M225" s="108"/>
      <c r="N225" s="112"/>
      <c r="O225" s="2"/>
      <c r="P225" s="2"/>
      <c r="Q225" s="2"/>
      <c r="R225" s="2"/>
      <c r="S225" s="2"/>
      <c r="T225" s="2"/>
    </row>
    <row r="226" spans="1:20" hidden="1">
      <c r="A226" s="249"/>
      <c r="B226" s="1013" t="s">
        <v>203</v>
      </c>
      <c r="C226" s="1014">
        <f>(1+C304/C301)*C319</f>
        <v>5</v>
      </c>
      <c r="D226" s="1014" t="e">
        <f>(1+D304/D301)*D319</f>
        <v>#DIV/0!</v>
      </c>
      <c r="E226" s="254"/>
      <c r="I226" s="254"/>
      <c r="J226" s="250"/>
      <c r="K226" s="250"/>
      <c r="L226" s="250"/>
      <c r="M226" s="108"/>
      <c r="N226" s="112"/>
      <c r="O226" s="2"/>
      <c r="P226" s="2"/>
      <c r="Q226" s="2"/>
      <c r="R226" s="2"/>
      <c r="S226" s="2"/>
      <c r="T226" s="2"/>
    </row>
    <row r="227" spans="1:20" hidden="1">
      <c r="A227" s="249"/>
      <c r="B227" s="154" t="s">
        <v>1029</v>
      </c>
      <c r="C227" s="1014"/>
      <c r="D227" s="1014"/>
      <c r="E227" s="254"/>
      <c r="I227" s="254"/>
      <c r="J227" s="250"/>
      <c r="K227" s="250"/>
      <c r="L227" s="250"/>
      <c r="M227" s="108"/>
      <c r="N227" s="112"/>
      <c r="O227" s="2"/>
      <c r="P227" s="2"/>
      <c r="Q227" s="2"/>
      <c r="R227" s="2"/>
      <c r="S227" s="2"/>
      <c r="T227" s="2"/>
    </row>
    <row r="228" spans="1:20" hidden="1">
      <c r="A228" s="249"/>
      <c r="B228" s="1015" t="s">
        <v>204</v>
      </c>
      <c r="C228" s="1016">
        <f>(1+C304*(1-C305)/(C301*(1+C302)))*C319*(1-C320)</f>
        <v>4.8715841584158417</v>
      </c>
      <c r="D228" s="1016" t="e">
        <f>(1+D304*(1-D305)/(D301*(1+D302)))*D319*(1-D320)</f>
        <v>#DIV/0!</v>
      </c>
      <c r="E228" s="254"/>
      <c r="I228" s="254"/>
      <c r="J228" s="250"/>
      <c r="K228" s="250"/>
      <c r="L228" s="250"/>
      <c r="M228" s="108"/>
      <c r="N228" s="112"/>
      <c r="O228" s="2"/>
      <c r="P228" s="2"/>
      <c r="Q228" s="2"/>
      <c r="R228" s="2"/>
      <c r="S228" s="2"/>
      <c r="T228" s="2"/>
    </row>
    <row r="229" spans="1:20" hidden="1">
      <c r="A229" s="249"/>
      <c r="B229" s="1015" t="s">
        <v>1030</v>
      </c>
      <c r="C229" s="1016">
        <f>(1+C304*(1+C305)/(C301*(1-C302)))*C319*(1+C320)</f>
        <v>5.1316161616161615</v>
      </c>
      <c r="D229" s="1016" t="e">
        <f>(1+D304*(1+D305)/(D301*(1-D302)))*D319*(1+D320)</f>
        <v>#DIV/0!</v>
      </c>
      <c r="E229" s="254"/>
      <c r="I229" s="254"/>
      <c r="J229" s="250"/>
      <c r="K229" s="250"/>
      <c r="L229" s="250"/>
      <c r="M229" s="108"/>
      <c r="N229" s="112"/>
      <c r="O229" s="2"/>
      <c r="P229" s="2"/>
      <c r="Q229" s="2"/>
      <c r="R229" s="2"/>
      <c r="S229" s="2"/>
      <c r="T229" s="2"/>
    </row>
    <row r="230" spans="1:20" hidden="1">
      <c r="A230" s="249"/>
      <c r="B230" s="1015" t="s">
        <v>205</v>
      </c>
      <c r="C230" s="1017">
        <f>(C228-C226)/C226</f>
        <v>-2.5683168316831661E-2</v>
      </c>
      <c r="D230" s="1017" t="e">
        <f>(D228-D226)/D226</f>
        <v>#DIV/0!</v>
      </c>
      <c r="E230" s="254"/>
      <c r="I230" s="254"/>
      <c r="J230" s="250"/>
      <c r="K230" s="250"/>
      <c r="L230" s="250"/>
      <c r="M230" s="108"/>
      <c r="N230" s="112"/>
      <c r="O230" s="2"/>
      <c r="P230" s="2"/>
      <c r="Q230" s="2"/>
      <c r="R230" s="2"/>
      <c r="S230" s="2"/>
      <c r="T230" s="2"/>
    </row>
    <row r="231" spans="1:20" hidden="1">
      <c r="A231" s="249"/>
      <c r="B231" s="1015" t="s">
        <v>1031</v>
      </c>
      <c r="C231" s="1017">
        <f>(C229-C226)/C226</f>
        <v>2.6323232323232304E-2</v>
      </c>
      <c r="D231" s="1017" t="e">
        <f>(D229-D226)/D226</f>
        <v>#DIV/0!</v>
      </c>
      <c r="E231" s="254"/>
      <c r="I231" s="254"/>
      <c r="J231" s="250"/>
      <c r="K231" s="250"/>
      <c r="L231" s="250"/>
      <c r="M231" s="108"/>
      <c r="N231" s="112"/>
      <c r="O231" s="2"/>
      <c r="P231" s="2"/>
      <c r="Q231" s="2"/>
      <c r="R231" s="2"/>
      <c r="S231" s="2"/>
      <c r="T231" s="2"/>
    </row>
    <row r="232" spans="1:20" hidden="1">
      <c r="A232" s="249"/>
      <c r="B232" s="154" t="s">
        <v>206</v>
      </c>
      <c r="C232" s="1017"/>
      <c r="D232" s="1017"/>
      <c r="E232" s="254"/>
      <c r="I232" s="254"/>
      <c r="J232" s="250"/>
      <c r="K232" s="250"/>
      <c r="L232" s="250"/>
      <c r="M232" s="108"/>
      <c r="N232" s="112"/>
      <c r="O232" s="2"/>
      <c r="P232" s="2"/>
      <c r="Q232" s="2"/>
      <c r="R232" s="2"/>
      <c r="S232" s="2"/>
      <c r="T232" s="2"/>
    </row>
    <row r="233" spans="1:20" hidden="1">
      <c r="A233" s="249"/>
      <c r="B233" s="1015" t="s">
        <v>204</v>
      </c>
      <c r="C233" s="1018">
        <f>C304/C301*C319*(1-C267*C297)+C319*(1-C320)</f>
        <v>4.9345743741577959</v>
      </c>
      <c r="D233" s="1018" t="e">
        <f>D304/D301*D319*(1-D267*D297)+D319*(1-D320)</f>
        <v>#DIV/0!</v>
      </c>
      <c r="E233" s="254"/>
      <c r="I233" s="254"/>
      <c r="J233" s="250"/>
      <c r="K233" s="250"/>
      <c r="L233" s="250"/>
      <c r="M233" s="108"/>
      <c r="N233" s="112"/>
      <c r="O233" s="2"/>
      <c r="P233" s="2"/>
      <c r="Q233" s="2"/>
      <c r="R233" s="2"/>
      <c r="S233" s="2"/>
      <c r="T233" s="2"/>
    </row>
    <row r="234" spans="1:20" hidden="1">
      <c r="A234" s="249"/>
      <c r="B234" s="1015" t="s">
        <v>1030</v>
      </c>
      <c r="C234" s="1018">
        <f>C304/C301*C319*(1+C267*C297)+C319*(1+C320)</f>
        <v>5.0654256258422041</v>
      </c>
      <c r="D234" s="1018" t="e">
        <f>D304/D301*D319*(1+D267*D297)+D319*(1+D320)</f>
        <v>#DIV/0!</v>
      </c>
      <c r="E234" s="254"/>
      <c r="I234" s="254"/>
      <c r="J234" s="250"/>
      <c r="K234" s="250"/>
      <c r="L234" s="250"/>
      <c r="M234" s="108"/>
      <c r="N234" s="112"/>
      <c r="O234" s="2"/>
      <c r="P234" s="2"/>
      <c r="Q234" s="2"/>
      <c r="R234" s="2"/>
      <c r="S234" s="2"/>
      <c r="T234" s="2"/>
    </row>
    <row r="235" spans="1:20" hidden="1">
      <c r="A235" s="249"/>
      <c r="B235" s="1015" t="s">
        <v>205</v>
      </c>
      <c r="C235" s="1017">
        <f>(C304/C301*C319*(1-C267*C297)+C319*(1-C320)-C226)/C226</f>
        <v>-1.3085125168440825E-2</v>
      </c>
      <c r="D235" s="1017" t="e">
        <f>(D304/D301*D319*(1-D267*D297)+D319*(1-D320)-D226)/D226</f>
        <v>#DIV/0!</v>
      </c>
      <c r="E235" s="254"/>
      <c r="I235" s="254"/>
      <c r="J235" s="250"/>
      <c r="K235" s="250"/>
      <c r="L235" s="250"/>
      <c r="M235" s="108"/>
      <c r="N235" s="112"/>
      <c r="O235" s="2"/>
      <c r="P235" s="2"/>
      <c r="Q235" s="2"/>
      <c r="R235" s="2"/>
      <c r="S235" s="2"/>
      <c r="T235" s="2"/>
    </row>
    <row r="236" spans="1:20" hidden="1">
      <c r="A236" s="249"/>
      <c r="B236" s="1015" t="s">
        <v>1031</v>
      </c>
      <c r="C236" s="1017">
        <f>(C304/C301*C319*(1+C267*C297)+C319*(1+C320)-C226)/C226</f>
        <v>1.3085125168440825E-2</v>
      </c>
      <c r="D236" s="1017" t="e">
        <f>(D304/D301*D319*(1+D267*D297)+D319*(1+D320)-D226)/D226</f>
        <v>#DIV/0!</v>
      </c>
      <c r="E236" s="254"/>
      <c r="I236" s="254"/>
      <c r="J236" s="250"/>
      <c r="K236" s="250"/>
      <c r="L236" s="250"/>
      <c r="M236" s="108"/>
      <c r="N236" s="112"/>
      <c r="O236" s="2"/>
      <c r="P236" s="2"/>
      <c r="Q236" s="2"/>
      <c r="R236" s="2"/>
      <c r="S236" s="2"/>
      <c r="T236" s="2"/>
    </row>
    <row r="237" spans="1:20" hidden="1">
      <c r="A237" s="249"/>
      <c r="B237" s="1019" t="s">
        <v>207</v>
      </c>
      <c r="C237" s="1020">
        <f>C233*(1.005)</f>
        <v>4.9592472460285846</v>
      </c>
      <c r="D237" s="1020" t="e">
        <f>D233*(1.005)</f>
        <v>#DIV/0!</v>
      </c>
      <c r="E237" s="254"/>
      <c r="I237" s="254"/>
      <c r="J237" s="250"/>
      <c r="K237" s="250"/>
      <c r="L237" s="250"/>
      <c r="M237" s="108"/>
      <c r="N237" s="112"/>
      <c r="O237" s="2"/>
      <c r="P237" s="2"/>
      <c r="Q237" s="2"/>
      <c r="R237" s="2"/>
      <c r="S237" s="2"/>
      <c r="T237" s="2"/>
    </row>
    <row r="238" spans="1:20" hidden="1">
      <c r="A238" s="249"/>
      <c r="B238" s="1019" t="s">
        <v>208</v>
      </c>
      <c r="C238" s="1020">
        <f>C$226*(1.005)</f>
        <v>5.0249999999999995</v>
      </c>
      <c r="D238" s="1020" t="e">
        <f>D$226*(1.005)</f>
        <v>#DIV/0!</v>
      </c>
      <c r="E238" s="254"/>
      <c r="I238" s="254"/>
      <c r="J238" s="250"/>
      <c r="K238" s="250"/>
      <c r="L238" s="250"/>
      <c r="M238" s="108"/>
      <c r="N238" s="112"/>
      <c r="O238" s="2"/>
      <c r="P238" s="2"/>
      <c r="Q238" s="2"/>
      <c r="R238" s="2"/>
      <c r="S238" s="2"/>
      <c r="T238" s="2"/>
    </row>
    <row r="239" spans="1:20" hidden="1">
      <c r="A239" s="249"/>
      <c r="B239" s="1019" t="s">
        <v>209</v>
      </c>
      <c r="C239" s="1020">
        <f>C234*1.005</f>
        <v>5.0907527539714144</v>
      </c>
      <c r="D239" s="1020" t="e">
        <f>D234*1.005</f>
        <v>#DIV/0!</v>
      </c>
      <c r="E239" s="254"/>
      <c r="I239" s="254"/>
      <c r="J239" s="250"/>
      <c r="K239" s="250"/>
      <c r="L239" s="250"/>
      <c r="M239" s="108"/>
      <c r="N239" s="112"/>
      <c r="O239" s="2"/>
      <c r="P239" s="2"/>
      <c r="Q239" s="2"/>
      <c r="R239" s="2"/>
      <c r="S239" s="2"/>
      <c r="T239" s="2"/>
    </row>
    <row r="240" spans="1:20" hidden="1">
      <c r="A240" s="249"/>
      <c r="B240" s="1019" t="s">
        <v>210</v>
      </c>
      <c r="C240" s="1021">
        <f>(C239-C226)/C226</f>
        <v>1.815055079428287E-2</v>
      </c>
      <c r="D240" s="1021" t="e">
        <f>(D239-D226)/D226</f>
        <v>#DIV/0!</v>
      </c>
      <c r="E240" s="254"/>
      <c r="I240" s="254"/>
      <c r="J240" s="250"/>
      <c r="K240" s="250"/>
      <c r="L240" s="250"/>
      <c r="M240" s="108"/>
      <c r="N240" s="112"/>
      <c r="O240" s="2"/>
      <c r="P240" s="2"/>
      <c r="Q240" s="2"/>
      <c r="R240" s="2"/>
      <c r="S240" s="2"/>
      <c r="T240" s="2"/>
    </row>
    <row r="241" spans="1:20" hidden="1">
      <c r="A241" s="249"/>
      <c r="B241" s="1019" t="s">
        <v>211</v>
      </c>
      <c r="C241" s="1020">
        <f>C233-C$309/1000</f>
        <v>4.8879436768005924</v>
      </c>
      <c r="D241" s="1020" t="e">
        <f>D233-D$309/1000</f>
        <v>#DIV/0!</v>
      </c>
      <c r="E241" s="254"/>
      <c r="I241" s="254"/>
      <c r="J241" s="250"/>
      <c r="K241" s="250"/>
      <c r="L241" s="250"/>
      <c r="M241" s="108"/>
      <c r="N241" s="112"/>
      <c r="O241" s="2"/>
      <c r="P241" s="2"/>
      <c r="Q241" s="2"/>
      <c r="R241" s="2"/>
      <c r="S241" s="2"/>
      <c r="T241" s="2"/>
    </row>
    <row r="242" spans="1:20" hidden="1">
      <c r="A242" s="249"/>
      <c r="B242" s="1019" t="s">
        <v>212</v>
      </c>
      <c r="C242" s="1022">
        <f>C$226-C$309/1000</f>
        <v>4.9533693026427965</v>
      </c>
      <c r="D242" s="1022" t="e">
        <f>D$226-D$309/1000</f>
        <v>#DIV/0!</v>
      </c>
      <c r="E242" s="254"/>
      <c r="I242" s="254"/>
      <c r="J242" s="250"/>
      <c r="K242" s="250"/>
      <c r="L242" s="250"/>
      <c r="M242" s="108"/>
      <c r="N242" s="112"/>
      <c r="O242" s="2"/>
      <c r="P242" s="2"/>
      <c r="Q242" s="2"/>
      <c r="R242" s="2"/>
      <c r="S242" s="2"/>
      <c r="T242" s="2"/>
    </row>
    <row r="243" spans="1:20" hidden="1">
      <c r="A243" s="249"/>
      <c r="B243" s="1019" t="s">
        <v>213</v>
      </c>
      <c r="C243" s="1020">
        <f>C234-C$309/1000</f>
        <v>5.0187949284850006</v>
      </c>
      <c r="D243" s="1020" t="e">
        <f>D234-D$309/1000</f>
        <v>#DIV/0!</v>
      </c>
      <c r="E243" s="254"/>
      <c r="I243" s="254"/>
      <c r="J243" s="250"/>
      <c r="K243" s="250"/>
      <c r="L243" s="250"/>
      <c r="M243" s="108"/>
      <c r="N243" s="112"/>
      <c r="O243" s="2"/>
      <c r="P243" s="2"/>
      <c r="Q243" s="2"/>
      <c r="R243" s="2"/>
      <c r="S243" s="2"/>
      <c r="T243" s="2"/>
    </row>
    <row r="244" spans="1:20" hidden="1">
      <c r="A244" s="249"/>
      <c r="B244" s="1023" t="s">
        <v>731</v>
      </c>
      <c r="C244" s="1021">
        <f>(C241-C226)/C226</f>
        <v>-2.2411264639881523E-2</v>
      </c>
      <c r="D244" s="1021" t="e">
        <f>(D241-D226)/D226</f>
        <v>#DIV/0!</v>
      </c>
      <c r="E244" s="254"/>
      <c r="I244" s="254"/>
      <c r="J244" s="250"/>
      <c r="K244" s="250"/>
      <c r="L244" s="250"/>
      <c r="M244" s="108"/>
      <c r="N244" s="112"/>
      <c r="O244" s="2"/>
      <c r="P244" s="2"/>
      <c r="Q244" s="2"/>
      <c r="R244" s="2"/>
      <c r="S244" s="2"/>
      <c r="T244" s="2"/>
    </row>
    <row r="245" spans="1:20" hidden="1">
      <c r="A245" s="249"/>
      <c r="B245" s="1024" t="s">
        <v>678</v>
      </c>
      <c r="C245" s="1021"/>
      <c r="D245" s="1021"/>
      <c r="E245" s="254"/>
      <c r="I245" s="254"/>
      <c r="J245" s="250"/>
      <c r="K245" s="250"/>
      <c r="L245" s="250"/>
      <c r="M245" s="108"/>
      <c r="N245" s="112"/>
      <c r="O245" s="2"/>
      <c r="P245" s="2"/>
      <c r="Q245" s="2"/>
      <c r="R245" s="2"/>
      <c r="S245" s="2"/>
      <c r="T245" s="2"/>
    </row>
    <row r="246" spans="1:20" hidden="1">
      <c r="A246" s="249"/>
      <c r="B246" s="1019" t="s">
        <v>211</v>
      </c>
      <c r="C246" s="1025">
        <f>C233-C$315/1000</f>
        <v>4.8588800097133511</v>
      </c>
      <c r="D246" s="1025" t="e">
        <f>D233-D$315/1000</f>
        <v>#DIV/0!</v>
      </c>
      <c r="E246" s="254"/>
      <c r="I246" s="254"/>
      <c r="J246" s="250"/>
      <c r="K246" s="250"/>
      <c r="L246" s="250"/>
      <c r="M246" s="108"/>
      <c r="N246" s="112"/>
      <c r="O246" s="2"/>
      <c r="P246" s="2"/>
      <c r="Q246" s="2"/>
      <c r="R246" s="2"/>
      <c r="S246" s="2"/>
      <c r="T246" s="2"/>
    </row>
    <row r="247" spans="1:20" hidden="1">
      <c r="A247" s="249"/>
      <c r="B247" s="1019" t="s">
        <v>212</v>
      </c>
      <c r="C247" s="1022">
        <f>C$226-C$315/1000</f>
        <v>4.9243056355555552</v>
      </c>
      <c r="D247" s="1022" t="e">
        <f>D$226-D$315/1000</f>
        <v>#DIV/0!</v>
      </c>
      <c r="E247" s="254"/>
      <c r="I247" s="254"/>
      <c r="J247" s="250"/>
      <c r="K247" s="250"/>
      <c r="L247" s="250"/>
      <c r="M247" s="108"/>
      <c r="N247" s="112"/>
      <c r="O247" s="2"/>
      <c r="P247" s="2"/>
      <c r="Q247" s="2"/>
      <c r="R247" s="2"/>
      <c r="S247" s="2"/>
      <c r="T247" s="2"/>
    </row>
    <row r="248" spans="1:20" hidden="1">
      <c r="A248" s="249"/>
      <c r="B248" s="1019" t="s">
        <v>213</v>
      </c>
      <c r="C248" s="1020">
        <f>C239-C$315/1000</f>
        <v>5.0150583895269696</v>
      </c>
      <c r="D248" s="1020" t="e">
        <f>D239-D$315/1000</f>
        <v>#DIV/0!</v>
      </c>
      <c r="E248" s="254"/>
      <c r="I248" s="254"/>
      <c r="J248" s="250"/>
      <c r="K248" s="250"/>
      <c r="L248" s="250"/>
      <c r="M248" s="108"/>
      <c r="N248" s="112"/>
      <c r="O248" s="2"/>
      <c r="P248" s="2"/>
      <c r="Q248" s="2"/>
      <c r="R248" s="2"/>
      <c r="S248" s="2"/>
      <c r="T248" s="2"/>
    </row>
    <row r="249" spans="1:20" hidden="1">
      <c r="A249" s="249"/>
      <c r="B249" s="1023" t="s">
        <v>731</v>
      </c>
      <c r="C249" s="1021">
        <f>(C246-C226)/C226</f>
        <v>-2.822399805732978E-2</v>
      </c>
      <c r="D249" s="1021" t="e">
        <f>(D246-D226)/D226</f>
        <v>#DIV/0!</v>
      </c>
      <c r="E249" s="254"/>
      <c r="I249" s="254"/>
      <c r="J249" s="250"/>
      <c r="K249" s="250"/>
      <c r="L249" s="250"/>
      <c r="M249" s="108"/>
      <c r="N249" s="112"/>
      <c r="O249" s="2"/>
      <c r="P249" s="2"/>
      <c r="Q249" s="2"/>
      <c r="R249" s="2"/>
      <c r="S249" s="2"/>
      <c r="T249" s="2"/>
    </row>
    <row r="250" spans="1:20" hidden="1">
      <c r="A250" s="249"/>
      <c r="B250" s="154" t="s">
        <v>214</v>
      </c>
      <c r="C250" s="1017"/>
      <c r="D250" s="1017"/>
      <c r="E250" s="254"/>
      <c r="I250" s="254"/>
      <c r="J250" s="250"/>
      <c r="K250" s="250"/>
      <c r="L250" s="250"/>
      <c r="M250" s="108"/>
      <c r="N250" s="112"/>
      <c r="O250" s="2"/>
      <c r="P250" s="2"/>
      <c r="Q250" s="2"/>
      <c r="R250" s="2"/>
      <c r="S250" s="2"/>
      <c r="T250" s="2"/>
    </row>
    <row r="251" spans="1:20" hidden="1">
      <c r="A251" s="249"/>
      <c r="B251" s="1015" t="s">
        <v>204</v>
      </c>
      <c r="C251" s="1018">
        <f>C304/C301*C319*(1-C267*C297)+C319*(1-C267/3)</f>
        <v>4.9388008714659</v>
      </c>
      <c r="D251" s="1018" t="e">
        <f>D304/D301*D319*(1-D267*D297)+D319*(1-D267/3)</f>
        <v>#DIV/0!</v>
      </c>
      <c r="E251" s="254"/>
      <c r="I251" s="254"/>
      <c r="J251" s="250"/>
      <c r="K251" s="250"/>
      <c r="L251" s="250"/>
      <c r="M251" s="108"/>
      <c r="N251" s="112"/>
      <c r="O251" s="2"/>
      <c r="P251" s="2"/>
      <c r="Q251" s="2"/>
      <c r="R251" s="2"/>
      <c r="S251" s="2"/>
      <c r="T251" s="2"/>
    </row>
    <row r="252" spans="1:20" hidden="1">
      <c r="A252" s="249"/>
      <c r="B252" s="1015" t="s">
        <v>1030</v>
      </c>
      <c r="C252" s="1018">
        <f>C304/C301*C319*(1+C267*C297)+C319*(1+C267/3)</f>
        <v>5.0611991285341009</v>
      </c>
      <c r="D252" s="1018" t="e">
        <f>D304/D301*D319*(1+D267*D297)+D319*(1+D267/3)</f>
        <v>#DIV/0!</v>
      </c>
      <c r="E252" s="254"/>
      <c r="I252" s="254"/>
      <c r="J252" s="250"/>
      <c r="K252" s="250"/>
      <c r="L252" s="250"/>
      <c r="M252" s="108"/>
      <c r="N252" s="112"/>
      <c r="O252" s="2"/>
      <c r="P252" s="2"/>
      <c r="Q252" s="2"/>
      <c r="R252" s="2"/>
      <c r="S252" s="2"/>
      <c r="T252" s="2"/>
    </row>
    <row r="253" spans="1:20" hidden="1">
      <c r="A253" s="249"/>
      <c r="B253" s="1015" t="s">
        <v>205</v>
      </c>
      <c r="C253" s="1017">
        <f>(C304/C301*C319*(1-C267*C297)+C319*(1-C267/3)-C226)/C226</f>
        <v>-1.2239825706820006E-2</v>
      </c>
      <c r="D253" s="1017" t="e">
        <f>(D304/D301*D319*(1-D267*D297)+D319*(1-D267/3)-D226)/D226</f>
        <v>#DIV/0!</v>
      </c>
      <c r="E253" s="254"/>
      <c r="I253" s="254"/>
      <c r="J253" s="250"/>
      <c r="K253" s="250"/>
      <c r="L253" s="250"/>
      <c r="M253" s="108"/>
      <c r="N253" s="112"/>
      <c r="O253" s="2"/>
      <c r="P253" s="2"/>
      <c r="Q253" s="2"/>
      <c r="R253" s="2"/>
      <c r="S253" s="2"/>
      <c r="T253" s="2"/>
    </row>
    <row r="254" spans="1:20" hidden="1">
      <c r="A254" s="249"/>
      <c r="B254" s="1015" t="s">
        <v>1031</v>
      </c>
      <c r="C254" s="1017">
        <f>(C304/C301*C319*(1+C267*C297)+C319*(1+C267/3)-C226)/C226</f>
        <v>1.2239825706820185E-2</v>
      </c>
      <c r="D254" s="1017" t="e">
        <f>(D304/D301*D319*(1+D267*D297)+D319*(1+D267/3)-D226)/D226</f>
        <v>#DIV/0!</v>
      </c>
      <c r="E254" s="254"/>
      <c r="I254" s="254"/>
      <c r="J254" s="250"/>
      <c r="K254" s="250"/>
      <c r="L254" s="250"/>
      <c r="M254" s="108"/>
      <c r="N254" s="112"/>
      <c r="O254" s="2"/>
      <c r="P254" s="2"/>
      <c r="Q254" s="2"/>
      <c r="R254" s="2"/>
      <c r="S254" s="2"/>
      <c r="T254" s="2"/>
    </row>
    <row r="255" spans="1:20" hidden="1">
      <c r="A255" s="249"/>
      <c r="B255" s="154" t="s">
        <v>215</v>
      </c>
      <c r="C255" s="1017"/>
      <c r="D255" s="1017"/>
      <c r="E255" s="254"/>
      <c r="I255" s="254"/>
      <c r="J255" s="250"/>
      <c r="K255" s="250"/>
      <c r="L255" s="250"/>
      <c r="M255" s="108"/>
      <c r="N255" s="112"/>
      <c r="O255" s="2"/>
      <c r="P255" s="2"/>
      <c r="Q255" s="2"/>
      <c r="R255" s="2"/>
      <c r="S255" s="2"/>
      <c r="T255" s="2"/>
    </row>
    <row r="256" spans="1:20" hidden="1">
      <c r="A256" s="249"/>
      <c r="B256" s="1015" t="s">
        <v>204</v>
      </c>
      <c r="C256" s="1018">
        <f>C304/C301*C319*(1-C279*C297)+C319*(1-C320)</f>
        <v>4.9068615612366937</v>
      </c>
      <c r="D256" s="1018" t="e">
        <f>D304/D301*D319*(1-D279*D297)+D319*(1-D320)</f>
        <v>#DIV/0!</v>
      </c>
      <c r="E256" s="254"/>
      <c r="I256" s="254"/>
      <c r="J256" s="250"/>
      <c r="K256" s="250"/>
      <c r="L256" s="250"/>
      <c r="M256" s="108"/>
      <c r="N256" s="112"/>
      <c r="O256" s="2"/>
      <c r="P256" s="2"/>
      <c r="Q256" s="2"/>
      <c r="R256" s="2"/>
      <c r="S256" s="2"/>
      <c r="T256" s="2"/>
    </row>
    <row r="257" spans="1:20" hidden="1">
      <c r="A257" s="249"/>
      <c r="B257" s="1015" t="s">
        <v>1030</v>
      </c>
      <c r="C257" s="1018">
        <f>C304/C301*C319*(1+C279*C297)+C319*(1+C320)</f>
        <v>5.0931384387633063</v>
      </c>
      <c r="D257" s="1018" t="e">
        <f>D304/D301*D319*(1+D279*D297)+D319*(1+D320)</f>
        <v>#DIV/0!</v>
      </c>
      <c r="E257" s="254"/>
      <c r="I257" s="254"/>
      <c r="J257" s="250"/>
      <c r="K257" s="250"/>
      <c r="L257" s="250"/>
      <c r="M257" s="108"/>
      <c r="N257" s="112"/>
      <c r="O257" s="2"/>
      <c r="P257" s="2"/>
      <c r="Q257" s="2"/>
      <c r="R257" s="2"/>
      <c r="S257" s="2"/>
      <c r="T257" s="2"/>
    </row>
    <row r="258" spans="1:20" hidden="1">
      <c r="A258" s="249"/>
      <c r="B258" s="1015" t="s">
        <v>205</v>
      </c>
      <c r="C258" s="1017">
        <f>(C304/C301*C319*(1-C279*C297)+C319*(1-C320)-C226)/C226</f>
        <v>-1.862768775266126E-2</v>
      </c>
      <c r="D258" s="1017" t="e">
        <f>(D304/D301*D319*(1-D279*D297)+D319*(1-D320)-D226)/D226</f>
        <v>#DIV/0!</v>
      </c>
      <c r="E258" s="254"/>
      <c r="I258" s="254"/>
      <c r="J258" s="250"/>
      <c r="K258" s="250"/>
      <c r="L258" s="250"/>
      <c r="M258" s="108"/>
      <c r="N258" s="112"/>
      <c r="O258" s="2"/>
      <c r="P258" s="2"/>
      <c r="Q258" s="2"/>
      <c r="R258" s="2"/>
      <c r="S258" s="2"/>
      <c r="T258" s="2"/>
    </row>
    <row r="259" spans="1:20" hidden="1">
      <c r="A259" s="249"/>
      <c r="B259" s="1015" t="s">
        <v>1031</v>
      </c>
      <c r="C259" s="1017">
        <f>(C304/C301*C319*(1+C279*C297)+C319*(1+C320)-C226)/C226</f>
        <v>1.862768775266126E-2</v>
      </c>
      <c r="D259" s="1017" t="e">
        <f>(D304/D301*D319*(1+D279*D297)+D319*(1+D320)-D226)/D226</f>
        <v>#DIV/0!</v>
      </c>
      <c r="E259" s="254"/>
      <c r="I259" s="254"/>
      <c r="J259" s="250"/>
      <c r="K259" s="250"/>
      <c r="L259" s="250"/>
      <c r="M259" s="108"/>
      <c r="N259" s="112"/>
      <c r="O259" s="2"/>
      <c r="P259" s="2"/>
      <c r="Q259" s="2"/>
      <c r="R259" s="2"/>
      <c r="S259" s="2"/>
      <c r="T259" s="2"/>
    </row>
    <row r="260" spans="1:20" hidden="1">
      <c r="A260" s="249"/>
      <c r="B260" s="1019" t="s">
        <v>216</v>
      </c>
      <c r="C260" s="1020">
        <f>C256*(1.005)</f>
        <v>4.931395869042877</v>
      </c>
      <c r="D260" s="1020" t="e">
        <f>D256*(1.005)</f>
        <v>#DIV/0!</v>
      </c>
      <c r="E260" s="254"/>
      <c r="I260" s="254"/>
      <c r="J260" s="250"/>
      <c r="K260" s="250"/>
      <c r="L260" s="250"/>
      <c r="M260" s="108"/>
      <c r="N260" s="112"/>
      <c r="O260" s="2"/>
      <c r="P260" s="2"/>
      <c r="Q260" s="2"/>
      <c r="R260" s="2"/>
      <c r="S260" s="2"/>
      <c r="T260" s="2"/>
    </row>
    <row r="261" spans="1:20" hidden="1">
      <c r="A261" s="249"/>
      <c r="B261" s="1019" t="s">
        <v>217</v>
      </c>
      <c r="C261" s="1020">
        <f>C$226*(1.005)</f>
        <v>5.0249999999999995</v>
      </c>
      <c r="D261" s="1020" t="e">
        <f>D$226*(1.005)</f>
        <v>#DIV/0!</v>
      </c>
      <c r="E261" s="254"/>
      <c r="I261" s="254"/>
      <c r="J261" s="250"/>
      <c r="K261" s="250"/>
      <c r="L261" s="250"/>
      <c r="M261" s="108"/>
      <c r="N261" s="112"/>
      <c r="O261" s="2"/>
      <c r="P261" s="2"/>
      <c r="Q261" s="2"/>
      <c r="R261" s="2"/>
      <c r="S261" s="2"/>
      <c r="T261" s="2"/>
    </row>
    <row r="262" spans="1:20" hidden="1">
      <c r="A262" s="249"/>
      <c r="B262" s="1019" t="s">
        <v>218</v>
      </c>
      <c r="C262" s="1020">
        <f>C257*1.005</f>
        <v>5.118604130957122</v>
      </c>
      <c r="D262" s="1020" t="e">
        <f>D257*1.005</f>
        <v>#DIV/0!</v>
      </c>
      <c r="E262" s="254"/>
      <c r="I262" s="254"/>
      <c r="J262" s="250"/>
      <c r="K262" s="250"/>
      <c r="L262" s="250"/>
      <c r="M262" s="108"/>
      <c r="N262" s="112"/>
      <c r="O262" s="2"/>
      <c r="P262" s="2"/>
      <c r="Q262" s="2"/>
      <c r="R262" s="2"/>
      <c r="S262" s="2"/>
      <c r="T262" s="2"/>
    </row>
    <row r="263" spans="1:20" hidden="1">
      <c r="A263" s="249"/>
      <c r="B263" s="1019" t="s">
        <v>219</v>
      </c>
      <c r="C263" s="1020">
        <f>C256-C$309/1000</f>
        <v>4.8602308638794902</v>
      </c>
      <c r="D263" s="1020" t="e">
        <f>D256-D$309/1000</f>
        <v>#DIV/0!</v>
      </c>
      <c r="E263" s="254"/>
      <c r="I263" s="254"/>
      <c r="J263" s="250"/>
      <c r="K263" s="250"/>
      <c r="L263" s="250"/>
      <c r="M263" s="108"/>
      <c r="N263" s="112"/>
      <c r="O263" s="2"/>
      <c r="P263" s="2"/>
      <c r="Q263" s="2"/>
      <c r="R263" s="2"/>
      <c r="S263" s="2"/>
      <c r="T263" s="2"/>
    </row>
    <row r="264" spans="1:20" hidden="1">
      <c r="A264" s="249"/>
      <c r="B264" s="1019" t="s">
        <v>220</v>
      </c>
      <c r="C264" s="1022">
        <f>C$226-C$309/1000</f>
        <v>4.9533693026427965</v>
      </c>
      <c r="D264" s="1022" t="e">
        <f>D$226-D$309/1000</f>
        <v>#DIV/0!</v>
      </c>
      <c r="E264" s="254"/>
      <c r="I264" s="254"/>
      <c r="J264" s="250"/>
      <c r="K264" s="250"/>
      <c r="L264" s="250"/>
      <c r="M264" s="108"/>
      <c r="N264" s="112"/>
      <c r="O264" s="2"/>
      <c r="P264" s="2"/>
      <c r="Q264" s="2"/>
      <c r="R264" s="2"/>
      <c r="S264" s="2"/>
      <c r="T264" s="2"/>
    </row>
    <row r="265" spans="1:20" hidden="1">
      <c r="A265" s="249"/>
      <c r="B265" s="1019" t="s">
        <v>221</v>
      </c>
      <c r="C265" s="1020">
        <f>C257-C$309/1000</f>
        <v>5.0465077414061028</v>
      </c>
      <c r="D265" s="1020" t="e">
        <f>D257-D$309/1000</f>
        <v>#DIV/0!</v>
      </c>
      <c r="E265" s="254"/>
      <c r="I265" s="254"/>
      <c r="J265" s="250"/>
      <c r="K265" s="250"/>
      <c r="L265" s="250"/>
      <c r="M265" s="108"/>
      <c r="N265" s="112"/>
      <c r="O265" s="2"/>
      <c r="P265" s="2"/>
      <c r="Q265" s="2"/>
      <c r="R265" s="2"/>
      <c r="S265" s="2"/>
      <c r="T265" s="2"/>
    </row>
    <row r="266" spans="1:20" hidden="1">
      <c r="A266" s="249"/>
      <c r="B266" s="154" t="s">
        <v>955</v>
      </c>
      <c r="C266" s="1017"/>
      <c r="D266" s="1017"/>
      <c r="E266" s="254"/>
      <c r="I266" s="254"/>
      <c r="J266" s="250"/>
      <c r="K266" s="250"/>
      <c r="L266" s="250"/>
      <c r="M266" s="108"/>
      <c r="N266" s="112"/>
      <c r="O266" s="2"/>
      <c r="P266" s="2"/>
      <c r="Q266" s="2"/>
      <c r="R266" s="2"/>
      <c r="S266" s="2"/>
      <c r="T266" s="2"/>
    </row>
    <row r="267" spans="1:20" hidden="1">
      <c r="A267" s="249"/>
      <c r="B267" s="1026" t="s">
        <v>921</v>
      </c>
      <c r="C267" s="1027">
        <f>SQRT((C320)^2+(C305)^2+(C302)^2)</f>
        <v>1.7320508075688773E-2</v>
      </c>
      <c r="D267" s="1027">
        <f>SQRT((D320)^2+(D305)^2+(D302)^2)</f>
        <v>1.7320508075688773E-2</v>
      </c>
      <c r="E267" s="254"/>
      <c r="I267" s="254"/>
      <c r="J267" s="250"/>
      <c r="K267" s="250"/>
      <c r="L267" s="250"/>
      <c r="M267" s="108"/>
      <c r="N267" s="112"/>
      <c r="O267" s="2"/>
      <c r="P267" s="2"/>
      <c r="Q267" s="2"/>
      <c r="R267" s="2"/>
      <c r="S267" s="2"/>
      <c r="T267" s="2"/>
    </row>
    <row r="268" spans="1:20" hidden="1">
      <c r="A268" s="249"/>
      <c r="B268" s="1015" t="s">
        <v>204</v>
      </c>
      <c r="C268" s="385">
        <f>C304/C301*C319*(1-G318)+C319*(1-C320)</f>
        <v>4.99</v>
      </c>
      <c r="D268" s="385" t="e">
        <f>D304/D301*D319*(1-H318)+D319*(1-D320)</f>
        <v>#DIV/0!</v>
      </c>
      <c r="E268" s="254"/>
      <c r="I268" s="254"/>
      <c r="J268" s="250"/>
      <c r="K268" s="250"/>
      <c r="L268" s="250"/>
      <c r="M268" s="108"/>
      <c r="N268" s="112"/>
      <c r="O268" s="2"/>
      <c r="P268" s="2"/>
      <c r="Q268" s="2"/>
      <c r="R268" s="2"/>
      <c r="S268" s="2"/>
      <c r="T268" s="2"/>
    </row>
    <row r="269" spans="1:20" hidden="1">
      <c r="A269" s="249"/>
      <c r="B269" s="1015" t="s">
        <v>1030</v>
      </c>
      <c r="C269" s="385">
        <f>C304/C301*C319*(1+G318)+C319*(1+C320)</f>
        <v>5.01</v>
      </c>
      <c r="D269" s="385" t="e">
        <f>D304/D301*D319*(1+H318)+D319*(1+D320)</f>
        <v>#DIV/0!</v>
      </c>
      <c r="E269" s="254"/>
      <c r="I269" s="254"/>
      <c r="J269" s="250"/>
      <c r="K269" s="250"/>
      <c r="L269" s="250"/>
      <c r="M269" s="108"/>
      <c r="N269" s="112"/>
      <c r="O269" s="2"/>
      <c r="P269" s="2"/>
      <c r="Q269" s="2"/>
      <c r="R269" s="2"/>
      <c r="S269" s="2"/>
      <c r="T269" s="2"/>
    </row>
    <row r="270" spans="1:20" hidden="1">
      <c r="A270" s="249"/>
      <c r="B270" s="1015" t="s">
        <v>205</v>
      </c>
      <c r="C270" s="1017">
        <f>(C304/C301*C319*(1-G318)+C319*(1-C320)-C226)/C226</f>
        <v>-1.9999999999999575E-3</v>
      </c>
      <c r="D270" s="1017" t="e">
        <f>(D304/D301*D319*(1-H318)+D319*(1-D320)-D226)/D226</f>
        <v>#DIV/0!</v>
      </c>
      <c r="E270" s="254"/>
      <c r="I270" s="254"/>
      <c r="J270" s="250"/>
      <c r="K270" s="250"/>
      <c r="L270" s="250"/>
      <c r="M270" s="108"/>
      <c r="N270" s="112"/>
      <c r="O270" s="2"/>
      <c r="P270" s="2"/>
      <c r="Q270" s="2"/>
      <c r="R270" s="2"/>
      <c r="S270" s="2"/>
      <c r="T270" s="2"/>
    </row>
    <row r="271" spans="1:20" hidden="1">
      <c r="A271" s="249"/>
      <c r="B271" s="1015" t="s">
        <v>1031</v>
      </c>
      <c r="C271" s="1017">
        <f>(C304/C301*C319*(1+G318)+C319*(1+C320)-C226)/C226</f>
        <v>1.9999999999999575E-3</v>
      </c>
      <c r="D271" s="1017" t="e">
        <f>(D304/D301*D319*(1+H318)+D319*(1+D320)-D226)/D226</f>
        <v>#DIV/0!</v>
      </c>
      <c r="E271" s="254"/>
      <c r="I271" s="254"/>
      <c r="J271" s="250"/>
      <c r="K271" s="250"/>
      <c r="L271" s="250"/>
      <c r="M271" s="108"/>
      <c r="N271" s="112"/>
      <c r="O271" s="2"/>
      <c r="P271" s="2"/>
      <c r="Q271" s="2"/>
      <c r="R271" s="2"/>
      <c r="S271" s="2"/>
      <c r="T271" s="2"/>
    </row>
    <row r="272" spans="1:20" hidden="1">
      <c r="A272" s="249"/>
      <c r="B272" s="1019" t="s">
        <v>216</v>
      </c>
      <c r="C272" s="1020">
        <f>C268*(1.005)</f>
        <v>5.0149499999999998</v>
      </c>
      <c r="D272" s="1020" t="e">
        <f>D268*(1.005)</f>
        <v>#DIV/0!</v>
      </c>
      <c r="E272" s="254"/>
      <c r="I272" s="254"/>
      <c r="J272" s="250"/>
      <c r="K272" s="250"/>
      <c r="L272" s="250"/>
      <c r="M272" s="108"/>
      <c r="N272" s="112"/>
      <c r="O272" s="2"/>
      <c r="P272" s="2"/>
      <c r="Q272" s="2"/>
      <c r="R272" s="2"/>
      <c r="S272" s="2"/>
      <c r="T272" s="2"/>
    </row>
    <row r="273" spans="1:20" hidden="1">
      <c r="A273" s="249"/>
      <c r="B273" s="1019" t="s">
        <v>217</v>
      </c>
      <c r="C273" s="1020">
        <f>C$226*(1.005)</f>
        <v>5.0249999999999995</v>
      </c>
      <c r="D273" s="1020" t="e">
        <f>D$226*(1.005)</f>
        <v>#DIV/0!</v>
      </c>
      <c r="E273" s="254"/>
      <c r="I273" s="254"/>
      <c r="J273" s="250"/>
      <c r="K273" s="250"/>
      <c r="L273" s="250"/>
      <c r="M273" s="108"/>
      <c r="N273" s="112"/>
      <c r="O273" s="2"/>
      <c r="P273" s="2"/>
      <c r="Q273" s="2"/>
      <c r="R273" s="2"/>
      <c r="S273" s="2"/>
      <c r="T273" s="2"/>
    </row>
    <row r="274" spans="1:20" hidden="1">
      <c r="A274" s="249"/>
      <c r="B274" s="1019" t="s">
        <v>218</v>
      </c>
      <c r="C274" s="1020">
        <f>C269*1.005</f>
        <v>5.0350499999999991</v>
      </c>
      <c r="D274" s="1020" t="e">
        <f>D269*1.005</f>
        <v>#DIV/0!</v>
      </c>
      <c r="E274" s="254"/>
      <c r="I274" s="254"/>
      <c r="J274" s="250"/>
      <c r="K274" s="250"/>
      <c r="L274" s="250"/>
      <c r="M274" s="108"/>
      <c r="N274" s="112"/>
      <c r="O274" s="2"/>
      <c r="P274" s="2"/>
      <c r="Q274" s="2"/>
      <c r="R274" s="2"/>
      <c r="S274" s="2"/>
      <c r="T274" s="2"/>
    </row>
    <row r="275" spans="1:20" hidden="1">
      <c r="A275" s="249"/>
      <c r="B275" s="1019" t="s">
        <v>219</v>
      </c>
      <c r="C275" s="1020">
        <f>C268-C$309/1000</f>
        <v>4.9433693026427967</v>
      </c>
      <c r="D275" s="1020" t="e">
        <f>D268-D$309/1000</f>
        <v>#DIV/0!</v>
      </c>
      <c r="E275" s="254"/>
      <c r="I275" s="254"/>
      <c r="J275" s="250"/>
      <c r="K275" s="250"/>
      <c r="L275" s="250"/>
      <c r="M275" s="108"/>
      <c r="N275" s="112"/>
      <c r="O275" s="2"/>
      <c r="P275" s="2"/>
      <c r="Q275" s="2"/>
      <c r="R275" s="2"/>
      <c r="S275" s="2"/>
      <c r="T275" s="2"/>
    </row>
    <row r="276" spans="1:20" hidden="1">
      <c r="A276" s="249"/>
      <c r="B276" s="1019" t="s">
        <v>220</v>
      </c>
      <c r="C276" s="1022">
        <f>C$226-C$309/1000</f>
        <v>4.9533693026427965</v>
      </c>
      <c r="D276" s="1022" t="e">
        <f>D$226-D$309/1000</f>
        <v>#DIV/0!</v>
      </c>
      <c r="E276" s="254"/>
      <c r="I276" s="254"/>
      <c r="J276" s="250"/>
      <c r="K276" s="250"/>
      <c r="L276" s="250"/>
      <c r="M276" s="108"/>
      <c r="N276" s="112"/>
      <c r="O276" s="2"/>
      <c r="P276" s="2"/>
      <c r="Q276" s="2"/>
      <c r="R276" s="2"/>
      <c r="S276" s="2"/>
      <c r="T276" s="2"/>
    </row>
    <row r="277" spans="1:20" hidden="1">
      <c r="A277" s="249"/>
      <c r="B277" s="1019" t="s">
        <v>221</v>
      </c>
      <c r="C277" s="1020">
        <f>C269-C$309/1000</f>
        <v>4.9633693026427963</v>
      </c>
      <c r="D277" s="1020" t="e">
        <f>D269-D$309/1000</f>
        <v>#DIV/0!</v>
      </c>
      <c r="E277" s="254"/>
      <c r="I277" s="254"/>
      <c r="J277" s="250"/>
      <c r="K277" s="250"/>
      <c r="L277" s="250"/>
      <c r="M277" s="108"/>
      <c r="N277" s="112"/>
      <c r="O277" s="2"/>
      <c r="P277" s="2"/>
      <c r="Q277" s="2"/>
      <c r="R277" s="2"/>
      <c r="S277" s="2"/>
      <c r="T277" s="2"/>
    </row>
    <row r="278" spans="1:20" hidden="1">
      <c r="A278" s="249"/>
      <c r="B278" s="1028" t="s">
        <v>860</v>
      </c>
      <c r="C278" s="1017"/>
      <c r="D278" s="1017"/>
      <c r="E278" s="254"/>
      <c r="I278" s="254"/>
      <c r="J278" s="250"/>
      <c r="K278" s="250"/>
      <c r="L278" s="250"/>
      <c r="M278" s="108"/>
      <c r="N278" s="112"/>
      <c r="O278" s="2"/>
      <c r="P278" s="2"/>
      <c r="Q278" s="2"/>
      <c r="R278" s="2"/>
      <c r="S278" s="2"/>
      <c r="T278" s="2"/>
    </row>
    <row r="279" spans="1:20" hidden="1">
      <c r="A279" s="249"/>
      <c r="B279" s="1029" t="s">
        <v>934</v>
      </c>
      <c r="C279" s="1030">
        <f>2*(C320+C305+C302)/(C320+C305+C302+MAX(C305,C302,C320))*(SQRT((C320)^2+(C305)^2+(C302)^2))</f>
        <v>2.598076211353316E-2</v>
      </c>
      <c r="D279" s="1030">
        <f>2*(D320+D305+D302)/(D320+D305+D302+MAX(D305,D302,D320))*(SQRT((D320)^2+(D305)^2+(D302)^2))</f>
        <v>2.598076211353316E-2</v>
      </c>
      <c r="E279" s="254"/>
      <c r="I279" s="254"/>
      <c r="J279" s="250"/>
      <c r="K279" s="250"/>
      <c r="L279" s="250"/>
      <c r="M279" s="108"/>
      <c r="N279" s="112"/>
      <c r="O279" s="2"/>
      <c r="P279" s="2"/>
      <c r="Q279" s="2"/>
      <c r="R279" s="2"/>
      <c r="S279" s="2"/>
      <c r="T279" s="2"/>
    </row>
    <row r="280" spans="1:20" hidden="1">
      <c r="A280" s="249"/>
      <c r="B280" s="1015" t="s">
        <v>204</v>
      </c>
      <c r="C280" s="1031">
        <f>C304/C301*C319*(1-C279)+C319*(1-C320)</f>
        <v>4.8860769515458671</v>
      </c>
      <c r="D280" s="1031" t="e">
        <f>D304/D301*D319*(1-D279)+D319*(1-D320)</f>
        <v>#DIV/0!</v>
      </c>
      <c r="E280" s="254"/>
      <c r="I280" s="254"/>
      <c r="J280" s="250"/>
      <c r="K280" s="250"/>
      <c r="L280" s="250"/>
      <c r="M280" s="108"/>
      <c r="N280" s="112"/>
      <c r="O280" s="2"/>
      <c r="P280" s="2"/>
      <c r="Q280" s="2"/>
      <c r="R280" s="2"/>
      <c r="S280" s="2"/>
      <c r="T280" s="2"/>
    </row>
    <row r="281" spans="1:20" hidden="1">
      <c r="A281" s="249"/>
      <c r="B281" s="1015" t="s">
        <v>1030</v>
      </c>
      <c r="C281" s="1031">
        <f>C304/C301*C319*(1+C279)+C319*(1+C320)</f>
        <v>5.113923048454132</v>
      </c>
      <c r="D281" s="1031" t="e">
        <f>D304/D301*D319*(1+D279)+D319*(1+D320)</f>
        <v>#DIV/0!</v>
      </c>
      <c r="E281" s="254"/>
      <c r="I281" s="254"/>
      <c r="J281" s="250"/>
      <c r="K281" s="250"/>
      <c r="L281" s="250"/>
      <c r="M281" s="108"/>
      <c r="N281" s="112"/>
      <c r="O281" s="2"/>
      <c r="P281" s="2"/>
      <c r="Q281" s="2"/>
      <c r="R281" s="2"/>
      <c r="S281" s="2"/>
      <c r="T281" s="2"/>
    </row>
    <row r="282" spans="1:20" hidden="1">
      <c r="A282" s="249"/>
      <c r="B282" s="1015" t="s">
        <v>205</v>
      </c>
      <c r="C282" s="1032">
        <f>(C304/C301*C319*(1-C279)+C319*(1-C320)-C226)/C226</f>
        <v>-2.2784609690826584E-2</v>
      </c>
      <c r="D282" s="1032" t="e">
        <f>(D304/D301*D319*(1-D279)+D319*(1-D320)-D226)/D226</f>
        <v>#DIV/0!</v>
      </c>
      <c r="E282" s="254"/>
      <c r="I282" s="254"/>
      <c r="J282" s="250"/>
      <c r="K282" s="250"/>
      <c r="L282" s="250"/>
      <c r="M282" s="108"/>
      <c r="N282" s="112"/>
      <c r="O282" s="2"/>
      <c r="P282" s="2"/>
      <c r="Q282" s="2"/>
      <c r="R282" s="2"/>
      <c r="S282" s="2"/>
      <c r="T282" s="2"/>
    </row>
    <row r="283" spans="1:20" hidden="1">
      <c r="A283" s="249"/>
      <c r="B283" s="1015" t="s">
        <v>1031</v>
      </c>
      <c r="C283" s="1032">
        <f>(C304/C301*C319*(1+C279)+C319*(1+C320)-C226)/C226</f>
        <v>2.2784609690826407E-2</v>
      </c>
      <c r="D283" s="1032" t="e">
        <f>(D304/D301*D319*(1+D279)+D319*(1+D320)-D226)/D226</f>
        <v>#DIV/0!</v>
      </c>
      <c r="E283" s="254"/>
      <c r="I283" s="254"/>
      <c r="J283" s="250"/>
      <c r="K283" s="250"/>
      <c r="L283" s="250"/>
      <c r="M283" s="108"/>
      <c r="N283" s="112"/>
      <c r="O283" s="2"/>
      <c r="P283" s="2"/>
      <c r="Q283" s="2"/>
      <c r="R283" s="2"/>
      <c r="S283" s="2"/>
      <c r="T283" s="2"/>
    </row>
    <row r="284" spans="1:20" hidden="1">
      <c r="A284" s="249"/>
      <c r="B284" s="1019" t="s">
        <v>216</v>
      </c>
      <c r="C284" s="1020">
        <f>C280*(1.005)</f>
        <v>4.9105073363035956</v>
      </c>
      <c r="D284" s="1020" t="e">
        <f>D280*(1.005)</f>
        <v>#DIV/0!</v>
      </c>
      <c r="E284" s="254"/>
      <c r="I284" s="254"/>
      <c r="J284" s="250"/>
      <c r="K284" s="250"/>
      <c r="L284" s="250"/>
      <c r="M284" s="108"/>
      <c r="N284" s="112"/>
      <c r="O284" s="2"/>
      <c r="P284" s="2"/>
      <c r="Q284" s="2"/>
      <c r="R284" s="2"/>
      <c r="S284" s="2"/>
      <c r="T284" s="2"/>
    </row>
    <row r="285" spans="1:20" hidden="1">
      <c r="A285" s="249"/>
      <c r="B285" s="1019" t="s">
        <v>217</v>
      </c>
      <c r="C285" s="1020">
        <f>C$226*(1.005)</f>
        <v>5.0249999999999995</v>
      </c>
      <c r="D285" s="1020" t="e">
        <f>D$226*(1.005)</f>
        <v>#DIV/0!</v>
      </c>
      <c r="E285" s="254"/>
      <c r="I285" s="254"/>
      <c r="J285" s="250"/>
      <c r="K285" s="250"/>
      <c r="L285" s="250"/>
      <c r="M285" s="108"/>
      <c r="N285" s="112"/>
      <c r="O285" s="2"/>
      <c r="P285" s="2"/>
      <c r="Q285" s="2"/>
      <c r="R285" s="2"/>
      <c r="S285" s="2"/>
      <c r="T285" s="2"/>
    </row>
    <row r="286" spans="1:20" hidden="1">
      <c r="A286" s="249"/>
      <c r="B286" s="1019" t="s">
        <v>218</v>
      </c>
      <c r="C286" s="1020">
        <f>C281*1.005</f>
        <v>5.1394926636964025</v>
      </c>
      <c r="D286" s="1020" t="e">
        <f>D281*1.005</f>
        <v>#DIV/0!</v>
      </c>
      <c r="E286" s="388"/>
      <c r="I286" s="254"/>
      <c r="J286" s="250"/>
      <c r="K286" s="250"/>
      <c r="L286" s="250"/>
      <c r="M286" s="108"/>
      <c r="N286" s="112"/>
      <c r="O286" s="2"/>
      <c r="P286" s="2"/>
      <c r="Q286" s="2"/>
      <c r="R286" s="2"/>
      <c r="S286" s="2"/>
      <c r="T286" s="2"/>
    </row>
    <row r="287" spans="1:20" hidden="1">
      <c r="A287" s="249"/>
      <c r="B287" s="1019" t="s">
        <v>219</v>
      </c>
      <c r="C287" s="1020">
        <f>C280-C$309/1000</f>
        <v>4.8394462541886636</v>
      </c>
      <c r="D287" s="1020" t="e">
        <f>D280-D$309/1000</f>
        <v>#DIV/0!</v>
      </c>
      <c r="E287" s="254"/>
      <c r="I287" s="254"/>
      <c r="J287" s="250"/>
      <c r="K287" s="250"/>
      <c r="L287" s="250"/>
      <c r="M287" s="108"/>
      <c r="N287" s="112"/>
      <c r="O287" s="2"/>
      <c r="P287" s="2"/>
      <c r="Q287" s="2"/>
      <c r="R287" s="2"/>
      <c r="S287" s="2"/>
      <c r="T287" s="2"/>
    </row>
    <row r="288" spans="1:20" hidden="1">
      <c r="A288" s="249"/>
      <c r="B288" s="1019" t="s">
        <v>220</v>
      </c>
      <c r="C288" s="1022">
        <f>C$226-C$309/1000</f>
        <v>4.9533693026427965</v>
      </c>
      <c r="D288" s="1022" t="e">
        <f>D$226-D$309/1000</f>
        <v>#DIV/0!</v>
      </c>
      <c r="E288" s="254"/>
      <c r="I288" s="254"/>
      <c r="J288" s="250"/>
      <c r="K288" s="250"/>
      <c r="L288" s="250"/>
      <c r="M288" s="108"/>
      <c r="N288" s="112"/>
      <c r="O288" s="2"/>
      <c r="P288" s="2"/>
      <c r="Q288" s="2"/>
      <c r="R288" s="2"/>
      <c r="S288" s="2"/>
      <c r="T288" s="2"/>
    </row>
    <row r="289" spans="1:20" hidden="1">
      <c r="A289" s="249"/>
      <c r="B289" s="1019" t="s">
        <v>221</v>
      </c>
      <c r="C289" s="1020">
        <f>C281-C$309/1000</f>
        <v>5.0672923510969285</v>
      </c>
      <c r="D289" s="1020" t="e">
        <f>D281-D$309/1000</f>
        <v>#DIV/0!</v>
      </c>
      <c r="E289" s="254"/>
      <c r="I289" s="254"/>
      <c r="J289" s="250"/>
      <c r="K289" s="250"/>
      <c r="L289" s="250"/>
      <c r="M289" s="108"/>
      <c r="N289" s="112"/>
      <c r="O289" s="2"/>
      <c r="P289" s="2"/>
      <c r="Q289" s="2"/>
      <c r="R289" s="2"/>
      <c r="S289" s="2"/>
      <c r="T289" s="2"/>
    </row>
    <row r="290" spans="1:20" hidden="1">
      <c r="A290" s="249"/>
      <c r="B290" s="154" t="s">
        <v>1032</v>
      </c>
      <c r="C290" s="1017"/>
      <c r="D290" s="1017"/>
      <c r="E290" s="254"/>
      <c r="I290" s="254"/>
      <c r="J290" s="250"/>
      <c r="K290" s="250"/>
      <c r="L290" s="250"/>
      <c r="M290" s="108"/>
      <c r="N290" s="112"/>
      <c r="O290" s="2"/>
      <c r="P290" s="2"/>
      <c r="Q290" s="2"/>
      <c r="R290" s="2"/>
      <c r="S290" s="2"/>
      <c r="T290" s="2"/>
    </row>
    <row r="291" spans="1:20" hidden="1">
      <c r="A291" s="249"/>
      <c r="B291" s="1015" t="s">
        <v>922</v>
      </c>
      <c r="C291" s="1033">
        <f>((1+C304*(1-C305)/(C301)*C319)-C226)/C226</f>
        <v>-8.0000000000000071E-3</v>
      </c>
      <c r="D291" s="1033" t="e">
        <f>((1+D304*(1-D305)/(D301)*D319)-D226)/D226</f>
        <v>#DIV/0!</v>
      </c>
      <c r="E291" s="254"/>
      <c r="I291" s="254"/>
      <c r="J291" s="250"/>
      <c r="K291" s="250"/>
      <c r="L291" s="250"/>
      <c r="M291" s="108"/>
      <c r="N291" s="112"/>
      <c r="O291" s="2"/>
      <c r="P291" s="2"/>
      <c r="Q291" s="2"/>
      <c r="R291" s="2"/>
      <c r="S291" s="2"/>
      <c r="T291" s="2"/>
    </row>
    <row r="292" spans="1:20" hidden="1">
      <c r="A292" s="249"/>
      <c r="B292" s="1015" t="s">
        <v>923</v>
      </c>
      <c r="C292" s="1033">
        <f>((1+C304*(1+C305)/(C301)*C319)-C226)/C226</f>
        <v>8.0000000000000071E-3</v>
      </c>
      <c r="D292" s="1033" t="e">
        <f>((1+D304*(1+D305)/(D301)*D319)-D226)/D226</f>
        <v>#DIV/0!</v>
      </c>
      <c r="E292" s="254"/>
      <c r="I292" s="254"/>
      <c r="J292" s="250"/>
      <c r="K292" s="250"/>
      <c r="L292" s="250"/>
      <c r="M292" s="108"/>
      <c r="N292" s="112"/>
      <c r="O292" s="2"/>
      <c r="P292" s="2"/>
      <c r="Q292" s="2"/>
      <c r="R292" s="2"/>
      <c r="S292" s="2"/>
      <c r="T292" s="2"/>
    </row>
    <row r="293" spans="1:20" hidden="1">
      <c r="A293" s="249"/>
      <c r="B293" s="1015" t="s">
        <v>924</v>
      </c>
      <c r="C293" s="1033">
        <f>((1+C304/(C301*(1+C302))*C319)-C226)/C226</f>
        <v>-7.9207920792079278E-3</v>
      </c>
      <c r="D293" s="1033" t="e">
        <f>((1+D304/(D301*(1+D302))*D319)-D226)/D226</f>
        <v>#DIV/0!</v>
      </c>
      <c r="E293" s="254"/>
      <c r="I293" s="254"/>
      <c r="J293" s="250"/>
      <c r="K293" s="250"/>
      <c r="L293" s="250"/>
      <c r="M293" s="108"/>
      <c r="N293" s="112"/>
      <c r="O293" s="2"/>
      <c r="P293" s="2"/>
      <c r="Q293" s="2"/>
      <c r="R293" s="2"/>
      <c r="S293" s="2"/>
      <c r="T293" s="2"/>
    </row>
    <row r="294" spans="1:20" hidden="1">
      <c r="A294" s="249"/>
      <c r="B294" s="1015" t="s">
        <v>925</v>
      </c>
      <c r="C294" s="1033">
        <f>((1+C304/(C301*(1-C302))*C319)-C226)/C226</f>
        <v>8.0808080808081328E-3</v>
      </c>
      <c r="D294" s="1033" t="e">
        <f>((1+D304/(D301*(1-D302))*D319)-D226)/D226</f>
        <v>#DIV/0!</v>
      </c>
      <c r="E294" s="254"/>
      <c r="I294" s="254"/>
      <c r="J294" s="250"/>
      <c r="K294" s="250"/>
      <c r="L294" s="250"/>
      <c r="M294" s="108"/>
      <c r="N294" s="112"/>
      <c r="O294" s="2"/>
      <c r="P294" s="2"/>
      <c r="Q294" s="2"/>
      <c r="R294" s="2"/>
      <c r="S294" s="2"/>
      <c r="T294" s="2"/>
    </row>
    <row r="295" spans="1:20" hidden="1">
      <c r="A295" s="249"/>
      <c r="B295" s="1015" t="s">
        <v>926</v>
      </c>
      <c r="C295" s="1033">
        <f>((1+C304/C301*C319*(1-C320))-C226)/C226</f>
        <v>-8.0000000000000071E-3</v>
      </c>
      <c r="D295" s="1033" t="e">
        <f>((1+D304/D301*D319*(1-D320))-D226)/D226</f>
        <v>#DIV/0!</v>
      </c>
      <c r="E295" s="254"/>
      <c r="I295" s="254"/>
      <c r="J295" s="250"/>
      <c r="K295" s="250"/>
      <c r="L295" s="250"/>
      <c r="M295" s="108"/>
      <c r="N295" s="112"/>
      <c r="O295" s="2"/>
      <c r="P295" s="2"/>
      <c r="Q295" s="2"/>
      <c r="R295" s="2"/>
      <c r="S295" s="2"/>
      <c r="T295" s="2"/>
    </row>
    <row r="296" spans="1:20" hidden="1">
      <c r="A296" s="249"/>
      <c r="B296" s="1015" t="s">
        <v>927</v>
      </c>
      <c r="C296" s="1033">
        <f>((1+C304/C301*C319*(1+C320))-C226)/C226</f>
        <v>8.0000000000000071E-3</v>
      </c>
      <c r="D296" s="1033" t="e">
        <f>((1+D304/D301*D319*(1+D320))-D226)/D226</f>
        <v>#DIV/0!</v>
      </c>
      <c r="E296" s="254"/>
      <c r="I296" s="254"/>
      <c r="J296" s="250"/>
      <c r="K296" s="250"/>
      <c r="L296" s="250"/>
      <c r="M296" s="108"/>
      <c r="N296" s="112"/>
      <c r="O296" s="2"/>
      <c r="P296" s="2"/>
      <c r="Q296" s="2"/>
      <c r="R296" s="2"/>
      <c r="S296" s="2"/>
      <c r="T296" s="2"/>
    </row>
    <row r="297" spans="1:20" hidden="1">
      <c r="A297" s="249"/>
      <c r="B297" s="1034" t="s">
        <v>222</v>
      </c>
      <c r="C297" s="1035">
        <f>C304/C301*C319/C226</f>
        <v>0.8</v>
      </c>
      <c r="D297" s="1035" t="e">
        <f>D304/D301*D319/D226</f>
        <v>#DIV/0!</v>
      </c>
      <c r="E297" s="254"/>
      <c r="F297" s="1036"/>
      <c r="G297" s="1036"/>
      <c r="H297" s="1036"/>
      <c r="I297" s="254"/>
      <c r="J297" s="250"/>
      <c r="K297" s="250"/>
      <c r="L297" s="250"/>
      <c r="M297" s="108"/>
      <c r="N297" s="112"/>
      <c r="O297" s="2"/>
      <c r="P297" s="2"/>
      <c r="Q297" s="2"/>
      <c r="R297" s="2"/>
      <c r="S297" s="2"/>
      <c r="T297" s="2"/>
    </row>
    <row r="298" spans="1:20" hidden="1">
      <c r="A298" s="249"/>
      <c r="B298" s="1034" t="s">
        <v>223</v>
      </c>
      <c r="C298" s="1035">
        <f>C319/C226</f>
        <v>0.2</v>
      </c>
      <c r="D298" s="1035" t="e">
        <f>D319/D226</f>
        <v>#DIV/0!</v>
      </c>
      <c r="E298" s="254"/>
      <c r="F298" s="1037"/>
      <c r="G298" s="391"/>
      <c r="H298" s="391"/>
      <c r="I298" s="254"/>
      <c r="J298" s="250"/>
      <c r="K298" s="250"/>
      <c r="L298" s="250"/>
      <c r="M298" s="108"/>
      <c r="N298" s="112"/>
      <c r="O298" s="2"/>
      <c r="P298" s="2"/>
      <c r="Q298" s="2"/>
      <c r="R298" s="2"/>
      <c r="S298" s="2"/>
      <c r="T298" s="2"/>
    </row>
    <row r="299" spans="1:20" hidden="1">
      <c r="A299" s="249"/>
      <c r="E299" s="254"/>
      <c r="F299" s="392"/>
      <c r="G299" s="391"/>
      <c r="H299" s="391"/>
      <c r="I299" s="254"/>
      <c r="J299" s="250"/>
      <c r="K299" s="250"/>
      <c r="L299" s="250"/>
      <c r="M299" s="108"/>
      <c r="N299" s="112"/>
      <c r="O299" s="2"/>
      <c r="P299" s="2"/>
      <c r="Q299" s="2"/>
      <c r="R299" s="2"/>
      <c r="S299" s="2"/>
      <c r="T299" s="2"/>
    </row>
    <row r="300" spans="1:20" hidden="1">
      <c r="A300" s="249"/>
      <c r="B300" s="1010" t="s">
        <v>1057</v>
      </c>
      <c r="C300" s="1038"/>
      <c r="D300" s="1038"/>
      <c r="E300" s="254"/>
      <c r="F300" s="392"/>
      <c r="G300" s="391"/>
      <c r="H300" s="391"/>
      <c r="I300" s="254"/>
      <c r="J300" s="250"/>
      <c r="K300" s="250"/>
      <c r="L300" s="250"/>
      <c r="M300" s="108"/>
      <c r="N300" s="112"/>
      <c r="O300" s="2"/>
      <c r="P300" s="2"/>
      <c r="Q300" s="2"/>
      <c r="R300" s="2"/>
      <c r="S300" s="2"/>
      <c r="T300" s="2"/>
    </row>
    <row r="301" spans="1:20" hidden="1">
      <c r="A301" s="249"/>
      <c r="B301" s="345" t="s">
        <v>1121</v>
      </c>
      <c r="C301" s="1039">
        <f>D19</f>
        <v>10</v>
      </c>
      <c r="D301" s="1039">
        <f>D20</f>
        <v>0</v>
      </c>
      <c r="E301" s="254"/>
      <c r="F301" s="392"/>
      <c r="G301" s="394"/>
      <c r="H301" s="394"/>
      <c r="I301" s="254"/>
      <c r="J301" s="250"/>
      <c r="K301" s="250"/>
      <c r="L301" s="250"/>
      <c r="M301" s="108"/>
      <c r="N301" s="112"/>
      <c r="O301" s="2"/>
      <c r="P301" s="2"/>
      <c r="Q301" s="2"/>
      <c r="R301" s="2"/>
      <c r="S301" s="2"/>
      <c r="T301" s="2"/>
    </row>
    <row r="302" spans="1:20" hidden="1">
      <c r="A302" s="249"/>
      <c r="B302" s="1040" t="s">
        <v>224</v>
      </c>
      <c r="C302" s="1041">
        <f>M188</f>
        <v>0.01</v>
      </c>
      <c r="D302" s="1041">
        <f>M189</f>
        <v>0.01</v>
      </c>
      <c r="E302" s="254"/>
      <c r="F302" s="392"/>
      <c r="G302" s="394"/>
      <c r="H302" s="394"/>
      <c r="I302" s="254"/>
      <c r="J302" s="250"/>
      <c r="K302" s="250"/>
      <c r="L302" s="250"/>
      <c r="M302" s="108"/>
      <c r="N302" s="112"/>
      <c r="O302" s="2"/>
      <c r="P302" s="2"/>
      <c r="Q302" s="2"/>
      <c r="R302" s="2"/>
      <c r="S302" s="2"/>
      <c r="T302" s="2"/>
    </row>
    <row r="303" spans="1:20" hidden="1">
      <c r="A303" s="249"/>
      <c r="B303" s="345" t="s">
        <v>847</v>
      </c>
      <c r="C303" s="1042">
        <f>(C225-C319)/C319*C301</f>
        <v>40</v>
      </c>
      <c r="D303" s="1042">
        <f>(D225-$C$319)/$C$319*D301</f>
        <v>0</v>
      </c>
      <c r="E303" s="112"/>
      <c r="F303" s="112"/>
      <c r="G303" s="112"/>
      <c r="H303" s="112"/>
      <c r="I303" s="254"/>
      <c r="J303" s="250"/>
      <c r="K303" s="250"/>
      <c r="L303" s="250"/>
      <c r="M303" s="108"/>
      <c r="N303" s="112"/>
      <c r="O303" s="2"/>
      <c r="P303" s="2"/>
      <c r="Q303" s="2"/>
      <c r="R303" s="2"/>
      <c r="S303" s="2"/>
      <c r="T303" s="2"/>
    </row>
    <row r="304" spans="1:20" hidden="1">
      <c r="A304" s="249"/>
      <c r="B304" s="345" t="s">
        <v>846</v>
      </c>
      <c r="C304" s="1039">
        <f>F19</f>
        <v>40</v>
      </c>
      <c r="D304" s="1039">
        <f>F20</f>
        <v>0</v>
      </c>
      <c r="E304" s="1043"/>
      <c r="F304" s="112"/>
      <c r="G304" s="112"/>
      <c r="H304" s="112"/>
      <c r="I304" s="254"/>
      <c r="J304" s="250"/>
      <c r="K304" s="250"/>
      <c r="L304" s="250"/>
      <c r="M304" s="108"/>
      <c r="N304" s="112"/>
      <c r="O304" s="2"/>
      <c r="P304" s="2"/>
      <c r="Q304" s="2"/>
      <c r="R304" s="2"/>
      <c r="S304" s="2"/>
      <c r="T304" s="2"/>
    </row>
    <row r="305" spans="1:20" hidden="1">
      <c r="A305" s="249"/>
      <c r="B305" s="1040" t="s">
        <v>225</v>
      </c>
      <c r="C305" s="1041">
        <f>N188</f>
        <v>0.01</v>
      </c>
      <c r="D305" s="1041">
        <f>N189</f>
        <v>0.01</v>
      </c>
      <c r="E305" s="1043"/>
      <c r="F305" s="112"/>
      <c r="G305" s="112"/>
      <c r="H305" s="112"/>
      <c r="I305" s="254"/>
      <c r="J305" s="250"/>
      <c r="K305" s="250"/>
      <c r="L305" s="250"/>
      <c r="M305" s="108"/>
      <c r="N305" s="112"/>
      <c r="O305" s="2"/>
      <c r="P305" s="2"/>
      <c r="Q305" s="2"/>
      <c r="R305" s="2"/>
      <c r="S305" s="2"/>
      <c r="T305" s="2"/>
    </row>
    <row r="306" spans="1:20" hidden="1">
      <c r="A306" s="249"/>
      <c r="B306" s="1010" t="s">
        <v>907</v>
      </c>
      <c r="C306" s="1038"/>
      <c r="D306" s="1038"/>
      <c r="E306" s="1043"/>
      <c r="F306" s="112"/>
      <c r="G306" s="112"/>
      <c r="H306" s="112"/>
      <c r="I306" s="254"/>
      <c r="J306" s="250"/>
      <c r="K306" s="250"/>
      <c r="L306" s="250"/>
      <c r="M306" s="108"/>
      <c r="N306" s="112"/>
      <c r="O306" s="2"/>
      <c r="P306" s="2"/>
      <c r="Q306" s="2"/>
      <c r="R306" s="2"/>
      <c r="S306" s="2"/>
      <c r="T306" s="2"/>
    </row>
    <row r="307" spans="1:20" hidden="1">
      <c r="A307" s="249"/>
      <c r="B307" s="1040" t="s">
        <v>226</v>
      </c>
      <c r="C307" s="1044">
        <f>0.5*C309</f>
        <v>23.315348678601875</v>
      </c>
      <c r="D307" s="1044" t="e">
        <f>0.5*D309</f>
        <v>#DIV/0!</v>
      </c>
      <c r="E307" s="1043"/>
      <c r="F307" s="112"/>
      <c r="G307" s="112"/>
      <c r="H307" s="112"/>
      <c r="I307" s="254"/>
      <c r="J307" s="250"/>
      <c r="K307" s="250"/>
      <c r="L307" s="250"/>
      <c r="M307" s="108"/>
      <c r="N307" s="112"/>
      <c r="O307" s="2"/>
      <c r="P307" s="2"/>
      <c r="Q307" s="2"/>
      <c r="R307" s="2"/>
      <c r="S307" s="2"/>
      <c r="T307" s="2"/>
    </row>
    <row r="308" spans="1:20" hidden="1">
      <c r="A308" s="249"/>
      <c r="B308" s="1040" t="s">
        <v>227</v>
      </c>
      <c r="C308" s="1045">
        <f>C307/C225/1000</f>
        <v>4.6630697357203758E-3</v>
      </c>
      <c r="D308" s="1045" t="e">
        <f>D307/D225/1000</f>
        <v>#DIV/0!</v>
      </c>
      <c r="E308" s="1043"/>
      <c r="F308" s="112"/>
      <c r="G308" s="112"/>
      <c r="H308" s="112"/>
      <c r="I308" s="254"/>
      <c r="J308" s="250"/>
      <c r="K308" s="250"/>
      <c r="L308" s="250"/>
      <c r="M308" s="108"/>
      <c r="N308" s="112"/>
      <c r="O308" s="2"/>
      <c r="P308" s="2"/>
      <c r="Q308" s="2"/>
      <c r="R308" s="2"/>
      <c r="S308" s="2"/>
      <c r="T308" s="2"/>
    </row>
    <row r="309" spans="1:20" hidden="1">
      <c r="A309" s="249"/>
      <c r="B309" s="1040" t="s">
        <v>228</v>
      </c>
      <c r="C309" s="317">
        <f>0.1*C332/C590*C226/C797/C640*10^6</f>
        <v>46.630697357203751</v>
      </c>
      <c r="D309" s="317" t="e">
        <f>0.1*D332/D590*D226/D797/D640*10^6</f>
        <v>#DIV/0!</v>
      </c>
      <c r="E309" s="1043"/>
      <c r="F309" s="112"/>
      <c r="G309" s="112"/>
      <c r="H309" s="112"/>
      <c r="I309" s="254"/>
      <c r="J309" s="250"/>
      <c r="K309" s="250"/>
      <c r="L309" s="250"/>
      <c r="M309" s="108"/>
      <c r="N309" s="112"/>
      <c r="O309" s="2"/>
      <c r="P309" s="2"/>
      <c r="Q309" s="2"/>
      <c r="R309" s="2"/>
      <c r="S309" s="2"/>
      <c r="T309" s="2"/>
    </row>
    <row r="310" spans="1:20" hidden="1">
      <c r="A310" s="249"/>
      <c r="B310" s="1040" t="s">
        <v>229</v>
      </c>
      <c r="C310" s="1032">
        <f>C309/C225/1000</f>
        <v>9.3261394714407517E-3</v>
      </c>
      <c r="D310" s="1032" t="e">
        <f>D309/D225/1000</f>
        <v>#DIV/0!</v>
      </c>
      <c r="E310" s="932"/>
      <c r="F310" s="254"/>
      <c r="G310" s="1046"/>
      <c r="H310" s="1046"/>
      <c r="I310" s="254"/>
      <c r="J310" s="250"/>
      <c r="K310" s="250"/>
      <c r="L310" s="250"/>
      <c r="M310" s="108"/>
      <c r="N310" s="112"/>
      <c r="O310" s="2"/>
      <c r="P310" s="2"/>
      <c r="Q310" s="2"/>
      <c r="R310" s="2"/>
      <c r="S310" s="2"/>
      <c r="T310" s="2"/>
    </row>
    <row r="311" spans="1:20" hidden="1">
      <c r="A311" s="249"/>
      <c r="B311" s="1040" t="s">
        <v>230</v>
      </c>
      <c r="C311" s="1044">
        <f>C309/C332</f>
        <v>3.6430232310315427</v>
      </c>
      <c r="D311" s="1044" t="e">
        <f>D309/D332</f>
        <v>#DIV/0!</v>
      </c>
      <c r="E311" s="932"/>
      <c r="F311" s="254"/>
      <c r="G311" s="1046"/>
      <c r="H311" s="1046"/>
      <c r="I311" s="254"/>
      <c r="J311" s="250"/>
      <c r="K311" s="250"/>
      <c r="L311" s="250"/>
      <c r="M311" s="108"/>
      <c r="N311" s="112"/>
      <c r="O311" s="2"/>
      <c r="P311" s="2"/>
      <c r="Q311" s="2"/>
      <c r="R311" s="2"/>
      <c r="S311" s="2"/>
      <c r="T311" s="2"/>
    </row>
    <row r="312" spans="1:20" hidden="1">
      <c r="A312" s="249"/>
      <c r="B312" s="1010" t="s">
        <v>908</v>
      </c>
      <c r="C312" s="1032"/>
      <c r="D312" s="1032"/>
      <c r="E312" s="932"/>
      <c r="F312" s="254"/>
      <c r="G312" s="1046"/>
      <c r="H312" s="1046"/>
      <c r="I312" s="254"/>
      <c r="J312" s="250"/>
      <c r="K312" s="250"/>
      <c r="L312" s="250"/>
      <c r="M312" s="108"/>
      <c r="N312" s="112"/>
      <c r="O312" s="2"/>
      <c r="P312" s="2"/>
      <c r="Q312" s="2"/>
      <c r="R312" s="2"/>
      <c r="S312" s="2"/>
      <c r="T312" s="2"/>
    </row>
    <row r="313" spans="1:20" hidden="1">
      <c r="A313" s="249"/>
      <c r="B313" s="1040" t="s">
        <v>226</v>
      </c>
      <c r="C313" s="1044">
        <f>0.5*C315</f>
        <v>37.847182222222237</v>
      </c>
      <c r="D313" s="1044" t="e">
        <f>0.5*D315</f>
        <v>#DIV/0!</v>
      </c>
      <c r="E313" s="932"/>
      <c r="F313" s="254"/>
      <c r="G313" s="1046"/>
      <c r="H313" s="1046"/>
      <c r="I313" s="254"/>
      <c r="J313" s="250"/>
      <c r="K313" s="250"/>
      <c r="L313" s="250"/>
      <c r="M313" s="108"/>
      <c r="N313" s="112"/>
      <c r="O313" s="2"/>
      <c r="P313" s="2"/>
      <c r="Q313" s="2"/>
      <c r="R313" s="2"/>
      <c r="S313" s="2"/>
      <c r="T313" s="2"/>
    </row>
    <row r="314" spans="1:20" hidden="1">
      <c r="A314" s="249"/>
      <c r="B314" s="1040" t="s">
        <v>227</v>
      </c>
      <c r="C314" s="1032">
        <f>C313/C225/1000</f>
        <v>7.5694364444444471E-3</v>
      </c>
      <c r="D314" s="1032" t="e">
        <f>D313/D225/1000</f>
        <v>#DIV/0!</v>
      </c>
      <c r="E314" s="932"/>
      <c r="F314" s="254"/>
      <c r="G314" s="1046"/>
      <c r="H314" s="1046"/>
      <c r="I314" s="254"/>
      <c r="J314" s="250"/>
      <c r="K314" s="250"/>
      <c r="L314" s="250"/>
      <c r="M314" s="108"/>
      <c r="N314" s="112"/>
      <c r="O314" s="2"/>
      <c r="P314" s="2"/>
      <c r="Q314" s="2"/>
      <c r="R314" s="2"/>
      <c r="S314" s="2"/>
      <c r="T314" s="2"/>
    </row>
    <row r="315" spans="1:20" hidden="1">
      <c r="A315" s="249"/>
      <c r="B315" s="1040" t="s">
        <v>228</v>
      </c>
      <c r="C315" s="1044">
        <f>0.1*C332/C520*C226/C797/C730*10^6</f>
        <v>75.694364444444474</v>
      </c>
      <c r="D315" s="1044" t="e">
        <f>0.1*D332/D520*D226/D797/D730*10^6</f>
        <v>#DIV/0!</v>
      </c>
      <c r="E315" s="932"/>
      <c r="F315" s="254"/>
      <c r="G315" s="1046"/>
      <c r="H315" s="1046"/>
      <c r="I315" s="254"/>
      <c r="J315" s="250"/>
      <c r="K315" s="250"/>
      <c r="L315" s="250"/>
      <c r="M315" s="108"/>
      <c r="N315" s="112"/>
      <c r="O315" s="2"/>
      <c r="P315" s="2"/>
      <c r="Q315" s="2"/>
      <c r="R315" s="2"/>
      <c r="S315" s="2"/>
      <c r="T315" s="2"/>
    </row>
    <row r="316" spans="1:20" hidden="1">
      <c r="A316" s="249"/>
      <c r="B316" s="1040" t="s">
        <v>229</v>
      </c>
      <c r="C316" s="1032">
        <f>C315/C225/1000</f>
        <v>1.5138872888888894E-2</v>
      </c>
      <c r="D316" s="1032" t="e">
        <f>D315/D225/1000</f>
        <v>#DIV/0!</v>
      </c>
      <c r="E316" s="932"/>
      <c r="F316" s="254"/>
      <c r="G316" s="1046"/>
      <c r="H316" s="1046"/>
      <c r="I316" s="254"/>
      <c r="J316" s="250"/>
      <c r="K316" s="250"/>
      <c r="L316" s="250"/>
      <c r="M316" s="108"/>
      <c r="N316" s="112"/>
      <c r="O316" s="2"/>
      <c r="P316" s="2"/>
      <c r="Q316" s="2"/>
      <c r="R316" s="2"/>
      <c r="S316" s="2"/>
      <c r="T316" s="2"/>
    </row>
    <row r="317" spans="1:20" hidden="1">
      <c r="A317" s="249"/>
      <c r="B317" s="1040" t="s">
        <v>230</v>
      </c>
      <c r="C317" s="1044">
        <f>C315/C332</f>
        <v>5.9136222222222239</v>
      </c>
      <c r="D317" s="1044" t="e">
        <f>D315/D332</f>
        <v>#DIV/0!</v>
      </c>
      <c r="E317" s="932"/>
      <c r="F317" s="254"/>
      <c r="G317" s="1046"/>
      <c r="H317" s="1046"/>
      <c r="I317" s="254"/>
      <c r="J317" s="250"/>
      <c r="K317" s="250"/>
      <c r="L317" s="250"/>
      <c r="M317" s="108"/>
      <c r="N317" s="112"/>
      <c r="O317" s="2"/>
      <c r="P317" s="2"/>
      <c r="Q317" s="2"/>
      <c r="R317" s="2"/>
      <c r="S317" s="2"/>
      <c r="T317" s="2"/>
    </row>
    <row r="318" spans="1:20" hidden="1">
      <c r="A318" s="249"/>
      <c r="B318" s="1010" t="s">
        <v>231</v>
      </c>
      <c r="C318" s="1038"/>
      <c r="D318" s="1038"/>
      <c r="E318" s="932"/>
      <c r="F318" s="254"/>
      <c r="G318" s="1046"/>
      <c r="H318" s="1046"/>
      <c r="I318" s="254"/>
      <c r="J318" s="250"/>
      <c r="K318" s="250"/>
      <c r="L318" s="250"/>
      <c r="M318" s="108"/>
      <c r="N318" s="112"/>
      <c r="O318" s="2"/>
      <c r="P318" s="2"/>
      <c r="Q318" s="2"/>
      <c r="R318" s="2"/>
      <c r="S318" s="2"/>
      <c r="T318" s="2"/>
    </row>
    <row r="319" spans="1:20" hidden="1">
      <c r="A319" s="249"/>
      <c r="B319" s="1047" t="s">
        <v>1191</v>
      </c>
      <c r="C319" s="1048">
        <v>1</v>
      </c>
      <c r="D319" s="1049">
        <f>C319</f>
        <v>1</v>
      </c>
      <c r="E319" s="1037"/>
      <c r="F319" s="254"/>
      <c r="G319" s="250"/>
      <c r="H319" s="401"/>
      <c r="I319" s="254"/>
      <c r="J319" s="250"/>
      <c r="K319" s="250"/>
      <c r="L319" s="250"/>
      <c r="M319" s="108"/>
      <c r="N319" s="112"/>
      <c r="O319" s="2"/>
      <c r="P319" s="2"/>
      <c r="Q319" s="2"/>
      <c r="R319" s="2"/>
      <c r="S319" s="2"/>
      <c r="T319" s="2"/>
    </row>
    <row r="320" spans="1:20" hidden="1">
      <c r="A320" s="249"/>
      <c r="B320" s="1047" t="s">
        <v>1192</v>
      </c>
      <c r="C320" s="1041">
        <v>0.01</v>
      </c>
      <c r="D320" s="1049">
        <f>C320</f>
        <v>0.01</v>
      </c>
      <c r="E320" s="1037"/>
      <c r="F320" s="254"/>
      <c r="G320" s="250"/>
      <c r="H320" s="401"/>
      <c r="I320" s="254"/>
      <c r="J320" s="250"/>
      <c r="K320" s="250"/>
      <c r="L320" s="250"/>
      <c r="M320" s="108"/>
      <c r="N320" s="112"/>
      <c r="O320" s="2"/>
      <c r="P320" s="2"/>
      <c r="Q320" s="2"/>
      <c r="R320" s="2"/>
      <c r="S320" s="2"/>
      <c r="T320" s="2"/>
    </row>
    <row r="321" spans="1:104" hidden="1">
      <c r="A321" s="249"/>
      <c r="B321" s="1010" t="s">
        <v>232</v>
      </c>
      <c r="C321" s="1038"/>
      <c r="D321" s="1038"/>
      <c r="E321" s="1037"/>
      <c r="F321" s="254"/>
      <c r="G321" s="402"/>
      <c r="H321" s="402"/>
      <c r="I321" s="254"/>
      <c r="J321" s="250"/>
      <c r="K321" s="250"/>
      <c r="L321" s="250"/>
      <c r="M321" s="108"/>
      <c r="N321" s="112"/>
      <c r="O321" s="2"/>
      <c r="P321" s="2"/>
      <c r="Q321" s="2"/>
      <c r="R321" s="2"/>
      <c r="S321" s="2"/>
      <c r="T321" s="2"/>
    </row>
    <row r="322" spans="1:104" hidden="1">
      <c r="A322" s="249"/>
      <c r="B322" s="345" t="s">
        <v>233</v>
      </c>
      <c r="C322" s="1050" t="s">
        <v>1004</v>
      </c>
      <c r="D322" s="1050" t="s">
        <v>1004</v>
      </c>
      <c r="E322" s="1037"/>
      <c r="F322" s="254"/>
      <c r="G322" s="402"/>
      <c r="H322" s="402"/>
      <c r="I322" s="254"/>
      <c r="J322" s="250"/>
      <c r="K322" s="250"/>
      <c r="L322" s="250"/>
      <c r="M322" s="108"/>
      <c r="N322" s="112"/>
      <c r="O322" s="2"/>
      <c r="P322" s="2"/>
      <c r="Q322" s="2"/>
      <c r="R322" s="2"/>
      <c r="S322" s="2"/>
      <c r="T322" s="2"/>
    </row>
    <row r="323" spans="1:104" hidden="1">
      <c r="A323" s="249"/>
      <c r="B323" s="345" t="s">
        <v>234</v>
      </c>
      <c r="C323" s="1051">
        <f>C25</f>
        <v>500</v>
      </c>
      <c r="D323" s="1051">
        <f>C323</f>
        <v>500</v>
      </c>
      <c r="E323" s="1037"/>
      <c r="F323" s="254"/>
      <c r="G323" s="401"/>
      <c r="H323" s="401"/>
      <c r="I323" s="254"/>
      <c r="J323" s="250"/>
      <c r="K323" s="250"/>
      <c r="L323" s="250"/>
      <c r="M323" s="108"/>
      <c r="N323" s="112"/>
      <c r="O323" s="2"/>
      <c r="P323" s="2"/>
      <c r="Q323" s="2"/>
      <c r="R323" s="2"/>
      <c r="S323" s="2"/>
      <c r="T323" s="2"/>
    </row>
    <row r="324" spans="1:104" hidden="1">
      <c r="A324" s="249"/>
      <c r="B324" s="345" t="s">
        <v>241</v>
      </c>
      <c r="C324" s="1052">
        <f>IF(C322="internal",10^8/C325/1000, C323)</f>
        <v>500</v>
      </c>
      <c r="D324" s="1052">
        <f>IF(D322="internal",10^8/D325/1000, D323)</f>
        <v>500</v>
      </c>
      <c r="E324" s="1046"/>
      <c r="F324" s="254"/>
      <c r="G324" s="401"/>
      <c r="H324" s="401"/>
      <c r="I324" s="254"/>
      <c r="J324" s="250"/>
      <c r="K324" s="250"/>
      <c r="L324" s="250"/>
      <c r="M324" s="108"/>
      <c r="N324" s="112"/>
      <c r="O324" s="2"/>
      <c r="P324" s="2"/>
      <c r="Q324" s="2"/>
      <c r="R324" s="2"/>
      <c r="S324" s="2"/>
      <c r="T324" s="2"/>
    </row>
    <row r="325" spans="1:104" hidden="1">
      <c r="A325" s="249"/>
      <c r="B325" s="1053" t="s">
        <v>1130</v>
      </c>
      <c r="C325" s="1054">
        <f>E26</f>
        <v>200</v>
      </c>
      <c r="D325" s="1054">
        <f>C325</f>
        <v>200</v>
      </c>
      <c r="E325" s="1046"/>
      <c r="F325" s="254"/>
      <c r="G325" s="401"/>
      <c r="H325" s="401"/>
      <c r="I325" s="254"/>
      <c r="J325" s="250"/>
      <c r="K325" s="250"/>
      <c r="L325" s="250"/>
      <c r="M325" s="108"/>
      <c r="N325" s="112"/>
      <c r="O325" s="2"/>
      <c r="P325" s="2"/>
      <c r="Q325" s="2"/>
      <c r="R325" s="2"/>
      <c r="S325" s="2"/>
      <c r="T325" s="2"/>
    </row>
    <row r="326" spans="1:104" hidden="1">
      <c r="A326" s="249"/>
      <c r="B326" s="1053" t="s">
        <v>242</v>
      </c>
      <c r="C326" s="1055">
        <f>10^8/C323/1000</f>
        <v>200</v>
      </c>
      <c r="D326" s="1055">
        <f>10^8/D323/1000</f>
        <v>200</v>
      </c>
      <c r="E326" s="1046"/>
      <c r="F326" s="254"/>
      <c r="G326" s="401"/>
      <c r="H326" s="401"/>
      <c r="I326" s="254"/>
      <c r="J326" s="250"/>
      <c r="K326" s="250"/>
      <c r="L326" s="250"/>
      <c r="M326" s="108"/>
      <c r="N326" s="112"/>
      <c r="O326" s="2"/>
      <c r="P326" s="2"/>
      <c r="Q326" s="2"/>
      <c r="R326" s="2"/>
      <c r="S326" s="2"/>
      <c r="T326" s="2"/>
    </row>
    <row r="327" spans="1:104" hidden="1">
      <c r="A327" s="249"/>
      <c r="B327" s="1010" t="s">
        <v>243</v>
      </c>
      <c r="C327" s="1038"/>
      <c r="D327" s="1038"/>
      <c r="E327" s="1056"/>
      <c r="F327" s="254"/>
      <c r="G327" s="401"/>
      <c r="H327" s="401"/>
      <c r="I327" s="254"/>
      <c r="J327" s="250"/>
      <c r="K327" s="250"/>
      <c r="L327" s="250"/>
      <c r="M327" s="108"/>
      <c r="N327" s="112"/>
      <c r="O327" s="2"/>
      <c r="P327" s="2"/>
      <c r="Q327" s="2"/>
      <c r="R327" s="2"/>
      <c r="S327" s="2"/>
      <c r="T327" s="2"/>
    </row>
    <row r="328" spans="1:104" hidden="1">
      <c r="A328" s="249"/>
      <c r="B328" s="345" t="s">
        <v>244</v>
      </c>
      <c r="C328" s="1057">
        <f>C12</f>
        <v>21.5</v>
      </c>
      <c r="D328" s="1057">
        <f>C328</f>
        <v>21.5</v>
      </c>
      <c r="E328" s="1058"/>
      <c r="F328" s="1059"/>
      <c r="G328" s="1060"/>
      <c r="H328" s="1060"/>
      <c r="K328" s="108"/>
      <c r="L328" s="108"/>
      <c r="M328" s="250"/>
      <c r="N328" s="392"/>
      <c r="O328" s="334"/>
      <c r="P328" s="335"/>
      <c r="Q328" s="2"/>
      <c r="R328" s="2"/>
      <c r="S328" s="2"/>
      <c r="T328" s="2"/>
    </row>
    <row r="329" spans="1:104" hidden="1">
      <c r="A329" s="249"/>
      <c r="B329" s="345" t="s">
        <v>245</v>
      </c>
      <c r="C329" s="1057">
        <f>D12</f>
        <v>22.5</v>
      </c>
      <c r="D329" s="1057">
        <f>C329</f>
        <v>22.5</v>
      </c>
      <c r="E329" s="1061"/>
      <c r="F329" s="1059"/>
      <c r="G329" s="1060"/>
      <c r="H329" s="1060"/>
      <c r="K329" s="108"/>
      <c r="L329" s="108"/>
      <c r="M329" s="250"/>
      <c r="N329" s="392"/>
      <c r="O329" s="334"/>
      <c r="P329" s="335"/>
      <c r="Q329" s="2"/>
      <c r="R329" s="2"/>
      <c r="S329" s="2"/>
      <c r="T329" s="2"/>
    </row>
    <row r="330" spans="1:104" hidden="1">
      <c r="A330" s="249"/>
      <c r="B330" s="345" t="s">
        <v>246</v>
      </c>
      <c r="C330" s="1057">
        <f>E12</f>
        <v>23.5</v>
      </c>
      <c r="D330" s="1057">
        <f>C330</f>
        <v>23.5</v>
      </c>
      <c r="E330" s="995"/>
      <c r="F330" s="1059"/>
      <c r="G330" s="1062"/>
      <c r="H330" s="1062"/>
      <c r="K330" s="108"/>
      <c r="L330" s="108"/>
      <c r="M330" s="250"/>
      <c r="N330" s="392"/>
      <c r="O330" s="334"/>
      <c r="P330" s="335"/>
      <c r="Q330" s="2"/>
      <c r="R330" s="2"/>
      <c r="S330" s="2"/>
      <c r="T330" s="2"/>
      <c r="AL330" s="22"/>
      <c r="AM330" s="22"/>
      <c r="AN330" s="22"/>
      <c r="AO330" s="22"/>
      <c r="AP330" s="22"/>
      <c r="AQ330" s="22"/>
      <c r="AR330" s="22"/>
      <c r="AS330" s="22"/>
    </row>
    <row r="331" spans="1:104" hidden="1">
      <c r="A331" s="249"/>
      <c r="B331" s="1010" t="s">
        <v>792</v>
      </c>
      <c r="C331" s="1038"/>
      <c r="D331" s="1038"/>
      <c r="E331" s="1058"/>
      <c r="F331" s="1059"/>
      <c r="G331" s="1062"/>
      <c r="H331" s="1062"/>
      <c r="K331" s="108"/>
      <c r="L331" s="108"/>
      <c r="M331" s="250"/>
      <c r="N331" s="392"/>
      <c r="O331" s="334"/>
      <c r="P331" s="335"/>
      <c r="Q331" s="2"/>
      <c r="R331" s="2"/>
      <c r="S331" s="2"/>
      <c r="T331" s="2"/>
      <c r="AL331" s="22"/>
      <c r="AM331" s="22"/>
      <c r="AN331" s="22"/>
      <c r="AO331" s="22"/>
      <c r="AP331" s="22"/>
      <c r="AQ331" s="22"/>
      <c r="AR331" s="22"/>
      <c r="AS331" s="22"/>
    </row>
    <row r="332" spans="1:104" ht="17.2" hidden="1" thickBot="1">
      <c r="A332" s="108"/>
      <c r="B332" s="345" t="s">
        <v>247</v>
      </c>
      <c r="C332" s="1057">
        <f>C30</f>
        <v>12.8</v>
      </c>
      <c r="D332" s="1057">
        <f>C31</f>
        <v>1</v>
      </c>
      <c r="E332" s="1061"/>
      <c r="F332" s="249"/>
      <c r="G332" s="1063"/>
      <c r="H332" s="1063"/>
      <c r="I332" s="249"/>
      <c r="J332" s="249"/>
      <c r="K332" s="249"/>
      <c r="M332" s="249"/>
      <c r="N332" s="249"/>
      <c r="O332" s="259"/>
      <c r="P332" s="259"/>
      <c r="Q332" s="259"/>
      <c r="R332" s="259"/>
      <c r="S332" s="259"/>
      <c r="T332" s="259"/>
      <c r="U332" s="259"/>
      <c r="V332" s="259"/>
      <c r="W332" s="259"/>
      <c r="X332" s="259"/>
      <c r="AD332" s="1"/>
      <c r="AE332" s="1"/>
      <c r="AF332" s="1"/>
      <c r="AG332" s="259"/>
      <c r="AH332" s="259"/>
      <c r="AI332" s="259"/>
      <c r="AJ332" s="259"/>
      <c r="AK332" s="259"/>
      <c r="AL332" s="334"/>
      <c r="AM332" s="132"/>
      <c r="AN332" s="133"/>
      <c r="AO332" s="334"/>
      <c r="AP332" s="334"/>
      <c r="AQ332" s="334"/>
      <c r="AR332" s="22"/>
      <c r="AS332" s="22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246"/>
      <c r="CA332" s="246"/>
      <c r="CB332" s="246"/>
      <c r="CC332" s="246"/>
      <c r="CD332" s="246"/>
    </row>
    <row r="333" spans="1:104" hidden="1">
      <c r="A333" s="108"/>
      <c r="B333" s="112"/>
      <c r="C333" s="112"/>
      <c r="D333" s="112"/>
      <c r="E333" s="1061"/>
      <c r="F333" s="309"/>
      <c r="G333" s="309"/>
      <c r="H333" s="309"/>
      <c r="I333" s="309"/>
      <c r="J333" s="309"/>
      <c r="K333" s="309"/>
      <c r="L333" s="309"/>
      <c r="M333" s="309"/>
      <c r="N333" s="309"/>
      <c r="O333" s="411"/>
      <c r="P333" s="411"/>
      <c r="Q333" s="411"/>
      <c r="R333" s="411"/>
      <c r="S333" s="411"/>
      <c r="T333" s="411"/>
      <c r="U333" s="411"/>
      <c r="V333" s="411"/>
      <c r="W333" s="411"/>
      <c r="X333" s="411"/>
      <c r="AD333" s="246"/>
      <c r="AE333" s="246"/>
      <c r="AF333" s="246"/>
      <c r="AG333" s="411"/>
      <c r="AH333" s="411"/>
      <c r="AI333" s="411"/>
      <c r="AJ333" s="411"/>
      <c r="AK333" s="411"/>
      <c r="AL333" s="412"/>
      <c r="AM333" s="412"/>
      <c r="AN333" s="334"/>
      <c r="AO333" s="334"/>
      <c r="AP333" s="125"/>
      <c r="AQ333" s="334"/>
      <c r="AR333" s="334"/>
      <c r="AS333" s="334"/>
      <c r="AT333" s="246"/>
      <c r="AU333" s="246"/>
      <c r="AV333" s="246"/>
      <c r="AW333" s="246"/>
      <c r="AX333" s="246"/>
      <c r="AY333" s="246"/>
      <c r="AZ333" s="246"/>
      <c r="BA333" s="246"/>
      <c r="BB333" s="246"/>
      <c r="BC333" s="246"/>
      <c r="BD333" s="246"/>
      <c r="BE333" s="246"/>
      <c r="BF333" s="246"/>
      <c r="BG333" s="246"/>
      <c r="BH333" s="246"/>
      <c r="BI333" s="246"/>
      <c r="BJ333" s="246"/>
      <c r="BK333" s="246"/>
      <c r="BL333" s="246"/>
      <c r="BM333" s="246"/>
      <c r="BN333" s="246"/>
      <c r="BO333" s="246"/>
      <c r="BP333" s="246"/>
      <c r="BQ333" s="246"/>
      <c r="BR333" s="246"/>
      <c r="BS333" s="246"/>
      <c r="BT333" s="246"/>
      <c r="BU333" s="246"/>
      <c r="BV333" s="246"/>
      <c r="BW333" s="246"/>
      <c r="BX333" s="246"/>
      <c r="BY333" s="246"/>
      <c r="BZ333" s="282"/>
      <c r="CA333" s="3"/>
      <c r="CB333" s="246"/>
      <c r="CC333" s="246"/>
      <c r="CD333" s="246"/>
      <c r="CE333" s="246"/>
      <c r="CF333" s="246"/>
      <c r="CH333" s="413" t="s">
        <v>1113</v>
      </c>
      <c r="CI333" s="413" t="s">
        <v>1114</v>
      </c>
      <c r="CJ333" s="414" t="s">
        <v>1115</v>
      </c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</row>
    <row r="334" spans="1:104" ht="14" hidden="1">
      <c r="A334" s="108"/>
      <c r="B334" s="1064" t="s">
        <v>793</v>
      </c>
      <c r="C334" s="317">
        <f>(C329-C226)*C226/C329/(0.33*C332*C324*10)*10^4</f>
        <v>1.8413299663299663</v>
      </c>
      <c r="D334" s="317" t="e">
        <f>(D329-D226)*D226/D329/(0.33*D332*D324*10)*10^4</f>
        <v>#DIV/0!</v>
      </c>
      <c r="E334" s="1046"/>
      <c r="F334" s="249"/>
      <c r="G334" s="112"/>
      <c r="H334" s="249"/>
      <c r="I334" s="249"/>
      <c r="J334" s="249"/>
      <c r="K334" s="249"/>
      <c r="M334" s="249"/>
      <c r="N334" s="249"/>
      <c r="O334" s="259"/>
      <c r="P334" s="259"/>
      <c r="Q334" s="259"/>
      <c r="R334" s="259"/>
      <c r="S334" s="259"/>
      <c r="T334" s="259"/>
      <c r="U334" s="259"/>
      <c r="V334" s="259"/>
      <c r="W334" s="259"/>
      <c r="X334" s="259"/>
      <c r="AD334" s="246"/>
      <c r="AE334" s="246"/>
      <c r="AF334" s="246"/>
      <c r="AG334" s="259"/>
      <c r="AH334" s="259"/>
      <c r="AI334" s="259"/>
      <c r="AJ334" s="259"/>
      <c r="AK334" s="259"/>
      <c r="AL334" s="334"/>
      <c r="AM334" s="334"/>
      <c r="AN334" s="334"/>
      <c r="AO334" s="134"/>
      <c r="AP334" s="334"/>
      <c r="AQ334" s="334"/>
      <c r="AR334" s="334"/>
      <c r="AS334" s="334"/>
      <c r="AT334" s="246"/>
      <c r="AU334" s="246"/>
      <c r="AV334" s="246"/>
      <c r="AW334" s="246"/>
      <c r="AX334" s="246"/>
      <c r="AY334" s="246"/>
      <c r="AZ334" s="246"/>
      <c r="BA334" s="246"/>
      <c r="BB334" s="246"/>
      <c r="BC334" s="246"/>
      <c r="BD334" s="246"/>
      <c r="BE334" s="246"/>
      <c r="BF334" s="246"/>
      <c r="BG334" s="246"/>
      <c r="BH334" s="246"/>
      <c r="BI334" s="246"/>
      <c r="BJ334" s="246"/>
      <c r="BK334" s="246"/>
      <c r="BL334" s="246"/>
      <c r="BM334" s="246"/>
      <c r="BN334" s="246"/>
      <c r="BO334" s="246"/>
      <c r="BP334" s="246"/>
      <c r="BQ334" s="246"/>
      <c r="BR334" s="246"/>
      <c r="BS334" s="246"/>
      <c r="BT334" s="246"/>
      <c r="BU334" s="246"/>
      <c r="BV334" s="246"/>
      <c r="BW334" s="246"/>
      <c r="BX334" s="246"/>
      <c r="BY334" s="246"/>
      <c r="BZ334" s="259"/>
      <c r="CA334" s="259"/>
      <c r="CH334" s="415">
        <v>1.72</v>
      </c>
      <c r="CI334" s="415">
        <v>200</v>
      </c>
      <c r="CJ334" s="416">
        <f>CJ336*CI336*10^-9</f>
        <v>1.8000000000000002E-8</v>
      </c>
      <c r="CM334" s="156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156"/>
      <c r="CY334" s="27"/>
      <c r="CZ334" s="27"/>
    </row>
    <row r="335" spans="1:104" ht="14" hidden="1">
      <c r="A335" s="108"/>
      <c r="B335" s="1064" t="s">
        <v>794</v>
      </c>
      <c r="C335" s="317">
        <f>(C330-C226)*C226/C330/(0.5*C332*C324*10)*10^4</f>
        <v>1.2300531914893618</v>
      </c>
      <c r="D335" s="317" t="e">
        <f>(D330-D226)*D226/D330/(0.5*D332*D324*10)*10^4</f>
        <v>#DIV/0!</v>
      </c>
      <c r="E335" s="1046" t="s">
        <v>248</v>
      </c>
      <c r="F335" s="249"/>
      <c r="G335" s="112"/>
      <c r="H335" s="249"/>
      <c r="I335" s="249"/>
      <c r="J335" s="249"/>
      <c r="K335" s="249"/>
      <c r="M335" s="249"/>
      <c r="N335" s="249"/>
      <c r="O335" s="259"/>
      <c r="P335" s="259"/>
      <c r="Q335" s="259"/>
      <c r="R335" s="259"/>
      <c r="S335" s="259"/>
      <c r="T335" s="259"/>
      <c r="U335" s="259"/>
      <c r="V335" s="259"/>
      <c r="W335" s="259"/>
      <c r="X335" s="259"/>
      <c r="AD335" s="246"/>
      <c r="AE335" s="246"/>
      <c r="AF335" s="246"/>
      <c r="AG335" s="259"/>
      <c r="AH335" s="259"/>
      <c r="AI335" s="259"/>
      <c r="AJ335" s="259"/>
      <c r="AK335" s="259"/>
      <c r="AL335" s="334"/>
      <c r="AM335" s="334"/>
      <c r="AN335" s="334"/>
      <c r="AO335" s="134"/>
      <c r="AP335" s="334"/>
      <c r="AQ335" s="334"/>
      <c r="AR335" s="334"/>
      <c r="AS335" s="334"/>
      <c r="AT335" s="246"/>
      <c r="AU335" s="246"/>
      <c r="AV335" s="246"/>
      <c r="AW335" s="246"/>
      <c r="AX335" s="246"/>
      <c r="AY335" s="246"/>
      <c r="AZ335" s="246"/>
      <c r="BA335" s="246"/>
      <c r="BB335" s="246"/>
      <c r="BC335" s="246"/>
      <c r="BD335" s="246"/>
      <c r="BE335" s="246"/>
      <c r="BF335" s="246"/>
      <c r="BG335" s="246"/>
      <c r="BH335" s="246"/>
      <c r="BI335" s="246"/>
      <c r="BJ335" s="246"/>
      <c r="BK335" s="246"/>
      <c r="BL335" s="246"/>
      <c r="BM335" s="246"/>
      <c r="BN335" s="246"/>
      <c r="BO335" s="246"/>
      <c r="BP335" s="246"/>
      <c r="BQ335" s="246"/>
      <c r="BR335" s="246"/>
      <c r="BS335" s="246"/>
      <c r="BT335" s="246"/>
      <c r="BU335" s="246"/>
      <c r="BV335" s="246"/>
      <c r="BW335" s="246"/>
      <c r="BX335" s="246"/>
      <c r="BY335" s="246"/>
      <c r="BZ335" s="259"/>
      <c r="CA335" s="259"/>
      <c r="CH335" s="417"/>
      <c r="CI335" s="415"/>
      <c r="CJ335" s="416"/>
      <c r="CM335" s="156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156"/>
      <c r="CY335" s="27"/>
      <c r="CZ335" s="27"/>
    </row>
    <row r="336" spans="1:104" ht="15.05" hidden="1" customHeight="1">
      <c r="A336" s="108"/>
      <c r="B336" s="1064" t="s">
        <v>1132</v>
      </c>
      <c r="C336" s="1065">
        <f>F30</f>
        <v>2.2000000000000002</v>
      </c>
      <c r="D336" s="1065">
        <f>F31</f>
        <v>10</v>
      </c>
      <c r="E336" s="1066"/>
      <c r="F336" s="995"/>
      <c r="G336" s="112"/>
      <c r="H336" s="995"/>
      <c r="I336" s="995"/>
      <c r="J336" s="995"/>
      <c r="K336" s="995"/>
      <c r="L336" s="995"/>
      <c r="M336" s="995"/>
      <c r="N336" s="995"/>
      <c r="O336" s="334"/>
      <c r="P336" s="334"/>
      <c r="Q336" s="334"/>
      <c r="R336" s="334"/>
      <c r="S336" s="334"/>
      <c r="T336" s="334"/>
      <c r="U336" s="334"/>
      <c r="V336" s="334"/>
      <c r="W336" s="334"/>
      <c r="X336" s="334"/>
      <c r="Y336" s="334"/>
      <c r="Z336" s="334"/>
      <c r="AA336" s="334"/>
      <c r="AB336" s="334"/>
      <c r="AC336" s="334"/>
      <c r="AD336" s="22"/>
      <c r="AE336" s="334"/>
      <c r="AF336" s="334"/>
      <c r="AG336" s="334"/>
      <c r="AH336" s="334"/>
      <c r="AI336" s="334"/>
      <c r="AJ336" s="334"/>
      <c r="AK336" s="334"/>
      <c r="AL336" s="334"/>
      <c r="AM336" s="334"/>
      <c r="AN336" s="334"/>
      <c r="AO336" s="334"/>
      <c r="AP336" s="334"/>
      <c r="AQ336" s="334"/>
      <c r="AR336" s="334"/>
      <c r="AS336" s="334"/>
      <c r="AT336" s="334"/>
      <c r="AU336" s="334"/>
      <c r="AV336" s="334"/>
      <c r="AW336" s="334"/>
      <c r="AX336" s="334"/>
      <c r="AY336" s="334"/>
      <c r="AZ336" s="334"/>
      <c r="BA336" s="334"/>
      <c r="BC336" s="259"/>
      <c r="BD336" s="259"/>
      <c r="BE336" s="259"/>
      <c r="BF336" s="259"/>
      <c r="BG336" s="259"/>
      <c r="BH336" s="259"/>
      <c r="BI336" s="259"/>
      <c r="BJ336" s="259"/>
      <c r="BK336" s="259"/>
      <c r="BL336" s="259"/>
      <c r="BM336" s="259"/>
      <c r="BN336" s="259"/>
      <c r="BO336" s="259"/>
      <c r="BP336" s="259"/>
      <c r="BQ336" s="259"/>
      <c r="BR336" s="259"/>
      <c r="BS336" s="259"/>
      <c r="BT336" s="259"/>
      <c r="BU336" s="259"/>
      <c r="BV336" s="259"/>
      <c r="BZ336" s="334"/>
      <c r="CA336" s="259"/>
      <c r="CB336" s="259"/>
      <c r="CC336" s="420" t="s">
        <v>1049</v>
      </c>
      <c r="CD336" s="415">
        <v>150</v>
      </c>
      <c r="CE336" s="416" t="e">
        <f>CD336*#REF!/(CD336-#REF!)</f>
        <v>#REF!</v>
      </c>
      <c r="CF336" s="415">
        <v>220</v>
      </c>
      <c r="CG336" s="421">
        <f>CD336*CF336/(CD336+CF336)</f>
        <v>89.189189189189193</v>
      </c>
      <c r="CI336" s="415">
        <v>18</v>
      </c>
      <c r="CJ336" s="415">
        <v>1</v>
      </c>
      <c r="CK336" s="422">
        <f>CH334*10^-9*CI334/CJ334</f>
        <v>19.111111111111111</v>
      </c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</row>
    <row r="337" spans="1:104" ht="15.05" hidden="1" customHeight="1">
      <c r="A337" s="108"/>
      <c r="B337" s="1064" t="s">
        <v>1133</v>
      </c>
      <c r="C337" s="1065">
        <f>G30</f>
        <v>2.1</v>
      </c>
      <c r="D337" s="1065">
        <f>G31</f>
        <v>9.5</v>
      </c>
      <c r="E337" s="1066"/>
      <c r="G337" s="112"/>
      <c r="J337" s="1056"/>
      <c r="K337" s="1056"/>
      <c r="L337" s="1056"/>
      <c r="M337" s="1056"/>
      <c r="N337" s="1056"/>
      <c r="O337" s="407"/>
      <c r="P337" s="407"/>
      <c r="Q337" s="407"/>
      <c r="R337" s="407"/>
      <c r="S337" s="407"/>
      <c r="T337" s="407"/>
      <c r="U337" s="407"/>
      <c r="V337" s="389"/>
      <c r="W337" s="407"/>
      <c r="X337" s="389"/>
      <c r="Y337" s="389"/>
      <c r="Z337" s="389"/>
      <c r="AA337" s="389"/>
      <c r="AB337" s="389"/>
      <c r="AC337" s="389"/>
      <c r="AD337" s="22"/>
      <c r="AE337" s="407"/>
      <c r="AF337" s="407"/>
      <c r="AG337" s="407"/>
      <c r="AH337" s="407"/>
      <c r="AI337" s="407"/>
      <c r="AJ337" s="407"/>
      <c r="AK337" s="407"/>
      <c r="AL337" s="407"/>
      <c r="AM337" s="407"/>
      <c r="AN337" s="407"/>
      <c r="AO337" s="407"/>
      <c r="AP337" s="407"/>
      <c r="AQ337" s="407"/>
      <c r="AR337" s="407"/>
      <c r="AS337" s="407"/>
      <c r="AT337" s="407"/>
      <c r="AU337" s="407"/>
      <c r="AV337" s="407"/>
      <c r="AW337" s="407"/>
      <c r="AX337" s="407"/>
      <c r="AY337" s="389"/>
      <c r="AZ337" s="389"/>
      <c r="BA337" s="389"/>
      <c r="BC337" s="407"/>
      <c r="BD337" s="407"/>
      <c r="BE337" s="407"/>
      <c r="BF337" s="407"/>
      <c r="BG337" s="407"/>
      <c r="BH337" s="407"/>
      <c r="BI337" s="407"/>
      <c r="BJ337" s="407"/>
      <c r="BK337" s="407"/>
      <c r="BL337" s="246"/>
      <c r="BM337" s="423" t="s">
        <v>975</v>
      </c>
      <c r="BN337" s="423" t="s">
        <v>974</v>
      </c>
      <c r="BO337" s="423" t="s">
        <v>975</v>
      </c>
      <c r="BP337" s="423" t="s">
        <v>974</v>
      </c>
      <c r="BQ337" s="382">
        <v>39867</v>
      </c>
      <c r="BR337" s="423" t="s">
        <v>974</v>
      </c>
      <c r="BS337" s="423" t="s">
        <v>974</v>
      </c>
      <c r="BT337" s="423" t="s">
        <v>975</v>
      </c>
      <c r="BU337" s="423" t="s">
        <v>974</v>
      </c>
      <c r="BV337" s="259"/>
      <c r="BZ337" s="334"/>
      <c r="CA337" s="259"/>
      <c r="CB337" s="259"/>
      <c r="CC337" s="420" t="s">
        <v>1048</v>
      </c>
      <c r="CD337" s="415">
        <v>3.9</v>
      </c>
      <c r="CE337" s="416" t="e">
        <f>CD337*#REF!/(CD337-#REF!)</f>
        <v>#REF!</v>
      </c>
      <c r="CF337" s="415">
        <v>5.6</v>
      </c>
      <c r="CG337" s="421">
        <f>CD337*CF337/(CD337+CF337)</f>
        <v>2.2989473684210524</v>
      </c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</row>
    <row r="338" spans="1:104" ht="15.05" hidden="1" customHeight="1" thickBot="1">
      <c r="A338" s="108"/>
      <c r="B338" s="1064" t="s">
        <v>1134</v>
      </c>
      <c r="C338" s="1065">
        <f>H30</f>
        <v>2</v>
      </c>
      <c r="D338" s="1065">
        <f>H31</f>
        <v>9</v>
      </c>
      <c r="E338" s="1067"/>
      <c r="G338" s="112"/>
      <c r="J338" s="1068"/>
      <c r="K338" s="1068"/>
      <c r="L338" s="1068"/>
      <c r="M338" s="1068"/>
      <c r="N338" s="1068"/>
      <c r="O338" s="425"/>
      <c r="P338" s="425"/>
      <c r="Q338" s="425"/>
      <c r="R338" s="425"/>
      <c r="S338" s="425"/>
      <c r="T338" s="425"/>
      <c r="U338" s="425"/>
      <c r="V338" s="425"/>
      <c r="W338" s="425"/>
      <c r="X338" s="425"/>
      <c r="Y338" s="425"/>
      <c r="Z338" s="425"/>
      <c r="AA338" s="425"/>
      <c r="AB338" s="425"/>
      <c r="AC338" s="425"/>
      <c r="AD338" s="22"/>
      <c r="AE338" s="425"/>
      <c r="AF338" s="425"/>
      <c r="AG338" s="425"/>
      <c r="AH338" s="425"/>
      <c r="AI338" s="425"/>
      <c r="AJ338" s="425"/>
      <c r="AK338" s="425"/>
      <c r="AL338" s="425"/>
      <c r="AM338" s="425"/>
      <c r="AN338" s="425"/>
      <c r="AO338" s="425"/>
      <c r="AP338" s="425"/>
      <c r="AQ338" s="425"/>
      <c r="AR338" s="425"/>
      <c r="AS338" s="425"/>
      <c r="AT338" s="425"/>
      <c r="AU338" s="425"/>
      <c r="AV338" s="425"/>
      <c r="AW338" s="425"/>
      <c r="AX338" s="425"/>
      <c r="AY338" s="425"/>
      <c r="AZ338" s="425"/>
      <c r="BA338" s="425"/>
      <c r="BC338" s="425"/>
      <c r="BD338" s="425"/>
      <c r="BE338" s="425"/>
      <c r="BF338" s="425"/>
      <c r="BG338" s="425"/>
      <c r="BH338" s="425"/>
      <c r="BI338" s="425"/>
      <c r="BJ338" s="425"/>
      <c r="BK338" s="425"/>
      <c r="BL338" s="246"/>
      <c r="BM338" s="301">
        <v>5</v>
      </c>
      <c r="BN338" s="301">
        <v>3.3</v>
      </c>
      <c r="BO338" s="301">
        <v>5</v>
      </c>
      <c r="BP338" s="301">
        <v>3.3</v>
      </c>
      <c r="BQ338" s="301">
        <v>1.5</v>
      </c>
      <c r="BR338" s="301">
        <v>3.3</v>
      </c>
      <c r="BS338" s="301">
        <v>1.1000000000000001</v>
      </c>
      <c r="BT338" s="301">
        <v>8</v>
      </c>
      <c r="BU338" s="301">
        <v>8</v>
      </c>
      <c r="BV338" s="259"/>
      <c r="BZ338" s="246"/>
      <c r="CA338" s="259"/>
      <c r="CB338" s="259"/>
      <c r="CC338" s="426" t="s">
        <v>1120</v>
      </c>
      <c r="CD338" s="427" t="s">
        <v>1021</v>
      </c>
      <c r="CE338" s="428" t="s">
        <v>1021</v>
      </c>
      <c r="CF338" s="427" t="s">
        <v>1021</v>
      </c>
      <c r="CG338" s="429" t="s">
        <v>1021</v>
      </c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</row>
    <row r="339" spans="1:104" ht="15.05" hidden="1" customHeight="1">
      <c r="A339" s="108"/>
      <c r="B339" s="1064" t="s">
        <v>1135</v>
      </c>
      <c r="C339" s="1069">
        <f>I30</f>
        <v>0.2</v>
      </c>
      <c r="D339" s="1069">
        <f>I31</f>
        <v>0.2</v>
      </c>
      <c r="E339" s="1066"/>
      <c r="G339" s="112"/>
      <c r="J339" s="1070"/>
      <c r="K339" s="1070"/>
      <c r="L339" s="1070"/>
      <c r="M339" s="1070"/>
      <c r="N339" s="1070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  <c r="AB339" s="124"/>
      <c r="AC339" s="124"/>
      <c r="AD339" s="22"/>
      <c r="AE339" s="124"/>
      <c r="AF339" s="124"/>
      <c r="AG339" s="124"/>
      <c r="AH339" s="124"/>
      <c r="AI339" s="124"/>
      <c r="AJ339" s="124"/>
      <c r="AK339" s="124"/>
      <c r="AL339" s="124"/>
      <c r="AM339" s="124"/>
      <c r="AN339" s="124"/>
      <c r="AO339" s="124"/>
      <c r="AP339" s="124"/>
      <c r="AQ339" s="124"/>
      <c r="AR339" s="124"/>
      <c r="AS339" s="124"/>
      <c r="AT339" s="124"/>
      <c r="AU339" s="124"/>
      <c r="AV339" s="124"/>
      <c r="AW339" s="124"/>
      <c r="AX339" s="124"/>
      <c r="AY339" s="124"/>
      <c r="AZ339" s="124"/>
      <c r="BA339" s="124"/>
      <c r="BC339" s="124"/>
      <c r="BD339" s="124"/>
      <c r="BE339" s="124"/>
      <c r="BF339" s="124"/>
      <c r="BG339" s="124"/>
      <c r="BH339" s="124"/>
      <c r="BI339" s="124"/>
      <c r="BJ339" s="124"/>
      <c r="BK339" s="124"/>
      <c r="BL339" s="246"/>
      <c r="BM339" s="17">
        <f t="shared" ref="BM339:BU339" si="4">(1+BM358/BM355)*$C$319</f>
        <v>5</v>
      </c>
      <c r="BN339" s="17">
        <f t="shared" si="4"/>
        <v>3.2962962962962963</v>
      </c>
      <c r="BO339" s="17">
        <f t="shared" si="4"/>
        <v>5.0333333333333332</v>
      </c>
      <c r="BP339" s="17">
        <f t="shared" si="4"/>
        <v>3.3037037037037038</v>
      </c>
      <c r="BQ339" s="17">
        <f t="shared" si="4"/>
        <v>1.5</v>
      </c>
      <c r="BR339" s="17">
        <f t="shared" si="4"/>
        <v>3.2962962962962963</v>
      </c>
      <c r="BS339" s="17">
        <f t="shared" si="4"/>
        <v>1.1000000000000001</v>
      </c>
      <c r="BT339" s="17">
        <f t="shared" si="4"/>
        <v>8</v>
      </c>
      <c r="BU339" s="17">
        <f t="shared" si="4"/>
        <v>8</v>
      </c>
      <c r="BV339" s="259"/>
      <c r="BZ339" s="246"/>
      <c r="CA339" s="259"/>
      <c r="CB339" s="259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</row>
    <row r="340" spans="1:104" ht="15.05" hidden="1" customHeight="1">
      <c r="A340" s="108"/>
      <c r="B340" s="268" t="s">
        <v>235</v>
      </c>
      <c r="C340" s="1071">
        <v>0</v>
      </c>
      <c r="D340" s="1071">
        <v>0</v>
      </c>
      <c r="E340" s="1066"/>
      <c r="G340" s="112"/>
      <c r="J340" s="1070"/>
      <c r="K340" s="1070"/>
      <c r="L340" s="1070"/>
      <c r="M340" s="1070"/>
      <c r="N340" s="1070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4"/>
      <c r="AC340" s="124"/>
      <c r="AD340" s="22"/>
      <c r="AE340" s="124"/>
      <c r="AF340" s="124"/>
      <c r="AG340" s="124"/>
      <c r="AH340" s="124"/>
      <c r="AI340" s="124"/>
      <c r="AJ340" s="124"/>
      <c r="AK340" s="124"/>
      <c r="AL340" s="124"/>
      <c r="AM340" s="124"/>
      <c r="AN340" s="124"/>
      <c r="AO340" s="124"/>
      <c r="AP340" s="124"/>
      <c r="AQ340" s="124"/>
      <c r="AR340" s="124"/>
      <c r="AS340" s="124"/>
      <c r="AT340" s="124"/>
      <c r="AU340" s="124"/>
      <c r="AV340" s="124"/>
      <c r="AW340" s="124"/>
      <c r="AX340" s="124"/>
      <c r="AY340" s="124"/>
      <c r="AZ340" s="124"/>
      <c r="BA340" s="124"/>
      <c r="BC340" s="124"/>
      <c r="BD340" s="124"/>
      <c r="BE340" s="124"/>
      <c r="BF340" s="124"/>
      <c r="BG340" s="124"/>
      <c r="BH340" s="124"/>
      <c r="BI340" s="124"/>
      <c r="BJ340" s="124"/>
      <c r="BK340" s="124"/>
      <c r="BL340" s="246"/>
      <c r="BM340" s="17"/>
      <c r="BN340" s="17"/>
      <c r="BO340" s="17"/>
      <c r="BP340" s="17"/>
      <c r="BQ340" s="17"/>
      <c r="BR340" s="17"/>
      <c r="BS340" s="17"/>
      <c r="BT340" s="17"/>
      <c r="BU340" s="17"/>
      <c r="BV340" s="259"/>
      <c r="BZ340" s="246"/>
      <c r="CA340" s="259"/>
      <c r="CB340" s="259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</row>
    <row r="341" spans="1:104" ht="15.05" hidden="1" customHeight="1">
      <c r="A341" s="108"/>
      <c r="B341" s="268" t="s">
        <v>254</v>
      </c>
      <c r="C341" s="1071">
        <v>6.1107862898449039E-4</v>
      </c>
      <c r="D341" s="1071">
        <v>6.1107862898449039E-4</v>
      </c>
      <c r="E341" s="1066"/>
      <c r="F341" s="112"/>
      <c r="G341" s="112"/>
      <c r="H341" s="112"/>
      <c r="I341" s="112"/>
      <c r="J341" s="1070"/>
      <c r="K341" s="1070"/>
      <c r="L341" s="1070"/>
      <c r="M341" s="1070"/>
      <c r="N341" s="1070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  <c r="AA341" s="124"/>
      <c r="AB341" s="124"/>
      <c r="AC341" s="124"/>
      <c r="AD341" s="22"/>
      <c r="AE341" s="124"/>
      <c r="AF341" s="124"/>
      <c r="AG341" s="124"/>
      <c r="AH341" s="124"/>
      <c r="AI341" s="124"/>
      <c r="AJ341" s="124"/>
      <c r="AK341" s="124"/>
      <c r="AL341" s="124"/>
      <c r="AM341" s="124"/>
      <c r="AN341" s="124"/>
      <c r="AO341" s="124"/>
      <c r="AP341" s="124"/>
      <c r="AQ341" s="124"/>
      <c r="AR341" s="124"/>
      <c r="AS341" s="124"/>
      <c r="AT341" s="124"/>
      <c r="AU341" s="124"/>
      <c r="AV341" s="124"/>
      <c r="AW341" s="124"/>
      <c r="AX341" s="124"/>
      <c r="AY341" s="124"/>
      <c r="AZ341" s="124"/>
      <c r="BA341" s="124"/>
      <c r="BC341" s="124"/>
      <c r="BD341" s="124"/>
      <c r="BE341" s="124"/>
      <c r="BF341" s="124"/>
      <c r="BG341" s="124"/>
      <c r="BH341" s="124"/>
      <c r="BI341" s="124"/>
      <c r="BJ341" s="124"/>
      <c r="BK341" s="124"/>
      <c r="BL341" s="246"/>
      <c r="BM341" s="17"/>
      <c r="BN341" s="17"/>
      <c r="BO341" s="17"/>
      <c r="BP341" s="17"/>
      <c r="BQ341" s="17"/>
      <c r="BR341" s="17"/>
      <c r="BS341" s="17"/>
      <c r="BT341" s="17"/>
      <c r="BU341" s="17"/>
      <c r="BV341" s="259"/>
      <c r="BZ341" s="246"/>
      <c r="CA341" s="259"/>
      <c r="CB341" s="259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</row>
    <row r="342" spans="1:104" ht="15.05" hidden="1" customHeight="1">
      <c r="A342" s="108"/>
      <c r="B342" s="268" t="s">
        <v>523</v>
      </c>
      <c r="C342" s="1072">
        <v>-1.5959806495563417E-2</v>
      </c>
      <c r="D342" s="1072">
        <v>-1.5959806495563417E-2</v>
      </c>
      <c r="E342" s="1066"/>
      <c r="G342" s="112"/>
      <c r="J342" s="1070"/>
      <c r="K342" s="1070"/>
      <c r="L342" s="1070"/>
      <c r="M342" s="1070"/>
      <c r="N342" s="1070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  <c r="AA342" s="124"/>
      <c r="AB342" s="124"/>
      <c r="AC342" s="124"/>
      <c r="AD342" s="22"/>
      <c r="AE342" s="124"/>
      <c r="AF342" s="124"/>
      <c r="AG342" s="124"/>
      <c r="AH342" s="124"/>
      <c r="AI342" s="124"/>
      <c r="AJ342" s="124"/>
      <c r="AK342" s="124"/>
      <c r="AL342" s="124"/>
      <c r="AM342" s="124"/>
      <c r="AN342" s="124"/>
      <c r="AO342" s="124"/>
      <c r="AP342" s="124"/>
      <c r="AQ342" s="124"/>
      <c r="AR342" s="124"/>
      <c r="AS342" s="124"/>
      <c r="AT342" s="124"/>
      <c r="AU342" s="124"/>
      <c r="AV342" s="124"/>
      <c r="AW342" s="124"/>
      <c r="AX342" s="124"/>
      <c r="AY342" s="124"/>
      <c r="AZ342" s="124"/>
      <c r="BA342" s="124"/>
      <c r="BC342" s="124"/>
      <c r="BD342" s="124"/>
      <c r="BE342" s="124"/>
      <c r="BF342" s="124"/>
      <c r="BG342" s="124"/>
      <c r="BH342" s="124"/>
      <c r="BI342" s="124"/>
      <c r="BJ342" s="124"/>
      <c r="BK342" s="124"/>
      <c r="BL342" s="246"/>
      <c r="BM342" s="17"/>
      <c r="BN342" s="17"/>
      <c r="BO342" s="17"/>
      <c r="BP342" s="17"/>
      <c r="BQ342" s="17"/>
      <c r="BR342" s="17"/>
      <c r="BS342" s="17"/>
      <c r="BT342" s="17"/>
      <c r="BU342" s="17"/>
      <c r="BV342" s="259"/>
      <c r="BZ342" s="246"/>
      <c r="CA342" s="259"/>
      <c r="CB342" s="259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</row>
    <row r="343" spans="1:104" ht="15.05" hidden="1" customHeight="1">
      <c r="A343" s="108"/>
      <c r="B343" s="268" t="s">
        <v>524</v>
      </c>
      <c r="C343" s="1072">
        <v>4.6591172598431874E-2</v>
      </c>
      <c r="D343" s="1072">
        <v>4.6591172598431874E-2</v>
      </c>
      <c r="E343" s="1066"/>
      <c r="G343" s="112"/>
      <c r="J343" s="1070"/>
      <c r="K343" s="1070"/>
      <c r="L343" s="1070"/>
      <c r="M343" s="1070"/>
      <c r="N343" s="1070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  <c r="AA343" s="124"/>
      <c r="AB343" s="124"/>
      <c r="AC343" s="124"/>
      <c r="AD343" s="22"/>
      <c r="AE343" s="124"/>
      <c r="AF343" s="124"/>
      <c r="AG343" s="124"/>
      <c r="AH343" s="124"/>
      <c r="AI343" s="124"/>
      <c r="AJ343" s="124"/>
      <c r="AK343" s="124"/>
      <c r="AL343" s="124"/>
      <c r="AM343" s="124"/>
      <c r="AN343" s="124"/>
      <c r="AO343" s="124"/>
      <c r="AP343" s="124"/>
      <c r="AQ343" s="124"/>
      <c r="AR343" s="124"/>
      <c r="AS343" s="124"/>
      <c r="AT343" s="124"/>
      <c r="AU343" s="124"/>
      <c r="AV343" s="124"/>
      <c r="AW343" s="124"/>
      <c r="AX343" s="124"/>
      <c r="AY343" s="124"/>
      <c r="AZ343" s="124"/>
      <c r="BA343" s="124"/>
      <c r="BC343" s="124"/>
      <c r="BD343" s="124"/>
      <c r="BE343" s="124"/>
      <c r="BF343" s="124"/>
      <c r="BG343" s="124"/>
      <c r="BH343" s="124"/>
      <c r="BI343" s="124"/>
      <c r="BJ343" s="124"/>
      <c r="BK343" s="124"/>
      <c r="BL343" s="246"/>
      <c r="BM343" s="17"/>
      <c r="BN343" s="17"/>
      <c r="BO343" s="17"/>
      <c r="BP343" s="17"/>
      <c r="BQ343" s="17"/>
      <c r="BR343" s="17"/>
      <c r="BS343" s="17"/>
      <c r="BT343" s="17"/>
      <c r="BU343" s="17"/>
      <c r="BV343" s="259"/>
      <c r="BZ343" s="246"/>
      <c r="CA343" s="259"/>
      <c r="CB343" s="259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</row>
    <row r="344" spans="1:104" ht="15.05" hidden="1" customHeight="1">
      <c r="A344" s="108"/>
      <c r="B344" s="268" t="s">
        <v>525</v>
      </c>
      <c r="C344" s="1073">
        <v>3.3894878730379858</v>
      </c>
      <c r="D344" s="1072">
        <v>3.3894878730379858</v>
      </c>
      <c r="E344" s="1066"/>
      <c r="G344" s="112"/>
      <c r="J344" s="1070"/>
      <c r="K344" s="1070"/>
      <c r="L344" s="1070"/>
      <c r="M344" s="1070"/>
      <c r="N344" s="1070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  <c r="AA344" s="124"/>
      <c r="AB344" s="124"/>
      <c r="AC344" s="124"/>
      <c r="AD344" s="22"/>
      <c r="AE344" s="124"/>
      <c r="AF344" s="124"/>
      <c r="AG344" s="124"/>
      <c r="AH344" s="124"/>
      <c r="AI344" s="124"/>
      <c r="AJ344" s="124"/>
      <c r="AK344" s="124"/>
      <c r="AL344" s="124"/>
      <c r="AM344" s="124"/>
      <c r="AN344" s="124"/>
      <c r="AO344" s="124"/>
      <c r="AP344" s="124"/>
      <c r="AQ344" s="124"/>
      <c r="AR344" s="124"/>
      <c r="AS344" s="124"/>
      <c r="AT344" s="124"/>
      <c r="AU344" s="124"/>
      <c r="AV344" s="124"/>
      <c r="AW344" s="124"/>
      <c r="AX344" s="124"/>
      <c r="AY344" s="124"/>
      <c r="AZ344" s="124"/>
      <c r="BA344" s="124"/>
      <c r="BC344" s="124"/>
      <c r="BD344" s="124"/>
      <c r="BE344" s="124"/>
      <c r="BF344" s="124"/>
      <c r="BG344" s="124"/>
      <c r="BH344" s="124"/>
      <c r="BI344" s="124"/>
      <c r="BJ344" s="124"/>
      <c r="BK344" s="124"/>
      <c r="BL344" s="246"/>
      <c r="BM344" s="17"/>
      <c r="BN344" s="17"/>
      <c r="BO344" s="17"/>
      <c r="BP344" s="17"/>
      <c r="BQ344" s="17"/>
      <c r="BR344" s="17"/>
      <c r="BS344" s="17"/>
      <c r="BT344" s="17"/>
      <c r="BU344" s="17"/>
      <c r="BV344" s="259"/>
      <c r="BZ344" s="246"/>
      <c r="CA344" s="259"/>
      <c r="CB344" s="259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</row>
    <row r="345" spans="1:104" ht="15.05" hidden="1" customHeight="1">
      <c r="A345" s="108"/>
      <c r="B345" s="1074" t="s">
        <v>236</v>
      </c>
      <c r="C345" s="1073">
        <v>0</v>
      </c>
      <c r="D345" s="1072">
        <v>0</v>
      </c>
      <c r="E345" s="1066"/>
      <c r="G345" s="112"/>
      <c r="J345" s="1070"/>
      <c r="K345" s="1070"/>
      <c r="L345" s="1070"/>
      <c r="M345" s="1070"/>
      <c r="N345" s="1070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  <c r="AB345" s="124"/>
      <c r="AC345" s="124"/>
      <c r="AD345" s="22"/>
      <c r="AE345" s="124"/>
      <c r="AF345" s="124"/>
      <c r="AG345" s="124"/>
      <c r="AH345" s="124"/>
      <c r="AI345" s="124"/>
      <c r="AJ345" s="124"/>
      <c r="AK345" s="124"/>
      <c r="AL345" s="124"/>
      <c r="AM345" s="124"/>
      <c r="AN345" s="124"/>
      <c r="AO345" s="124"/>
      <c r="AP345" s="124"/>
      <c r="AQ345" s="124"/>
      <c r="AR345" s="124"/>
      <c r="AS345" s="124"/>
      <c r="AT345" s="124"/>
      <c r="AU345" s="124"/>
      <c r="AV345" s="124"/>
      <c r="AW345" s="124"/>
      <c r="AX345" s="124"/>
      <c r="AY345" s="124"/>
      <c r="AZ345" s="124"/>
      <c r="BA345" s="124"/>
      <c r="BC345" s="124"/>
      <c r="BD345" s="124"/>
      <c r="BE345" s="124"/>
      <c r="BF345" s="124"/>
      <c r="BG345" s="124"/>
      <c r="BH345" s="124"/>
      <c r="BI345" s="124"/>
      <c r="BJ345" s="124"/>
      <c r="BK345" s="124"/>
      <c r="BL345" s="246"/>
      <c r="BM345" s="17"/>
      <c r="BN345" s="17"/>
      <c r="BO345" s="17"/>
      <c r="BP345" s="17"/>
      <c r="BQ345" s="17"/>
      <c r="BR345" s="17"/>
      <c r="BS345" s="17"/>
      <c r="BT345" s="17"/>
      <c r="BU345" s="17"/>
      <c r="BV345" s="259"/>
      <c r="BZ345" s="246"/>
      <c r="CA345" s="259"/>
      <c r="CB345" s="259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</row>
    <row r="346" spans="1:104" ht="15.05" hidden="1" customHeight="1">
      <c r="A346" s="108"/>
      <c r="B346" s="1074" t="s">
        <v>256</v>
      </c>
      <c r="C346" s="1072">
        <v>4.2542264586981696E-3</v>
      </c>
      <c r="D346" s="1072">
        <v>4.2542264586981696E-3</v>
      </c>
      <c r="E346" s="1066"/>
      <c r="G346" s="112"/>
      <c r="J346" s="1070"/>
      <c r="K346" s="1070"/>
      <c r="L346" s="1070"/>
      <c r="M346" s="1070"/>
      <c r="N346" s="1070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  <c r="AB346" s="124"/>
      <c r="AC346" s="124"/>
      <c r="AD346" s="22"/>
      <c r="AE346" s="124"/>
      <c r="AF346" s="124"/>
      <c r="AG346" s="124"/>
      <c r="AH346" s="124"/>
      <c r="AI346" s="124"/>
      <c r="AJ346" s="124"/>
      <c r="AK346" s="124"/>
      <c r="AL346" s="124"/>
      <c r="AM346" s="124"/>
      <c r="AN346" s="124"/>
      <c r="AO346" s="124"/>
      <c r="AP346" s="124"/>
      <c r="AQ346" s="124"/>
      <c r="AR346" s="124"/>
      <c r="AS346" s="124"/>
      <c r="AT346" s="124"/>
      <c r="AU346" s="124"/>
      <c r="AV346" s="124"/>
      <c r="AW346" s="124"/>
      <c r="AX346" s="124"/>
      <c r="AY346" s="124"/>
      <c r="AZ346" s="124"/>
      <c r="BA346" s="124"/>
      <c r="BC346" s="124"/>
      <c r="BD346" s="124"/>
      <c r="BE346" s="124"/>
      <c r="BF346" s="124"/>
      <c r="BG346" s="124"/>
      <c r="BH346" s="124"/>
      <c r="BI346" s="124"/>
      <c r="BJ346" s="124"/>
      <c r="BK346" s="124"/>
      <c r="BL346" s="246"/>
      <c r="BM346" s="17"/>
      <c r="BN346" s="17"/>
      <c r="BO346" s="17"/>
      <c r="BP346" s="17"/>
      <c r="BQ346" s="17"/>
      <c r="BR346" s="17"/>
      <c r="BS346" s="17"/>
      <c r="BT346" s="17"/>
      <c r="BU346" s="17"/>
      <c r="BV346" s="259"/>
      <c r="BZ346" s="246"/>
      <c r="CA346" s="259"/>
      <c r="CB346" s="259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</row>
    <row r="347" spans="1:104" ht="15.05" hidden="1" customHeight="1">
      <c r="A347" s="108"/>
      <c r="B347" s="1074" t="s">
        <v>526</v>
      </c>
      <c r="C347" s="1072">
        <v>0.276212517709234</v>
      </c>
      <c r="D347" s="1072">
        <v>0.276212517709234</v>
      </c>
      <c r="E347" s="1066"/>
      <c r="G347" s="112"/>
      <c r="J347" s="1070"/>
      <c r="K347" s="1070"/>
      <c r="L347" s="1070"/>
      <c r="M347" s="1070"/>
      <c r="N347" s="1070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  <c r="AB347" s="124"/>
      <c r="AC347" s="124"/>
      <c r="AD347" s="22"/>
      <c r="AE347" s="124"/>
      <c r="AF347" s="124"/>
      <c r="AG347" s="124"/>
      <c r="AH347" s="124"/>
      <c r="AI347" s="124"/>
      <c r="AJ347" s="124"/>
      <c r="AK347" s="124"/>
      <c r="AL347" s="124"/>
      <c r="AM347" s="124"/>
      <c r="AN347" s="124"/>
      <c r="AO347" s="124"/>
      <c r="AP347" s="124"/>
      <c r="AQ347" s="124"/>
      <c r="AR347" s="124"/>
      <c r="AS347" s="124"/>
      <c r="AT347" s="124"/>
      <c r="AU347" s="124"/>
      <c r="AV347" s="124"/>
      <c r="AW347" s="124"/>
      <c r="AX347" s="124"/>
      <c r="AY347" s="124"/>
      <c r="AZ347" s="124"/>
      <c r="BA347" s="124"/>
      <c r="BC347" s="124"/>
      <c r="BD347" s="124"/>
      <c r="BE347" s="124"/>
      <c r="BF347" s="124"/>
      <c r="BG347" s="124"/>
      <c r="BH347" s="124"/>
      <c r="BI347" s="124"/>
      <c r="BJ347" s="124"/>
      <c r="BK347" s="124"/>
      <c r="BL347" s="246"/>
      <c r="BM347" s="17"/>
      <c r="BN347" s="17"/>
      <c r="BO347" s="17"/>
      <c r="BP347" s="17"/>
      <c r="BQ347" s="17"/>
      <c r="BR347" s="17"/>
      <c r="BS347" s="17"/>
      <c r="BT347" s="17"/>
      <c r="BU347" s="17"/>
      <c r="BV347" s="259"/>
      <c r="BZ347" s="246"/>
      <c r="CA347" s="259"/>
      <c r="CB347" s="259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</row>
    <row r="348" spans="1:104" ht="15.05" hidden="1" customHeight="1">
      <c r="A348" s="108"/>
      <c r="B348" s="1074" t="s">
        <v>527</v>
      </c>
      <c r="C348" s="1072">
        <v>-0.1874470496800284</v>
      </c>
      <c r="D348" s="1072">
        <v>-0.1874470496800284</v>
      </c>
      <c r="E348" s="1066"/>
      <c r="G348" s="112"/>
      <c r="J348" s="1070"/>
      <c r="K348" s="1070"/>
      <c r="L348" s="1070"/>
      <c r="M348" s="1070"/>
      <c r="N348" s="1070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  <c r="AA348" s="124"/>
      <c r="AB348" s="124"/>
      <c r="AC348" s="124"/>
      <c r="AD348" s="22"/>
      <c r="AE348" s="124"/>
      <c r="AF348" s="124"/>
      <c r="AG348" s="124"/>
      <c r="AH348" s="124"/>
      <c r="AI348" s="124"/>
      <c r="AJ348" s="124"/>
      <c r="AK348" s="124"/>
      <c r="AL348" s="124"/>
      <c r="AM348" s="124"/>
      <c r="AN348" s="124"/>
      <c r="AO348" s="124"/>
      <c r="AP348" s="124"/>
      <c r="AQ348" s="124"/>
      <c r="AR348" s="124"/>
      <c r="AS348" s="124"/>
      <c r="AT348" s="124"/>
      <c r="AU348" s="124"/>
      <c r="AV348" s="124"/>
      <c r="AW348" s="124"/>
      <c r="AX348" s="124"/>
      <c r="AY348" s="124"/>
      <c r="AZ348" s="124"/>
      <c r="BA348" s="124"/>
      <c r="BC348" s="124"/>
      <c r="BD348" s="124"/>
      <c r="BE348" s="124"/>
      <c r="BF348" s="124"/>
      <c r="BG348" s="124"/>
      <c r="BH348" s="124"/>
      <c r="BI348" s="124"/>
      <c r="BJ348" s="124"/>
      <c r="BK348" s="124"/>
      <c r="BL348" s="246"/>
      <c r="BM348" s="17"/>
      <c r="BN348" s="17"/>
      <c r="BO348" s="17"/>
      <c r="BP348" s="17"/>
      <c r="BQ348" s="17"/>
      <c r="BR348" s="17"/>
      <c r="BS348" s="17"/>
      <c r="BT348" s="17"/>
      <c r="BU348" s="17"/>
      <c r="BV348" s="259"/>
      <c r="BZ348" s="246"/>
      <c r="CA348" s="259"/>
      <c r="CB348" s="259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</row>
    <row r="349" spans="1:104" ht="15.05" hidden="1" customHeight="1">
      <c r="A349" s="108"/>
      <c r="B349" s="1074" t="s">
        <v>528</v>
      </c>
      <c r="C349" s="1072">
        <v>-1.9863509524587999E-4</v>
      </c>
      <c r="D349" s="1072">
        <v>-1.9863509524587999E-4</v>
      </c>
      <c r="E349" s="1066"/>
      <c r="G349" s="112"/>
      <c r="H349" s="112"/>
      <c r="I349" s="112"/>
      <c r="J349" s="112"/>
      <c r="K349" s="1070"/>
      <c r="L349" s="1070"/>
      <c r="M349" s="1070"/>
      <c r="N349" s="1070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  <c r="AA349" s="124"/>
      <c r="AB349" s="124"/>
      <c r="AC349" s="124"/>
      <c r="AD349" s="22"/>
      <c r="AE349" s="124"/>
      <c r="AF349" s="124"/>
      <c r="AG349" s="124"/>
      <c r="AH349" s="124"/>
      <c r="AI349" s="124"/>
      <c r="AJ349" s="124"/>
      <c r="AK349" s="124"/>
      <c r="AL349" s="124"/>
      <c r="AM349" s="124"/>
      <c r="AN349" s="124"/>
      <c r="AO349" s="124"/>
      <c r="AP349" s="124"/>
      <c r="AQ349" s="124"/>
      <c r="AR349" s="124"/>
      <c r="AS349" s="124"/>
      <c r="AT349" s="124"/>
      <c r="AU349" s="124"/>
      <c r="AV349" s="124"/>
      <c r="AW349" s="124"/>
      <c r="AX349" s="124"/>
      <c r="AY349" s="124"/>
      <c r="AZ349" s="124"/>
      <c r="BA349" s="124"/>
      <c r="BC349" s="124"/>
      <c r="BD349" s="124"/>
      <c r="BE349" s="124"/>
      <c r="BF349" s="124"/>
      <c r="BG349" s="124"/>
      <c r="BH349" s="124"/>
      <c r="BI349" s="124"/>
      <c r="BJ349" s="124"/>
      <c r="BK349" s="124"/>
      <c r="BL349" s="246"/>
      <c r="BM349" s="17"/>
      <c r="BN349" s="17"/>
      <c r="BO349" s="17"/>
      <c r="BP349" s="17"/>
      <c r="BQ349" s="17"/>
      <c r="BR349" s="17"/>
      <c r="BS349" s="17"/>
      <c r="BT349" s="17"/>
      <c r="BU349" s="17"/>
      <c r="BV349" s="259"/>
      <c r="BZ349" s="246"/>
      <c r="CA349" s="259"/>
      <c r="CB349" s="259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</row>
    <row r="350" spans="1:104" ht="15.05" hidden="1" customHeight="1" thickBot="1">
      <c r="A350" s="108"/>
      <c r="B350" s="314" t="s">
        <v>1036</v>
      </c>
      <c r="C350" s="1075">
        <f>(C328-C226)/(C337*10^-6)*(C226/C328*100)/(C324*10^5)</f>
        <v>3.654485049833887</v>
      </c>
      <c r="D350" s="1076" t="e">
        <f>(D328-D226)/(D337*10^-6)*(D226/D328*100)/(D324*10^5)</f>
        <v>#DIV/0!</v>
      </c>
      <c r="E350" s="1066"/>
      <c r="G350" s="112"/>
      <c r="J350" s="1046"/>
      <c r="K350" s="1046"/>
      <c r="L350" s="1046"/>
      <c r="M350" s="1046"/>
      <c r="N350" s="1046"/>
      <c r="O350" s="400"/>
      <c r="P350" s="400"/>
      <c r="Q350" s="400"/>
      <c r="R350" s="400"/>
      <c r="S350" s="400"/>
      <c r="T350" s="400"/>
      <c r="U350" s="400"/>
      <c r="V350" s="400"/>
      <c r="W350" s="400"/>
      <c r="X350" s="400"/>
      <c r="Y350" s="400"/>
      <c r="Z350" s="400"/>
      <c r="AA350" s="400"/>
      <c r="AB350" s="400"/>
      <c r="AC350" s="400"/>
      <c r="AD350" s="22"/>
      <c r="AE350" s="400"/>
      <c r="AF350" s="400"/>
      <c r="AG350" s="400"/>
      <c r="AH350" s="400"/>
      <c r="AI350" s="400"/>
      <c r="AJ350" s="400"/>
      <c r="AK350" s="400"/>
      <c r="AL350" s="400"/>
      <c r="AM350" s="400"/>
      <c r="AN350" s="400"/>
      <c r="AO350" s="400"/>
      <c r="AP350" s="400"/>
      <c r="AQ350" s="400"/>
      <c r="AR350" s="400"/>
      <c r="AS350" s="400"/>
      <c r="AT350" s="400"/>
      <c r="AU350" s="400"/>
      <c r="AV350" s="400"/>
      <c r="AW350" s="400"/>
      <c r="AX350" s="400"/>
      <c r="AY350" s="400"/>
      <c r="AZ350" s="400"/>
      <c r="BA350" s="400"/>
      <c r="BC350" s="400"/>
      <c r="BD350" s="400"/>
      <c r="BE350" s="400"/>
      <c r="BF350" s="400"/>
      <c r="BG350" s="400"/>
      <c r="BH350" s="400"/>
      <c r="BI350" s="400"/>
      <c r="BJ350" s="400"/>
      <c r="BK350" s="400"/>
      <c r="BL350" s="246"/>
      <c r="BM350" s="432">
        <f t="shared" ref="BM350:BU350" si="5">BM339/BM338-1</f>
        <v>0</v>
      </c>
      <c r="BN350" s="432">
        <f t="shared" si="5"/>
        <v>-1.1223344556677839E-3</v>
      </c>
      <c r="BO350" s="432">
        <f t="shared" si="5"/>
        <v>6.6666666666665986E-3</v>
      </c>
      <c r="BP350" s="432">
        <f t="shared" si="5"/>
        <v>1.1223344556678949E-3</v>
      </c>
      <c r="BQ350" s="432">
        <f t="shared" si="5"/>
        <v>0</v>
      </c>
      <c r="BR350" s="432">
        <f t="shared" si="5"/>
        <v>-1.1223344556677839E-3</v>
      </c>
      <c r="BS350" s="432">
        <f t="shared" si="5"/>
        <v>0</v>
      </c>
      <c r="BT350" s="432">
        <f t="shared" si="5"/>
        <v>0</v>
      </c>
      <c r="BU350" s="432">
        <f t="shared" si="5"/>
        <v>0</v>
      </c>
      <c r="BV350" s="259"/>
      <c r="BZ350" s="334"/>
      <c r="CA350" s="259"/>
      <c r="CB350" s="259"/>
      <c r="CC350" s="5" t="s">
        <v>1122</v>
      </c>
      <c r="CD350" s="5"/>
      <c r="CE350" s="5"/>
      <c r="CF350" s="410"/>
      <c r="CG350" s="410"/>
      <c r="CH350" s="410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</row>
    <row r="351" spans="1:104" ht="15.05" hidden="1" customHeight="1" thickBot="1">
      <c r="A351" s="108"/>
      <c r="B351" s="314" t="s">
        <v>1037</v>
      </c>
      <c r="C351" s="1076">
        <f>(C329-C226)/(C337*10^-6)*(C226/C329*100)/(C324*10^5)</f>
        <v>3.7037037037037037</v>
      </c>
      <c r="D351" s="1076" t="e">
        <f>(D329-D226)/(D337*10^-6)*(D226/D329*100)/(D324*10^5)</f>
        <v>#DIV/0!</v>
      </c>
      <c r="E351" s="1067"/>
      <c r="G351" s="112"/>
      <c r="J351" s="1046"/>
      <c r="K351" s="1046"/>
      <c r="L351" s="1046"/>
      <c r="M351" s="1046"/>
      <c r="N351" s="1046"/>
      <c r="O351" s="400"/>
      <c r="P351" s="400"/>
      <c r="Q351" s="400"/>
      <c r="R351" s="400"/>
      <c r="S351" s="400"/>
      <c r="T351" s="400"/>
      <c r="U351" s="400"/>
      <c r="V351" s="400"/>
      <c r="W351" s="400"/>
      <c r="X351" s="400"/>
      <c r="Y351" s="400"/>
      <c r="Z351" s="400"/>
      <c r="AA351" s="400"/>
      <c r="AB351" s="400"/>
      <c r="AC351" s="400"/>
      <c r="AD351" s="22"/>
      <c r="AE351" s="400"/>
      <c r="AF351" s="400"/>
      <c r="AG351" s="400"/>
      <c r="AH351" s="400"/>
      <c r="AI351" s="400"/>
      <c r="AJ351" s="400"/>
      <c r="AK351" s="400"/>
      <c r="AL351" s="400"/>
      <c r="AM351" s="400"/>
      <c r="AN351" s="400"/>
      <c r="AO351" s="400"/>
      <c r="AP351" s="400"/>
      <c r="AQ351" s="400"/>
      <c r="AR351" s="400"/>
      <c r="AS351" s="400"/>
      <c r="AT351" s="400"/>
      <c r="AU351" s="400"/>
      <c r="AV351" s="400"/>
      <c r="AW351" s="400"/>
      <c r="AX351" s="400"/>
      <c r="AY351" s="400"/>
      <c r="AZ351" s="400"/>
      <c r="BA351" s="400"/>
      <c r="BC351" s="400"/>
      <c r="BD351" s="400"/>
      <c r="BE351" s="400"/>
      <c r="BF351" s="400"/>
      <c r="BG351" s="400"/>
      <c r="BH351" s="400"/>
      <c r="BI351" s="400"/>
      <c r="BJ351" s="400"/>
      <c r="BK351" s="400"/>
      <c r="BL351" s="246"/>
      <c r="BM351" s="397">
        <f t="shared" ref="BM351:BU351" si="6">BM463/BM$339-1</f>
        <v>1.5856406460551087E-2</v>
      </c>
      <c r="BN351" s="397">
        <f t="shared" si="6"/>
        <v>1.5099679783064257E-2</v>
      </c>
      <c r="BO351" s="397">
        <f t="shared" si="6"/>
        <v>1.5866102497737344E-2</v>
      </c>
      <c r="BP351" s="397">
        <f t="shared" si="6"/>
        <v>1.5104659218697858E-2</v>
      </c>
      <c r="BQ351" s="397">
        <f t="shared" si="6"/>
        <v>1.2440169358562958E-2</v>
      </c>
      <c r="BR351" s="397">
        <f t="shared" si="6"/>
        <v>1.5099679783064257E-2</v>
      </c>
      <c r="BS351" s="397">
        <f t="shared" si="6"/>
        <v>1.0665500734153621E-2</v>
      </c>
      <c r="BT351" s="397">
        <f t="shared" si="6"/>
        <v>1.6405444566227834E-2</v>
      </c>
      <c r="BU351" s="397">
        <f t="shared" si="6"/>
        <v>1.6405444566227834E-2</v>
      </c>
      <c r="BV351" s="259"/>
      <c r="BZ351" s="334" t="s">
        <v>1123</v>
      </c>
      <c r="CA351" s="259"/>
      <c r="CB351" s="259"/>
      <c r="CC351" s="6" t="s">
        <v>1124</v>
      </c>
      <c r="CD351" s="7" t="s">
        <v>1125</v>
      </c>
      <c r="CE351" s="433" t="s">
        <v>249</v>
      </c>
      <c r="CF351" s="8"/>
      <c r="CG351" s="8"/>
      <c r="CH351" s="9"/>
      <c r="CI351" s="434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</row>
    <row r="352" spans="1:104" ht="15.05" hidden="1" customHeight="1" thickBot="1">
      <c r="A352" s="108"/>
      <c r="B352" s="314" t="s">
        <v>1038</v>
      </c>
      <c r="C352" s="1076">
        <f>(C330-C226)/(C337*10^-6)*(C226/C330*100)/(C324*10^5)</f>
        <v>3.7487335359675784</v>
      </c>
      <c r="D352" s="1076" t="e">
        <f>(D330-D226)/(D337*10^-6)*(D226/D330*100)/(D324*10^5)</f>
        <v>#DIV/0!</v>
      </c>
      <c r="E352" s="1077"/>
      <c r="G352" s="112"/>
      <c r="J352" s="1046"/>
      <c r="K352" s="1046"/>
      <c r="L352" s="1046"/>
      <c r="M352" s="1046"/>
      <c r="N352" s="1046"/>
      <c r="O352" s="400"/>
      <c r="P352" s="400"/>
      <c r="Q352" s="400"/>
      <c r="R352" s="400"/>
      <c r="S352" s="400"/>
      <c r="T352" s="400"/>
      <c r="U352" s="400"/>
      <c r="V352" s="400"/>
      <c r="W352" s="400"/>
      <c r="X352" s="400"/>
      <c r="Y352" s="400"/>
      <c r="Z352" s="400"/>
      <c r="AA352" s="400"/>
      <c r="AB352" s="400"/>
      <c r="AC352" s="400"/>
      <c r="AD352" s="22"/>
      <c r="AE352" s="400"/>
      <c r="AF352" s="400"/>
      <c r="AG352" s="400"/>
      <c r="AH352" s="400"/>
      <c r="AI352" s="400"/>
      <c r="AJ352" s="400"/>
      <c r="AK352" s="400"/>
      <c r="AL352" s="400"/>
      <c r="AM352" s="400"/>
      <c r="AN352" s="400"/>
      <c r="AO352" s="400"/>
      <c r="AP352" s="400"/>
      <c r="AQ352" s="400"/>
      <c r="AR352" s="400"/>
      <c r="AS352" s="400"/>
      <c r="AT352" s="400"/>
      <c r="AU352" s="400"/>
      <c r="AV352" s="400"/>
      <c r="AW352" s="400"/>
      <c r="AX352" s="400"/>
      <c r="AY352" s="400"/>
      <c r="AZ352" s="400"/>
      <c r="BA352" s="400"/>
      <c r="BC352" s="400"/>
      <c r="BD352" s="400"/>
      <c r="BE352" s="400"/>
      <c r="BF352" s="400"/>
      <c r="BG352" s="400"/>
      <c r="BH352" s="400"/>
      <c r="BI352" s="400"/>
      <c r="BJ352" s="400"/>
      <c r="BK352" s="400"/>
      <c r="BL352" s="246"/>
      <c r="BM352" s="397">
        <f t="shared" ref="BM352:BU352" si="7">BM467/BM$339-1</f>
        <v>2.2784609690826407E-2</v>
      </c>
      <c r="BN352" s="397">
        <f t="shared" si="7"/>
        <v>2.1132665742011891E-2</v>
      </c>
      <c r="BO352" s="397">
        <f t="shared" si="7"/>
        <v>2.2805776263162159E-2</v>
      </c>
      <c r="BP352" s="397">
        <f t="shared" si="7"/>
        <v>2.1143535913248357E-2</v>
      </c>
      <c r="BQ352" s="397">
        <f t="shared" si="7"/>
        <v>1.5326920704511027E-2</v>
      </c>
      <c r="BR352" s="397">
        <f t="shared" si="7"/>
        <v>2.1132665742011891E-2</v>
      </c>
      <c r="BS352" s="397">
        <f t="shared" si="7"/>
        <v>1.1452796555775802E-2</v>
      </c>
      <c r="BT352" s="397">
        <f t="shared" si="7"/>
        <v>2.3983166849341542E-2</v>
      </c>
      <c r="BU352" s="397">
        <f t="shared" si="7"/>
        <v>2.3983166849341542E-2</v>
      </c>
      <c r="BV352" s="259"/>
      <c r="BZ352" s="334"/>
      <c r="CA352" s="259"/>
      <c r="CB352" s="259"/>
      <c r="CC352" s="436" t="s">
        <v>250</v>
      </c>
      <c r="CD352" s="436" t="s">
        <v>251</v>
      </c>
      <c r="CE352" s="437" t="s">
        <v>1126</v>
      </c>
      <c r="CF352" s="437" t="s">
        <v>1127</v>
      </c>
      <c r="CG352" s="11" t="s">
        <v>1128</v>
      </c>
      <c r="CH352" s="11" t="s">
        <v>1129</v>
      </c>
      <c r="CI352" s="434"/>
      <c r="CM352" s="27"/>
      <c r="CN352" s="27"/>
      <c r="CO352" s="157"/>
      <c r="CP352" s="157"/>
      <c r="CQ352" s="157"/>
      <c r="CR352" s="27"/>
      <c r="CS352" s="27"/>
      <c r="CT352" s="27"/>
      <c r="CU352" s="27"/>
      <c r="CV352" s="27"/>
      <c r="CW352" s="27"/>
      <c r="CX352" s="27"/>
      <c r="CY352" s="27"/>
      <c r="CZ352" s="27"/>
    </row>
    <row r="353" spans="1:107" ht="15.05" hidden="1" customHeight="1">
      <c r="A353" s="108"/>
      <c r="B353" s="314" t="s">
        <v>252</v>
      </c>
      <c r="C353" s="1078">
        <f>C352/C332</f>
        <v>0.29286980749746705</v>
      </c>
      <c r="D353" s="1078" t="e">
        <f>D352/D332</f>
        <v>#DIV/0!</v>
      </c>
      <c r="E353" s="1077"/>
      <c r="G353" s="112"/>
      <c r="J353" s="1046"/>
      <c r="K353" s="1046"/>
      <c r="L353" s="1046"/>
      <c r="M353" s="1046"/>
      <c r="N353" s="1046"/>
      <c r="O353" s="400"/>
      <c r="P353" s="400"/>
      <c r="Q353" s="400"/>
      <c r="R353" s="400"/>
      <c r="S353" s="400"/>
      <c r="T353" s="400"/>
      <c r="U353" s="400"/>
      <c r="V353" s="400"/>
      <c r="W353" s="400"/>
      <c r="X353" s="400"/>
      <c r="Y353" s="400"/>
      <c r="Z353" s="400"/>
      <c r="AA353" s="400"/>
      <c r="AB353" s="400"/>
      <c r="AC353" s="400"/>
      <c r="AD353" s="22"/>
      <c r="AE353" s="400"/>
      <c r="AF353" s="400"/>
      <c r="AG353" s="400"/>
      <c r="AH353" s="400"/>
      <c r="AI353" s="400"/>
      <c r="AJ353" s="400"/>
      <c r="AK353" s="400"/>
      <c r="AL353" s="400"/>
      <c r="AM353" s="400"/>
      <c r="AN353" s="400"/>
      <c r="AO353" s="400"/>
      <c r="AP353" s="400"/>
      <c r="AQ353" s="400"/>
      <c r="AR353" s="400"/>
      <c r="AS353" s="400"/>
      <c r="AT353" s="400"/>
      <c r="AU353" s="400"/>
      <c r="AV353" s="400"/>
      <c r="AW353" s="400"/>
      <c r="AX353" s="400"/>
      <c r="AY353" s="400"/>
      <c r="AZ353" s="400"/>
      <c r="BA353" s="400"/>
      <c r="BC353" s="400"/>
      <c r="BD353" s="400"/>
      <c r="BE353" s="400"/>
      <c r="BF353" s="400"/>
      <c r="BG353" s="400"/>
      <c r="BH353" s="400"/>
      <c r="BI353" s="400"/>
      <c r="BJ353" s="400"/>
      <c r="BK353" s="400"/>
      <c r="BL353" s="246"/>
      <c r="BM353" s="397">
        <f t="shared" ref="BM353:BU353" si="8">BM473/BM$339-1</f>
        <v>2.6323232323232526E-2</v>
      </c>
      <c r="BN353" s="397">
        <f t="shared" si="8"/>
        <v>2.4214050618544869E-2</v>
      </c>
      <c r="BO353" s="397">
        <f t="shared" si="8"/>
        <v>2.6350257542310684E-2</v>
      </c>
      <c r="BP353" s="397">
        <f t="shared" si="8"/>
        <v>2.4227929519409219E-2</v>
      </c>
      <c r="BQ353" s="397">
        <f t="shared" si="8"/>
        <v>1.6801346801346817E-2</v>
      </c>
      <c r="BR353" s="397">
        <f t="shared" si="8"/>
        <v>2.4214050618544869E-2</v>
      </c>
      <c r="BS353" s="397">
        <f t="shared" si="8"/>
        <v>1.1854912764003522E-2</v>
      </c>
      <c r="BT353" s="397">
        <f t="shared" si="8"/>
        <v>2.7853535353535408E-2</v>
      </c>
      <c r="BU353" s="397">
        <f t="shared" si="8"/>
        <v>2.7853535353535408E-2</v>
      </c>
      <c r="BV353" s="259"/>
      <c r="BZ353" s="246"/>
      <c r="CA353" s="259"/>
      <c r="CB353" s="259"/>
      <c r="CC353" s="246"/>
      <c r="CD353" s="246"/>
      <c r="CE353" s="439">
        <v>3.33</v>
      </c>
      <c r="CF353" s="440">
        <v>1.67</v>
      </c>
      <c r="CG353" s="440">
        <v>2.2200000000000002</v>
      </c>
      <c r="CH353" s="441">
        <v>1.33</v>
      </c>
      <c r="CI353" s="442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</row>
    <row r="354" spans="1:107" ht="15.05" hidden="1" customHeight="1">
      <c r="A354" s="108"/>
      <c r="B354" s="314" t="s">
        <v>1039</v>
      </c>
      <c r="C354" s="1076">
        <f>(C328-C226)/(C338*10^-6)*(C226/C328*100)/(C324*10^5)</f>
        <v>3.8372093023255811</v>
      </c>
      <c r="D354" s="1076" t="e">
        <f>(D328-D226)/(D338*10^-6)*(D226/D328*100)/(D324*10^5)</f>
        <v>#DIV/0!</v>
      </c>
      <c r="E354" s="1077"/>
      <c r="G354" s="112"/>
      <c r="J354" s="1056"/>
      <c r="K354" s="1056"/>
      <c r="L354" s="1056"/>
      <c r="M354" s="1056"/>
      <c r="N354" s="1056"/>
      <c r="O354" s="407"/>
      <c r="P354" s="407"/>
      <c r="Q354" s="407"/>
      <c r="R354" s="407"/>
      <c r="S354" s="407"/>
      <c r="T354" s="407"/>
      <c r="U354" s="407"/>
      <c r="V354" s="407"/>
      <c r="W354" s="407"/>
      <c r="X354" s="407"/>
      <c r="Y354" s="407"/>
      <c r="Z354" s="407"/>
      <c r="AA354" s="407"/>
      <c r="AB354" s="407"/>
      <c r="AC354" s="407"/>
      <c r="AD354" s="22"/>
      <c r="AE354" s="407"/>
      <c r="AF354" s="407"/>
      <c r="AG354" s="407"/>
      <c r="AH354" s="407"/>
      <c r="AI354" s="407"/>
      <c r="AJ354" s="407"/>
      <c r="AK354" s="407"/>
      <c r="AL354" s="407"/>
      <c r="AM354" s="407"/>
      <c r="AN354" s="407"/>
      <c r="AO354" s="407"/>
      <c r="AP354" s="407"/>
      <c r="AQ354" s="407"/>
      <c r="AR354" s="407"/>
      <c r="AS354" s="407"/>
      <c r="AT354" s="407"/>
      <c r="AU354" s="407"/>
      <c r="AV354" s="407"/>
      <c r="AW354" s="407"/>
      <c r="AX354" s="407"/>
      <c r="AY354" s="407"/>
      <c r="AZ354" s="407"/>
      <c r="BA354" s="407"/>
      <c r="BC354" s="407"/>
      <c r="BD354" s="407"/>
      <c r="BE354" s="407"/>
      <c r="BF354" s="407"/>
      <c r="BG354" s="407"/>
      <c r="BH354" s="407"/>
      <c r="BI354" s="407"/>
      <c r="BJ354" s="407"/>
      <c r="BK354" s="407"/>
      <c r="BL354" s="246"/>
      <c r="BM354" s="393"/>
      <c r="BN354" s="393"/>
      <c r="BO354" s="393"/>
      <c r="BP354" s="393"/>
      <c r="BQ354" s="393"/>
      <c r="BR354" s="393"/>
      <c r="BS354" s="393"/>
      <c r="BT354" s="393"/>
      <c r="BU354" s="393"/>
      <c r="BV354" s="259"/>
      <c r="BZ354" s="334"/>
      <c r="CA354" s="259"/>
      <c r="CB354" s="259"/>
      <c r="CC354" s="442"/>
      <c r="CD354" s="334"/>
      <c r="CE354" s="22"/>
      <c r="CF354" s="442"/>
      <c r="CG354" s="22"/>
      <c r="CH354" s="22"/>
      <c r="CI354" s="246"/>
      <c r="CL354" s="246"/>
      <c r="CM354" s="27"/>
      <c r="CN354" s="156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</row>
    <row r="355" spans="1:107" ht="15.05" hidden="1" customHeight="1">
      <c r="A355" s="108"/>
      <c r="B355" s="314" t="s">
        <v>1041</v>
      </c>
      <c r="C355" s="1076">
        <f>(C329-C226)/(C338*10^-6)*(C226/C329*100)/(C324*10^5)</f>
        <v>3.8888888888888888</v>
      </c>
      <c r="D355" s="1076" t="e">
        <f>(D329-D226)/(D338*10^-6)*(D226/D329*100)/(D324*10^5)</f>
        <v>#DIV/0!</v>
      </c>
      <c r="E355" s="1077"/>
      <c r="G355" s="112"/>
      <c r="J355" s="1058"/>
      <c r="K355" s="1058"/>
      <c r="L355" s="1058"/>
      <c r="M355" s="1058"/>
      <c r="N355" s="1058"/>
      <c r="O355" s="409"/>
      <c r="P355" s="409"/>
      <c r="Q355" s="409"/>
      <c r="R355" s="409"/>
      <c r="S355" s="409"/>
      <c r="T355" s="409"/>
      <c r="U355" s="409"/>
      <c r="V355" s="409"/>
      <c r="W355" s="409"/>
      <c r="X355" s="409"/>
      <c r="Y355" s="409"/>
      <c r="Z355" s="409"/>
      <c r="AA355" s="409"/>
      <c r="AB355" s="409"/>
      <c r="AC355" s="409"/>
      <c r="AD355" s="22"/>
      <c r="AE355" s="409"/>
      <c r="AF355" s="409"/>
      <c r="AG355" s="409"/>
      <c r="AH355" s="409"/>
      <c r="AI355" s="409"/>
      <c r="AJ355" s="409"/>
      <c r="AK355" s="409"/>
      <c r="AL355" s="409"/>
      <c r="AM355" s="409"/>
      <c r="AN355" s="409"/>
      <c r="AO355" s="409"/>
      <c r="AP355" s="409"/>
      <c r="AQ355" s="409"/>
      <c r="AR355" s="409"/>
      <c r="AS355" s="409"/>
      <c r="AT355" s="409"/>
      <c r="AU355" s="409"/>
      <c r="AV355" s="409"/>
      <c r="AW355" s="409"/>
      <c r="AX355" s="409"/>
      <c r="AY355" s="409"/>
      <c r="AZ355" s="409"/>
      <c r="BA355" s="409"/>
      <c r="BC355" s="409"/>
      <c r="BD355" s="409"/>
      <c r="BE355" s="409"/>
      <c r="BF355" s="409"/>
      <c r="BG355" s="409"/>
      <c r="BH355" s="409"/>
      <c r="BI355" s="409"/>
      <c r="BJ355" s="409"/>
      <c r="BK355" s="409"/>
      <c r="BL355" s="246"/>
      <c r="BM355" s="443">
        <v>30</v>
      </c>
      <c r="BN355" s="443">
        <v>27</v>
      </c>
      <c r="BO355" s="443">
        <v>30</v>
      </c>
      <c r="BP355" s="443">
        <v>27</v>
      </c>
      <c r="BQ355" s="443">
        <v>62</v>
      </c>
      <c r="BR355" s="443">
        <v>27</v>
      </c>
      <c r="BS355" s="443">
        <v>27</v>
      </c>
      <c r="BT355" s="443">
        <v>30</v>
      </c>
      <c r="BU355" s="443">
        <v>30</v>
      </c>
      <c r="BV355" s="259"/>
      <c r="BZ355" s="334"/>
      <c r="CA355" s="259"/>
      <c r="CB355" s="259"/>
      <c r="CC355" s="334"/>
      <c r="CD355" s="334"/>
      <c r="CE355" s="14"/>
      <c r="CF355" s="14"/>
      <c r="CG355" s="14"/>
      <c r="CH355" s="14"/>
      <c r="CI355" s="246"/>
      <c r="CM355" s="27"/>
      <c r="CN355" s="27"/>
      <c r="CO355" s="410"/>
      <c r="CP355" s="410"/>
      <c r="CQ355" s="410"/>
      <c r="CR355" s="410"/>
      <c r="CS355" s="27"/>
      <c r="CT355" s="27"/>
      <c r="CU355" s="27"/>
      <c r="CV355" s="27"/>
      <c r="CW355" s="27"/>
      <c r="CX355" s="27"/>
      <c r="CY355" s="27"/>
      <c r="CZ355" s="27"/>
    </row>
    <row r="356" spans="1:107" ht="15.05" hidden="1" customHeight="1">
      <c r="A356" s="108"/>
      <c r="B356" s="314" t="s">
        <v>1040</v>
      </c>
      <c r="C356" s="1076">
        <f>(C330-C226)/(C338*10^-6)*(C226/C330*100)/(C324*10^5)</f>
        <v>3.936170212765957</v>
      </c>
      <c r="D356" s="1076" t="e">
        <f>(D330-D226)/(D338*10^-6)*(D226/D330*100)/(D324*10^5)</f>
        <v>#DIV/0!</v>
      </c>
      <c r="E356" s="1077"/>
      <c r="G356" s="112"/>
      <c r="J356" s="1061"/>
      <c r="K356" s="1061"/>
      <c r="L356" s="1061"/>
      <c r="M356" s="1061"/>
      <c r="N356" s="1061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2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246"/>
      <c r="BM356" s="12">
        <v>0.01</v>
      </c>
      <c r="BN356" s="12">
        <v>0.01</v>
      </c>
      <c r="BO356" s="12">
        <v>0.01</v>
      </c>
      <c r="BP356" s="12">
        <v>0.01</v>
      </c>
      <c r="BQ356" s="12">
        <v>0.01</v>
      </c>
      <c r="BR356" s="12">
        <v>0.01</v>
      </c>
      <c r="BS356" s="12">
        <v>0.01</v>
      </c>
      <c r="BT356" s="12">
        <v>0.01</v>
      </c>
      <c r="BU356" s="12">
        <v>0.01</v>
      </c>
      <c r="BV356" s="259"/>
      <c r="BZ356" s="334"/>
      <c r="CA356" s="259"/>
      <c r="CB356" s="259"/>
      <c r="CC356" s="334"/>
      <c r="CD356" s="14"/>
      <c r="CE356" s="334"/>
      <c r="CF356" s="334"/>
      <c r="CG356" s="334"/>
      <c r="CH356" s="334"/>
      <c r="CI356" s="246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</row>
    <row r="357" spans="1:107" ht="15.05" hidden="1" customHeight="1">
      <c r="A357" s="108"/>
      <c r="B357" s="1079" t="s">
        <v>253</v>
      </c>
      <c r="C357" s="1078">
        <f>(C356-C355)/C355</f>
        <v>1.2158054711246103E-2</v>
      </c>
      <c r="D357" s="1078" t="e">
        <f>(D356-D355)/D355</f>
        <v>#DIV/0!</v>
      </c>
      <c r="E357" s="1067"/>
      <c r="G357" s="112"/>
      <c r="J357" s="995"/>
      <c r="K357" s="995"/>
      <c r="L357" s="995"/>
      <c r="M357" s="995"/>
      <c r="N357" s="995"/>
      <c r="O357" s="334"/>
      <c r="P357" s="334"/>
      <c r="Q357" s="334"/>
      <c r="R357" s="334"/>
      <c r="S357" s="334"/>
      <c r="T357" s="334"/>
      <c r="U357" s="334"/>
      <c r="V357" s="334"/>
      <c r="W357" s="334"/>
      <c r="X357" s="334"/>
      <c r="Y357" s="334"/>
      <c r="Z357" s="334"/>
      <c r="AA357" s="334"/>
      <c r="AB357" s="334"/>
      <c r="AC357" s="334"/>
      <c r="AD357" s="22"/>
      <c r="AE357" s="334"/>
      <c r="AF357" s="334"/>
      <c r="AG357" s="334"/>
      <c r="AH357" s="334"/>
      <c r="AI357" s="334"/>
      <c r="AJ357" s="334"/>
      <c r="AK357" s="334"/>
      <c r="AL357" s="334"/>
      <c r="AM357" s="334"/>
      <c r="AN357" s="334"/>
      <c r="AO357" s="334"/>
      <c r="AP357" s="334"/>
      <c r="AQ357" s="334"/>
      <c r="AR357" s="334"/>
      <c r="AS357" s="334"/>
      <c r="AT357" s="334"/>
      <c r="AU357" s="334"/>
      <c r="AV357" s="334"/>
      <c r="AW357" s="334"/>
      <c r="AX357" s="334"/>
      <c r="AY357" s="334"/>
      <c r="AZ357" s="334"/>
      <c r="BA357" s="334"/>
      <c r="BC357" s="334"/>
      <c r="BD357" s="334"/>
      <c r="BE357" s="334"/>
      <c r="BF357" s="334"/>
      <c r="BG357" s="334"/>
      <c r="BH357" s="334"/>
      <c r="BI357" s="334"/>
      <c r="BJ357" s="334"/>
      <c r="BK357" s="334"/>
      <c r="BL357" s="246"/>
      <c r="BM357" s="444">
        <f t="shared" ref="BM357:BU357" si="9">(BM338-$C$319)/$C$319*BM355</f>
        <v>120</v>
      </c>
      <c r="BN357" s="444">
        <f t="shared" si="9"/>
        <v>62.099999999999994</v>
      </c>
      <c r="BO357" s="444">
        <f t="shared" si="9"/>
        <v>120</v>
      </c>
      <c r="BP357" s="444">
        <f t="shared" si="9"/>
        <v>62.099999999999994</v>
      </c>
      <c r="BQ357" s="444">
        <f t="shared" si="9"/>
        <v>31</v>
      </c>
      <c r="BR357" s="444">
        <f t="shared" si="9"/>
        <v>62.099999999999994</v>
      </c>
      <c r="BS357" s="444">
        <f t="shared" si="9"/>
        <v>2.7000000000000024</v>
      </c>
      <c r="BT357" s="444">
        <f t="shared" si="9"/>
        <v>210</v>
      </c>
      <c r="BU357" s="444">
        <f t="shared" si="9"/>
        <v>210</v>
      </c>
      <c r="BV357" s="259"/>
      <c r="BZ357" s="334"/>
      <c r="CA357" s="259"/>
      <c r="CB357" s="259"/>
      <c r="CC357" s="246"/>
      <c r="CD357" s="246"/>
      <c r="CE357" s="246"/>
      <c r="CF357" s="334"/>
      <c r="CG357" s="334"/>
      <c r="CH357" s="334"/>
      <c r="CI357" s="246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</row>
    <row r="358" spans="1:107" ht="15.05" hidden="1" customHeight="1">
      <c r="A358" s="108"/>
      <c r="B358" s="1079" t="s">
        <v>81</v>
      </c>
      <c r="C358" s="1078">
        <f>(C354-C355)/C355</f>
        <v>-1.3289036544850559E-2</v>
      </c>
      <c r="D358" s="1078" t="e">
        <f>(D354-D355)/D355</f>
        <v>#DIV/0!</v>
      </c>
      <c r="E358" s="1067"/>
      <c r="G358" s="112"/>
      <c r="J358" s="1058"/>
      <c r="K358" s="1058"/>
      <c r="L358" s="1058"/>
      <c r="M358" s="1058"/>
      <c r="N358" s="1058"/>
      <c r="O358" s="409"/>
      <c r="P358" s="409"/>
      <c r="Q358" s="409"/>
      <c r="R358" s="409"/>
      <c r="S358" s="409"/>
      <c r="T358" s="409"/>
      <c r="U358" s="409"/>
      <c r="V358" s="409"/>
      <c r="W358" s="409"/>
      <c r="X358" s="409"/>
      <c r="Y358" s="409"/>
      <c r="Z358" s="409"/>
      <c r="AA358" s="409"/>
      <c r="AB358" s="409"/>
      <c r="AC358" s="409"/>
      <c r="AD358" s="22"/>
      <c r="AE358" s="409"/>
      <c r="AF358" s="409"/>
      <c r="AG358" s="409"/>
      <c r="AH358" s="409"/>
      <c r="AI358" s="409"/>
      <c r="AJ358" s="409"/>
      <c r="AK358" s="409"/>
      <c r="AL358" s="409"/>
      <c r="AM358" s="409"/>
      <c r="AN358" s="409"/>
      <c r="AO358" s="409"/>
      <c r="AP358" s="409"/>
      <c r="AQ358" s="409"/>
      <c r="AR358" s="409"/>
      <c r="AS358" s="409"/>
      <c r="AT358" s="409"/>
      <c r="AU358" s="409"/>
      <c r="AV358" s="409"/>
      <c r="AW358" s="409"/>
      <c r="AX358" s="409"/>
      <c r="AY358" s="409"/>
      <c r="AZ358" s="409"/>
      <c r="BA358" s="409"/>
      <c r="BC358" s="409"/>
      <c r="BD358" s="409"/>
      <c r="BE358" s="409"/>
      <c r="BF358" s="409"/>
      <c r="BG358" s="409"/>
      <c r="BH358" s="409"/>
      <c r="BI358" s="409"/>
      <c r="BJ358" s="409"/>
      <c r="BK358" s="409"/>
      <c r="BL358" s="246"/>
      <c r="BM358" s="443">
        <v>120</v>
      </c>
      <c r="BN358" s="443">
        <v>62</v>
      </c>
      <c r="BO358" s="443">
        <v>121</v>
      </c>
      <c r="BP358" s="443">
        <v>62.2</v>
      </c>
      <c r="BQ358" s="443">
        <v>31</v>
      </c>
      <c r="BR358" s="443">
        <v>62</v>
      </c>
      <c r="BS358" s="443">
        <v>2.7</v>
      </c>
      <c r="BT358" s="443">
        <v>210</v>
      </c>
      <c r="BU358" s="443">
        <v>210</v>
      </c>
      <c r="BV358" s="259"/>
      <c r="BZ358" s="334"/>
      <c r="CA358" s="259"/>
      <c r="CB358" s="259"/>
      <c r="CC358" s="246"/>
      <c r="CD358" s="246"/>
      <c r="CE358" s="246"/>
      <c r="CF358" s="334"/>
      <c r="CG358" s="334"/>
      <c r="CH358" s="334"/>
      <c r="CI358" s="246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</row>
    <row r="359" spans="1:107" ht="15.05" hidden="1" customHeight="1">
      <c r="A359" s="108"/>
      <c r="B359" s="1079" t="s">
        <v>257</v>
      </c>
      <c r="C359" s="1078">
        <f>0.5*C356/C598</f>
        <v>0.11472412387564208</v>
      </c>
      <c r="D359" s="1078" t="e">
        <f>0.5*D356/D598</f>
        <v>#DIV/0!</v>
      </c>
      <c r="E359" s="1067" t="s">
        <v>82</v>
      </c>
      <c r="G359" s="112"/>
      <c r="J359" s="1061"/>
      <c r="K359" s="1061"/>
      <c r="L359" s="1061"/>
      <c r="M359" s="1061"/>
      <c r="N359" s="1061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2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  <c r="BC359" s="72"/>
      <c r="BD359" s="72"/>
      <c r="BE359" s="72"/>
      <c r="BF359" s="72"/>
      <c r="BG359" s="72"/>
      <c r="BH359" s="72"/>
      <c r="BI359" s="72"/>
      <c r="BJ359" s="72"/>
      <c r="BK359" s="72"/>
      <c r="BL359" s="246"/>
      <c r="BM359" s="12">
        <v>0.01</v>
      </c>
      <c r="BN359" s="12">
        <v>0.01</v>
      </c>
      <c r="BO359" s="12">
        <v>0.01</v>
      </c>
      <c r="BP359" s="12">
        <v>0.01</v>
      </c>
      <c r="BQ359" s="12">
        <v>0.01</v>
      </c>
      <c r="BR359" s="12">
        <v>0.01</v>
      </c>
      <c r="BS359" s="12">
        <v>0.01</v>
      </c>
      <c r="BT359" s="12">
        <v>0.01</v>
      </c>
      <c r="BU359" s="12">
        <v>0.01</v>
      </c>
      <c r="BV359" s="259"/>
      <c r="BZ359" s="334"/>
      <c r="CA359" s="259"/>
      <c r="CB359" s="259"/>
      <c r="CC359" s="246"/>
      <c r="CD359" s="246"/>
      <c r="CE359" s="246"/>
      <c r="CF359" s="14"/>
      <c r="CG359" s="334"/>
      <c r="CH359" s="334"/>
      <c r="CI359" s="246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</row>
    <row r="360" spans="1:107" ht="15.05" hidden="1" customHeight="1">
      <c r="A360" s="108"/>
      <c r="B360" s="1079" t="s">
        <v>257</v>
      </c>
      <c r="C360" s="1078">
        <f>0.5*C356/C564</f>
        <v>9.9111113851430829E-2</v>
      </c>
      <c r="D360" s="1078" t="e">
        <f>0.5*D356/D564</f>
        <v>#DIV/0!</v>
      </c>
      <c r="E360" s="1067" t="s">
        <v>258</v>
      </c>
      <c r="G360" s="112"/>
      <c r="J360" s="1061"/>
      <c r="K360" s="1061"/>
      <c r="L360" s="1061"/>
      <c r="M360" s="1061"/>
      <c r="N360" s="1061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2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  <c r="BC360" s="72"/>
      <c r="BD360" s="72"/>
      <c r="BE360" s="72"/>
      <c r="BF360" s="72"/>
      <c r="BG360" s="72"/>
      <c r="BH360" s="72"/>
      <c r="BI360" s="72"/>
      <c r="BJ360" s="72"/>
      <c r="BK360" s="72"/>
      <c r="BL360" s="246"/>
      <c r="BM360" s="13">
        <f t="shared" ref="BM360:BU360" si="10">SQRT(($C$320)^2+(BM359)^2+(BM356)^2)</f>
        <v>1.7320508075688773E-2</v>
      </c>
      <c r="BN360" s="13">
        <f t="shared" si="10"/>
        <v>1.7320508075688773E-2</v>
      </c>
      <c r="BO360" s="13">
        <f t="shared" si="10"/>
        <v>1.7320508075688773E-2</v>
      </c>
      <c r="BP360" s="13">
        <f t="shared" si="10"/>
        <v>1.7320508075688773E-2</v>
      </c>
      <c r="BQ360" s="13">
        <f t="shared" si="10"/>
        <v>1.7320508075688773E-2</v>
      </c>
      <c r="BR360" s="13">
        <f t="shared" si="10"/>
        <v>1.7320508075688773E-2</v>
      </c>
      <c r="BS360" s="13">
        <f t="shared" si="10"/>
        <v>1.7320508075688773E-2</v>
      </c>
      <c r="BT360" s="13">
        <f t="shared" si="10"/>
        <v>1.7320508075688773E-2</v>
      </c>
      <c r="BU360" s="13">
        <f t="shared" si="10"/>
        <v>1.7320508075688773E-2</v>
      </c>
      <c r="BV360" s="259"/>
      <c r="BZ360" s="334"/>
      <c r="CA360" s="259"/>
      <c r="CB360" s="259"/>
      <c r="CC360" s="246"/>
      <c r="CD360" s="246"/>
      <c r="CE360" s="246"/>
      <c r="CF360" s="334"/>
      <c r="CG360" s="14"/>
      <c r="CH360" s="334"/>
      <c r="CI360" s="24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</row>
    <row r="361" spans="1:107" ht="15.05" hidden="1" customHeight="1">
      <c r="A361" s="108"/>
      <c r="B361" s="1079" t="s">
        <v>259</v>
      </c>
      <c r="C361" s="1078">
        <f>0.5*C355/C598</f>
        <v>0.11334605632158033</v>
      </c>
      <c r="D361" s="1078" t="e">
        <f>0.5*D355/D598</f>
        <v>#DIV/0!</v>
      </c>
      <c r="E361" s="1067" t="s">
        <v>82</v>
      </c>
      <c r="J361" s="1046"/>
      <c r="K361" s="1046"/>
      <c r="L361" s="1046"/>
      <c r="M361" s="1046"/>
      <c r="N361" s="1046"/>
      <c r="O361" s="400"/>
      <c r="P361" s="400"/>
      <c r="Q361" s="400"/>
      <c r="R361" s="400"/>
      <c r="S361" s="400"/>
      <c r="T361" s="400"/>
      <c r="U361" s="400"/>
      <c r="V361" s="400"/>
      <c r="W361" s="400"/>
      <c r="X361" s="400"/>
      <c r="Y361" s="400"/>
      <c r="Z361" s="400"/>
      <c r="AA361" s="400"/>
      <c r="AB361" s="400"/>
      <c r="AC361" s="400"/>
      <c r="AD361" s="22"/>
      <c r="AE361" s="400"/>
      <c r="AF361" s="400"/>
      <c r="AG361" s="400"/>
      <c r="AH361" s="400"/>
      <c r="AI361" s="400"/>
      <c r="AJ361" s="400"/>
      <c r="AK361" s="400"/>
      <c r="AL361" s="400"/>
      <c r="AM361" s="400"/>
      <c r="AN361" s="400"/>
      <c r="AO361" s="400"/>
      <c r="AP361" s="400"/>
      <c r="AQ361" s="400"/>
      <c r="AR361" s="400"/>
      <c r="AS361" s="400"/>
      <c r="AT361" s="400"/>
      <c r="AU361" s="400"/>
      <c r="AV361" s="400"/>
      <c r="AW361" s="400"/>
      <c r="AX361" s="400"/>
      <c r="AY361" s="400"/>
      <c r="AZ361" s="400"/>
      <c r="BA361" s="400"/>
      <c r="BC361" s="400"/>
      <c r="BD361" s="400"/>
      <c r="BE361" s="400"/>
      <c r="BF361" s="400"/>
      <c r="BG361" s="400"/>
      <c r="BH361" s="400"/>
      <c r="BI361" s="400"/>
      <c r="BJ361" s="400"/>
      <c r="BK361" s="400"/>
      <c r="BL361" s="246"/>
      <c r="BM361" s="432">
        <f t="shared" ref="BM361:BU361" si="11">2*($C$320+BM359+BM356)/($C$320+BM359+BM356+MAX(BM359,BM356,$C$320))*(SQRT(($C$320)^2+(BM359)^2+(BM356)^2))</f>
        <v>2.598076211353316E-2</v>
      </c>
      <c r="BN361" s="432">
        <f t="shared" si="11"/>
        <v>2.598076211353316E-2</v>
      </c>
      <c r="BO361" s="432">
        <f t="shared" si="11"/>
        <v>2.598076211353316E-2</v>
      </c>
      <c r="BP361" s="432">
        <f t="shared" si="11"/>
        <v>2.598076211353316E-2</v>
      </c>
      <c r="BQ361" s="432">
        <f t="shared" si="11"/>
        <v>2.598076211353316E-2</v>
      </c>
      <c r="BR361" s="432">
        <f t="shared" si="11"/>
        <v>2.598076211353316E-2</v>
      </c>
      <c r="BS361" s="432">
        <f t="shared" si="11"/>
        <v>2.598076211353316E-2</v>
      </c>
      <c r="BT361" s="432">
        <f t="shared" si="11"/>
        <v>2.598076211353316E-2</v>
      </c>
      <c r="BU361" s="432">
        <f t="shared" si="11"/>
        <v>2.598076211353316E-2</v>
      </c>
      <c r="BV361" s="259"/>
      <c r="BW361" s="246"/>
      <c r="BX361" s="246"/>
      <c r="BY361" s="246"/>
      <c r="BZ361" s="334"/>
      <c r="CA361" s="259"/>
      <c r="CB361" s="259"/>
      <c r="CC361" s="246"/>
      <c r="CD361" s="246"/>
      <c r="CE361" s="334"/>
      <c r="CF361" s="334"/>
      <c r="CG361" s="334"/>
      <c r="CH361" s="334"/>
      <c r="CM361" s="14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</row>
    <row r="362" spans="1:107" ht="15.05" hidden="1" customHeight="1">
      <c r="A362" s="108"/>
      <c r="B362" s="1079" t="s">
        <v>259</v>
      </c>
      <c r="C362" s="1078">
        <f>0.5*C355/C564</f>
        <v>9.7920589961323551E-2</v>
      </c>
      <c r="D362" s="1078" t="e">
        <f>0.5*D355/D564</f>
        <v>#DIV/0!</v>
      </c>
      <c r="E362" s="1067" t="s">
        <v>258</v>
      </c>
      <c r="J362" s="1066"/>
      <c r="K362" s="1066"/>
      <c r="L362" s="1066"/>
      <c r="M362" s="1066"/>
      <c r="N362" s="1066"/>
      <c r="O362" s="419"/>
      <c r="P362" s="419"/>
      <c r="Q362" s="419"/>
      <c r="R362" s="419"/>
      <c r="S362" s="419"/>
      <c r="T362" s="419"/>
      <c r="U362" s="419"/>
      <c r="V362" s="419"/>
      <c r="W362" s="419"/>
      <c r="X362" s="419"/>
      <c r="Y362" s="419"/>
      <c r="Z362" s="419"/>
      <c r="AA362" s="419"/>
      <c r="AB362" s="419"/>
      <c r="AC362" s="419"/>
      <c r="AD362" s="22"/>
      <c r="AE362" s="419"/>
      <c r="AF362" s="419"/>
      <c r="AG362" s="419"/>
      <c r="AH362" s="419"/>
      <c r="AI362" s="419"/>
      <c r="AJ362" s="419"/>
      <c r="AK362" s="419"/>
      <c r="AL362" s="419"/>
      <c r="AM362" s="419"/>
      <c r="AN362" s="419"/>
      <c r="AO362" s="419"/>
      <c r="AP362" s="419"/>
      <c r="AQ362" s="419"/>
      <c r="AR362" s="419"/>
      <c r="AS362" s="419"/>
      <c r="AT362" s="419"/>
      <c r="AU362" s="419"/>
      <c r="AV362" s="419"/>
      <c r="AW362" s="419"/>
      <c r="AX362" s="419"/>
      <c r="AY362" s="419"/>
      <c r="AZ362" s="419"/>
      <c r="BA362" s="419"/>
      <c r="BC362" s="419"/>
      <c r="BD362" s="419"/>
      <c r="BE362" s="419"/>
      <c r="BF362" s="419"/>
      <c r="BG362" s="419"/>
      <c r="BH362" s="419"/>
      <c r="BI362" s="419"/>
      <c r="BJ362" s="419"/>
      <c r="BK362" s="419"/>
      <c r="BL362" s="246"/>
      <c r="BM362" s="386">
        <f t="shared" ref="BM362:BU362" si="12">BM358/BM355*$C$319*(1-BM360)+$C$319*(1-$C$320)</f>
        <v>4.9207179676972448</v>
      </c>
      <c r="BN362" s="386">
        <f t="shared" si="12"/>
        <v>3.2465232777521225</v>
      </c>
      <c r="BO362" s="386">
        <f t="shared" si="12"/>
        <v>4.9534739507613885</v>
      </c>
      <c r="BP362" s="386">
        <f t="shared" si="12"/>
        <v>3.2538023850997098</v>
      </c>
      <c r="BQ362" s="386">
        <f t="shared" si="12"/>
        <v>1.4813397459621556</v>
      </c>
      <c r="BR362" s="386">
        <f t="shared" si="12"/>
        <v>3.2465232777521225</v>
      </c>
      <c r="BS362" s="386">
        <f t="shared" si="12"/>
        <v>1.0882679491924312</v>
      </c>
      <c r="BT362" s="386">
        <f t="shared" si="12"/>
        <v>7.8687564434701791</v>
      </c>
      <c r="BU362" s="386">
        <f t="shared" si="12"/>
        <v>7.8687564434701791</v>
      </c>
      <c r="BV362" s="259"/>
      <c r="BY362" s="246"/>
      <c r="BZ362" s="334"/>
      <c r="CA362" s="259"/>
      <c r="CB362" s="259"/>
      <c r="CC362" s="246"/>
      <c r="CD362" s="246"/>
      <c r="CE362" s="334"/>
      <c r="CF362" s="334"/>
      <c r="CG362" s="14"/>
      <c r="CH362" s="334"/>
      <c r="CM362" s="27"/>
      <c r="CN362" s="27"/>
      <c r="CO362" s="157"/>
      <c r="CP362" s="157"/>
      <c r="CQ362" s="157"/>
      <c r="CR362" s="27"/>
      <c r="CS362" s="27"/>
      <c r="CT362" s="27"/>
      <c r="CU362" s="27"/>
      <c r="CV362" s="27"/>
      <c r="CW362" s="27"/>
      <c r="CX362" s="27"/>
      <c r="CY362" s="27"/>
      <c r="CZ362" s="27"/>
    </row>
    <row r="363" spans="1:107" ht="15.05" hidden="1" customHeight="1">
      <c r="A363" s="108"/>
      <c r="B363" s="1080"/>
      <c r="C363" s="1081"/>
      <c r="D363" s="1081"/>
      <c r="E363" s="1067"/>
      <c r="J363" s="1066"/>
      <c r="K363" s="1066"/>
      <c r="L363" s="1066"/>
      <c r="M363" s="1066"/>
      <c r="N363" s="1066"/>
      <c r="O363" s="419"/>
      <c r="P363" s="419"/>
      <c r="Q363" s="419"/>
      <c r="R363" s="419"/>
      <c r="S363" s="419"/>
      <c r="T363" s="419"/>
      <c r="U363" s="419"/>
      <c r="V363" s="419"/>
      <c r="W363" s="419"/>
      <c r="X363" s="419"/>
      <c r="Y363" s="419"/>
      <c r="Z363" s="419"/>
      <c r="AA363" s="419"/>
      <c r="AB363" s="419"/>
      <c r="AC363" s="419"/>
      <c r="AD363" s="22"/>
      <c r="AE363" s="419"/>
      <c r="AF363" s="419"/>
      <c r="AG363" s="419"/>
      <c r="AH363" s="419"/>
      <c r="AI363" s="419"/>
      <c r="AJ363" s="419"/>
      <c r="AK363" s="419"/>
      <c r="AL363" s="419"/>
      <c r="AM363" s="419"/>
      <c r="AN363" s="419"/>
      <c r="AO363" s="419"/>
      <c r="AP363" s="419"/>
      <c r="AQ363" s="419"/>
      <c r="AR363" s="419"/>
      <c r="AS363" s="419"/>
      <c r="AT363" s="419"/>
      <c r="AU363" s="419"/>
      <c r="AV363" s="419"/>
      <c r="AW363" s="419"/>
      <c r="AX363" s="419"/>
      <c r="AY363" s="419"/>
      <c r="AZ363" s="419"/>
      <c r="BA363" s="419"/>
      <c r="BC363" s="419"/>
      <c r="BD363" s="419"/>
      <c r="BE363" s="419"/>
      <c r="BF363" s="419"/>
      <c r="BG363" s="419"/>
      <c r="BH363" s="419"/>
      <c r="BI363" s="419"/>
      <c r="BJ363" s="419"/>
      <c r="BK363" s="419"/>
      <c r="BL363" s="246"/>
      <c r="BM363" s="386"/>
      <c r="BN363" s="386"/>
      <c r="BO363" s="386"/>
      <c r="BP363" s="386"/>
      <c r="BQ363" s="386"/>
      <c r="BR363" s="386"/>
      <c r="BS363" s="386"/>
      <c r="BT363" s="386"/>
      <c r="BU363" s="386"/>
      <c r="BV363" s="259"/>
      <c r="BY363" s="246"/>
      <c r="BZ363" s="334"/>
      <c r="CA363" s="259"/>
      <c r="CB363" s="259"/>
      <c r="CC363" s="246"/>
      <c r="CD363" s="246"/>
      <c r="CE363" s="334"/>
      <c r="CF363" s="334"/>
      <c r="CG363" s="14"/>
      <c r="CH363" s="334"/>
      <c r="CM363" s="27"/>
      <c r="CN363" s="27"/>
      <c r="CO363" s="157"/>
      <c r="CP363" s="157"/>
      <c r="CQ363" s="157"/>
      <c r="CR363" s="27"/>
      <c r="CS363" s="27"/>
      <c r="CT363" s="27"/>
      <c r="CU363" s="27"/>
      <c r="CV363" s="27"/>
      <c r="CW363" s="27"/>
      <c r="CX363" s="27"/>
      <c r="CY363" s="27"/>
      <c r="CZ363" s="27"/>
    </row>
    <row r="364" spans="1:107" ht="15.05" hidden="1" customHeight="1">
      <c r="A364" s="108"/>
      <c r="B364" s="1080"/>
      <c r="C364" s="112"/>
      <c r="D364" s="1081"/>
      <c r="E364" s="1067"/>
      <c r="G364" s="310" t="s">
        <v>175</v>
      </c>
      <c r="H364" s="310" t="s">
        <v>175</v>
      </c>
      <c r="I364" s="310" t="s">
        <v>175</v>
      </c>
      <c r="J364" s="1066"/>
      <c r="K364" s="1066"/>
      <c r="L364" s="1066"/>
      <c r="M364" s="310" t="s">
        <v>175</v>
      </c>
      <c r="N364" s="310" t="s">
        <v>175</v>
      </c>
      <c r="O364" s="246" t="s">
        <v>175</v>
      </c>
      <c r="P364" s="246" t="s">
        <v>175</v>
      </c>
      <c r="Q364" s="246" t="s">
        <v>175</v>
      </c>
      <c r="R364" s="246" t="s">
        <v>175</v>
      </c>
      <c r="T364" s="419" t="s">
        <v>176</v>
      </c>
      <c r="U364" s="246"/>
      <c r="V364" s="246"/>
      <c r="W364" s="419"/>
      <c r="X364" s="419"/>
      <c r="Y364" s="419"/>
      <c r="Z364" s="419"/>
      <c r="AA364" s="419"/>
      <c r="AB364" s="419"/>
      <c r="AC364" s="419"/>
      <c r="AD364" s="419"/>
      <c r="AE364" s="419"/>
      <c r="AF364" s="419"/>
      <c r="AG364" s="22"/>
      <c r="AH364" s="419"/>
      <c r="AI364" s="419"/>
      <c r="AJ364" s="419"/>
      <c r="AK364" s="419"/>
      <c r="AL364" s="419"/>
      <c r="AM364" s="419"/>
      <c r="AN364" s="419"/>
      <c r="AO364" s="419"/>
      <c r="AP364" s="419"/>
      <c r="AQ364" s="419"/>
      <c r="AR364" s="419"/>
      <c r="AS364" s="419"/>
      <c r="AT364" s="419"/>
      <c r="AU364" s="419"/>
      <c r="AV364" s="419"/>
      <c r="AW364" s="419"/>
      <c r="AX364" s="419"/>
      <c r="AY364" s="419"/>
      <c r="AZ364" s="419"/>
      <c r="BA364" s="419"/>
      <c r="BB364" s="419"/>
      <c r="BC364" s="419"/>
      <c r="BD364" s="419"/>
      <c r="BF364" s="419"/>
      <c r="BG364" s="419"/>
      <c r="BH364" s="419"/>
      <c r="BI364" s="419"/>
      <c r="BJ364" s="419"/>
      <c r="BK364" s="419"/>
      <c r="BL364" s="419"/>
      <c r="BM364" s="419"/>
      <c r="BN364" s="419"/>
      <c r="BO364" s="246"/>
      <c r="BP364" s="386"/>
      <c r="BQ364" s="386"/>
      <c r="BR364" s="386"/>
      <c r="BS364" s="386"/>
      <c r="BT364" s="386"/>
      <c r="BU364" s="386"/>
      <c r="BV364" s="386"/>
      <c r="BW364" s="386"/>
      <c r="BX364" s="386"/>
      <c r="BY364" s="259"/>
      <c r="CB364" s="246"/>
      <c r="CC364" s="334"/>
      <c r="CD364" s="259"/>
      <c r="CE364" s="259"/>
      <c r="CF364" s="246"/>
      <c r="CG364" s="246"/>
      <c r="CH364" s="334"/>
      <c r="CI364" s="334"/>
      <c r="CJ364" s="14"/>
      <c r="CK364" s="334"/>
      <c r="CP364" s="27"/>
      <c r="CQ364" s="27"/>
      <c r="CR364" s="157"/>
      <c r="CS364" s="157"/>
      <c r="CT364" s="157"/>
      <c r="CU364" s="27"/>
      <c r="CV364" s="27"/>
      <c r="CW364" s="27"/>
      <c r="CX364" s="27"/>
      <c r="CY364" s="27"/>
      <c r="CZ364" s="27"/>
      <c r="DA364" s="27"/>
      <c r="DB364" s="27"/>
      <c r="DC364" s="27"/>
    </row>
    <row r="365" spans="1:107" s="942" customFormat="1" ht="38.700000000000003" hidden="1">
      <c r="A365" s="1082"/>
      <c r="B365" s="1083" t="s">
        <v>529</v>
      </c>
      <c r="C365" s="1083" t="s">
        <v>255</v>
      </c>
      <c r="D365" s="1083" t="s">
        <v>177</v>
      </c>
      <c r="E365" s="1083" t="s">
        <v>530</v>
      </c>
      <c r="F365" s="1083" t="s">
        <v>1212</v>
      </c>
      <c r="G365" s="1084" t="s">
        <v>1213</v>
      </c>
      <c r="H365" s="1084" t="s">
        <v>1214</v>
      </c>
      <c r="I365" s="1083" t="s">
        <v>1215</v>
      </c>
      <c r="J365" s="1085" t="s">
        <v>836</v>
      </c>
      <c r="K365" s="1085" t="s">
        <v>837</v>
      </c>
      <c r="L365" s="1085" t="s">
        <v>838</v>
      </c>
      <c r="M365" s="1085" t="s">
        <v>1148</v>
      </c>
      <c r="N365" s="1085" t="s">
        <v>180</v>
      </c>
      <c r="O365" s="939" t="s">
        <v>531</v>
      </c>
      <c r="P365" s="939" t="s">
        <v>532</v>
      </c>
      <c r="Q365" s="939" t="s">
        <v>397</v>
      </c>
      <c r="R365" s="939" t="s">
        <v>533</v>
      </c>
      <c r="S365" s="950" t="s">
        <v>534</v>
      </c>
      <c r="T365" s="507" t="s">
        <v>535</v>
      </c>
      <c r="U365" s="507" t="s">
        <v>536</v>
      </c>
      <c r="V365" s="507" t="s">
        <v>537</v>
      </c>
      <c r="W365" s="939" t="s">
        <v>1148</v>
      </c>
      <c r="X365" s="939" t="s">
        <v>180</v>
      </c>
      <c r="Y365" s="939" t="s">
        <v>538</v>
      </c>
      <c r="Z365" s="939" t="s">
        <v>539</v>
      </c>
      <c r="AA365" s="939" t="s">
        <v>397</v>
      </c>
      <c r="AB365" s="939" t="s">
        <v>533</v>
      </c>
      <c r="AC365" s="939" t="s">
        <v>398</v>
      </c>
      <c r="AD365" s="939" t="s">
        <v>399</v>
      </c>
      <c r="AE365" s="940"/>
      <c r="AF365" s="940"/>
      <c r="AG365" s="941"/>
      <c r="AH365" s="940"/>
      <c r="AI365" s="940"/>
      <c r="AJ365" s="940"/>
      <c r="AK365" s="940"/>
      <c r="AL365" s="940"/>
      <c r="AM365" s="940"/>
      <c r="AN365" s="940"/>
      <c r="AO365" s="940"/>
      <c r="AP365" s="940"/>
      <c r="AQ365" s="940"/>
      <c r="AR365" s="940"/>
      <c r="AS365" s="940"/>
      <c r="AT365" s="940"/>
      <c r="AU365" s="940"/>
      <c r="AV365" s="940"/>
      <c r="AW365" s="940"/>
      <c r="AX365" s="940"/>
      <c r="AY365" s="940"/>
      <c r="AZ365" s="940"/>
      <c r="BA365" s="940"/>
      <c r="BB365" s="940"/>
      <c r="BC365" s="940"/>
      <c r="BD365" s="940"/>
      <c r="BF365" s="940"/>
      <c r="BG365" s="940"/>
      <c r="BH365" s="940"/>
      <c r="BI365" s="940"/>
      <c r="BJ365" s="940"/>
      <c r="BK365" s="940"/>
      <c r="BL365" s="940"/>
      <c r="BM365" s="940"/>
      <c r="BN365" s="940"/>
      <c r="BO365" s="474"/>
      <c r="BP365" s="943"/>
      <c r="BQ365" s="943"/>
      <c r="BR365" s="943"/>
      <c r="BS365" s="943"/>
      <c r="BT365" s="943"/>
      <c r="BU365" s="943"/>
      <c r="BV365" s="943"/>
      <c r="BW365" s="943"/>
      <c r="BX365" s="943"/>
      <c r="BY365" s="944"/>
      <c r="CB365" s="474"/>
      <c r="CC365" s="412"/>
      <c r="CD365" s="944"/>
      <c r="CE365" s="944"/>
      <c r="CF365" s="474"/>
      <c r="CG365" s="474"/>
      <c r="CH365" s="412"/>
      <c r="CI365" s="412"/>
      <c r="CJ365" s="945"/>
      <c r="CK365" s="412"/>
      <c r="CP365" s="946"/>
      <c r="CQ365" s="946"/>
      <c r="CR365" s="947"/>
      <c r="CS365" s="947"/>
      <c r="CT365" s="947"/>
      <c r="CU365" s="946"/>
      <c r="CV365" s="946"/>
      <c r="CW365" s="946"/>
      <c r="CX365" s="946"/>
      <c r="CY365" s="946"/>
      <c r="CZ365" s="946"/>
      <c r="DA365" s="946"/>
      <c r="DB365" s="946"/>
      <c r="DC365" s="946"/>
    </row>
    <row r="366" spans="1:107" ht="15.05" hidden="1" customHeight="1">
      <c r="A366" s="108"/>
      <c r="B366" s="314">
        <v>0</v>
      </c>
      <c r="C366" s="1022">
        <f t="shared" ref="C366:C389" si="13">C$340*B366^4+C$341*B366^3+C$342*B366^2+C$343*B366+C$344</f>
        <v>3.3894878730379858</v>
      </c>
      <c r="D366" s="1022">
        <f t="shared" ref="D366:D389" si="14">C$345*B366^4+C$346*B366^3+C$347*B366^2+C$348*B366+C$349</f>
        <v>-1.9863509524587999E-4</v>
      </c>
      <c r="E366" s="1022">
        <f t="shared" ref="E366:E389" si="15">$C$468*(1+0.00393*($D366+$C$806-20))</f>
        <v>5.6080707065024153</v>
      </c>
      <c r="F366" s="1022">
        <f t="shared" ref="F366:F389" si="16">$C$468*(1+0.00393*($D366+$C$807-20))</f>
        <v>6.5807457065024169</v>
      </c>
      <c r="G366" s="1086">
        <f t="shared" ref="G366:G389" si="17">C366/E366*10^3</f>
        <v>604.39463951621747</v>
      </c>
      <c r="H366" s="1022">
        <f t="shared" ref="H366:H389" si="18">C366/F366*10^3</f>
        <v>515.06136602252263</v>
      </c>
      <c r="I366" s="1087">
        <f>C612</f>
        <v>476.85421994884911</v>
      </c>
      <c r="J366" s="1088">
        <f t="shared" ref="J366:J389" si="19">($C$329-$C$226)/$C366*$C$226/$C$329/$C$324*10^3</f>
        <v>2.2946763844906704</v>
      </c>
      <c r="K366" s="1088">
        <f t="shared" ref="K366:K389" si="20">($C$328-$C$226)/$C366*$C$226/$C$328/$C$324*10^3</f>
        <v>2.2641823461585684</v>
      </c>
      <c r="L366" s="1088">
        <f t="shared" ref="L366:L389" si="21">($C$330-$C$226)/$C366*$C$226/$C$330/$C$324*10^3</f>
        <v>2.3225751855179126</v>
      </c>
      <c r="M366" s="1088">
        <f t="shared" ref="M366:M389" si="22">$C$465/(E366*$C$573/($C$571+$C$573))</f>
        <v>25.353071603922896</v>
      </c>
      <c r="N366" s="1088">
        <f t="shared" ref="N366:N386" si="23">M366-0.5*J366</f>
        <v>24.20573341167756</v>
      </c>
      <c r="O366" s="495">
        <f t="shared" ref="O366:O386" si="24">M366-0.5*K366</f>
        <v>24.220980430843611</v>
      </c>
      <c r="P366" s="495">
        <f t="shared" ref="P366:P386" si="25">M366-0.5*L366</f>
        <v>24.191784011163939</v>
      </c>
      <c r="Q366" s="495">
        <f t="shared" ref="Q366:Q386" si="26">$C$465/($C$468*(1+0.00393*($D366+$C$807-20))*$C$573/($C$571+$C$573))-0.5*L366</f>
        <v>20.444442900873206</v>
      </c>
      <c r="R366" s="495">
        <f t="shared" ref="R366:R386" si="27">$C$465/($C$468*(1+0.00393*($D366+$C$805-20))*$C$573/($C$571+$C$573))-0.5*K366</f>
        <v>28.174407576639826</v>
      </c>
      <c r="S366" s="430">
        <f t="shared" ref="S366:S386" si="28">B366</f>
        <v>0</v>
      </c>
      <c r="T366" s="384">
        <f t="shared" ref="T366:T389" si="29">$C$482*B366^2*19^-3</f>
        <v>0</v>
      </c>
      <c r="U366" s="384">
        <f t="shared" ref="U366:U389" si="30">T366*$C$484</f>
        <v>0</v>
      </c>
      <c r="V366" s="384">
        <f t="shared" ref="V366:V389" si="31">$C$482*(1+$C$491*10^-6*($C$806+U366-25))</f>
        <v>5.3</v>
      </c>
      <c r="W366" s="495">
        <f t="shared" ref="W366:W389" si="32">$C$465/V366</f>
        <v>11.320754716981133</v>
      </c>
      <c r="X366" s="495">
        <f t="shared" ref="X366:X386" si="33">W366-0.5*J366</f>
        <v>10.173416524735797</v>
      </c>
      <c r="Y366" s="495">
        <f t="shared" ref="Y366:Y386" si="34">W366-0.5*K366</f>
        <v>10.18866354390185</v>
      </c>
      <c r="Z366" s="495">
        <f t="shared" ref="Z366:Z386" si="35">W366-0.5*L366</f>
        <v>10.159467124222177</v>
      </c>
      <c r="AA366" s="495">
        <f t="shared" ref="AA366:AA386" si="36">$C$465/($C$482*(1+$C$491*10^-6*($C$807+U366-25)))-0.5*L366</f>
        <v>9.9839299479559163</v>
      </c>
      <c r="AB366" s="495">
        <f t="shared" ref="AB366:AB386" si="37">$C$465/($C$482*(1+$C$491*10^-6*($C$805+U366-25)))-0.5*K366</f>
        <v>10.32906267858473</v>
      </c>
      <c r="AC366" s="383">
        <f t="shared" ref="AC366:AC386" si="38">$C$465/($C$482*(1+$C$491*10^-6*($C$807+U366-25)))*(1-$C$504*(1+$C$522))-0.5*L366*(1+$C$508*$C$522)</f>
        <v>9.1911672372354154</v>
      </c>
      <c r="AD366" s="495">
        <f t="shared" ref="AD366:AD386" si="39">$C$465/($C$482*(1+$C$491*10^-6*($C$805+U366-25)))*(1+$C$500*(1-$C$522))-0.5*K366*(1-$C$508*$C$522)</f>
        <v>11.061355970685227</v>
      </c>
      <c r="AE366" s="419"/>
      <c r="AF366" s="419"/>
      <c r="AG366" s="22"/>
      <c r="AH366" s="419"/>
      <c r="AI366" s="419"/>
      <c r="AJ366" s="419"/>
      <c r="AK366" s="419"/>
      <c r="AL366" s="419"/>
      <c r="AM366" s="419"/>
      <c r="AN366" s="419"/>
      <c r="AO366" s="419"/>
      <c r="AP366" s="419"/>
      <c r="AQ366" s="419"/>
      <c r="AR366" s="419"/>
      <c r="AS366" s="419"/>
      <c r="AT366" s="419"/>
      <c r="AU366" s="419"/>
      <c r="AV366" s="419"/>
      <c r="AW366" s="419"/>
      <c r="AX366" s="419"/>
      <c r="AY366" s="419"/>
      <c r="AZ366" s="419"/>
      <c r="BA366" s="419"/>
      <c r="BB366" s="419"/>
      <c r="BC366" s="419"/>
      <c r="BD366" s="419"/>
      <c r="BF366" s="419"/>
      <c r="BG366" s="419"/>
      <c r="BH366" s="419"/>
      <c r="BI366" s="419"/>
      <c r="BJ366" s="419"/>
      <c r="BK366" s="419"/>
      <c r="BL366" s="419"/>
      <c r="BM366" s="419"/>
      <c r="BN366" s="419"/>
      <c r="BO366" s="246"/>
      <c r="BP366" s="386"/>
      <c r="BQ366" s="386"/>
      <c r="BR366" s="386"/>
      <c r="BS366" s="386"/>
      <c r="BT366" s="386"/>
      <c r="BU366" s="386"/>
      <c r="BV366" s="386"/>
      <c r="BW366" s="386"/>
      <c r="BX366" s="386"/>
      <c r="BY366" s="259"/>
      <c r="CB366" s="246"/>
      <c r="CC366" s="334"/>
      <c r="CD366" s="259"/>
      <c r="CE366" s="259"/>
      <c r="CF366" s="246"/>
      <c r="CG366" s="246"/>
      <c r="CH366" s="334"/>
      <c r="CI366" s="334"/>
      <c r="CJ366" s="14"/>
      <c r="CK366" s="334"/>
      <c r="CP366" s="27"/>
      <c r="CQ366" s="27"/>
      <c r="CR366" s="157"/>
      <c r="CS366" s="157"/>
      <c r="CT366" s="157"/>
      <c r="CU366" s="27"/>
      <c r="CV366" s="27"/>
      <c r="CW366" s="27"/>
      <c r="CX366" s="27"/>
      <c r="CY366" s="27"/>
      <c r="CZ366" s="27"/>
      <c r="DA366" s="27"/>
      <c r="DB366" s="27"/>
      <c r="DC366" s="27"/>
    </row>
    <row r="367" spans="1:107" ht="15.05" hidden="1" customHeight="1">
      <c r="A367" s="108"/>
      <c r="B367" s="1042">
        <f>B$376/10</f>
        <v>1.28</v>
      </c>
      <c r="C367" s="1022">
        <f t="shared" si="13"/>
        <v>3.4242575517705798</v>
      </c>
      <c r="D367" s="1022">
        <f t="shared" si="14"/>
        <v>0.22133748985543855</v>
      </c>
      <c r="E367" s="1022">
        <f t="shared" si="15"/>
        <v>5.6128592098432257</v>
      </c>
      <c r="F367" s="1022">
        <f t="shared" si="16"/>
        <v>6.5855342098432246</v>
      </c>
      <c r="G367" s="1086">
        <f t="shared" si="17"/>
        <v>610.07365831758034</v>
      </c>
      <c r="H367" s="1022">
        <f t="shared" si="18"/>
        <v>519.9665574058414</v>
      </c>
      <c r="I367" s="1087">
        <f t="shared" ref="I367:I386" si="40">I366</f>
        <v>476.85421994884911</v>
      </c>
      <c r="J367" s="1088">
        <f t="shared" si="19"/>
        <v>2.2713763962515392</v>
      </c>
      <c r="K367" s="1088">
        <f t="shared" si="20"/>
        <v>2.2411919923146417</v>
      </c>
      <c r="L367" s="1088">
        <f t="shared" si="21"/>
        <v>2.2989919147469986</v>
      </c>
      <c r="M367" s="1088">
        <f t="shared" si="22"/>
        <v>25.331442116430622</v>
      </c>
      <c r="N367" s="1088">
        <f t="shared" si="23"/>
        <v>24.195753918304852</v>
      </c>
      <c r="O367" s="495">
        <f t="shared" si="24"/>
        <v>24.210846120273303</v>
      </c>
      <c r="P367" s="495">
        <f t="shared" si="25"/>
        <v>24.181946159057123</v>
      </c>
      <c r="Q367" s="495">
        <f t="shared" si="26"/>
        <v>20.440524480042612</v>
      </c>
      <c r="R367" s="495">
        <f t="shared" si="27"/>
        <v>28.157005593459836</v>
      </c>
      <c r="S367" s="430">
        <f t="shared" si="28"/>
        <v>1.28</v>
      </c>
      <c r="T367" s="384">
        <f t="shared" si="29"/>
        <v>1.2660037906400349E-3</v>
      </c>
      <c r="U367" s="384">
        <f t="shared" si="30"/>
        <v>0.20256060650240559</v>
      </c>
      <c r="V367" s="384">
        <f t="shared" si="31"/>
        <v>5.3003757499250614</v>
      </c>
      <c r="W367" s="495">
        <f t="shared" si="32"/>
        <v>11.319952175248764</v>
      </c>
      <c r="X367" s="495">
        <f t="shared" si="33"/>
        <v>10.184263977122994</v>
      </c>
      <c r="Y367" s="495">
        <f t="shared" si="34"/>
        <v>10.199356179091442</v>
      </c>
      <c r="Z367" s="495">
        <f t="shared" si="35"/>
        <v>10.170456217875264</v>
      </c>
      <c r="AA367" s="495">
        <f t="shared" si="36"/>
        <v>9.9949437358767526</v>
      </c>
      <c r="AB367" s="495">
        <f t="shared" si="37"/>
        <v>10.339735284937973</v>
      </c>
      <c r="AC367" s="383">
        <f t="shared" si="38"/>
        <v>9.2026880057824094</v>
      </c>
      <c r="AD367" s="495">
        <f t="shared" si="39"/>
        <v>11.071535809573263</v>
      </c>
      <c r="AE367" s="419"/>
      <c r="AF367" s="419"/>
      <c r="AG367" s="22"/>
      <c r="AH367" s="419"/>
      <c r="AI367" s="419"/>
      <c r="AJ367" s="419"/>
      <c r="AK367" s="419"/>
      <c r="AL367" s="419"/>
      <c r="AM367" s="419"/>
      <c r="AN367" s="419"/>
      <c r="AO367" s="419"/>
      <c r="AP367" s="419"/>
      <c r="AQ367" s="419"/>
      <c r="AR367" s="419"/>
      <c r="AS367" s="419"/>
      <c r="AT367" s="419"/>
      <c r="AU367" s="419"/>
      <c r="AV367" s="419"/>
      <c r="AW367" s="419"/>
      <c r="AX367" s="419"/>
      <c r="AY367" s="419"/>
      <c r="AZ367" s="419"/>
      <c r="BA367" s="419"/>
      <c r="BB367" s="419"/>
      <c r="BC367" s="419"/>
      <c r="BD367" s="419"/>
      <c r="BF367" s="419"/>
      <c r="BG367" s="419"/>
      <c r="BH367" s="419"/>
      <c r="BI367" s="419"/>
      <c r="BJ367" s="419"/>
      <c r="BK367" s="419"/>
      <c r="BL367" s="419"/>
      <c r="BM367" s="419"/>
      <c r="BN367" s="419"/>
      <c r="BO367" s="246"/>
      <c r="BP367" s="386"/>
      <c r="BQ367" s="386"/>
      <c r="BR367" s="386"/>
      <c r="BS367" s="386"/>
      <c r="BT367" s="386"/>
      <c r="BU367" s="386"/>
      <c r="BV367" s="386"/>
      <c r="BW367" s="386"/>
      <c r="BX367" s="386"/>
      <c r="BY367" s="259"/>
      <c r="CB367" s="246"/>
      <c r="CC367" s="334"/>
      <c r="CD367" s="259"/>
      <c r="CE367" s="259"/>
      <c r="CF367" s="246"/>
      <c r="CG367" s="246"/>
      <c r="CH367" s="334"/>
      <c r="CI367" s="334"/>
      <c r="CJ367" s="14"/>
      <c r="CK367" s="334"/>
      <c r="CP367" s="27"/>
      <c r="CQ367" s="27"/>
      <c r="CR367" s="157"/>
      <c r="CS367" s="157"/>
      <c r="CT367" s="157"/>
      <c r="CU367" s="27"/>
      <c r="CV367" s="27"/>
      <c r="CW367" s="27"/>
      <c r="CX367" s="27"/>
      <c r="CY367" s="27"/>
      <c r="CZ367" s="27"/>
      <c r="DA367" s="27"/>
      <c r="DB367" s="27"/>
      <c r="DC367" s="27"/>
    </row>
    <row r="368" spans="1:107" ht="15.05" hidden="1" customHeight="1">
      <c r="A368" s="108"/>
      <c r="B368" s="293">
        <f t="shared" ref="B368:B375" si="41">B$376/10+B367</f>
        <v>2.56</v>
      </c>
      <c r="C368" s="1022">
        <f t="shared" si="13"/>
        <v>3.4144192851921038</v>
      </c>
      <c r="D368" s="1022">
        <f t="shared" si="14"/>
        <v>1.4014973499936114</v>
      </c>
      <c r="E368" s="1022">
        <f t="shared" si="15"/>
        <v>5.6383683652201126</v>
      </c>
      <c r="F368" s="1022">
        <f t="shared" si="16"/>
        <v>6.6110433652201124</v>
      </c>
      <c r="G368" s="1086">
        <f t="shared" si="17"/>
        <v>605.56867945232432</v>
      </c>
      <c r="H368" s="1022">
        <f t="shared" si="18"/>
        <v>516.47207506684117</v>
      </c>
      <c r="I368" s="1087">
        <f t="shared" si="40"/>
        <v>476.85421994884911</v>
      </c>
      <c r="J368" s="1088">
        <f t="shared" si="19"/>
        <v>2.2779211128255388</v>
      </c>
      <c r="K368" s="1088">
        <f t="shared" si="20"/>
        <v>2.2476497359109135</v>
      </c>
      <c r="L368" s="1088">
        <f t="shared" si="21"/>
        <v>2.3056162023431743</v>
      </c>
      <c r="M368" s="1088">
        <f t="shared" si="22"/>
        <v>25.216837384881938</v>
      </c>
      <c r="N368" s="1088">
        <f t="shared" si="23"/>
        <v>24.077876828469169</v>
      </c>
      <c r="O368" s="495">
        <f t="shared" si="24"/>
        <v>24.093012516926482</v>
      </c>
      <c r="P368" s="495">
        <f t="shared" si="25"/>
        <v>24.064029283710351</v>
      </c>
      <c r="Q368" s="495">
        <f t="shared" si="26"/>
        <v>20.35390579059008</v>
      </c>
      <c r="R368" s="495">
        <f t="shared" si="27"/>
        <v>28.000792114795182</v>
      </c>
      <c r="S368" s="430">
        <f t="shared" si="28"/>
        <v>2.56</v>
      </c>
      <c r="T368" s="384">
        <f t="shared" si="29"/>
        <v>5.0640151625601397E-3</v>
      </c>
      <c r="U368" s="384">
        <f t="shared" si="30"/>
        <v>0.81024242600962237</v>
      </c>
      <c r="V368" s="384">
        <f t="shared" si="31"/>
        <v>5.3015029997002481</v>
      </c>
      <c r="W368" s="495">
        <f t="shared" si="32"/>
        <v>11.317545232624118</v>
      </c>
      <c r="X368" s="495">
        <f t="shared" si="33"/>
        <v>10.178584676211349</v>
      </c>
      <c r="Y368" s="495">
        <f t="shared" si="34"/>
        <v>10.19372036466866</v>
      </c>
      <c r="Z368" s="495">
        <f t="shared" si="35"/>
        <v>10.164737131452531</v>
      </c>
      <c r="AA368" s="495">
        <f t="shared" si="36"/>
        <v>9.9892987009991696</v>
      </c>
      <c r="AB368" s="495">
        <f t="shared" si="37"/>
        <v>10.334039409714908</v>
      </c>
      <c r="AC368" s="383">
        <f t="shared" si="38"/>
        <v>9.1970717929106307</v>
      </c>
      <c r="AD368" s="495">
        <f t="shared" si="39"/>
        <v>11.065816237758561</v>
      </c>
      <c r="AE368" s="419"/>
      <c r="AF368" s="419"/>
      <c r="AG368" s="22"/>
      <c r="AH368" s="419"/>
      <c r="AI368" s="419"/>
      <c r="AJ368" s="419"/>
      <c r="AK368" s="419"/>
      <c r="AL368" s="419"/>
      <c r="AM368" s="419"/>
      <c r="AN368" s="419"/>
      <c r="AO368" s="419"/>
      <c r="AP368" s="419"/>
      <c r="AQ368" s="419"/>
      <c r="AR368" s="419"/>
      <c r="AS368" s="419"/>
      <c r="AT368" s="419"/>
      <c r="AU368" s="419"/>
      <c r="AV368" s="419"/>
      <c r="AW368" s="419"/>
      <c r="AX368" s="419"/>
      <c r="AY368" s="419"/>
      <c r="AZ368" s="419"/>
      <c r="BA368" s="419"/>
      <c r="BB368" s="419"/>
      <c r="BC368" s="419"/>
      <c r="BD368" s="419"/>
      <c r="BF368" s="419"/>
      <c r="BG368" s="419"/>
      <c r="BH368" s="419"/>
      <c r="BI368" s="419"/>
      <c r="BJ368" s="419"/>
      <c r="BK368" s="419"/>
      <c r="BL368" s="419"/>
      <c r="BM368" s="419"/>
      <c r="BN368" s="419"/>
      <c r="BO368" s="246"/>
      <c r="BP368" s="386"/>
      <c r="BQ368" s="386"/>
      <c r="BR368" s="386"/>
      <c r="BS368" s="386"/>
      <c r="BT368" s="386"/>
      <c r="BU368" s="386"/>
      <c r="BV368" s="386"/>
      <c r="BW368" s="386"/>
      <c r="BX368" s="386"/>
      <c r="BY368" s="259"/>
      <c r="CB368" s="246"/>
      <c r="CC368" s="334"/>
      <c r="CD368" s="259"/>
      <c r="CE368" s="259"/>
      <c r="CF368" s="246"/>
      <c r="CG368" s="246"/>
      <c r="CH368" s="334"/>
      <c r="CI368" s="334"/>
      <c r="CJ368" s="14"/>
      <c r="CK368" s="334"/>
      <c r="CP368" s="27"/>
      <c r="CQ368" s="27"/>
      <c r="CR368" s="157"/>
      <c r="CS368" s="157"/>
      <c r="CT368" s="157"/>
      <c r="CU368" s="27"/>
      <c r="CV368" s="27"/>
      <c r="CW368" s="27"/>
      <c r="CX368" s="27"/>
      <c r="CY368" s="27"/>
      <c r="CZ368" s="27"/>
      <c r="DA368" s="27"/>
      <c r="DB368" s="27"/>
      <c r="DC368" s="27"/>
    </row>
    <row r="369" spans="1:107" ht="15.05" hidden="1" customHeight="1">
      <c r="A369" s="108"/>
      <c r="B369" s="293">
        <f t="shared" si="41"/>
        <v>3.84</v>
      </c>
      <c r="C369" s="1022">
        <f t="shared" si="13"/>
        <v>3.3676622219161505</v>
      </c>
      <c r="D369" s="1022">
        <f t="shared" si="14"/>
        <v>3.593811502477144</v>
      </c>
      <c r="E369" s="1022">
        <f t="shared" si="15"/>
        <v>5.6857552356260435</v>
      </c>
      <c r="F369" s="1022">
        <f t="shared" si="16"/>
        <v>6.6584302356260432</v>
      </c>
      <c r="G369" s="1086">
        <f t="shared" si="17"/>
        <v>592.29813496277711</v>
      </c>
      <c r="H369" s="1022">
        <f t="shared" si="18"/>
        <v>505.77419943478827</v>
      </c>
      <c r="I369" s="1087">
        <f t="shared" si="40"/>
        <v>476.85421994884911</v>
      </c>
      <c r="J369" s="1088">
        <f t="shared" si="19"/>
        <v>2.3095480678440299</v>
      </c>
      <c r="K369" s="1088">
        <f t="shared" si="20"/>
        <v>2.2788563991683612</v>
      </c>
      <c r="L369" s="1088">
        <f t="shared" si="21"/>
        <v>2.3376276796111304</v>
      </c>
      <c r="M369" s="1088">
        <f t="shared" si="22"/>
        <v>25.006672339837881</v>
      </c>
      <c r="N369" s="1088">
        <f t="shared" si="23"/>
        <v>23.851898305915867</v>
      </c>
      <c r="O369" s="495">
        <f t="shared" si="24"/>
        <v>23.8672441402537</v>
      </c>
      <c r="P369" s="495">
        <f t="shared" si="25"/>
        <v>23.837858500032315</v>
      </c>
      <c r="Q369" s="495">
        <f t="shared" si="26"/>
        <v>20.184840572772337</v>
      </c>
      <c r="R369" s="495">
        <f t="shared" si="27"/>
        <v>27.705200958574871</v>
      </c>
      <c r="S369" s="430">
        <f t="shared" si="28"/>
        <v>3.84</v>
      </c>
      <c r="T369" s="384">
        <f t="shared" si="29"/>
        <v>1.1394034115760314E-2</v>
      </c>
      <c r="U369" s="384">
        <f t="shared" si="30"/>
        <v>1.8230454585216502</v>
      </c>
      <c r="V369" s="384">
        <f t="shared" si="31"/>
        <v>5.3033817493255571</v>
      </c>
      <c r="W369" s="495">
        <f t="shared" si="32"/>
        <v>11.313535935373752</v>
      </c>
      <c r="X369" s="495">
        <f t="shared" si="33"/>
        <v>10.158761901451737</v>
      </c>
      <c r="Y369" s="495">
        <f t="shared" si="34"/>
        <v>10.174107735789571</v>
      </c>
      <c r="Z369" s="495">
        <f t="shared" si="35"/>
        <v>10.144722095568186</v>
      </c>
      <c r="AA369" s="495">
        <f t="shared" si="36"/>
        <v>9.9694069802509713</v>
      </c>
      <c r="AB369" s="495">
        <f t="shared" si="37"/>
        <v>10.314326765124633</v>
      </c>
      <c r="AC369" s="383">
        <f t="shared" si="38"/>
        <v>9.1768235601242534</v>
      </c>
      <c r="AD369" s="495">
        <f t="shared" si="39"/>
        <v>11.046458476446515</v>
      </c>
      <c r="AE369" s="419"/>
      <c r="AF369" s="419"/>
      <c r="AG369" s="22"/>
      <c r="AH369" s="419"/>
      <c r="AI369" s="419"/>
      <c r="AJ369" s="419"/>
      <c r="AK369" s="419"/>
      <c r="AL369" s="419"/>
      <c r="AM369" s="419"/>
      <c r="AN369" s="419"/>
      <c r="AO369" s="419"/>
      <c r="AP369" s="419"/>
      <c r="AQ369" s="419"/>
      <c r="AR369" s="419"/>
      <c r="AS369" s="419"/>
      <c r="AT369" s="419"/>
      <c r="AU369" s="419"/>
      <c r="AV369" s="419"/>
      <c r="AW369" s="419"/>
      <c r="AX369" s="419"/>
      <c r="AY369" s="419"/>
      <c r="AZ369" s="419"/>
      <c r="BA369" s="419"/>
      <c r="BB369" s="419"/>
      <c r="BC369" s="419"/>
      <c r="BD369" s="419"/>
      <c r="BF369" s="419"/>
      <c r="BG369" s="419"/>
      <c r="BH369" s="419"/>
      <c r="BI369" s="419"/>
      <c r="BJ369" s="419"/>
      <c r="BK369" s="419"/>
      <c r="BL369" s="419"/>
      <c r="BM369" s="419"/>
      <c r="BN369" s="419"/>
      <c r="BO369" s="246"/>
      <c r="BP369" s="386"/>
      <c r="BQ369" s="386"/>
      <c r="BR369" s="386"/>
      <c r="BS369" s="386"/>
      <c r="BT369" s="386"/>
      <c r="BU369" s="386"/>
      <c r="BV369" s="386"/>
      <c r="BW369" s="386"/>
      <c r="BX369" s="386"/>
      <c r="BY369" s="259"/>
      <c r="CB369" s="246"/>
      <c r="CC369" s="334"/>
      <c r="CD369" s="259"/>
      <c r="CE369" s="259"/>
      <c r="CF369" s="246"/>
      <c r="CG369" s="246"/>
      <c r="CH369" s="334"/>
      <c r="CI369" s="334"/>
      <c r="CJ369" s="14"/>
      <c r="CK369" s="334"/>
      <c r="CP369" s="27"/>
      <c r="CQ369" s="27"/>
      <c r="CR369" s="157"/>
      <c r="CS369" s="157"/>
      <c r="CT369" s="157"/>
      <c r="CU369" s="27"/>
      <c r="CV369" s="27"/>
      <c r="CW369" s="27"/>
      <c r="CX369" s="27"/>
      <c r="CY369" s="27"/>
      <c r="CZ369" s="27"/>
      <c r="DA369" s="27"/>
      <c r="DB369" s="27"/>
      <c r="DC369" s="27"/>
    </row>
    <row r="370" spans="1:107" ht="15.05" hidden="1" customHeight="1">
      <c r="A370" s="108"/>
      <c r="B370" s="293">
        <f t="shared" si="41"/>
        <v>5.12</v>
      </c>
      <c r="C370" s="1022">
        <f t="shared" si="13"/>
        <v>3.2916755105563125</v>
      </c>
      <c r="D370" s="1022">
        <f t="shared" si="14"/>
        <v>6.8518105044639066</v>
      </c>
      <c r="E370" s="1022">
        <f t="shared" si="15"/>
        <v>5.7561768840539873</v>
      </c>
      <c r="F370" s="1022">
        <f t="shared" si="16"/>
        <v>6.7288518840539879</v>
      </c>
      <c r="G370" s="1086">
        <f t="shared" si="17"/>
        <v>571.8510005616846</v>
      </c>
      <c r="H370" s="1022">
        <f t="shared" si="18"/>
        <v>489.18828461017472</v>
      </c>
      <c r="I370" s="1087">
        <f t="shared" si="40"/>
        <v>476.85421994884911</v>
      </c>
      <c r="J370" s="1088">
        <f t="shared" si="19"/>
        <v>2.3628628498874384</v>
      </c>
      <c r="K370" s="1088">
        <f t="shared" si="20"/>
        <v>2.3314626791248148</v>
      </c>
      <c r="L370" s="1088">
        <f t="shared" si="21"/>
        <v>2.3915906656915413</v>
      </c>
      <c r="M370" s="1088">
        <f t="shared" si="22"/>
        <v>24.700738188865682</v>
      </c>
      <c r="N370" s="1088">
        <f t="shared" si="23"/>
        <v>23.519306763921961</v>
      </c>
      <c r="O370" s="495">
        <f t="shared" si="24"/>
        <v>23.535006849303276</v>
      </c>
      <c r="P370" s="495">
        <f t="shared" si="25"/>
        <v>23.504942856019913</v>
      </c>
      <c r="Q370" s="495">
        <f t="shared" si="26"/>
        <v>19.93437971510858</v>
      </c>
      <c r="R370" s="495">
        <f t="shared" si="27"/>
        <v>27.272612264978619</v>
      </c>
      <c r="S370" s="430">
        <f t="shared" si="28"/>
        <v>5.12</v>
      </c>
      <c r="T370" s="384">
        <f t="shared" si="29"/>
        <v>2.0256060650240559E-2</v>
      </c>
      <c r="U370" s="384">
        <f t="shared" si="30"/>
        <v>3.2409697040384895</v>
      </c>
      <c r="V370" s="384">
        <f t="shared" si="31"/>
        <v>5.3060119988009911</v>
      </c>
      <c r="W370" s="495">
        <f t="shared" si="32"/>
        <v>11.30792768911158</v>
      </c>
      <c r="X370" s="495">
        <f t="shared" si="33"/>
        <v>10.12649626416786</v>
      </c>
      <c r="Y370" s="495">
        <f t="shared" si="34"/>
        <v>10.142196349549172</v>
      </c>
      <c r="Z370" s="495">
        <f t="shared" si="35"/>
        <v>10.112132356265809</v>
      </c>
      <c r="AA370" s="495">
        <f t="shared" si="36"/>
        <v>9.9369896638242832</v>
      </c>
      <c r="AB370" s="495">
        <f t="shared" si="37"/>
        <v>10.28227553643989</v>
      </c>
      <c r="AC370" s="383">
        <f t="shared" si="38"/>
        <v>9.1437304329224869</v>
      </c>
      <c r="AD370" s="495">
        <f t="shared" si="39"/>
        <v>11.015076335534463</v>
      </c>
      <c r="AE370" s="419"/>
      <c r="AF370" s="419"/>
      <c r="AG370" s="22"/>
      <c r="AH370" s="419"/>
      <c r="AI370" s="419"/>
      <c r="AJ370" s="419"/>
      <c r="AK370" s="419"/>
      <c r="AL370" s="419"/>
      <c r="AM370" s="419"/>
      <c r="AN370" s="419"/>
      <c r="AO370" s="419"/>
      <c r="AP370" s="419"/>
      <c r="AQ370" s="419"/>
      <c r="AR370" s="419"/>
      <c r="AS370" s="419"/>
      <c r="AT370" s="419"/>
      <c r="AU370" s="419"/>
      <c r="AV370" s="419"/>
      <c r="AW370" s="419"/>
      <c r="AX370" s="419"/>
      <c r="AY370" s="419"/>
      <c r="AZ370" s="419"/>
      <c r="BA370" s="419"/>
      <c r="BB370" s="419"/>
      <c r="BC370" s="419"/>
      <c r="BD370" s="419"/>
      <c r="BF370" s="419"/>
      <c r="BG370" s="419"/>
      <c r="BH370" s="419"/>
      <c r="BI370" s="419"/>
      <c r="BJ370" s="419"/>
      <c r="BK370" s="419"/>
      <c r="BL370" s="419"/>
      <c r="BM370" s="419"/>
      <c r="BN370" s="419"/>
      <c r="BO370" s="246"/>
      <c r="BP370" s="386"/>
      <c r="BQ370" s="386"/>
      <c r="BR370" s="386"/>
      <c r="BS370" s="386"/>
      <c r="BT370" s="386"/>
      <c r="BU370" s="386"/>
      <c r="BV370" s="386"/>
      <c r="BW370" s="386"/>
      <c r="BX370" s="386"/>
      <c r="BY370" s="259"/>
      <c r="CB370" s="246"/>
      <c r="CC370" s="334"/>
      <c r="CD370" s="259"/>
      <c r="CE370" s="259"/>
      <c r="CF370" s="246"/>
      <c r="CG370" s="246"/>
      <c r="CH370" s="334"/>
      <c r="CI370" s="334"/>
      <c r="CJ370" s="14"/>
      <c r="CK370" s="334"/>
      <c r="CP370" s="27"/>
      <c r="CQ370" s="27"/>
      <c r="CR370" s="157"/>
      <c r="CS370" s="157"/>
      <c r="CT370" s="157"/>
      <c r="CU370" s="27"/>
      <c r="CV370" s="27"/>
      <c r="CW370" s="27"/>
      <c r="CX370" s="27"/>
      <c r="CY370" s="27"/>
      <c r="CZ370" s="27"/>
      <c r="DA370" s="27"/>
      <c r="DB370" s="27"/>
      <c r="DC370" s="27"/>
    </row>
    <row r="371" spans="1:107" ht="15.05" hidden="1" customHeight="1">
      <c r="A371" s="108"/>
      <c r="B371" s="293">
        <f t="shared" si="41"/>
        <v>6.4</v>
      </c>
      <c r="C371" s="1022">
        <f t="shared" si="13"/>
        <v>3.1941482997261827</v>
      </c>
      <c r="D371" s="1022">
        <f t="shared" si="14"/>
        <v>11.229024913111772</v>
      </c>
      <c r="E371" s="1022">
        <f t="shared" si="15"/>
        <v>5.8507903734969107</v>
      </c>
      <c r="F371" s="1022">
        <f t="shared" si="16"/>
        <v>6.8234653734969113</v>
      </c>
      <c r="G371" s="1086">
        <f t="shared" si="17"/>
        <v>545.93449702028863</v>
      </c>
      <c r="H371" s="1022">
        <f t="shared" si="18"/>
        <v>468.11233367323962</v>
      </c>
      <c r="I371" s="1087">
        <f t="shared" si="40"/>
        <v>476.85421994884911</v>
      </c>
      <c r="J371" s="1088">
        <f t="shared" si="19"/>
        <v>2.4350083490001153</v>
      </c>
      <c r="K371" s="1088">
        <f t="shared" si="20"/>
        <v>2.4026494340632367</v>
      </c>
      <c r="L371" s="1088">
        <f t="shared" si="21"/>
        <v>2.4646133137296</v>
      </c>
      <c r="M371" s="1088">
        <f t="shared" si="22"/>
        <v>24.301301038895144</v>
      </c>
      <c r="N371" s="1088">
        <f t="shared" si="23"/>
        <v>23.083796864395087</v>
      </c>
      <c r="O371" s="495">
        <f t="shared" si="24"/>
        <v>23.099976321863526</v>
      </c>
      <c r="P371" s="495">
        <f t="shared" si="25"/>
        <v>23.068994382030343</v>
      </c>
      <c r="Q371" s="495">
        <f t="shared" si="26"/>
        <v>19.604879494041452</v>
      </c>
      <c r="R371" s="495">
        <f t="shared" si="27"/>
        <v>26.708846378789961</v>
      </c>
      <c r="S371" s="430">
        <f t="shared" si="28"/>
        <v>6.4</v>
      </c>
      <c r="T371" s="384">
        <f t="shared" si="29"/>
        <v>3.1650094766000877E-2</v>
      </c>
      <c r="U371" s="384">
        <f t="shared" si="30"/>
        <v>5.0640151625601408</v>
      </c>
      <c r="V371" s="384">
        <f t="shared" si="31"/>
        <v>5.3093937481265492</v>
      </c>
      <c r="W371" s="495">
        <f t="shared" si="32"/>
        <v>11.30072525157347</v>
      </c>
      <c r="X371" s="495">
        <f t="shared" si="33"/>
        <v>10.083221077073413</v>
      </c>
      <c r="Y371" s="495">
        <f t="shared" si="34"/>
        <v>10.099400534541852</v>
      </c>
      <c r="Z371" s="495">
        <f t="shared" si="35"/>
        <v>10.068418594708669</v>
      </c>
      <c r="AA371" s="495">
        <f t="shared" si="36"/>
        <v>9.8934972153031708</v>
      </c>
      <c r="AB371" s="495">
        <f t="shared" si="37"/>
        <v>10.239300231192825</v>
      </c>
      <c r="AC371" s="383">
        <f t="shared" si="38"/>
        <v>9.0992983363430415</v>
      </c>
      <c r="AD371" s="495">
        <f t="shared" si="39"/>
        <v>10.973030255058259</v>
      </c>
      <c r="AE371" s="419"/>
      <c r="AF371" s="419"/>
      <c r="AG371" s="22"/>
      <c r="AH371" s="419"/>
      <c r="AI371" s="419"/>
      <c r="AJ371" s="419"/>
      <c r="AK371" s="419"/>
      <c r="AL371" s="419"/>
      <c r="AM371" s="419"/>
      <c r="AN371" s="419"/>
      <c r="AO371" s="419"/>
      <c r="AP371" s="419"/>
      <c r="AQ371" s="419"/>
      <c r="AR371" s="419"/>
      <c r="AS371" s="419"/>
      <c r="AT371" s="419"/>
      <c r="AU371" s="419"/>
      <c r="AV371" s="419"/>
      <c r="AW371" s="419"/>
      <c r="AX371" s="419"/>
      <c r="AY371" s="419"/>
      <c r="AZ371" s="419"/>
      <c r="BA371" s="419"/>
      <c r="BB371" s="419"/>
      <c r="BC371" s="419"/>
      <c r="BD371" s="419"/>
      <c r="BF371" s="419"/>
      <c r="BG371" s="419"/>
      <c r="BH371" s="419"/>
      <c r="BI371" s="419"/>
      <c r="BJ371" s="419"/>
      <c r="BK371" s="419"/>
      <c r="BL371" s="419"/>
      <c r="BM371" s="419"/>
      <c r="BN371" s="419"/>
      <c r="BO371" s="246"/>
      <c r="BP371" s="386"/>
      <c r="BQ371" s="386"/>
      <c r="BR371" s="386"/>
      <c r="BS371" s="386"/>
      <c r="BT371" s="386"/>
      <c r="BU371" s="386"/>
      <c r="BV371" s="386"/>
      <c r="BW371" s="386"/>
      <c r="BX371" s="386"/>
      <c r="BY371" s="259"/>
      <c r="CB371" s="246"/>
      <c r="CC371" s="334"/>
      <c r="CD371" s="259"/>
      <c r="CE371" s="259"/>
      <c r="CF371" s="246"/>
      <c r="CG371" s="246"/>
      <c r="CH371" s="334"/>
      <c r="CI371" s="334"/>
      <c r="CJ371" s="14"/>
      <c r="CK371" s="334"/>
      <c r="CP371" s="27"/>
      <c r="CQ371" s="27"/>
      <c r="CR371" s="157"/>
      <c r="CS371" s="157"/>
      <c r="CT371" s="157"/>
      <c r="CU371" s="27"/>
      <c r="CV371" s="27"/>
      <c r="CW371" s="27"/>
      <c r="CX371" s="27"/>
      <c r="CY371" s="27"/>
      <c r="CZ371" s="27"/>
      <c r="DA371" s="27"/>
      <c r="DB371" s="27"/>
      <c r="DC371" s="27"/>
    </row>
    <row r="372" spans="1:107" ht="15.05" hidden="1" customHeight="1">
      <c r="A372" s="108"/>
      <c r="B372" s="293">
        <f t="shared" si="41"/>
        <v>7.6800000000000006</v>
      </c>
      <c r="C372" s="1022">
        <f t="shared" si="13"/>
        <v>3.0827697380393526</v>
      </c>
      <c r="D372" s="1022">
        <f t="shared" si="14"/>
        <v>16.77898528557861</v>
      </c>
      <c r="E372" s="1022">
        <f t="shared" si="15"/>
        <v>5.9707527669477818</v>
      </c>
      <c r="F372" s="1022">
        <f t="shared" si="16"/>
        <v>6.9434277669477815</v>
      </c>
      <c r="G372" s="1086">
        <f t="shared" si="17"/>
        <v>516.31173796118321</v>
      </c>
      <c r="H372" s="1022">
        <f t="shared" si="18"/>
        <v>443.983842204567</v>
      </c>
      <c r="I372" s="1087">
        <f t="shared" si="40"/>
        <v>476.85421994884911</v>
      </c>
      <c r="J372" s="1088">
        <f t="shared" si="19"/>
        <v>2.5229836928152989</v>
      </c>
      <c r="K372" s="1088">
        <f t="shared" si="20"/>
        <v>2.4894556703194151</v>
      </c>
      <c r="L372" s="1088">
        <f t="shared" si="21"/>
        <v>2.5536582665881293</v>
      </c>
      <c r="M372" s="1088">
        <f t="shared" si="22"/>
        <v>23.81304732108357</v>
      </c>
      <c r="N372" s="1088">
        <f t="shared" si="23"/>
        <v>22.551555474675919</v>
      </c>
      <c r="O372" s="495">
        <f t="shared" si="24"/>
        <v>22.568319485923862</v>
      </c>
      <c r="P372" s="495">
        <f t="shared" si="25"/>
        <v>22.536218187789505</v>
      </c>
      <c r="Q372" s="495">
        <f t="shared" si="26"/>
        <v>19.200350575931743</v>
      </c>
      <c r="R372" s="495">
        <f t="shared" si="27"/>
        <v>26.02332115247518</v>
      </c>
      <c r="S372" s="430">
        <f t="shared" si="28"/>
        <v>7.6800000000000006</v>
      </c>
      <c r="T372" s="384">
        <f t="shared" si="29"/>
        <v>4.5576136463041268E-2</v>
      </c>
      <c r="U372" s="384">
        <f t="shared" si="30"/>
        <v>7.2921818340866027</v>
      </c>
      <c r="V372" s="384">
        <f t="shared" si="31"/>
        <v>5.3135269973022305</v>
      </c>
      <c r="W372" s="495">
        <f t="shared" si="32"/>
        <v>11.291934722541738</v>
      </c>
      <c r="X372" s="495">
        <f t="shared" si="33"/>
        <v>10.030442876134089</v>
      </c>
      <c r="Y372" s="495">
        <f t="shared" si="34"/>
        <v>10.04720688738203</v>
      </c>
      <c r="Z372" s="495">
        <f t="shared" si="35"/>
        <v>10.015105589247673</v>
      </c>
      <c r="AA372" s="495">
        <f t="shared" si="36"/>
        <v>9.8404541343407939</v>
      </c>
      <c r="AB372" s="495">
        <f t="shared" si="37"/>
        <v>10.186887675187592</v>
      </c>
      <c r="AC372" s="383">
        <f t="shared" si="38"/>
        <v>9.0451099515365279</v>
      </c>
      <c r="AD372" s="495">
        <f t="shared" si="39"/>
        <v>10.921750341518525</v>
      </c>
      <c r="AE372" s="419"/>
      <c r="AF372" s="419"/>
      <c r="AG372" s="22"/>
      <c r="AH372" s="419"/>
      <c r="AI372" s="419"/>
      <c r="AJ372" s="419"/>
      <c r="AK372" s="419"/>
      <c r="AL372" s="419"/>
      <c r="AM372" s="419"/>
      <c r="AN372" s="419"/>
      <c r="AO372" s="419"/>
      <c r="AP372" s="419"/>
      <c r="AQ372" s="419"/>
      <c r="AR372" s="419"/>
      <c r="AS372" s="419"/>
      <c r="AT372" s="419"/>
      <c r="AU372" s="419"/>
      <c r="AV372" s="419"/>
      <c r="AW372" s="419"/>
      <c r="AX372" s="419"/>
      <c r="AY372" s="419"/>
      <c r="AZ372" s="419"/>
      <c r="BA372" s="419"/>
      <c r="BB372" s="419"/>
      <c r="BC372" s="419"/>
      <c r="BD372" s="419"/>
      <c r="BF372" s="419"/>
      <c r="BG372" s="419"/>
      <c r="BH372" s="419"/>
      <c r="BI372" s="419"/>
      <c r="BJ372" s="419"/>
      <c r="BK372" s="419"/>
      <c r="BL372" s="419"/>
      <c r="BM372" s="419"/>
      <c r="BN372" s="419"/>
      <c r="BO372" s="246"/>
      <c r="BP372" s="386"/>
      <c r="BQ372" s="386"/>
      <c r="BR372" s="386"/>
      <c r="BS372" s="386"/>
      <c r="BT372" s="386"/>
      <c r="BU372" s="386"/>
      <c r="BV372" s="386"/>
      <c r="BW372" s="386"/>
      <c r="BX372" s="386"/>
      <c r="BY372" s="259"/>
      <c r="CB372" s="246"/>
      <c r="CC372" s="334"/>
      <c r="CD372" s="259"/>
      <c r="CE372" s="259"/>
      <c r="CF372" s="246"/>
      <c r="CG372" s="246"/>
      <c r="CH372" s="334"/>
      <c r="CI372" s="334"/>
      <c r="CJ372" s="14"/>
      <c r="CK372" s="334"/>
      <c r="CP372" s="27"/>
      <c r="CQ372" s="27"/>
      <c r="CR372" s="157"/>
      <c r="CS372" s="157"/>
      <c r="CT372" s="157"/>
      <c r="CU372" s="27"/>
      <c r="CV372" s="27"/>
      <c r="CW372" s="27"/>
      <c r="CX372" s="27"/>
      <c r="CY372" s="27"/>
      <c r="CZ372" s="27"/>
      <c r="DA372" s="27"/>
      <c r="DB372" s="27"/>
      <c r="DC372" s="27"/>
    </row>
    <row r="373" spans="1:107" ht="15.05" hidden="1" customHeight="1">
      <c r="A373" s="108"/>
      <c r="B373" s="293">
        <f t="shared" si="41"/>
        <v>8.9600000000000009</v>
      </c>
      <c r="C373" s="1022">
        <f t="shared" si="13"/>
        <v>2.9652289741094155</v>
      </c>
      <c r="D373" s="1022">
        <f t="shared" si="14"/>
        <v>23.555222179022284</v>
      </c>
      <c r="E373" s="1022">
        <f t="shared" si="15"/>
        <v>6.1172211273995662</v>
      </c>
      <c r="F373" s="1022">
        <f t="shared" si="16"/>
        <v>7.089896127399566</v>
      </c>
      <c r="G373" s="1086">
        <f t="shared" si="17"/>
        <v>484.73463887514163</v>
      </c>
      <c r="H373" s="1022">
        <f t="shared" si="18"/>
        <v>418.23306305574931</v>
      </c>
      <c r="I373" s="1087">
        <f t="shared" si="40"/>
        <v>476.85421994884911</v>
      </c>
      <c r="J373" s="1088">
        <f t="shared" si="19"/>
        <v>2.6229939899038572</v>
      </c>
      <c r="K373" s="1088">
        <f t="shared" si="20"/>
        <v>2.588136926915102</v>
      </c>
      <c r="L373" s="1088">
        <f t="shared" si="21"/>
        <v>2.6548844943403784</v>
      </c>
      <c r="M373" s="1088">
        <f t="shared" si="22"/>
        <v>23.242876989516276</v>
      </c>
      <c r="N373" s="1088">
        <f t="shared" si="23"/>
        <v>21.931379994564349</v>
      </c>
      <c r="O373" s="495">
        <f t="shared" si="24"/>
        <v>21.948808526058723</v>
      </c>
      <c r="P373" s="495">
        <f t="shared" si="25"/>
        <v>21.915434742346086</v>
      </c>
      <c r="Q373" s="495">
        <f t="shared" si="26"/>
        <v>18.726704615763847</v>
      </c>
      <c r="R373" s="495">
        <f t="shared" si="27"/>
        <v>25.22894548898401</v>
      </c>
      <c r="S373" s="430">
        <f t="shared" si="28"/>
        <v>8.9600000000000009</v>
      </c>
      <c r="T373" s="384">
        <f t="shared" si="29"/>
        <v>6.2034185741361721E-2</v>
      </c>
      <c r="U373" s="384">
        <f t="shared" si="30"/>
        <v>9.925469718617876</v>
      </c>
      <c r="V373" s="384">
        <f t="shared" si="31"/>
        <v>5.318411746328036</v>
      </c>
      <c r="W373" s="495">
        <f t="shared" si="32"/>
        <v>11.281563530959312</v>
      </c>
      <c r="X373" s="495">
        <f t="shared" si="33"/>
        <v>9.9700665360073835</v>
      </c>
      <c r="Y373" s="495">
        <f t="shared" si="34"/>
        <v>9.9874950675017615</v>
      </c>
      <c r="Z373" s="495">
        <f t="shared" si="35"/>
        <v>9.9541212837891226</v>
      </c>
      <c r="AA373" s="495">
        <f t="shared" si="36"/>
        <v>9.7797880258053311</v>
      </c>
      <c r="AB373" s="495">
        <f t="shared" si="37"/>
        <v>10.126917806649145</v>
      </c>
      <c r="AC373" s="383">
        <f t="shared" si="38"/>
        <v>8.983166477679859</v>
      </c>
      <c r="AD373" s="495">
        <f t="shared" si="39"/>
        <v>10.863044788355076</v>
      </c>
      <c r="AE373" s="419"/>
      <c r="AF373" s="419"/>
      <c r="AG373" s="22"/>
      <c r="AH373" s="419"/>
      <c r="AI373" s="419"/>
      <c r="AJ373" s="419"/>
      <c r="AK373" s="419"/>
      <c r="AL373" s="419"/>
      <c r="AM373" s="419"/>
      <c r="AN373" s="419"/>
      <c r="AO373" s="419"/>
      <c r="AP373" s="419"/>
      <c r="AQ373" s="419"/>
      <c r="AR373" s="419"/>
      <c r="AS373" s="419"/>
      <c r="AT373" s="419"/>
      <c r="AU373" s="419"/>
      <c r="AV373" s="419"/>
      <c r="AW373" s="419"/>
      <c r="AX373" s="419"/>
      <c r="AY373" s="419"/>
      <c r="AZ373" s="419"/>
      <c r="BA373" s="419"/>
      <c r="BB373" s="419"/>
      <c r="BC373" s="419"/>
      <c r="BD373" s="419"/>
      <c r="BF373" s="419"/>
      <c r="BG373" s="419"/>
      <c r="BH373" s="419"/>
      <c r="BI373" s="419"/>
      <c r="BJ373" s="419"/>
      <c r="BK373" s="419"/>
      <c r="BL373" s="419"/>
      <c r="BM373" s="419"/>
      <c r="BN373" s="419"/>
      <c r="BO373" s="246"/>
      <c r="BP373" s="386"/>
      <c r="BQ373" s="386"/>
      <c r="BR373" s="386"/>
      <c r="BS373" s="386"/>
      <c r="BT373" s="386"/>
      <c r="BU373" s="386"/>
      <c r="BV373" s="386"/>
      <c r="BW373" s="386"/>
      <c r="BX373" s="386"/>
      <c r="BY373" s="259"/>
      <c r="CB373" s="246"/>
      <c r="CC373" s="334"/>
      <c r="CD373" s="259"/>
      <c r="CE373" s="259"/>
      <c r="CF373" s="246"/>
      <c r="CG373" s="246"/>
      <c r="CH373" s="334"/>
      <c r="CI373" s="334"/>
      <c r="CJ373" s="14"/>
      <c r="CK373" s="334"/>
      <c r="CP373" s="27"/>
      <c r="CQ373" s="27"/>
      <c r="CR373" s="157"/>
      <c r="CS373" s="157"/>
      <c r="CT373" s="157"/>
      <c r="CU373" s="27"/>
      <c r="CV373" s="27"/>
      <c r="CW373" s="27"/>
      <c r="CX373" s="27"/>
      <c r="CY373" s="27"/>
      <c r="CZ373" s="27"/>
      <c r="DA373" s="27"/>
      <c r="DB373" s="27"/>
      <c r="DC373" s="27"/>
    </row>
    <row r="374" spans="1:107" ht="15.05" hidden="1" customHeight="1">
      <c r="A374" s="108"/>
      <c r="B374" s="293">
        <f t="shared" si="41"/>
        <v>10.24</v>
      </c>
      <c r="C374" s="1022">
        <f t="shared" si="13"/>
        <v>2.8492151565499642</v>
      </c>
      <c r="D374" s="1022">
        <f t="shared" si="14"/>
        <v>31.61126615060067</v>
      </c>
      <c r="E374" s="1022">
        <f t="shared" si="15"/>
        <v>6.2913525178452332</v>
      </c>
      <c r="F374" s="1022">
        <f t="shared" si="16"/>
        <v>7.2640275178452338</v>
      </c>
      <c r="G374" s="1086">
        <f t="shared" si="17"/>
        <v>452.87800174417993</v>
      </c>
      <c r="H374" s="1022">
        <f t="shared" si="18"/>
        <v>392.2362834598872</v>
      </c>
      <c r="I374" s="1087">
        <f t="shared" si="40"/>
        <v>476.85421994884911</v>
      </c>
      <c r="J374" s="1088">
        <f t="shared" si="19"/>
        <v>2.7297965756982965</v>
      </c>
      <c r="K374" s="1088">
        <f t="shared" si="20"/>
        <v>2.6935202092438337</v>
      </c>
      <c r="L374" s="1088">
        <f t="shared" si="21"/>
        <v>2.7629855918162085</v>
      </c>
      <c r="M374" s="1088">
        <f t="shared" si="22"/>
        <v>22.599563095300049</v>
      </c>
      <c r="N374" s="1088">
        <f t="shared" si="23"/>
        <v>21.234664807450901</v>
      </c>
      <c r="O374" s="495">
        <f t="shared" si="24"/>
        <v>21.252802990678131</v>
      </c>
      <c r="P374" s="495">
        <f t="shared" si="25"/>
        <v>21.218070299391943</v>
      </c>
      <c r="Q374" s="495">
        <f t="shared" si="26"/>
        <v>18.191921240936612</v>
      </c>
      <c r="R374" s="495">
        <f t="shared" si="27"/>
        <v>24.341812434160833</v>
      </c>
      <c r="S374" s="430">
        <f t="shared" si="28"/>
        <v>10.24</v>
      </c>
      <c r="T374" s="384">
        <f t="shared" si="29"/>
        <v>8.1024242600962235E-2</v>
      </c>
      <c r="U374" s="384">
        <f t="shared" si="30"/>
        <v>12.963878816153958</v>
      </c>
      <c r="V374" s="384">
        <f t="shared" si="31"/>
        <v>5.3240479952039657</v>
      </c>
      <c r="W374" s="495">
        <f t="shared" si="32"/>
        <v>11.269620419284253</v>
      </c>
      <c r="X374" s="495">
        <f t="shared" si="33"/>
        <v>9.9047221314351042</v>
      </c>
      <c r="Y374" s="495">
        <f t="shared" si="34"/>
        <v>9.9228603146623371</v>
      </c>
      <c r="Z374" s="495">
        <f t="shared" si="35"/>
        <v>9.8881276233761497</v>
      </c>
      <c r="AA374" s="495">
        <f t="shared" si="36"/>
        <v>9.7141604363047112</v>
      </c>
      <c r="AB374" s="495">
        <f t="shared" si="37"/>
        <v>10.061986192948371</v>
      </c>
      <c r="AC374" s="383">
        <f t="shared" si="38"/>
        <v>8.9162312297066446</v>
      </c>
      <c r="AD374" s="495">
        <f t="shared" si="39"/>
        <v>10.79940995227582</v>
      </c>
      <c r="AE374" s="419"/>
      <c r="AF374" s="419"/>
      <c r="AG374" s="22"/>
      <c r="AH374" s="419"/>
      <c r="AI374" s="419"/>
      <c r="AJ374" s="419"/>
      <c r="AK374" s="419"/>
      <c r="AL374" s="419"/>
      <c r="AM374" s="419"/>
      <c r="AN374" s="419"/>
      <c r="AO374" s="419"/>
      <c r="AP374" s="419"/>
      <c r="AQ374" s="419"/>
      <c r="AR374" s="419"/>
      <c r="AS374" s="419"/>
      <c r="AT374" s="419"/>
      <c r="AU374" s="419"/>
      <c r="AV374" s="419"/>
      <c r="AW374" s="419"/>
      <c r="AX374" s="419"/>
      <c r="AY374" s="419"/>
      <c r="AZ374" s="419"/>
      <c r="BA374" s="419"/>
      <c r="BB374" s="419"/>
      <c r="BC374" s="419"/>
      <c r="BD374" s="419"/>
      <c r="BF374" s="419"/>
      <c r="BG374" s="419"/>
      <c r="BH374" s="419"/>
      <c r="BI374" s="419"/>
      <c r="BJ374" s="419"/>
      <c r="BK374" s="419"/>
      <c r="BL374" s="419"/>
      <c r="BM374" s="419"/>
      <c r="BN374" s="419"/>
      <c r="BO374" s="246"/>
      <c r="BP374" s="386"/>
      <c r="BQ374" s="386"/>
      <c r="BR374" s="386"/>
      <c r="BS374" s="386"/>
      <c r="BT374" s="386"/>
      <c r="BU374" s="386"/>
      <c r="BV374" s="386"/>
      <c r="BW374" s="386"/>
      <c r="BX374" s="386"/>
      <c r="BY374" s="259"/>
      <c r="CB374" s="246"/>
      <c r="CC374" s="334"/>
      <c r="CD374" s="259"/>
      <c r="CE374" s="259"/>
      <c r="CF374" s="246"/>
      <c r="CG374" s="246"/>
      <c r="CH374" s="334"/>
      <c r="CI374" s="334"/>
      <c r="CJ374" s="14"/>
      <c r="CK374" s="334"/>
      <c r="CP374" s="27"/>
      <c r="CQ374" s="27"/>
      <c r="CR374" s="157"/>
      <c r="CS374" s="157"/>
      <c r="CT374" s="157"/>
      <c r="CU374" s="27"/>
      <c r="CV374" s="27"/>
      <c r="CW374" s="27"/>
      <c r="CX374" s="27"/>
      <c r="CY374" s="27"/>
      <c r="CZ374" s="27"/>
      <c r="DA374" s="27"/>
      <c r="DB374" s="27"/>
      <c r="DC374" s="27"/>
    </row>
    <row r="375" spans="1:107" ht="15.05" hidden="1" customHeight="1">
      <c r="A375" s="108"/>
      <c r="B375" s="293">
        <f t="shared" si="41"/>
        <v>11.52</v>
      </c>
      <c r="C375" s="1022">
        <f t="shared" si="13"/>
        <v>2.7424174339745897</v>
      </c>
      <c r="D375" s="1022">
        <f t="shared" si="14"/>
        <v>41.000647757471647</v>
      </c>
      <c r="E375" s="1022">
        <f t="shared" si="15"/>
        <v>6.49430400127775</v>
      </c>
      <c r="F375" s="1022">
        <f t="shared" si="16"/>
        <v>7.4669790012777497</v>
      </c>
      <c r="G375" s="1086">
        <f t="shared" si="17"/>
        <v>422.28042195669019</v>
      </c>
      <c r="H375" s="1022">
        <f t="shared" si="18"/>
        <v>367.27268598255159</v>
      </c>
      <c r="I375" s="1087">
        <f t="shared" si="40"/>
        <v>476.85421994884911</v>
      </c>
      <c r="J375" s="1088">
        <f t="shared" si="19"/>
        <v>2.8361028052922754</v>
      </c>
      <c r="K375" s="1088">
        <f t="shared" si="20"/>
        <v>2.7984137314677935</v>
      </c>
      <c r="L375" s="1088">
        <f t="shared" si="21"/>
        <v>2.8705842983657375</v>
      </c>
      <c r="M375" s="1088">
        <f t="shared" si="22"/>
        <v>21.893311146790175</v>
      </c>
      <c r="N375" s="1088">
        <f t="shared" si="23"/>
        <v>20.475259744144036</v>
      </c>
      <c r="O375" s="495">
        <f t="shared" si="24"/>
        <v>20.494104281056277</v>
      </c>
      <c r="P375" s="495">
        <f t="shared" si="25"/>
        <v>20.458018997607308</v>
      </c>
      <c r="Q375" s="495">
        <f t="shared" si="26"/>
        <v>17.606119130732079</v>
      </c>
      <c r="R375" s="495">
        <f t="shared" si="27"/>
        <v>23.380732924584901</v>
      </c>
      <c r="S375" s="430">
        <f t="shared" si="28"/>
        <v>11.52</v>
      </c>
      <c r="T375" s="384">
        <f t="shared" si="29"/>
        <v>0.10254630704184282</v>
      </c>
      <c r="U375" s="384">
        <f t="shared" si="30"/>
        <v>16.407409126694851</v>
      </c>
      <c r="V375" s="384">
        <f t="shared" si="31"/>
        <v>5.3304357439300185</v>
      </c>
      <c r="W375" s="495">
        <f t="shared" si="32"/>
        <v>11.256115425145948</v>
      </c>
      <c r="X375" s="495">
        <f t="shared" si="33"/>
        <v>9.838064022499811</v>
      </c>
      <c r="Y375" s="495">
        <f t="shared" si="34"/>
        <v>9.8569085594120516</v>
      </c>
      <c r="Z375" s="495">
        <f t="shared" si="35"/>
        <v>9.8208232759630789</v>
      </c>
      <c r="AA375" s="495">
        <f t="shared" si="36"/>
        <v>9.6472695770648222</v>
      </c>
      <c r="AB375" s="495">
        <f t="shared" si="37"/>
        <v>9.9956991401396778</v>
      </c>
      <c r="AC375" s="383">
        <f t="shared" si="38"/>
        <v>8.8481440383764873</v>
      </c>
      <c r="AD375" s="495">
        <f t="shared" si="39"/>
        <v>10.734314079154906</v>
      </c>
      <c r="AE375" s="419"/>
      <c r="AF375" s="419"/>
      <c r="AG375" s="22"/>
      <c r="AH375" s="419"/>
      <c r="AI375" s="419"/>
      <c r="AJ375" s="419"/>
      <c r="AK375" s="419"/>
      <c r="AL375" s="419"/>
      <c r="AM375" s="419"/>
      <c r="AN375" s="419"/>
      <c r="AO375" s="419"/>
      <c r="AP375" s="419"/>
      <c r="AQ375" s="419"/>
      <c r="AR375" s="419"/>
      <c r="AS375" s="419"/>
      <c r="AT375" s="419"/>
      <c r="AU375" s="419"/>
      <c r="AV375" s="419"/>
      <c r="AW375" s="419"/>
      <c r="AX375" s="419"/>
      <c r="AY375" s="419"/>
      <c r="AZ375" s="419"/>
      <c r="BA375" s="419"/>
      <c r="BB375" s="419"/>
      <c r="BC375" s="419"/>
      <c r="BD375" s="419"/>
      <c r="BF375" s="419"/>
      <c r="BG375" s="419"/>
      <c r="BH375" s="419"/>
      <c r="BI375" s="419"/>
      <c r="BJ375" s="419"/>
      <c r="BK375" s="419"/>
      <c r="BL375" s="419"/>
      <c r="BM375" s="419"/>
      <c r="BN375" s="419"/>
      <c r="BO375" s="246"/>
      <c r="BP375" s="386"/>
      <c r="BQ375" s="386"/>
      <c r="BR375" s="386"/>
      <c r="BS375" s="386"/>
      <c r="BT375" s="386"/>
      <c r="BU375" s="386"/>
      <c r="BV375" s="386"/>
      <c r="BW375" s="386"/>
      <c r="BX375" s="386"/>
      <c r="BY375" s="259"/>
      <c r="CB375" s="246"/>
      <c r="CC375" s="334"/>
      <c r="CD375" s="259"/>
      <c r="CE375" s="259"/>
      <c r="CF375" s="246"/>
      <c r="CG375" s="246"/>
      <c r="CH375" s="334"/>
      <c r="CI375" s="334"/>
      <c r="CJ375" s="14"/>
      <c r="CK375" s="334"/>
      <c r="CP375" s="27"/>
      <c r="CQ375" s="27"/>
      <c r="CR375" s="157"/>
      <c r="CS375" s="157"/>
      <c r="CT375" s="157"/>
      <c r="CU375" s="27"/>
      <c r="CV375" s="27"/>
      <c r="CW375" s="27"/>
      <c r="CX375" s="27"/>
      <c r="CY375" s="27"/>
      <c r="CZ375" s="27"/>
      <c r="DA375" s="27"/>
      <c r="DB375" s="27"/>
      <c r="DC375" s="27"/>
    </row>
    <row r="376" spans="1:107" ht="15.05" hidden="1" customHeight="1">
      <c r="A376" s="108"/>
      <c r="B376" s="1089">
        <f>C332</f>
        <v>12.8</v>
      </c>
      <c r="C376" s="1022">
        <f t="shared" si="13"/>
        <v>2.6525249549968857</v>
      </c>
      <c r="D376" s="1022">
        <f t="shared" si="14"/>
        <v>51.776897556793088</v>
      </c>
      <c r="E376" s="1022">
        <f t="shared" si="15"/>
        <v>6.7272326406900831</v>
      </c>
      <c r="F376" s="1022">
        <f t="shared" si="16"/>
        <v>7.6999076406900828</v>
      </c>
      <c r="G376" s="1086">
        <f t="shared" si="17"/>
        <v>394.29659960812478</v>
      </c>
      <c r="H376" s="1022">
        <f t="shared" si="18"/>
        <v>344.48789242349415</v>
      </c>
      <c r="I376" s="1087">
        <f t="shared" si="40"/>
        <v>476.85421994884911</v>
      </c>
      <c r="J376" s="1088">
        <f t="shared" si="19"/>
        <v>2.932216627453712</v>
      </c>
      <c r="K376" s="1088">
        <f t="shared" si="20"/>
        <v>2.8932502935340616</v>
      </c>
      <c r="L376" s="1088">
        <f t="shared" si="21"/>
        <v>2.9678666776355205</v>
      </c>
      <c r="M376" s="1088">
        <f t="shared" si="22"/>
        <v>21.135261076274166</v>
      </c>
      <c r="N376" s="1088">
        <f t="shared" si="23"/>
        <v>19.669152762547309</v>
      </c>
      <c r="O376" s="495">
        <f t="shared" si="24"/>
        <v>19.688635929507136</v>
      </c>
      <c r="P376" s="495">
        <f t="shared" si="25"/>
        <v>19.651327737456405</v>
      </c>
      <c r="Q376" s="495">
        <f t="shared" si="26"/>
        <v>16.981459340759308</v>
      </c>
      <c r="R376" s="495">
        <f t="shared" si="27"/>
        <v>22.366602151929694</v>
      </c>
      <c r="S376" s="952">
        <f t="shared" si="28"/>
        <v>12.8</v>
      </c>
      <c r="T376" s="953">
        <f t="shared" si="29"/>
        <v>0.12660037906400351</v>
      </c>
      <c r="U376" s="953">
        <f t="shared" si="30"/>
        <v>20.256060650240563</v>
      </c>
      <c r="V376" s="953">
        <f t="shared" si="31"/>
        <v>5.3375749925061955</v>
      </c>
      <c r="W376" s="495">
        <f t="shared" si="32"/>
        <v>11.241059860374477</v>
      </c>
      <c r="X376" s="495">
        <f t="shared" si="33"/>
        <v>9.7749515466476211</v>
      </c>
      <c r="Y376" s="495">
        <f t="shared" si="34"/>
        <v>9.7944347136074459</v>
      </c>
      <c r="Z376" s="495">
        <f t="shared" si="35"/>
        <v>9.7571265215567173</v>
      </c>
      <c r="AA376" s="495">
        <f t="shared" si="36"/>
        <v>9.5840332143299101</v>
      </c>
      <c r="AB376" s="495">
        <f t="shared" si="37"/>
        <v>9.9328519824328154</v>
      </c>
      <c r="AC376" s="383">
        <f t="shared" si="38"/>
        <v>8.7840111964471532</v>
      </c>
      <c r="AD376" s="495">
        <f t="shared" si="39"/>
        <v>10.672368715091428</v>
      </c>
      <c r="AE376" s="419"/>
      <c r="AF376" s="419"/>
      <c r="AG376" s="22"/>
      <c r="AH376" s="419"/>
      <c r="AI376" s="419"/>
      <c r="AJ376" s="419"/>
      <c r="AK376" s="419"/>
      <c r="AL376" s="419"/>
      <c r="AM376" s="419"/>
      <c r="AN376" s="419"/>
      <c r="AO376" s="419"/>
      <c r="AP376" s="419"/>
      <c r="AQ376" s="419"/>
      <c r="AR376" s="419"/>
      <c r="AS376" s="419"/>
      <c r="AT376" s="419"/>
      <c r="AU376" s="419"/>
      <c r="AV376" s="419"/>
      <c r="AW376" s="419"/>
      <c r="AX376" s="419"/>
      <c r="AY376" s="419"/>
      <c r="AZ376" s="419"/>
      <c r="BA376" s="419"/>
      <c r="BB376" s="419"/>
      <c r="BC376" s="419"/>
      <c r="BD376" s="419"/>
      <c r="BF376" s="419"/>
      <c r="BG376" s="419"/>
      <c r="BH376" s="419"/>
      <c r="BI376" s="419"/>
      <c r="BJ376" s="419"/>
      <c r="BK376" s="419"/>
      <c r="BL376" s="419"/>
      <c r="BM376" s="419"/>
      <c r="BN376" s="419"/>
      <c r="BO376" s="246"/>
      <c r="BP376" s="386"/>
      <c r="BQ376" s="386"/>
      <c r="BR376" s="386"/>
      <c r="BS376" s="386"/>
      <c r="BT376" s="386"/>
      <c r="BU376" s="386"/>
      <c r="BV376" s="386"/>
      <c r="BW376" s="386"/>
      <c r="BX376" s="386"/>
      <c r="BY376" s="259"/>
      <c r="CB376" s="246"/>
      <c r="CC376" s="334"/>
      <c r="CD376" s="259"/>
      <c r="CE376" s="259"/>
      <c r="CF376" s="246"/>
      <c r="CG376" s="246"/>
      <c r="CH376" s="334"/>
      <c r="CI376" s="334"/>
      <c r="CJ376" s="14"/>
      <c r="CK376" s="334"/>
      <c r="CP376" s="27"/>
      <c r="CQ376" s="27"/>
      <c r="CR376" s="157"/>
      <c r="CS376" s="157"/>
      <c r="CT376" s="157"/>
      <c r="CU376" s="27"/>
      <c r="CV376" s="27"/>
      <c r="CW376" s="27"/>
      <c r="CX376" s="27"/>
      <c r="CY376" s="27"/>
      <c r="CZ376" s="27"/>
      <c r="DA376" s="27"/>
      <c r="DB376" s="27"/>
      <c r="DC376" s="27"/>
    </row>
    <row r="377" spans="1:107" ht="15.05" hidden="1" customHeight="1">
      <c r="A377" s="108"/>
      <c r="B377" s="293">
        <f t="shared" ref="B377:B386" si="42">B$376/10+B376</f>
        <v>14.08</v>
      </c>
      <c r="C377" s="1022">
        <f t="shared" si="13"/>
        <v>2.5872268682304442</v>
      </c>
      <c r="D377" s="1022">
        <f t="shared" si="14"/>
        <v>63.993546105722821</v>
      </c>
      <c r="E377" s="1022">
        <f t="shared" si="15"/>
        <v>6.991295499075199</v>
      </c>
      <c r="F377" s="1022">
        <f t="shared" si="16"/>
        <v>7.9639704990751987</v>
      </c>
      <c r="G377" s="1086">
        <f t="shared" si="17"/>
        <v>370.06401296765097</v>
      </c>
      <c r="H377" s="1022">
        <f t="shared" si="18"/>
        <v>324.86645556144151</v>
      </c>
      <c r="I377" s="1087">
        <f t="shared" si="40"/>
        <v>476.85421994884911</v>
      </c>
      <c r="J377" s="1088">
        <f t="shared" si="19"/>
        <v>3.0062217864556482</v>
      </c>
      <c r="K377" s="1088">
        <f t="shared" si="20"/>
        <v>2.9662719952735133</v>
      </c>
      <c r="L377" s="1088">
        <f t="shared" si="21"/>
        <v>3.0427715954095165</v>
      </c>
      <c r="M377" s="1088">
        <f t="shared" si="22"/>
        <v>20.336977345704504</v>
      </c>
      <c r="N377" s="1088">
        <f t="shared" si="23"/>
        <v>18.833866452476681</v>
      </c>
      <c r="O377" s="495">
        <f t="shared" si="24"/>
        <v>18.853841348067746</v>
      </c>
      <c r="P377" s="495">
        <f t="shared" si="25"/>
        <v>18.815591547999745</v>
      </c>
      <c r="Q377" s="495">
        <f t="shared" si="26"/>
        <v>16.331746405425424</v>
      </c>
      <c r="R377" s="495">
        <f t="shared" si="27"/>
        <v>21.32152348468227</v>
      </c>
      <c r="S377" s="430">
        <f t="shared" si="28"/>
        <v>14.08</v>
      </c>
      <c r="T377" s="384">
        <f t="shared" si="29"/>
        <v>0.15318645866744421</v>
      </c>
      <c r="U377" s="384">
        <f t="shared" si="30"/>
        <v>24.509833386791072</v>
      </c>
      <c r="V377" s="384">
        <f t="shared" si="31"/>
        <v>5.3454657409324975</v>
      </c>
      <c r="W377" s="495">
        <f t="shared" si="32"/>
        <v>11.224466287484468</v>
      </c>
      <c r="X377" s="495">
        <f t="shared" si="33"/>
        <v>9.7213553942566442</v>
      </c>
      <c r="Y377" s="495">
        <f t="shared" si="34"/>
        <v>9.7413302898477117</v>
      </c>
      <c r="Z377" s="495">
        <f t="shared" si="35"/>
        <v>9.70308048977971</v>
      </c>
      <c r="AA377" s="495">
        <f t="shared" si="36"/>
        <v>9.530493908334206</v>
      </c>
      <c r="AB377" s="495">
        <f t="shared" si="37"/>
        <v>9.8793367004537291</v>
      </c>
      <c r="AC377" s="383">
        <f t="shared" si="38"/>
        <v>8.7301070452538791</v>
      </c>
      <c r="AD377" s="495">
        <f t="shared" si="39"/>
        <v>10.619239885199235</v>
      </c>
      <c r="AE377" s="419"/>
      <c r="AF377" s="419"/>
      <c r="AG377" s="22"/>
      <c r="AH377" s="419"/>
      <c r="AI377" s="419"/>
      <c r="AJ377" s="419"/>
      <c r="AK377" s="419"/>
      <c r="AL377" s="419"/>
      <c r="AM377" s="419"/>
      <c r="AN377" s="419"/>
      <c r="AO377" s="419"/>
      <c r="AP377" s="419"/>
      <c r="AQ377" s="419"/>
      <c r="AR377" s="419"/>
      <c r="AS377" s="419"/>
      <c r="AT377" s="419"/>
      <c r="AU377" s="419"/>
      <c r="AV377" s="419"/>
      <c r="AW377" s="419"/>
      <c r="AX377" s="419"/>
      <c r="AY377" s="419"/>
      <c r="AZ377" s="419"/>
      <c r="BA377" s="419"/>
      <c r="BB377" s="419"/>
      <c r="BC377" s="419"/>
      <c r="BD377" s="419"/>
      <c r="BF377" s="419"/>
      <c r="BG377" s="419"/>
      <c r="BH377" s="419"/>
      <c r="BI377" s="419"/>
      <c r="BJ377" s="419"/>
      <c r="BK377" s="419"/>
      <c r="BL377" s="419"/>
      <c r="BM377" s="419"/>
      <c r="BN377" s="419"/>
      <c r="BO377" s="246"/>
      <c r="BP377" s="386"/>
      <c r="BQ377" s="386"/>
      <c r="BR377" s="386"/>
      <c r="BS377" s="386"/>
      <c r="BT377" s="386"/>
      <c r="BU377" s="386"/>
      <c r="BV377" s="386"/>
      <c r="BW377" s="386"/>
      <c r="BX377" s="386"/>
      <c r="BY377" s="259"/>
      <c r="CB377" s="246"/>
      <c r="CC377" s="334"/>
      <c r="CD377" s="259"/>
      <c r="CE377" s="259"/>
      <c r="CF377" s="246"/>
      <c r="CG377" s="246"/>
      <c r="CH377" s="334"/>
      <c r="CI377" s="334"/>
      <c r="CJ377" s="14"/>
      <c r="CK377" s="334"/>
      <c r="CP377" s="27"/>
      <c r="CQ377" s="27"/>
      <c r="CR377" s="157"/>
      <c r="CS377" s="157"/>
      <c r="CT377" s="157"/>
      <c r="CU377" s="27"/>
      <c r="CV377" s="27"/>
      <c r="CW377" s="27"/>
      <c r="CX377" s="27"/>
      <c r="CY377" s="27"/>
      <c r="CZ377" s="27"/>
      <c r="DA377" s="27"/>
      <c r="DB377" s="27"/>
      <c r="DC377" s="27"/>
    </row>
    <row r="378" spans="1:107" ht="15.05" hidden="1" customHeight="1">
      <c r="A378" s="108"/>
      <c r="B378" s="293">
        <f t="shared" si="42"/>
        <v>15.36</v>
      </c>
      <c r="C378" s="1022">
        <f t="shared" si="13"/>
        <v>2.5542123222888584</v>
      </c>
      <c r="D378" s="1022">
        <f t="shared" si="14"/>
        <v>77.704123961418773</v>
      </c>
      <c r="E378" s="1022">
        <f t="shared" si="15"/>
        <v>7.2876496394260668</v>
      </c>
      <c r="F378" s="1022">
        <f t="shared" si="16"/>
        <v>8.2603246394260665</v>
      </c>
      <c r="G378" s="1086">
        <f t="shared" si="17"/>
        <v>350.48506015857447</v>
      </c>
      <c r="H378" s="1022">
        <f t="shared" si="18"/>
        <v>309.21452046784532</v>
      </c>
      <c r="I378" s="1087">
        <f t="shared" si="40"/>
        <v>476.85421994884911</v>
      </c>
      <c r="J378" s="1088">
        <f t="shared" si="19"/>
        <v>3.0450787939226696</v>
      </c>
      <c r="K378" s="1088">
        <f t="shared" si="20"/>
        <v>3.0046126305482819</v>
      </c>
      <c r="L378" s="1088">
        <f t="shared" si="21"/>
        <v>3.0821010284992369</v>
      </c>
      <c r="M378" s="1088">
        <f t="shared" si="22"/>
        <v>19.509968949744351</v>
      </c>
      <c r="N378" s="1088">
        <f t="shared" si="23"/>
        <v>17.987429552783016</v>
      </c>
      <c r="O378" s="495">
        <f t="shared" si="24"/>
        <v>18.007662634470211</v>
      </c>
      <c r="P378" s="495">
        <f t="shared" si="25"/>
        <v>17.968918435494732</v>
      </c>
      <c r="Q378" s="495">
        <f t="shared" si="26"/>
        <v>15.671568164584421</v>
      </c>
      <c r="R378" s="495">
        <f t="shared" si="27"/>
        <v>20.267576519837803</v>
      </c>
      <c r="S378" s="430">
        <f t="shared" si="28"/>
        <v>15.36</v>
      </c>
      <c r="T378" s="384">
        <f t="shared" si="29"/>
        <v>0.18230454585216502</v>
      </c>
      <c r="U378" s="384">
        <f t="shared" si="30"/>
        <v>29.168727336346404</v>
      </c>
      <c r="V378" s="384">
        <f t="shared" si="31"/>
        <v>5.3541079892089218</v>
      </c>
      <c r="W378" s="495">
        <f t="shared" si="32"/>
        <v>11.206348493704009</v>
      </c>
      <c r="X378" s="495">
        <f t="shared" si="33"/>
        <v>9.6838090967426744</v>
      </c>
      <c r="Y378" s="495">
        <f t="shared" si="34"/>
        <v>9.7040421784298694</v>
      </c>
      <c r="Z378" s="495">
        <f t="shared" si="35"/>
        <v>9.6652979794543903</v>
      </c>
      <c r="AA378" s="495">
        <f t="shared" si="36"/>
        <v>9.4932638344365774</v>
      </c>
      <c r="AB378" s="495">
        <f t="shared" si="37"/>
        <v>9.841600696907701</v>
      </c>
      <c r="AC378" s="383">
        <f t="shared" si="38"/>
        <v>8.6932973863720822</v>
      </c>
      <c r="AD378" s="495">
        <f t="shared" si="39"/>
        <v>10.581127740437079</v>
      </c>
      <c r="AE378" s="419"/>
      <c r="AF378" s="419"/>
      <c r="AG378" s="22"/>
      <c r="AH378" s="419"/>
      <c r="AI378" s="419"/>
      <c r="AJ378" s="419"/>
      <c r="AK378" s="419"/>
      <c r="AL378" s="419"/>
      <c r="AM378" s="419"/>
      <c r="AN378" s="419"/>
      <c r="AO378" s="419"/>
      <c r="AP378" s="419"/>
      <c r="AQ378" s="419"/>
      <c r="AR378" s="419"/>
      <c r="AS378" s="419"/>
      <c r="AT378" s="419"/>
      <c r="AU378" s="419"/>
      <c r="AV378" s="419"/>
      <c r="AW378" s="419"/>
      <c r="AX378" s="419"/>
      <c r="AY378" s="419"/>
      <c r="AZ378" s="419"/>
      <c r="BA378" s="419"/>
      <c r="BB378" s="419"/>
      <c r="BC378" s="419"/>
      <c r="BD378" s="419"/>
      <c r="BF378" s="419"/>
      <c r="BG378" s="419"/>
      <c r="BH378" s="419"/>
      <c r="BI378" s="419"/>
      <c r="BJ378" s="419"/>
      <c r="BK378" s="419"/>
      <c r="BL378" s="419"/>
      <c r="BM378" s="419"/>
      <c r="BN378" s="419"/>
      <c r="BO378" s="246"/>
      <c r="BP378" s="386"/>
      <c r="BQ378" s="386"/>
      <c r="BR378" s="386"/>
      <c r="BS378" s="386"/>
      <c r="BT378" s="386"/>
      <c r="BU378" s="386"/>
      <c r="BV378" s="386"/>
      <c r="BW378" s="386"/>
      <c r="BX378" s="386"/>
      <c r="BY378" s="259"/>
      <c r="CB378" s="246"/>
      <c r="CC378" s="334"/>
      <c r="CD378" s="259"/>
      <c r="CE378" s="259"/>
      <c r="CF378" s="246"/>
      <c r="CG378" s="246"/>
      <c r="CH378" s="334"/>
      <c r="CI378" s="334"/>
      <c r="CJ378" s="14"/>
      <c r="CK378" s="334"/>
      <c r="CP378" s="27"/>
      <c r="CQ378" s="27"/>
      <c r="CR378" s="157"/>
      <c r="CS378" s="157"/>
      <c r="CT378" s="157"/>
      <c r="CU378" s="27"/>
      <c r="CV378" s="27"/>
      <c r="CW378" s="27"/>
      <c r="CX378" s="27"/>
      <c r="CY378" s="27"/>
      <c r="CZ378" s="27"/>
      <c r="DA378" s="27"/>
      <c r="DB378" s="27"/>
      <c r="DC378" s="27"/>
    </row>
    <row r="379" spans="1:107" ht="15.05" hidden="1" customHeight="1">
      <c r="A379" s="108"/>
      <c r="B379" s="293">
        <f t="shared" si="42"/>
        <v>16.64</v>
      </c>
      <c r="C379" s="1022">
        <f t="shared" si="13"/>
        <v>2.5611704657857204</v>
      </c>
      <c r="D379" s="1022">
        <f t="shared" si="14"/>
        <v>92.962161681038808</v>
      </c>
      <c r="E379" s="1022">
        <f t="shared" si="15"/>
        <v>7.6174521247356539</v>
      </c>
      <c r="F379" s="1022">
        <f t="shared" si="16"/>
        <v>8.5901271247356554</v>
      </c>
      <c r="G379" s="1086">
        <f t="shared" si="17"/>
        <v>336.22403184773543</v>
      </c>
      <c r="H379" s="1022">
        <f t="shared" si="18"/>
        <v>298.15280130263909</v>
      </c>
      <c r="I379" s="1087">
        <f t="shared" si="40"/>
        <v>476.85421994884911</v>
      </c>
      <c r="J379" s="1088">
        <f t="shared" si="19"/>
        <v>3.0368059766735196</v>
      </c>
      <c r="K379" s="1088">
        <f t="shared" si="20"/>
        <v>2.9964497510698846</v>
      </c>
      <c r="L379" s="1088">
        <f t="shared" si="21"/>
        <v>3.0737276298853557</v>
      </c>
      <c r="M379" s="1088">
        <f t="shared" si="22"/>
        <v>18.66527230543668</v>
      </c>
      <c r="N379" s="1088">
        <f t="shared" si="23"/>
        <v>17.14686931709992</v>
      </c>
      <c r="O379" s="495">
        <f t="shared" si="24"/>
        <v>17.167047429901739</v>
      </c>
      <c r="P379" s="495">
        <f t="shared" si="25"/>
        <v>17.128408490494003</v>
      </c>
      <c r="Q379" s="495">
        <f t="shared" si="26"/>
        <v>15.014907319200297</v>
      </c>
      <c r="R379" s="495">
        <f t="shared" si="27"/>
        <v>19.225186931188819</v>
      </c>
      <c r="S379" s="430">
        <f t="shared" si="28"/>
        <v>16.64</v>
      </c>
      <c r="T379" s="384">
        <f t="shared" si="29"/>
        <v>0.21395464061816594</v>
      </c>
      <c r="U379" s="384">
        <f t="shared" si="30"/>
        <v>34.232742498906546</v>
      </c>
      <c r="V379" s="384">
        <f t="shared" si="31"/>
        <v>5.3635017373354712</v>
      </c>
      <c r="W379" s="495">
        <f t="shared" si="32"/>
        <v>11.186721462647897</v>
      </c>
      <c r="X379" s="495">
        <f t="shared" si="33"/>
        <v>9.6683184743111372</v>
      </c>
      <c r="Y379" s="495">
        <f t="shared" si="34"/>
        <v>9.6884965871129545</v>
      </c>
      <c r="Z379" s="495">
        <f t="shared" si="35"/>
        <v>9.64985764770522</v>
      </c>
      <c r="AA379" s="495">
        <f t="shared" si="36"/>
        <v>9.4784209739089356</v>
      </c>
      <c r="AB379" s="495">
        <f t="shared" si="37"/>
        <v>9.8255707349392338</v>
      </c>
      <c r="AC379" s="383">
        <f t="shared" si="38"/>
        <v>8.6798931036781237</v>
      </c>
      <c r="AD379" s="495">
        <f t="shared" si="39"/>
        <v>10.563731994414452</v>
      </c>
      <c r="AE379" s="419"/>
      <c r="AF379" s="419"/>
      <c r="AG379" s="22"/>
      <c r="AH379" s="419"/>
      <c r="AI379" s="419"/>
      <c r="AJ379" s="419"/>
      <c r="AK379" s="419"/>
      <c r="AL379" s="419"/>
      <c r="AM379" s="419"/>
      <c r="AN379" s="419"/>
      <c r="AO379" s="419"/>
      <c r="AP379" s="419"/>
      <c r="AQ379" s="419"/>
      <c r="AR379" s="419"/>
      <c r="AS379" s="419"/>
      <c r="AT379" s="419"/>
      <c r="AU379" s="419"/>
      <c r="AV379" s="419"/>
      <c r="AW379" s="419"/>
      <c r="AX379" s="419"/>
      <c r="AY379" s="419"/>
      <c r="AZ379" s="419"/>
      <c r="BA379" s="419"/>
      <c r="BB379" s="419"/>
      <c r="BC379" s="419"/>
      <c r="BD379" s="419"/>
      <c r="BF379" s="419"/>
      <c r="BG379" s="419"/>
      <c r="BH379" s="419"/>
      <c r="BI379" s="419"/>
      <c r="BJ379" s="419"/>
      <c r="BK379" s="419"/>
      <c r="BL379" s="419"/>
      <c r="BM379" s="419"/>
      <c r="BN379" s="419"/>
      <c r="BO379" s="246"/>
      <c r="BP379" s="386"/>
      <c r="BQ379" s="386"/>
      <c r="BR379" s="386"/>
      <c r="BS379" s="386"/>
      <c r="BT379" s="386"/>
      <c r="BU379" s="386"/>
      <c r="BV379" s="386"/>
      <c r="BW379" s="386"/>
      <c r="BX379" s="386"/>
      <c r="BY379" s="259"/>
      <c r="CB379" s="246"/>
      <c r="CC379" s="334"/>
      <c r="CD379" s="259"/>
      <c r="CE379" s="259"/>
      <c r="CF379" s="246"/>
      <c r="CG379" s="246"/>
      <c r="CH379" s="334"/>
      <c r="CI379" s="334"/>
      <c r="CJ379" s="14"/>
      <c r="CK379" s="334"/>
      <c r="CP379" s="27"/>
      <c r="CQ379" s="27"/>
      <c r="CR379" s="157"/>
      <c r="CS379" s="157"/>
      <c r="CT379" s="157"/>
      <c r="CU379" s="27"/>
      <c r="CV379" s="27"/>
      <c r="CW379" s="27"/>
      <c r="CX379" s="27"/>
      <c r="CY379" s="27"/>
      <c r="CZ379" s="27"/>
      <c r="DA379" s="27"/>
      <c r="DB379" s="27"/>
      <c r="DC379" s="27"/>
    </row>
    <row r="380" spans="1:107" ht="15.05" hidden="1" customHeight="1">
      <c r="A380" s="108"/>
      <c r="B380" s="293">
        <f t="shared" si="42"/>
        <v>17.920000000000002</v>
      </c>
      <c r="C380" s="1022">
        <f t="shared" si="13"/>
        <v>2.6157904473346223</v>
      </c>
      <c r="D380" s="1022">
        <f t="shared" si="14"/>
        <v>109.82118982174076</v>
      </c>
      <c r="E380" s="1022">
        <f t="shared" si="15"/>
        <v>7.9818600179969259</v>
      </c>
      <c r="F380" s="1022">
        <f t="shared" si="16"/>
        <v>8.9545350179969265</v>
      </c>
      <c r="G380" s="1086">
        <f t="shared" si="17"/>
        <v>327.71690325772755</v>
      </c>
      <c r="H380" s="1022">
        <f t="shared" si="18"/>
        <v>292.11907062481492</v>
      </c>
      <c r="I380" s="1087">
        <f t="shared" si="40"/>
        <v>476.85421994884911</v>
      </c>
      <c r="J380" s="1088">
        <f t="shared" si="19"/>
        <v>2.9733948243839632</v>
      </c>
      <c r="K380" s="1088">
        <f t="shared" si="20"/>
        <v>2.933881271900455</v>
      </c>
      <c r="L380" s="1088">
        <f t="shared" si="21"/>
        <v>3.0095455213369595</v>
      </c>
      <c r="M380" s="1088">
        <f t="shared" si="22"/>
        <v>17.81311847880529</v>
      </c>
      <c r="N380" s="1088">
        <f t="shared" si="23"/>
        <v>16.326421066613307</v>
      </c>
      <c r="O380" s="495">
        <f t="shared" si="24"/>
        <v>16.346177842855063</v>
      </c>
      <c r="P380" s="495">
        <f t="shared" si="25"/>
        <v>16.30834571813681</v>
      </c>
      <c r="Q380" s="495">
        <f t="shared" si="26"/>
        <v>14.373418334241478</v>
      </c>
      <c r="R380" s="495">
        <f t="shared" si="27"/>
        <v>18.211291283769825</v>
      </c>
      <c r="S380" s="430">
        <f t="shared" si="28"/>
        <v>17.920000000000002</v>
      </c>
      <c r="T380" s="384">
        <f t="shared" si="29"/>
        <v>0.24813674296544688</v>
      </c>
      <c r="U380" s="384">
        <f t="shared" si="30"/>
        <v>39.701878874471504</v>
      </c>
      <c r="V380" s="384">
        <f t="shared" si="31"/>
        <v>5.3736469853121438</v>
      </c>
      <c r="W380" s="495">
        <f t="shared" si="32"/>
        <v>11.165601343742667</v>
      </c>
      <c r="X380" s="495">
        <f t="shared" si="33"/>
        <v>9.6789039315506855</v>
      </c>
      <c r="Y380" s="495">
        <f t="shared" si="34"/>
        <v>9.69866070779244</v>
      </c>
      <c r="Z380" s="495">
        <f t="shared" si="35"/>
        <v>9.6608285830741867</v>
      </c>
      <c r="AA380" s="495">
        <f t="shared" si="36"/>
        <v>9.4900336888648322</v>
      </c>
      <c r="AB380" s="495">
        <f t="shared" si="37"/>
        <v>9.8352146032965102</v>
      </c>
      <c r="AC380" s="383">
        <f t="shared" si="38"/>
        <v>8.6941178373513921</v>
      </c>
      <c r="AD380" s="495">
        <f t="shared" si="39"/>
        <v>10.570869058866389</v>
      </c>
      <c r="AE380" s="419"/>
      <c r="AF380" s="419"/>
      <c r="AG380" s="22"/>
      <c r="AH380" s="419"/>
      <c r="AI380" s="419"/>
      <c r="AJ380" s="419"/>
      <c r="AK380" s="419"/>
      <c r="AL380" s="419"/>
      <c r="AM380" s="419"/>
      <c r="AN380" s="419"/>
      <c r="AO380" s="419"/>
      <c r="AP380" s="419"/>
      <c r="AQ380" s="419"/>
      <c r="AR380" s="419"/>
      <c r="AS380" s="419"/>
      <c r="AT380" s="419"/>
      <c r="AU380" s="419"/>
      <c r="AV380" s="419"/>
      <c r="AW380" s="419"/>
      <c r="AX380" s="419"/>
      <c r="AY380" s="419"/>
      <c r="AZ380" s="419"/>
      <c r="BA380" s="419"/>
      <c r="BB380" s="419"/>
      <c r="BC380" s="419"/>
      <c r="BD380" s="419"/>
      <c r="BF380" s="419"/>
      <c r="BG380" s="419"/>
      <c r="BH380" s="419"/>
      <c r="BI380" s="419"/>
      <c r="BJ380" s="419"/>
      <c r="BK380" s="419"/>
      <c r="BL380" s="419"/>
      <c r="BM380" s="419"/>
      <c r="BN380" s="419"/>
      <c r="BO380" s="246"/>
      <c r="BP380" s="386"/>
      <c r="BQ380" s="386"/>
      <c r="BR380" s="386"/>
      <c r="BS380" s="386"/>
      <c r="BT380" s="386"/>
      <c r="BU380" s="386"/>
      <c r="BV380" s="386"/>
      <c r="BW380" s="386"/>
      <c r="BX380" s="386"/>
      <c r="BY380" s="259"/>
      <c r="CB380" s="246"/>
      <c r="CC380" s="334"/>
      <c r="CD380" s="259"/>
      <c r="CE380" s="259"/>
      <c r="CF380" s="246"/>
      <c r="CG380" s="246"/>
      <c r="CH380" s="334"/>
      <c r="CI380" s="334"/>
      <c r="CJ380" s="14"/>
      <c r="CK380" s="334"/>
      <c r="CP380" s="27"/>
      <c r="CQ380" s="27"/>
      <c r="CR380" s="157"/>
      <c r="CS380" s="157"/>
      <c r="CT380" s="157"/>
      <c r="CU380" s="27"/>
      <c r="CV380" s="27"/>
      <c r="CW380" s="27"/>
      <c r="CX380" s="27"/>
      <c r="CY380" s="27"/>
      <c r="CZ380" s="27"/>
      <c r="DA380" s="27"/>
      <c r="DB380" s="27"/>
      <c r="DC380" s="27"/>
    </row>
    <row r="381" spans="1:107" ht="15.05" hidden="1" customHeight="1">
      <c r="A381" s="108"/>
      <c r="B381" s="293">
        <f t="shared" si="42"/>
        <v>19.200000000000003</v>
      </c>
      <c r="C381" s="1022">
        <f t="shared" si="13"/>
        <v>2.7257614155491572</v>
      </c>
      <c r="D381" s="1022">
        <f t="shared" si="14"/>
        <v>128.33473894068254</v>
      </c>
      <c r="E381" s="1022">
        <f t="shared" si="15"/>
        <v>8.3820303822028528</v>
      </c>
      <c r="F381" s="1022">
        <f t="shared" si="16"/>
        <v>9.3547053822028534</v>
      </c>
      <c r="G381" s="1086">
        <f t="shared" si="17"/>
        <v>325.19106842378312</v>
      </c>
      <c r="H381" s="1022">
        <f t="shared" si="18"/>
        <v>291.37864894546709</v>
      </c>
      <c r="I381" s="1087">
        <f t="shared" si="40"/>
        <v>476.85421994884911</v>
      </c>
      <c r="J381" s="1088">
        <f t="shared" si="19"/>
        <v>2.8534330750333829</v>
      </c>
      <c r="K381" s="1088">
        <f t="shared" si="20"/>
        <v>2.815513698620979</v>
      </c>
      <c r="L381" s="1088">
        <f t="shared" si="21"/>
        <v>2.8881252704745179</v>
      </c>
      <c r="M381" s="1088">
        <f t="shared" si="22"/>
        <v>16.962694203984963</v>
      </c>
      <c r="N381" s="1088">
        <f t="shared" si="23"/>
        <v>15.535977666468272</v>
      </c>
      <c r="O381" s="495">
        <f t="shared" si="24"/>
        <v>15.554937354674474</v>
      </c>
      <c r="P381" s="495">
        <f t="shared" si="25"/>
        <v>15.518631568747704</v>
      </c>
      <c r="Q381" s="495">
        <f t="shared" si="26"/>
        <v>13.754900065642275</v>
      </c>
      <c r="R381" s="495">
        <f t="shared" si="27"/>
        <v>17.237803156935911</v>
      </c>
      <c r="S381" s="430">
        <f t="shared" si="28"/>
        <v>19.200000000000003</v>
      </c>
      <c r="T381" s="384">
        <f t="shared" si="29"/>
        <v>0.28485085289400791</v>
      </c>
      <c r="U381" s="384">
        <f t="shared" si="30"/>
        <v>45.576136463041266</v>
      </c>
      <c r="V381" s="384">
        <f t="shared" si="31"/>
        <v>5.3845437331389414</v>
      </c>
      <c r="W381" s="495">
        <f t="shared" si="32"/>
        <v>11.143005419518202</v>
      </c>
      <c r="X381" s="495">
        <f t="shared" si="33"/>
        <v>9.7162888820015105</v>
      </c>
      <c r="Y381" s="495">
        <f t="shared" si="34"/>
        <v>9.7352485702077125</v>
      </c>
      <c r="Z381" s="495">
        <f t="shared" si="35"/>
        <v>9.698942784280943</v>
      </c>
      <c r="AA381" s="495">
        <f t="shared" si="36"/>
        <v>9.5288332029517822</v>
      </c>
      <c r="AB381" s="495">
        <f t="shared" si="37"/>
        <v>9.8712469684303876</v>
      </c>
      <c r="AC381" s="383">
        <f t="shared" si="38"/>
        <v>8.7367292682595696</v>
      </c>
      <c r="AD381" s="495">
        <f t="shared" si="39"/>
        <v>10.603227804863231</v>
      </c>
      <c r="AE381" s="419"/>
      <c r="AF381" s="419"/>
      <c r="AG381" s="22"/>
      <c r="AH381" s="419"/>
      <c r="AI381" s="419"/>
      <c r="AJ381" s="419"/>
      <c r="AK381" s="419"/>
      <c r="AL381" s="419"/>
      <c r="AM381" s="419"/>
      <c r="AN381" s="419"/>
      <c r="AO381" s="419"/>
      <c r="AP381" s="419"/>
      <c r="AQ381" s="419"/>
      <c r="AR381" s="419"/>
      <c r="AS381" s="419"/>
      <c r="AT381" s="419"/>
      <c r="AU381" s="419"/>
      <c r="AV381" s="419"/>
      <c r="AW381" s="419"/>
      <c r="AX381" s="419"/>
      <c r="AY381" s="419"/>
      <c r="AZ381" s="419"/>
      <c r="BA381" s="419"/>
      <c r="BB381" s="419"/>
      <c r="BC381" s="419"/>
      <c r="BD381" s="419"/>
      <c r="BF381" s="419"/>
      <c r="BG381" s="419"/>
      <c r="BH381" s="419"/>
      <c r="BI381" s="419"/>
      <c r="BJ381" s="419"/>
      <c r="BK381" s="419"/>
      <c r="BL381" s="419"/>
      <c r="BM381" s="419"/>
      <c r="BN381" s="419"/>
      <c r="BO381" s="246"/>
      <c r="BP381" s="386"/>
      <c r="BQ381" s="386"/>
      <c r="BR381" s="386"/>
      <c r="BS381" s="386"/>
      <c r="BT381" s="386"/>
      <c r="BU381" s="386"/>
      <c r="BV381" s="386"/>
      <c r="BW381" s="386"/>
      <c r="BX381" s="386"/>
      <c r="BY381" s="259"/>
      <c r="CB381" s="246"/>
      <c r="CC381" s="334"/>
      <c r="CD381" s="259"/>
      <c r="CE381" s="259"/>
      <c r="CF381" s="246"/>
      <c r="CG381" s="246"/>
      <c r="CH381" s="334"/>
      <c r="CI381" s="334"/>
      <c r="CJ381" s="14"/>
      <c r="CK381" s="334"/>
      <c r="CP381" s="27"/>
      <c r="CQ381" s="27"/>
      <c r="CR381" s="157"/>
      <c r="CS381" s="157"/>
      <c r="CT381" s="157"/>
      <c r="CU381" s="27"/>
      <c r="CV381" s="27"/>
      <c r="CW381" s="27"/>
      <c r="CX381" s="27"/>
      <c r="CY381" s="27"/>
      <c r="CZ381" s="27"/>
      <c r="DA381" s="27"/>
      <c r="DB381" s="27"/>
      <c r="DC381" s="27"/>
    </row>
    <row r="382" spans="1:107" ht="15.05" hidden="1" customHeight="1">
      <c r="A382" s="108"/>
      <c r="B382" s="293">
        <f t="shared" si="42"/>
        <v>20.480000000000004</v>
      </c>
      <c r="C382" s="1022">
        <f t="shared" si="13"/>
        <v>2.8987725190429172</v>
      </c>
      <c r="D382" s="1022">
        <f t="shared" si="14"/>
        <v>148.55633959502202</v>
      </c>
      <c r="E382" s="1022">
        <f t="shared" si="15"/>
        <v>8.8191202803464019</v>
      </c>
      <c r="F382" s="1022">
        <f t="shared" si="16"/>
        <v>9.7917952803464008</v>
      </c>
      <c r="G382" s="1086">
        <f t="shared" si="17"/>
        <v>328.69179996364187</v>
      </c>
      <c r="H382" s="1022">
        <f t="shared" si="18"/>
        <v>296.0409645063952</v>
      </c>
      <c r="I382" s="1087">
        <f t="shared" si="40"/>
        <v>476.85421994884911</v>
      </c>
      <c r="J382" s="1088">
        <f t="shared" si="19"/>
        <v>2.6831280228728516</v>
      </c>
      <c r="K382" s="1088">
        <f t="shared" si="20"/>
        <v>2.6474718365223819</v>
      </c>
      <c r="L382" s="1088">
        <f t="shared" si="21"/>
        <v>2.7157496401722176</v>
      </c>
      <c r="M382" s="1088">
        <f t="shared" si="22"/>
        <v>16.121995580293127</v>
      </c>
      <c r="N382" s="1088">
        <f t="shared" si="23"/>
        <v>14.780431568856702</v>
      </c>
      <c r="O382" s="495">
        <f t="shared" si="24"/>
        <v>14.798259662031937</v>
      </c>
      <c r="P382" s="495">
        <f t="shared" si="25"/>
        <v>14.764120760207019</v>
      </c>
      <c r="Q382" s="495">
        <f t="shared" si="26"/>
        <v>13.162630777819762</v>
      </c>
      <c r="R382" s="495">
        <f t="shared" si="27"/>
        <v>16.311009872390663</v>
      </c>
      <c r="S382" s="430">
        <f t="shared" si="28"/>
        <v>20.480000000000004</v>
      </c>
      <c r="T382" s="384">
        <f t="shared" si="29"/>
        <v>0.32409697040384905</v>
      </c>
      <c r="U382" s="384">
        <f t="shared" si="30"/>
        <v>51.855515264615846</v>
      </c>
      <c r="V382" s="384">
        <f t="shared" si="31"/>
        <v>5.3961919808158623</v>
      </c>
      <c r="W382" s="495">
        <f t="shared" si="32"/>
        <v>11.118952070887676</v>
      </c>
      <c r="X382" s="495">
        <f t="shared" si="33"/>
        <v>9.7773880594512512</v>
      </c>
      <c r="Y382" s="495">
        <f t="shared" si="34"/>
        <v>9.7952161526264856</v>
      </c>
      <c r="Z382" s="495">
        <f t="shared" si="35"/>
        <v>9.7610772508015682</v>
      </c>
      <c r="AA382" s="495">
        <f t="shared" si="36"/>
        <v>9.5916956939721505</v>
      </c>
      <c r="AB382" s="495">
        <f t="shared" si="37"/>
        <v>9.9306244834791837</v>
      </c>
      <c r="AC382" s="383">
        <f t="shared" si="38"/>
        <v>8.8044812394612197</v>
      </c>
      <c r="AD382" s="495">
        <f t="shared" si="39"/>
        <v>10.657884140761158</v>
      </c>
      <c r="AE382" s="419"/>
      <c r="AF382" s="419"/>
      <c r="AG382" s="22"/>
      <c r="AH382" s="419"/>
      <c r="AI382" s="419"/>
      <c r="AJ382" s="419"/>
      <c r="AK382" s="419"/>
      <c r="AL382" s="419"/>
      <c r="AM382" s="419"/>
      <c r="AN382" s="419"/>
      <c r="AO382" s="419"/>
      <c r="AP382" s="419"/>
      <c r="AQ382" s="419"/>
      <c r="AR382" s="419"/>
      <c r="AS382" s="419"/>
      <c r="AT382" s="419"/>
      <c r="AU382" s="419"/>
      <c r="AV382" s="419"/>
      <c r="AW382" s="419"/>
      <c r="AX382" s="419"/>
      <c r="AY382" s="419"/>
      <c r="AZ382" s="419"/>
      <c r="BA382" s="419"/>
      <c r="BB382" s="419"/>
      <c r="BC382" s="419"/>
      <c r="BD382" s="419"/>
      <c r="BF382" s="419"/>
      <c r="BG382" s="419"/>
      <c r="BH382" s="419"/>
      <c r="BI382" s="419"/>
      <c r="BJ382" s="419"/>
      <c r="BK382" s="419"/>
      <c r="BL382" s="419"/>
      <c r="BM382" s="419"/>
      <c r="BN382" s="419"/>
      <c r="BO382" s="246"/>
      <c r="BP382" s="386"/>
      <c r="BQ382" s="386"/>
      <c r="BR382" s="386"/>
      <c r="BS382" s="386"/>
      <c r="BT382" s="386"/>
      <c r="BU382" s="386"/>
      <c r="BV382" s="386"/>
      <c r="BW382" s="386"/>
      <c r="BX382" s="386"/>
      <c r="BY382" s="259"/>
      <c r="CB382" s="246"/>
      <c r="CC382" s="334"/>
      <c r="CD382" s="259"/>
      <c r="CE382" s="259"/>
      <c r="CF382" s="246"/>
      <c r="CG382" s="246"/>
      <c r="CH382" s="334"/>
      <c r="CI382" s="334"/>
      <c r="CJ382" s="14"/>
      <c r="CK382" s="334"/>
      <c r="CP382" s="27"/>
      <c r="CQ382" s="27"/>
      <c r="CR382" s="157"/>
      <c r="CS382" s="157"/>
      <c r="CT382" s="157"/>
      <c r="CU382" s="27"/>
      <c r="CV382" s="27"/>
      <c r="CW382" s="27"/>
      <c r="CX382" s="27"/>
      <c r="CY382" s="27"/>
      <c r="CZ382" s="27"/>
      <c r="DA382" s="27"/>
      <c r="DB382" s="27"/>
      <c r="DC382" s="27"/>
    </row>
    <row r="383" spans="1:107" ht="15.05" hidden="1" customHeight="1">
      <c r="A383" s="108"/>
      <c r="B383" s="293">
        <f t="shared" si="42"/>
        <v>21.760000000000005</v>
      </c>
      <c r="C383" s="1022">
        <f t="shared" si="13"/>
        <v>3.1425129064294954</v>
      </c>
      <c r="D383" s="1022">
        <f t="shared" si="14"/>
        <v>170.53952234191701</v>
      </c>
      <c r="E383" s="1022">
        <f t="shared" si="15"/>
        <v>9.2942867754205363</v>
      </c>
      <c r="F383" s="1022">
        <f t="shared" si="16"/>
        <v>10.266961775420537</v>
      </c>
      <c r="G383" s="1086">
        <f t="shared" si="17"/>
        <v>338.11232452393392</v>
      </c>
      <c r="H383" s="1022">
        <f t="shared" si="18"/>
        <v>306.08012138048286</v>
      </c>
      <c r="I383" s="1087">
        <f t="shared" si="40"/>
        <v>476.85421994884911</v>
      </c>
      <c r="J383" s="1088">
        <f t="shared" si="19"/>
        <v>2.4750185629674446</v>
      </c>
      <c r="K383" s="1088">
        <f t="shared" si="20"/>
        <v>2.4421279508349869</v>
      </c>
      <c r="L383" s="1088">
        <f t="shared" si="21"/>
        <v>2.5051099740673526</v>
      </c>
      <c r="M383" s="1088">
        <f t="shared" si="22"/>
        <v>15.29776534955098</v>
      </c>
      <c r="N383" s="1088">
        <f t="shared" si="23"/>
        <v>14.060256068067257</v>
      </c>
      <c r="O383" s="495">
        <f t="shared" si="24"/>
        <v>14.076701374133487</v>
      </c>
      <c r="P383" s="495">
        <f t="shared" si="25"/>
        <v>14.045210362517304</v>
      </c>
      <c r="Q383" s="495">
        <f t="shared" si="26"/>
        <v>12.59592534160711</v>
      </c>
      <c r="R383" s="495">
        <f t="shared" si="27"/>
        <v>15.432225484022229</v>
      </c>
      <c r="S383" s="430">
        <f t="shared" si="28"/>
        <v>21.760000000000005</v>
      </c>
      <c r="T383" s="384">
        <f t="shared" si="29"/>
        <v>0.36587509549497021</v>
      </c>
      <c r="U383" s="384">
        <f t="shared" si="30"/>
        <v>58.540015279195231</v>
      </c>
      <c r="V383" s="384">
        <f t="shared" si="31"/>
        <v>5.4085917283429064</v>
      </c>
      <c r="W383" s="495">
        <f t="shared" si="32"/>
        <v>11.093460740543437</v>
      </c>
      <c r="X383" s="495">
        <f t="shared" si="33"/>
        <v>9.8559514590597139</v>
      </c>
      <c r="Y383" s="495">
        <f t="shared" si="34"/>
        <v>9.8723967651259432</v>
      </c>
      <c r="Z383" s="495">
        <f t="shared" si="35"/>
        <v>9.8409057535097606</v>
      </c>
      <c r="AA383" s="495">
        <f t="shared" si="36"/>
        <v>9.6722940666673676</v>
      </c>
      <c r="AB383" s="495">
        <f t="shared" si="37"/>
        <v>10.007181169766971</v>
      </c>
      <c r="AC383" s="383">
        <f t="shared" si="38"/>
        <v>8.8908006701037863</v>
      </c>
      <c r="AD383" s="495">
        <f t="shared" si="39"/>
        <v>10.728911884618142</v>
      </c>
      <c r="AE383" s="419"/>
      <c r="AF383" s="419"/>
      <c r="AG383" s="22"/>
      <c r="AH383" s="419"/>
      <c r="AI383" s="419"/>
      <c r="AJ383" s="419"/>
      <c r="AK383" s="419"/>
      <c r="AL383" s="419"/>
      <c r="AM383" s="419"/>
      <c r="AN383" s="419"/>
      <c r="AO383" s="419"/>
      <c r="AP383" s="419"/>
      <c r="AQ383" s="419"/>
      <c r="AR383" s="419"/>
      <c r="AS383" s="419"/>
      <c r="AT383" s="419"/>
      <c r="AU383" s="419"/>
      <c r="AV383" s="419"/>
      <c r="AW383" s="419"/>
      <c r="AX383" s="419"/>
      <c r="AY383" s="419"/>
      <c r="AZ383" s="419"/>
      <c r="BA383" s="419"/>
      <c r="BB383" s="419"/>
      <c r="BC383" s="419"/>
      <c r="BD383" s="419"/>
      <c r="BF383" s="419"/>
      <c r="BG383" s="419"/>
      <c r="BH383" s="419"/>
      <c r="BI383" s="419"/>
      <c r="BJ383" s="419"/>
      <c r="BK383" s="419"/>
      <c r="BL383" s="419"/>
      <c r="BM383" s="419"/>
      <c r="BN383" s="419"/>
      <c r="BO383" s="246"/>
      <c r="BP383" s="386"/>
      <c r="BQ383" s="386"/>
      <c r="BR383" s="386"/>
      <c r="BS383" s="386"/>
      <c r="BT383" s="386"/>
      <c r="BU383" s="386"/>
      <c r="BV383" s="386"/>
      <c r="BW383" s="386"/>
      <c r="BX383" s="386"/>
      <c r="BY383" s="259"/>
      <c r="CB383" s="246"/>
      <c r="CC383" s="334"/>
      <c r="CD383" s="259"/>
      <c r="CE383" s="259"/>
      <c r="CF383" s="246"/>
      <c r="CG383" s="246"/>
      <c r="CH383" s="334"/>
      <c r="CI383" s="334"/>
      <c r="CJ383" s="14"/>
      <c r="CK383" s="334"/>
      <c r="CP383" s="27"/>
      <c r="CQ383" s="27"/>
      <c r="CR383" s="157"/>
      <c r="CS383" s="157"/>
      <c r="CT383" s="157"/>
      <c r="CU383" s="27"/>
      <c r="CV383" s="27"/>
      <c r="CW383" s="27"/>
      <c r="CX383" s="27"/>
      <c r="CY383" s="27"/>
      <c r="CZ383" s="27"/>
      <c r="DA383" s="27"/>
      <c r="DB383" s="27"/>
      <c r="DC383" s="27"/>
    </row>
    <row r="384" spans="1:107" ht="15.05" hidden="1" customHeight="1">
      <c r="A384" s="108"/>
      <c r="B384" s="293">
        <f t="shared" si="42"/>
        <v>23.040000000000006</v>
      </c>
      <c r="C384" s="1022">
        <f t="shared" si="13"/>
        <v>3.4646717263224813</v>
      </c>
      <c r="D384" s="1022">
        <f t="shared" si="14"/>
        <v>194.33781773852544</v>
      </c>
      <c r="E384" s="1022">
        <f t="shared" si="15"/>
        <v>9.8086869304182294</v>
      </c>
      <c r="F384" s="1022">
        <f t="shared" si="16"/>
        <v>10.781361930418228</v>
      </c>
      <c r="G384" s="1086">
        <f t="shared" si="17"/>
        <v>353.22482518817151</v>
      </c>
      <c r="H384" s="1022">
        <f t="shared" si="18"/>
        <v>321.35751945654982</v>
      </c>
      <c r="I384" s="1087">
        <f t="shared" si="40"/>
        <v>476.85421994884911</v>
      </c>
      <c r="J384" s="1088">
        <f t="shared" si="19"/>
        <v>2.2448815911438085</v>
      </c>
      <c r="K384" s="1088">
        <f t="shared" si="20"/>
        <v>2.2150492776402362</v>
      </c>
      <c r="L384" s="1088">
        <f t="shared" si="21"/>
        <v>2.2721749843492041</v>
      </c>
      <c r="M384" s="1088">
        <f t="shared" si="22"/>
        <v>14.495499671917427</v>
      </c>
      <c r="N384" s="1088">
        <f t="shared" si="23"/>
        <v>13.373058876345523</v>
      </c>
      <c r="O384" s="495">
        <f t="shared" si="24"/>
        <v>13.387975033097309</v>
      </c>
      <c r="P384" s="495">
        <f t="shared" si="25"/>
        <v>13.359412179742826</v>
      </c>
      <c r="Q384" s="495">
        <f t="shared" si="26"/>
        <v>12.051654381203237</v>
      </c>
      <c r="R384" s="495">
        <f t="shared" si="27"/>
        <v>14.599421312294691</v>
      </c>
      <c r="S384" s="430">
        <f t="shared" si="28"/>
        <v>23.040000000000006</v>
      </c>
      <c r="T384" s="384">
        <f t="shared" si="29"/>
        <v>0.41018522816737157</v>
      </c>
      <c r="U384" s="384">
        <f t="shared" si="30"/>
        <v>65.629636506779448</v>
      </c>
      <c r="V384" s="384">
        <f t="shared" si="31"/>
        <v>5.4217429757200764</v>
      </c>
      <c r="W384" s="495">
        <f t="shared" si="32"/>
        <v>11.066551894601982</v>
      </c>
      <c r="X384" s="495">
        <f t="shared" si="33"/>
        <v>9.9441110990300778</v>
      </c>
      <c r="Y384" s="495">
        <f t="shared" si="34"/>
        <v>9.959027255781864</v>
      </c>
      <c r="Z384" s="495">
        <f t="shared" si="35"/>
        <v>9.9304644024273809</v>
      </c>
      <c r="AA384" s="495">
        <f t="shared" si="36"/>
        <v>9.7626635227027112</v>
      </c>
      <c r="AB384" s="495">
        <f t="shared" si="37"/>
        <v>10.093154621134513</v>
      </c>
      <c r="AC384" s="383">
        <f t="shared" si="38"/>
        <v>8.9874135098867605</v>
      </c>
      <c r="AD384" s="495">
        <f t="shared" si="39"/>
        <v>10.808850102145096</v>
      </c>
      <c r="AE384" s="419"/>
      <c r="AF384" s="419"/>
      <c r="AG384" s="22"/>
      <c r="AH384" s="419"/>
      <c r="AI384" s="419"/>
      <c r="AJ384" s="419"/>
      <c r="AK384" s="419"/>
      <c r="AL384" s="419"/>
      <c r="AM384" s="419"/>
      <c r="AN384" s="419"/>
      <c r="AO384" s="419"/>
      <c r="AP384" s="419"/>
      <c r="AQ384" s="419"/>
      <c r="AR384" s="419"/>
      <c r="AS384" s="419"/>
      <c r="AT384" s="419"/>
      <c r="AU384" s="419"/>
      <c r="AV384" s="419"/>
      <c r="AW384" s="419"/>
      <c r="AX384" s="419"/>
      <c r="AY384" s="419"/>
      <c r="AZ384" s="419"/>
      <c r="BA384" s="419"/>
      <c r="BB384" s="419"/>
      <c r="BC384" s="419"/>
      <c r="BD384" s="419"/>
      <c r="BF384" s="419"/>
      <c r="BG384" s="419"/>
      <c r="BH384" s="419"/>
      <c r="BI384" s="419"/>
      <c r="BJ384" s="419"/>
      <c r="BK384" s="419"/>
      <c r="BL384" s="419"/>
      <c r="BM384" s="419"/>
      <c r="BN384" s="419"/>
      <c r="BO384" s="246"/>
      <c r="BP384" s="386"/>
      <c r="BQ384" s="386"/>
      <c r="BR384" s="386"/>
      <c r="BS384" s="386"/>
      <c r="BT384" s="386"/>
      <c r="BU384" s="386"/>
      <c r="BV384" s="386"/>
      <c r="BW384" s="386"/>
      <c r="BX384" s="386"/>
      <c r="BY384" s="259"/>
      <c r="CB384" s="246"/>
      <c r="CC384" s="334"/>
      <c r="CD384" s="259"/>
      <c r="CE384" s="259"/>
      <c r="CF384" s="246"/>
      <c r="CG384" s="246"/>
      <c r="CH384" s="334"/>
      <c r="CI384" s="334"/>
      <c r="CJ384" s="14"/>
      <c r="CK384" s="334"/>
      <c r="CP384" s="27"/>
      <c r="CQ384" s="27"/>
      <c r="CR384" s="157"/>
      <c r="CS384" s="157"/>
      <c r="CT384" s="157"/>
      <c r="CU384" s="27"/>
      <c r="CV384" s="27"/>
      <c r="CW384" s="27"/>
      <c r="CX384" s="27"/>
      <c r="CY384" s="27"/>
      <c r="CZ384" s="27"/>
      <c r="DA384" s="27"/>
      <c r="DB384" s="27"/>
      <c r="DC384" s="27"/>
    </row>
    <row r="385" spans="1:107" ht="15.05" hidden="1" customHeight="1">
      <c r="A385" s="108"/>
      <c r="B385" s="293">
        <f t="shared" si="42"/>
        <v>24.320000000000007</v>
      </c>
      <c r="C385" s="1022">
        <f t="shared" si="13"/>
        <v>3.872938127335475</v>
      </c>
      <c r="D385" s="1022">
        <f t="shared" si="14"/>
        <v>220.00475634200518</v>
      </c>
      <c r="E385" s="1022">
        <f t="shared" si="15"/>
        <v>10.363477808332442</v>
      </c>
      <c r="F385" s="1022">
        <f t="shared" si="16"/>
        <v>11.336152808332441</v>
      </c>
      <c r="G385" s="1086">
        <f t="shared" si="17"/>
        <v>373.71027361312588</v>
      </c>
      <c r="H385" s="1022">
        <f t="shared" si="18"/>
        <v>341.64484131589506</v>
      </c>
      <c r="I385" s="1087">
        <f t="shared" si="40"/>
        <v>476.85421994884911</v>
      </c>
      <c r="J385" s="1088">
        <f t="shared" si="19"/>
        <v>2.0082370340186086</v>
      </c>
      <c r="K385" s="1088">
        <f t="shared" si="20"/>
        <v>1.9815494986828128</v>
      </c>
      <c r="L385" s="1088">
        <f t="shared" si="21"/>
        <v>2.0326532897513574</v>
      </c>
      <c r="M385" s="1088">
        <f t="shared" si="22"/>
        <v>13.719508143058034</v>
      </c>
      <c r="N385" s="1088">
        <f t="shared" si="23"/>
        <v>12.715389626048729</v>
      </c>
      <c r="O385" s="495">
        <f t="shared" si="24"/>
        <v>12.728733393716627</v>
      </c>
      <c r="P385" s="495">
        <f t="shared" si="25"/>
        <v>12.703181498182355</v>
      </c>
      <c r="Q385" s="495">
        <f t="shared" si="26"/>
        <v>11.526007653697812</v>
      </c>
      <c r="R385" s="495">
        <f t="shared" si="27"/>
        <v>13.80911248009299</v>
      </c>
      <c r="S385" s="430">
        <f t="shared" si="28"/>
        <v>24.320000000000007</v>
      </c>
      <c r="T385" s="384">
        <f t="shared" si="29"/>
        <v>0.4570273684210529</v>
      </c>
      <c r="U385" s="384">
        <f t="shared" si="30"/>
        <v>73.12437894736847</v>
      </c>
      <c r="V385" s="384">
        <f t="shared" si="31"/>
        <v>5.4356457229473687</v>
      </c>
      <c r="W385" s="495">
        <f t="shared" si="32"/>
        <v>11.038246982635618</v>
      </c>
      <c r="X385" s="495">
        <f t="shared" si="33"/>
        <v>10.034128465626313</v>
      </c>
      <c r="Y385" s="495">
        <f t="shared" si="34"/>
        <v>10.047472233294211</v>
      </c>
      <c r="Z385" s="495">
        <f t="shared" si="35"/>
        <v>10.021920337759939</v>
      </c>
      <c r="AA385" s="495">
        <f t="shared" si="36"/>
        <v>9.8549702540184398</v>
      </c>
      <c r="AB385" s="495">
        <f t="shared" si="37"/>
        <v>10.180910224639689</v>
      </c>
      <c r="AC385" s="383">
        <f t="shared" si="38"/>
        <v>9.0861816510836686</v>
      </c>
      <c r="AD385" s="495">
        <f t="shared" si="39"/>
        <v>10.890360823795994</v>
      </c>
      <c r="AE385" s="419"/>
      <c r="AF385" s="419"/>
      <c r="AG385" s="22"/>
      <c r="AH385" s="419"/>
      <c r="AI385" s="419"/>
      <c r="AJ385" s="419"/>
      <c r="AK385" s="419"/>
      <c r="AL385" s="419"/>
      <c r="AM385" s="419"/>
      <c r="AN385" s="419"/>
      <c r="AO385" s="419"/>
      <c r="AP385" s="419"/>
      <c r="AQ385" s="419"/>
      <c r="AR385" s="419"/>
      <c r="AS385" s="419"/>
      <c r="AT385" s="419"/>
      <c r="AU385" s="419"/>
      <c r="AV385" s="419"/>
      <c r="AW385" s="419"/>
      <c r="AX385" s="419"/>
      <c r="AY385" s="419"/>
      <c r="AZ385" s="419"/>
      <c r="BA385" s="419"/>
      <c r="BB385" s="419"/>
      <c r="BC385" s="419"/>
      <c r="BD385" s="419"/>
      <c r="BF385" s="419"/>
      <c r="BG385" s="419"/>
      <c r="BH385" s="419"/>
      <c r="BI385" s="419"/>
      <c r="BJ385" s="419"/>
      <c r="BK385" s="419"/>
      <c r="BL385" s="419"/>
      <c r="BM385" s="419"/>
      <c r="BN385" s="419"/>
      <c r="BO385" s="246"/>
      <c r="BP385" s="386"/>
      <c r="BQ385" s="386"/>
      <c r="BR385" s="386"/>
      <c r="BS385" s="386"/>
      <c r="BT385" s="386"/>
      <c r="BU385" s="386"/>
      <c r="BV385" s="386"/>
      <c r="BW385" s="386"/>
      <c r="BX385" s="386"/>
      <c r="BY385" s="259"/>
      <c r="CB385" s="246"/>
      <c r="CC385" s="334"/>
      <c r="CD385" s="259"/>
      <c r="CE385" s="259"/>
      <c r="CF385" s="246"/>
      <c r="CG385" s="246"/>
      <c r="CH385" s="334"/>
      <c r="CI385" s="334"/>
      <c r="CJ385" s="14"/>
      <c r="CK385" s="334"/>
      <c r="CP385" s="27"/>
      <c r="CQ385" s="27"/>
      <c r="CR385" s="157"/>
      <c r="CS385" s="157"/>
      <c r="CT385" s="157"/>
      <c r="CU385" s="27"/>
      <c r="CV385" s="27"/>
      <c r="CW385" s="27"/>
      <c r="CX385" s="27"/>
      <c r="CY385" s="27"/>
      <c r="CZ385" s="27"/>
      <c r="DA385" s="27"/>
      <c r="DB385" s="27"/>
      <c r="DC385" s="27"/>
    </row>
    <row r="386" spans="1:107" ht="15.05" hidden="1" customHeight="1">
      <c r="A386" s="108"/>
      <c r="B386" s="293">
        <f t="shared" si="42"/>
        <v>25.600000000000009</v>
      </c>
      <c r="C386" s="1022">
        <f t="shared" si="13"/>
        <v>4.3750012580820625</v>
      </c>
      <c r="D386" s="1022">
        <f t="shared" si="14"/>
        <v>247.59386870951408</v>
      </c>
      <c r="E386" s="1022">
        <f t="shared" si="15"/>
        <v>10.959816472156147</v>
      </c>
      <c r="F386" s="1022">
        <f t="shared" si="16"/>
        <v>11.932491472156148</v>
      </c>
      <c r="G386" s="1086">
        <f t="shared" si="17"/>
        <v>399.18563136498943</v>
      </c>
      <c r="H386" s="1022">
        <f t="shared" si="18"/>
        <v>366.64608294846909</v>
      </c>
      <c r="I386" s="1087">
        <f t="shared" si="40"/>
        <v>476.85421994884911</v>
      </c>
      <c r="J386" s="1088">
        <f t="shared" si="19"/>
        <v>1.7777772665572773</v>
      </c>
      <c r="K386" s="1088">
        <f t="shared" si="20"/>
        <v>1.7541523194933932</v>
      </c>
      <c r="L386" s="1088">
        <f t="shared" si="21"/>
        <v>1.7993915798284903</v>
      </c>
      <c r="M386" s="1088">
        <f t="shared" si="22"/>
        <v>12.973010865924334</v>
      </c>
      <c r="N386" s="1088">
        <f t="shared" si="23"/>
        <v>12.084122232645695</v>
      </c>
      <c r="O386" s="495">
        <f t="shared" si="24"/>
        <v>12.095934706177637</v>
      </c>
      <c r="P386" s="495">
        <f t="shared" si="25"/>
        <v>12.073315076010088</v>
      </c>
      <c r="Q386" s="495">
        <f t="shared" si="26"/>
        <v>11.015822315721289</v>
      </c>
      <c r="R386" s="495">
        <f t="shared" si="27"/>
        <v>13.057821080993648</v>
      </c>
      <c r="S386" s="430">
        <f t="shared" si="28"/>
        <v>25.600000000000009</v>
      </c>
      <c r="T386" s="384">
        <f t="shared" si="29"/>
        <v>0.50640151625601426</v>
      </c>
      <c r="U386" s="384">
        <f t="shared" si="30"/>
        <v>81.024242600962282</v>
      </c>
      <c r="V386" s="384">
        <f t="shared" si="31"/>
        <v>5.4502999700247852</v>
      </c>
      <c r="W386" s="495">
        <f t="shared" si="32"/>
        <v>11.008568396232171</v>
      </c>
      <c r="X386" s="495">
        <f t="shared" si="33"/>
        <v>10.119679762953533</v>
      </c>
      <c r="Y386" s="495">
        <f t="shared" si="34"/>
        <v>10.131492236485474</v>
      </c>
      <c r="Z386" s="495">
        <f t="shared" si="35"/>
        <v>10.108872606317926</v>
      </c>
      <c r="AA386" s="495">
        <f t="shared" si="36"/>
        <v>9.942812321638268</v>
      </c>
      <c r="AB386" s="495">
        <f t="shared" si="37"/>
        <v>10.264209328072152</v>
      </c>
      <c r="AC386" s="383">
        <f t="shared" si="38"/>
        <v>9.1804539835704428</v>
      </c>
      <c r="AD386" s="495">
        <f t="shared" si="39"/>
        <v>10.967448297510035</v>
      </c>
      <c r="AE386" s="419"/>
      <c r="AF386" s="419"/>
      <c r="AG386" s="22"/>
      <c r="AH386" s="419"/>
      <c r="AI386" s="419"/>
      <c r="AJ386" s="419"/>
      <c r="AK386" s="419"/>
      <c r="AL386" s="419"/>
      <c r="AM386" s="419"/>
      <c r="AN386" s="419"/>
      <c r="AO386" s="419"/>
      <c r="AP386" s="419"/>
      <c r="AQ386" s="419"/>
      <c r="AR386" s="419"/>
      <c r="AS386" s="419"/>
      <c r="AT386" s="419"/>
      <c r="AU386" s="419"/>
      <c r="AV386" s="419"/>
      <c r="AW386" s="419"/>
      <c r="AX386" s="419"/>
      <c r="AY386" s="419"/>
      <c r="AZ386" s="419"/>
      <c r="BA386" s="419"/>
      <c r="BB386" s="419"/>
      <c r="BC386" s="419"/>
      <c r="BD386" s="419"/>
      <c r="BF386" s="419"/>
      <c r="BG386" s="419"/>
      <c r="BH386" s="419"/>
      <c r="BI386" s="419"/>
      <c r="BJ386" s="419"/>
      <c r="BK386" s="419"/>
      <c r="BL386" s="419"/>
      <c r="BM386" s="419"/>
      <c r="BN386" s="419"/>
      <c r="BO386" s="246"/>
      <c r="BP386" s="386"/>
      <c r="BQ386" s="386"/>
      <c r="BR386" s="386"/>
      <c r="BS386" s="386"/>
      <c r="BT386" s="386"/>
      <c r="BU386" s="386"/>
      <c r="BV386" s="386"/>
      <c r="BW386" s="386"/>
      <c r="BX386" s="386"/>
      <c r="BY386" s="259"/>
      <c r="CB386" s="246"/>
      <c r="CC386" s="334"/>
      <c r="CD386" s="259"/>
      <c r="CE386" s="259"/>
      <c r="CF386" s="246"/>
      <c r="CG386" s="246"/>
      <c r="CH386" s="334"/>
      <c r="CI386" s="334"/>
      <c r="CJ386" s="14"/>
      <c r="CK386" s="334"/>
      <c r="CP386" s="27"/>
      <c r="CQ386" s="27"/>
      <c r="CR386" s="157"/>
      <c r="CS386" s="157"/>
      <c r="CT386" s="157"/>
      <c r="CU386" s="27"/>
      <c r="CV386" s="27"/>
      <c r="CW386" s="27"/>
      <c r="CX386" s="27"/>
      <c r="CY386" s="27"/>
      <c r="CZ386" s="27"/>
      <c r="DA386" s="27"/>
      <c r="DB386" s="27"/>
      <c r="DC386" s="27"/>
    </row>
    <row r="387" spans="1:107" ht="15.05" hidden="1" customHeight="1">
      <c r="A387" s="108"/>
      <c r="B387" s="1090">
        <v>8.5380322389110308</v>
      </c>
      <c r="C387" s="1022">
        <f t="shared" si="13"/>
        <v>3.0041855755827407</v>
      </c>
      <c r="D387" s="1022">
        <f t="shared" si="14"/>
        <v>21.182564648812658</v>
      </c>
      <c r="E387" s="1022">
        <f t="shared" si="15"/>
        <v>6.0659361348840859</v>
      </c>
      <c r="F387" s="1022">
        <f t="shared" si="16"/>
        <v>7.0386111348840856</v>
      </c>
      <c r="G387" s="1086">
        <f t="shared" si="17"/>
        <v>495.2550618372357</v>
      </c>
      <c r="H387" s="1022">
        <f t="shared" si="18"/>
        <v>426.81510855084548</v>
      </c>
      <c r="I387" s="1087">
        <f>I384</f>
        <v>476.85421994884911</v>
      </c>
      <c r="J387" s="1088">
        <f t="shared" si="19"/>
        <v>2.5889804681154138</v>
      </c>
      <c r="K387" s="1088">
        <f t="shared" si="20"/>
        <v>2.554575412060724</v>
      </c>
      <c r="L387" s="1088">
        <f t="shared" si="21"/>
        <v>2.6204574342931091</v>
      </c>
      <c r="M387" s="1088">
        <f t="shared" si="22"/>
        <v>23.439385944760719</v>
      </c>
      <c r="N387" s="1091">
        <f>M387-0.5*J387-$B387</f>
        <v>13.60686347179198</v>
      </c>
      <c r="O387" s="951"/>
      <c r="P387" s="951"/>
      <c r="Q387" s="951">
        <f>$C$465/($C$468*(1+0.00393*($D387+$C$807-20))*$C$573/($C$571+$C$573))-0.5*L387-$B387</f>
        <v>10.352005184111798</v>
      </c>
      <c r="R387" s="951"/>
      <c r="S387" s="430"/>
      <c r="T387" s="384">
        <f t="shared" si="29"/>
        <v>5.6328819203561122E-2</v>
      </c>
      <c r="U387" s="384">
        <f t="shared" si="30"/>
        <v>9.0126110725697792</v>
      </c>
      <c r="V387" s="384">
        <f t="shared" si="31"/>
        <v>5.3167183935396167</v>
      </c>
      <c r="W387" s="495">
        <f t="shared" si="32"/>
        <v>11.285156662219769</v>
      </c>
      <c r="X387" s="951">
        <f>W387-0.5*J387-$B387</f>
        <v>1.4526341892510324</v>
      </c>
      <c r="Y387" s="951"/>
      <c r="Z387" s="951"/>
      <c r="AA387" s="495">
        <f>$C$465/($C$482*(1+$C$491*10^-6*($C$807+U387-25)))-0.5*L387-$B387</f>
        <v>1.2624522402104361</v>
      </c>
      <c r="AB387" s="495"/>
      <c r="AC387" s="383">
        <f>$C$465/($C$482*(1+$C$491*10^-6*($C$807+U387-25)))*(1-$C$504*(1+$C$522))-0.5*L387*(1+$C$508*$C$522)-$B387</f>
        <v>0.46626083599219825</v>
      </c>
      <c r="AD387" s="495"/>
      <c r="AE387" s="419"/>
      <c r="AF387" s="419"/>
      <c r="AG387" s="22"/>
      <c r="AH387" s="419"/>
      <c r="AI387" s="419"/>
      <c r="AJ387" s="419"/>
      <c r="AK387" s="419"/>
      <c r="AL387" s="419"/>
      <c r="AM387" s="419"/>
      <c r="AN387" s="419"/>
      <c r="AO387" s="419"/>
      <c r="AP387" s="419"/>
      <c r="AQ387" s="419"/>
      <c r="AR387" s="419"/>
      <c r="AS387" s="419"/>
      <c r="AT387" s="419"/>
      <c r="AU387" s="419"/>
      <c r="AV387" s="419"/>
      <c r="AW387" s="419"/>
      <c r="AX387" s="419"/>
      <c r="AY387" s="419"/>
      <c r="AZ387" s="419"/>
      <c r="BA387" s="419"/>
      <c r="BB387" s="419"/>
      <c r="BC387" s="419"/>
      <c r="BD387" s="419"/>
      <c r="BF387" s="419"/>
      <c r="BG387" s="419"/>
      <c r="BH387" s="419"/>
      <c r="BI387" s="419"/>
      <c r="BJ387" s="419"/>
      <c r="BK387" s="419"/>
      <c r="BL387" s="419"/>
      <c r="BM387" s="419"/>
      <c r="BN387" s="419"/>
      <c r="BO387" s="246"/>
      <c r="BP387" s="386"/>
      <c r="BQ387" s="386"/>
      <c r="BR387" s="386"/>
      <c r="BS387" s="386"/>
      <c r="BT387" s="386"/>
      <c r="BU387" s="386"/>
      <c r="BV387" s="386"/>
      <c r="BW387" s="386"/>
      <c r="BX387" s="386"/>
      <c r="BY387" s="259"/>
      <c r="CB387" s="246"/>
      <c r="CC387" s="334"/>
      <c r="CD387" s="259"/>
      <c r="CE387" s="259"/>
      <c r="CF387" s="246"/>
      <c r="CG387" s="246"/>
      <c r="CH387" s="334"/>
      <c r="CI387" s="334"/>
      <c r="CJ387" s="14"/>
      <c r="CK387" s="334"/>
      <c r="CP387" s="27"/>
      <c r="CQ387" s="27"/>
      <c r="CR387" s="157"/>
      <c r="CS387" s="157"/>
      <c r="CT387" s="157"/>
      <c r="CU387" s="27"/>
      <c r="CV387" s="27"/>
      <c r="CW387" s="27"/>
      <c r="CX387" s="27"/>
      <c r="CY387" s="27"/>
      <c r="CZ387" s="27"/>
      <c r="DA387" s="27"/>
      <c r="DB387" s="27"/>
      <c r="DC387" s="27"/>
    </row>
    <row r="388" spans="1:107" ht="15.05" hidden="1" customHeight="1">
      <c r="A388" s="108"/>
      <c r="B388" s="1090">
        <v>10.912348432058769</v>
      </c>
      <c r="C388" s="1022">
        <f t="shared" si="13"/>
        <v>2.7914807916250477</v>
      </c>
      <c r="D388" s="1022">
        <f t="shared" si="14"/>
        <v>36.373612651779993</v>
      </c>
      <c r="E388" s="1022">
        <f t="shared" si="15"/>
        <v>6.3942906374682256</v>
      </c>
      <c r="F388" s="1022">
        <f t="shared" si="16"/>
        <v>7.3669656374682244</v>
      </c>
      <c r="G388" s="1086">
        <f t="shared" si="17"/>
        <v>436.55832208626583</v>
      </c>
      <c r="H388" s="1022">
        <f t="shared" si="18"/>
        <v>378.91866597390356</v>
      </c>
      <c r="I388" s="1087">
        <f>I385</f>
        <v>476.85421994884911</v>
      </c>
      <c r="J388" s="1088">
        <f t="shared" si="19"/>
        <v>2.7862551664738411</v>
      </c>
      <c r="K388" s="1088">
        <f t="shared" si="20"/>
        <v>2.749228519743292</v>
      </c>
      <c r="L388" s="1088">
        <f t="shared" si="21"/>
        <v>2.8201306092273226</v>
      </c>
      <c r="M388" s="1088">
        <f t="shared" si="22"/>
        <v>22.235745330167553</v>
      </c>
      <c r="N388" s="1092"/>
      <c r="O388" s="951">
        <f>M388-0.5*K388-$B388</f>
        <v>9.9487826382371392</v>
      </c>
      <c r="P388" s="951"/>
      <c r="Q388" s="951"/>
      <c r="R388" s="951">
        <f>$C$465/($C$468*(1+0.00393*($D388+$C$805-20))*$C$573/($C$571+$C$573))-0.5*K388-$B388</f>
        <v>12.932570599217245</v>
      </c>
      <c r="S388" s="430"/>
      <c r="T388" s="384">
        <f t="shared" si="29"/>
        <v>9.2013492638004651E-2</v>
      </c>
      <c r="U388" s="384">
        <f t="shared" si="30"/>
        <v>14.722158822080743</v>
      </c>
      <c r="V388" s="384">
        <f t="shared" si="31"/>
        <v>5.3273096046149595</v>
      </c>
      <c r="W388" s="495">
        <f t="shared" si="32"/>
        <v>11.262720670115174</v>
      </c>
      <c r="X388" s="951"/>
      <c r="Y388" s="951">
        <f>W388-0.5*K388-$B388</f>
        <v>-1.0242420218152404</v>
      </c>
      <c r="Z388" s="951"/>
      <c r="AA388" s="495"/>
      <c r="AB388" s="495">
        <f>$C$465/($C$482*(1+$C$491*10^-6*($C$805+U388-25)))-0.5*K388-$B388</f>
        <v>-0.88528749939854734</v>
      </c>
      <c r="AC388" s="383"/>
      <c r="AD388" s="495">
        <f>$C$465/($C$482*(1+$C$491*10^-6*($C$805+U388-25)))*(1+$C$500*(1-$C$522))-0.5*K388*(1-$C$508*$C$522)-$B388</f>
        <v>-0.14721432497982079</v>
      </c>
      <c r="AE388" s="419"/>
      <c r="AF388" s="419"/>
      <c r="AG388" s="22"/>
      <c r="AH388" s="419"/>
      <c r="AI388" s="419"/>
      <c r="AJ388" s="419"/>
      <c r="AK388" s="419"/>
      <c r="AL388" s="419"/>
      <c r="AM388" s="419"/>
      <c r="AN388" s="419"/>
      <c r="AO388" s="419"/>
      <c r="AP388" s="419"/>
      <c r="AQ388" s="419"/>
      <c r="AR388" s="419"/>
      <c r="AS388" s="419"/>
      <c r="AT388" s="419"/>
      <c r="AU388" s="419"/>
      <c r="AV388" s="419"/>
      <c r="AW388" s="419"/>
      <c r="AX388" s="419"/>
      <c r="AY388" s="419"/>
      <c r="AZ388" s="419"/>
      <c r="BA388" s="419"/>
      <c r="BB388" s="419"/>
      <c r="BC388" s="419"/>
      <c r="BD388" s="419"/>
      <c r="BF388" s="419"/>
      <c r="BG388" s="419"/>
      <c r="BH388" s="419"/>
      <c r="BI388" s="419"/>
      <c r="BJ388" s="419"/>
      <c r="BK388" s="419"/>
      <c r="BL388" s="419"/>
      <c r="BM388" s="419"/>
      <c r="BN388" s="419"/>
      <c r="BO388" s="246"/>
      <c r="BP388" s="386"/>
      <c r="BQ388" s="386"/>
      <c r="BR388" s="386"/>
      <c r="BS388" s="386"/>
      <c r="BT388" s="386"/>
      <c r="BU388" s="386"/>
      <c r="BV388" s="386"/>
      <c r="BW388" s="386"/>
      <c r="BX388" s="386"/>
      <c r="BY388" s="259"/>
      <c r="CB388" s="246"/>
      <c r="CC388" s="334"/>
      <c r="CD388" s="259"/>
      <c r="CE388" s="259"/>
      <c r="CF388" s="246"/>
      <c r="CG388" s="246"/>
      <c r="CH388" s="334"/>
      <c r="CI388" s="334"/>
      <c r="CJ388" s="14"/>
      <c r="CK388" s="334"/>
      <c r="CP388" s="27"/>
      <c r="CQ388" s="27"/>
      <c r="CR388" s="157"/>
      <c r="CS388" s="157"/>
      <c r="CT388" s="157"/>
      <c r="CU388" s="27"/>
      <c r="CV388" s="27"/>
      <c r="CW388" s="27"/>
      <c r="CX388" s="27"/>
      <c r="CY388" s="27"/>
      <c r="CZ388" s="27"/>
      <c r="DA388" s="27"/>
      <c r="DB388" s="27"/>
      <c r="DC388" s="27"/>
    </row>
    <row r="389" spans="1:107" ht="15.05" hidden="1" customHeight="1">
      <c r="A389" s="108"/>
      <c r="B389" s="1090">
        <v>9.3885368397843951</v>
      </c>
      <c r="C389" s="1022">
        <f t="shared" si="13"/>
        <v>2.9258372094841567</v>
      </c>
      <c r="D389" s="1022">
        <f t="shared" si="14"/>
        <v>26.107177411419979</v>
      </c>
      <c r="E389" s="1022">
        <f t="shared" si="15"/>
        <v>6.1723816397478419</v>
      </c>
      <c r="F389" s="1022">
        <f t="shared" si="16"/>
        <v>7.1450566397478434</v>
      </c>
      <c r="G389" s="1086">
        <f t="shared" si="17"/>
        <v>474.02078812542203</v>
      </c>
      <c r="H389" s="1022">
        <f t="shared" si="18"/>
        <v>409.49111490702091</v>
      </c>
      <c r="I389" s="1087">
        <f>I386</f>
        <v>476.85421994884911</v>
      </c>
      <c r="J389" s="1088">
        <f t="shared" si="19"/>
        <v>2.6583084501646108</v>
      </c>
      <c r="K389" s="1088">
        <f t="shared" si="20"/>
        <v>2.6229820920228883</v>
      </c>
      <c r="L389" s="1088">
        <f t="shared" si="21"/>
        <v>2.6906283097410801</v>
      </c>
      <c r="M389" s="1088">
        <f t="shared" si="22"/>
        <v>23.035163163959297</v>
      </c>
      <c r="N389" s="1092"/>
      <c r="O389" s="951"/>
      <c r="P389" s="951">
        <f>M389-0.5*L389-$B389</f>
        <v>12.301312169304362</v>
      </c>
      <c r="Q389" s="951"/>
      <c r="R389" s="951"/>
      <c r="S389" s="430"/>
      <c r="T389" s="384">
        <f t="shared" si="29"/>
        <v>6.8110002501463818E-2</v>
      </c>
      <c r="U389" s="384">
        <f t="shared" si="30"/>
        <v>10.897600400234211</v>
      </c>
      <c r="V389" s="384">
        <f t="shared" si="31"/>
        <v>5.3202150487424351</v>
      </c>
      <c r="W389" s="495">
        <f t="shared" si="32"/>
        <v>11.277739612082502</v>
      </c>
      <c r="X389" s="951"/>
      <c r="Y389" s="951"/>
      <c r="Z389" s="951">
        <f>W389-0.5*L389-$B389</f>
        <v>0.54388861742756767</v>
      </c>
      <c r="AA389" s="495"/>
      <c r="AB389" s="495"/>
      <c r="AC389" s="383"/>
      <c r="AD389" s="495"/>
      <c r="AE389" s="419"/>
      <c r="AF389" s="419"/>
      <c r="AG389" s="22"/>
      <c r="AH389" s="419"/>
      <c r="AI389" s="419"/>
      <c r="AJ389" s="419"/>
      <c r="AK389" s="419"/>
      <c r="AL389" s="419"/>
      <c r="AM389" s="419"/>
      <c r="AN389" s="419"/>
      <c r="AO389" s="419"/>
      <c r="AP389" s="419"/>
      <c r="AQ389" s="419"/>
      <c r="AR389" s="419"/>
      <c r="AS389" s="419"/>
      <c r="AT389" s="419"/>
      <c r="AU389" s="419"/>
      <c r="AV389" s="419"/>
      <c r="AW389" s="419"/>
      <c r="AX389" s="419"/>
      <c r="AY389" s="419"/>
      <c r="AZ389" s="419"/>
      <c r="BA389" s="419"/>
      <c r="BB389" s="419"/>
      <c r="BC389" s="419"/>
      <c r="BD389" s="419"/>
      <c r="BF389" s="419"/>
      <c r="BG389" s="419"/>
      <c r="BH389" s="419"/>
      <c r="BI389" s="419"/>
      <c r="BJ389" s="419"/>
      <c r="BK389" s="419"/>
      <c r="BL389" s="419"/>
      <c r="BM389" s="419"/>
      <c r="BN389" s="419"/>
      <c r="BO389" s="246"/>
      <c r="BP389" s="386"/>
      <c r="BQ389" s="386"/>
      <c r="BR389" s="386"/>
      <c r="BS389" s="386"/>
      <c r="BT389" s="386"/>
      <c r="BU389" s="386"/>
      <c r="BV389" s="386"/>
      <c r="BW389" s="386"/>
      <c r="BX389" s="386"/>
      <c r="BY389" s="259"/>
      <c r="CB389" s="246"/>
      <c r="CC389" s="334"/>
      <c r="CD389" s="259"/>
      <c r="CE389" s="259"/>
      <c r="CF389" s="246"/>
      <c r="CG389" s="246"/>
      <c r="CH389" s="334"/>
      <c r="CI389" s="334"/>
      <c r="CJ389" s="14"/>
      <c r="CK389" s="334"/>
      <c r="CP389" s="27"/>
      <c r="CQ389" s="27"/>
      <c r="CR389" s="157"/>
      <c r="CS389" s="157"/>
      <c r="CT389" s="157"/>
      <c r="CU389" s="27"/>
      <c r="CV389" s="27"/>
      <c r="CW389" s="27"/>
      <c r="CX389" s="27"/>
      <c r="CY389" s="27"/>
      <c r="CZ389" s="27"/>
      <c r="DA389" s="27"/>
      <c r="DB389" s="27"/>
      <c r="DC389" s="27"/>
    </row>
    <row r="390" spans="1:107" ht="15.05" hidden="1" customHeight="1">
      <c r="A390" s="108"/>
      <c r="B390" s="250"/>
      <c r="C390" s="1093"/>
      <c r="D390" s="1093"/>
      <c r="E390" s="1093"/>
      <c r="F390" s="1093"/>
      <c r="G390" s="1060"/>
      <c r="H390" s="1093"/>
      <c r="I390" s="1094"/>
      <c r="J390" s="1066"/>
      <c r="K390" s="1066"/>
      <c r="L390" s="1066"/>
      <c r="M390" s="1066"/>
      <c r="N390" s="1066"/>
      <c r="O390" s="419"/>
      <c r="P390" s="419"/>
      <c r="Q390" s="419"/>
      <c r="R390" s="419"/>
      <c r="S390" s="419"/>
      <c r="T390" s="419"/>
      <c r="U390" s="419"/>
      <c r="V390" s="419"/>
      <c r="W390" s="419"/>
      <c r="X390" s="419"/>
      <c r="Y390" s="419"/>
      <c r="Z390" s="419"/>
      <c r="AA390" s="419"/>
      <c r="AB390" s="419"/>
      <c r="AC390" s="419"/>
      <c r="AD390" s="22"/>
      <c r="AE390" s="419"/>
      <c r="AF390" s="419"/>
      <c r="AG390" s="419"/>
      <c r="AH390" s="419"/>
      <c r="AI390" s="419"/>
      <c r="AJ390" s="419"/>
      <c r="AK390" s="419"/>
      <c r="AL390" s="419"/>
      <c r="AM390" s="419"/>
      <c r="AN390" s="419"/>
      <c r="AO390" s="419"/>
      <c r="AP390" s="419"/>
      <c r="AQ390" s="419"/>
      <c r="AR390" s="419"/>
      <c r="AS390" s="419"/>
      <c r="AT390" s="419"/>
      <c r="AU390" s="419"/>
      <c r="AV390" s="419"/>
      <c r="AW390" s="419"/>
      <c r="AX390" s="419"/>
      <c r="AY390" s="419"/>
      <c r="AZ390" s="419"/>
      <c r="BA390" s="419"/>
      <c r="BC390" s="419"/>
      <c r="BD390" s="419"/>
      <c r="BE390" s="419"/>
      <c r="BF390" s="419"/>
      <c r="BG390" s="419"/>
      <c r="BH390" s="419"/>
      <c r="BI390" s="419"/>
      <c r="BJ390" s="419"/>
      <c r="BK390" s="419"/>
      <c r="BL390" s="246"/>
      <c r="BM390" s="386"/>
      <c r="BN390" s="386"/>
      <c r="BO390" s="386"/>
      <c r="BP390" s="386"/>
      <c r="BQ390" s="386"/>
      <c r="BR390" s="386"/>
      <c r="BS390" s="386"/>
      <c r="BT390" s="386"/>
      <c r="BU390" s="386"/>
      <c r="BV390" s="259"/>
      <c r="BY390" s="246"/>
      <c r="BZ390" s="334"/>
      <c r="CA390" s="259"/>
      <c r="CB390" s="259"/>
      <c r="CC390" s="246"/>
      <c r="CD390" s="246"/>
      <c r="CE390" s="334"/>
      <c r="CF390" s="334"/>
      <c r="CG390" s="14"/>
      <c r="CH390" s="334"/>
      <c r="CM390" s="27"/>
      <c r="CN390" s="27"/>
      <c r="CO390" s="157"/>
      <c r="CP390" s="157"/>
      <c r="CQ390" s="157"/>
      <c r="CR390" s="27"/>
      <c r="CS390" s="27"/>
      <c r="CT390" s="27"/>
      <c r="CU390" s="27"/>
      <c r="CV390" s="27"/>
      <c r="CW390" s="27"/>
      <c r="CX390" s="27"/>
      <c r="CY390" s="27"/>
      <c r="CZ390" s="27"/>
    </row>
    <row r="391" spans="1:107" ht="15.05" hidden="1" customHeight="1">
      <c r="A391" s="108"/>
      <c r="B391" s="250"/>
      <c r="C391" s="1093"/>
      <c r="D391" s="1093"/>
      <c r="E391" s="1093"/>
      <c r="F391" s="1093"/>
      <c r="G391" s="1060"/>
      <c r="H391" s="1093"/>
      <c r="I391" s="1094"/>
      <c r="J391" s="1066"/>
      <c r="K391" s="1066"/>
      <c r="L391" s="1066"/>
      <c r="M391" s="1066"/>
      <c r="N391" s="1066"/>
      <c r="O391" s="419"/>
      <c r="P391" s="419"/>
      <c r="Q391" s="419"/>
      <c r="R391" s="419"/>
      <c r="S391" s="419"/>
      <c r="T391" s="419"/>
      <c r="U391" s="419"/>
      <c r="V391" s="419"/>
      <c r="W391" s="419"/>
      <c r="X391" s="419"/>
      <c r="Y391" s="419"/>
      <c r="Z391" s="419"/>
      <c r="AA391" s="419"/>
      <c r="AB391" s="419"/>
      <c r="AC391" s="419"/>
      <c r="AD391" s="22"/>
      <c r="AE391" s="419"/>
      <c r="AF391" s="419"/>
      <c r="AG391" s="419"/>
      <c r="AH391" s="419"/>
      <c r="AI391" s="419"/>
      <c r="AJ391" s="419"/>
      <c r="AK391" s="419"/>
      <c r="AL391" s="419"/>
      <c r="AM391" s="419"/>
      <c r="AN391" s="419"/>
      <c r="AO391" s="419"/>
      <c r="AP391" s="419"/>
      <c r="AQ391" s="419"/>
      <c r="AR391" s="419"/>
      <c r="AS391" s="419"/>
      <c r="AT391" s="419"/>
      <c r="AU391" s="419"/>
      <c r="AV391" s="419"/>
      <c r="AW391" s="419"/>
      <c r="AX391" s="419"/>
      <c r="AY391" s="419"/>
      <c r="AZ391" s="419"/>
      <c r="BA391" s="419"/>
      <c r="BC391" s="419"/>
      <c r="BD391" s="419"/>
      <c r="BE391" s="419"/>
      <c r="BF391" s="419"/>
      <c r="BG391" s="419"/>
      <c r="BH391" s="419"/>
      <c r="BI391" s="419"/>
      <c r="BJ391" s="419"/>
      <c r="BK391" s="419"/>
      <c r="BL391" s="246"/>
      <c r="BM391" s="386"/>
      <c r="BN391" s="386"/>
      <c r="BO391" s="386"/>
      <c r="BP391" s="386"/>
      <c r="BQ391" s="386"/>
      <c r="BR391" s="386"/>
      <c r="BS391" s="386"/>
      <c r="BT391" s="386"/>
      <c r="BU391" s="386"/>
      <c r="BV391" s="259"/>
      <c r="BY391" s="246"/>
      <c r="BZ391" s="334"/>
      <c r="CA391" s="259"/>
      <c r="CB391" s="259"/>
      <c r="CC391" s="246"/>
      <c r="CD391" s="246"/>
      <c r="CE391" s="334"/>
      <c r="CF391" s="334"/>
      <c r="CG391" s="14"/>
      <c r="CH391" s="334"/>
      <c r="CM391" s="27"/>
      <c r="CN391" s="27"/>
      <c r="CO391" s="157"/>
      <c r="CP391" s="157"/>
      <c r="CQ391" s="157"/>
      <c r="CR391" s="27"/>
      <c r="CS391" s="27"/>
      <c r="CT391" s="27"/>
      <c r="CU391" s="27"/>
      <c r="CV391" s="27"/>
      <c r="CW391" s="27"/>
      <c r="CX391" s="27"/>
      <c r="CY391" s="27"/>
      <c r="CZ391" s="27"/>
    </row>
    <row r="392" spans="1:107" ht="15.05" hidden="1" customHeight="1">
      <c r="A392" s="108"/>
      <c r="B392" s="250"/>
      <c r="C392" s="1093"/>
      <c r="D392" s="1093"/>
      <c r="E392" s="1093"/>
      <c r="F392" s="1093"/>
      <c r="G392" s="1060"/>
      <c r="H392" s="1093"/>
      <c r="I392" s="1094"/>
      <c r="J392" s="1066"/>
      <c r="K392" s="1066"/>
      <c r="L392" s="1066"/>
      <c r="M392" s="1066"/>
      <c r="N392" s="1066"/>
      <c r="O392" s="419"/>
      <c r="P392" s="419"/>
      <c r="Q392" s="419"/>
      <c r="R392" s="419"/>
      <c r="S392" s="419"/>
      <c r="T392" s="419"/>
      <c r="U392" s="419"/>
      <c r="V392" s="419"/>
      <c r="W392" s="419"/>
      <c r="X392" s="419"/>
      <c r="Y392" s="419"/>
      <c r="Z392" s="419"/>
      <c r="AA392" s="419"/>
      <c r="AB392" s="419"/>
      <c r="AC392" s="419"/>
      <c r="AD392" s="22"/>
      <c r="AE392" s="419"/>
      <c r="AF392" s="419"/>
      <c r="AG392" s="419"/>
      <c r="AH392" s="419"/>
      <c r="AI392" s="419"/>
      <c r="AJ392" s="419"/>
      <c r="AK392" s="419"/>
      <c r="AL392" s="419"/>
      <c r="AM392" s="419"/>
      <c r="AN392" s="419"/>
      <c r="AO392" s="419"/>
      <c r="AP392" s="419"/>
      <c r="AQ392" s="419"/>
      <c r="AR392" s="419"/>
      <c r="AS392" s="419"/>
      <c r="AT392" s="419"/>
      <c r="AU392" s="419"/>
      <c r="AV392" s="419"/>
      <c r="AW392" s="419"/>
      <c r="AX392" s="419"/>
      <c r="AY392" s="419"/>
      <c r="AZ392" s="419"/>
      <c r="BA392" s="419"/>
      <c r="BC392" s="419"/>
      <c r="BD392" s="419"/>
      <c r="BE392" s="419"/>
      <c r="BF392" s="419"/>
      <c r="BG392" s="419"/>
      <c r="BH392" s="419"/>
      <c r="BI392" s="419"/>
      <c r="BJ392" s="419"/>
      <c r="BK392" s="419"/>
      <c r="BL392" s="246"/>
      <c r="BM392" s="386"/>
      <c r="BN392" s="386"/>
      <c r="BO392" s="386"/>
      <c r="BP392" s="386"/>
      <c r="BQ392" s="386"/>
      <c r="BR392" s="386"/>
      <c r="BS392" s="386"/>
      <c r="BT392" s="386"/>
      <c r="BU392" s="386"/>
      <c r="BV392" s="259"/>
      <c r="BY392" s="246"/>
      <c r="BZ392" s="334"/>
      <c r="CA392" s="259"/>
      <c r="CB392" s="259"/>
      <c r="CC392" s="246"/>
      <c r="CD392" s="246"/>
      <c r="CE392" s="334"/>
      <c r="CF392" s="334"/>
      <c r="CG392" s="14"/>
      <c r="CH392" s="334"/>
      <c r="CM392" s="27"/>
      <c r="CN392" s="27"/>
      <c r="CO392" s="157"/>
      <c r="CP392" s="157"/>
      <c r="CQ392" s="157"/>
      <c r="CR392" s="27"/>
      <c r="CS392" s="27"/>
      <c r="CT392" s="27"/>
      <c r="CU392" s="27"/>
      <c r="CV392" s="27"/>
      <c r="CW392" s="27"/>
      <c r="CX392" s="27"/>
      <c r="CY392" s="27"/>
      <c r="CZ392" s="27"/>
    </row>
    <row r="393" spans="1:107" ht="15.05" hidden="1" customHeight="1">
      <c r="A393" s="108"/>
      <c r="B393" s="250"/>
      <c r="C393" s="1093"/>
      <c r="D393" s="1093"/>
      <c r="E393" s="1093"/>
      <c r="F393" s="1093"/>
      <c r="G393" s="1060"/>
      <c r="H393" s="1093"/>
      <c r="I393" s="1094"/>
      <c r="J393" s="1066"/>
      <c r="K393" s="1066"/>
      <c r="L393" s="1066"/>
      <c r="M393" s="1066"/>
      <c r="N393" s="1066"/>
      <c r="O393" s="419"/>
      <c r="P393" s="419"/>
      <c r="Q393" s="419"/>
      <c r="R393" s="419"/>
      <c r="S393" s="419"/>
      <c r="T393" s="419"/>
      <c r="U393" s="419"/>
      <c r="V393" s="419"/>
      <c r="W393" s="419"/>
      <c r="X393" s="419"/>
      <c r="Y393" s="419"/>
      <c r="Z393" s="419"/>
      <c r="AA393" s="419"/>
      <c r="AB393" s="419"/>
      <c r="AC393" s="419"/>
      <c r="AD393" s="22"/>
      <c r="AE393" s="419"/>
      <c r="AF393" s="419"/>
      <c r="AG393" s="419"/>
      <c r="AH393" s="419"/>
      <c r="AI393" s="419"/>
      <c r="AJ393" s="419"/>
      <c r="AK393" s="419"/>
      <c r="AL393" s="419"/>
      <c r="AM393" s="419"/>
      <c r="AN393" s="419"/>
      <c r="AO393" s="419"/>
      <c r="AP393" s="419"/>
      <c r="AQ393" s="419"/>
      <c r="AR393" s="419"/>
      <c r="AS393" s="419"/>
      <c r="AT393" s="419"/>
      <c r="AU393" s="419"/>
      <c r="AV393" s="419"/>
      <c r="AW393" s="419"/>
      <c r="AX393" s="419"/>
      <c r="AY393" s="419"/>
      <c r="AZ393" s="419"/>
      <c r="BA393" s="419"/>
      <c r="BC393" s="419"/>
      <c r="BD393" s="419"/>
      <c r="BE393" s="419"/>
      <c r="BF393" s="419"/>
      <c r="BG393" s="419"/>
      <c r="BH393" s="419"/>
      <c r="BI393" s="419"/>
      <c r="BJ393" s="419"/>
      <c r="BK393" s="419"/>
      <c r="BL393" s="246"/>
      <c r="BM393" s="386"/>
      <c r="BN393" s="386"/>
      <c r="BO393" s="386"/>
      <c r="BP393" s="386"/>
      <c r="BQ393" s="386"/>
      <c r="BR393" s="386"/>
      <c r="BS393" s="386"/>
      <c r="BT393" s="386"/>
      <c r="BU393" s="386"/>
      <c r="BV393" s="259"/>
      <c r="BY393" s="246"/>
      <c r="BZ393" s="334"/>
      <c r="CA393" s="259"/>
      <c r="CB393" s="259"/>
      <c r="CC393" s="246"/>
      <c r="CD393" s="246"/>
      <c r="CE393" s="334"/>
      <c r="CF393" s="334"/>
      <c r="CG393" s="14"/>
      <c r="CH393" s="334"/>
      <c r="CM393" s="27"/>
      <c r="CN393" s="27"/>
      <c r="CO393" s="157"/>
      <c r="CP393" s="157"/>
      <c r="CQ393" s="157"/>
      <c r="CR393" s="27"/>
      <c r="CS393" s="27"/>
      <c r="CT393" s="27"/>
      <c r="CU393" s="27"/>
      <c r="CV393" s="27"/>
      <c r="CW393" s="27"/>
      <c r="CX393" s="27"/>
      <c r="CY393" s="27"/>
      <c r="CZ393" s="27"/>
    </row>
    <row r="394" spans="1:107" ht="15.05" hidden="1" customHeight="1">
      <c r="A394" s="108"/>
      <c r="B394" s="250"/>
      <c r="C394" s="1093"/>
      <c r="D394" s="1093"/>
      <c r="E394" s="1093"/>
      <c r="F394" s="1093"/>
      <c r="G394" s="1060"/>
      <c r="H394" s="1093"/>
      <c r="I394" s="1094"/>
      <c r="J394" s="1066"/>
      <c r="K394" s="1066"/>
      <c r="L394" s="1066"/>
      <c r="M394" s="1066"/>
      <c r="N394" s="1066"/>
      <c r="O394" s="419"/>
      <c r="P394" s="419"/>
      <c r="Q394" s="419"/>
      <c r="R394" s="419"/>
      <c r="S394" s="419"/>
      <c r="T394" s="419"/>
      <c r="U394" s="419"/>
      <c r="V394" s="419"/>
      <c r="W394" s="419"/>
      <c r="X394" s="419"/>
      <c r="Y394" s="419"/>
      <c r="Z394" s="419"/>
      <c r="AA394" s="419"/>
      <c r="AB394" s="419"/>
      <c r="AC394" s="419"/>
      <c r="AD394" s="22"/>
      <c r="AE394" s="419"/>
      <c r="AF394" s="419"/>
      <c r="AG394" s="419"/>
      <c r="AH394" s="419"/>
      <c r="AI394" s="419"/>
      <c r="AJ394" s="419"/>
      <c r="AK394" s="419"/>
      <c r="AL394" s="419"/>
      <c r="AM394" s="419"/>
      <c r="AN394" s="419"/>
      <c r="AO394" s="419"/>
      <c r="AP394" s="419"/>
      <c r="AQ394" s="419"/>
      <c r="AR394" s="419"/>
      <c r="AS394" s="419"/>
      <c r="AT394" s="419"/>
      <c r="AU394" s="419"/>
      <c r="AV394" s="419"/>
      <c r="AW394" s="419"/>
      <c r="AX394" s="419"/>
      <c r="AY394" s="419"/>
      <c r="AZ394" s="419"/>
      <c r="BA394" s="419"/>
      <c r="BC394" s="419"/>
      <c r="BD394" s="419"/>
      <c r="BE394" s="419"/>
      <c r="BF394" s="419"/>
      <c r="BG394" s="419"/>
      <c r="BH394" s="419"/>
      <c r="BI394" s="419"/>
      <c r="BJ394" s="419"/>
      <c r="BK394" s="419"/>
      <c r="BL394" s="246"/>
      <c r="BM394" s="386"/>
      <c r="BN394" s="386"/>
      <c r="BO394" s="386"/>
      <c r="BP394" s="386"/>
      <c r="BQ394" s="386"/>
      <c r="BR394" s="386"/>
      <c r="BS394" s="386"/>
      <c r="BT394" s="386"/>
      <c r="BU394" s="386"/>
      <c r="BV394" s="259"/>
      <c r="BY394" s="246"/>
      <c r="BZ394" s="334"/>
      <c r="CA394" s="259"/>
      <c r="CB394" s="259"/>
      <c r="CC394" s="246"/>
      <c r="CD394" s="246"/>
      <c r="CE394" s="334"/>
      <c r="CF394" s="334"/>
      <c r="CG394" s="14"/>
      <c r="CH394" s="334"/>
      <c r="CM394" s="27"/>
      <c r="CN394" s="27"/>
      <c r="CO394" s="157"/>
      <c r="CP394" s="157"/>
      <c r="CQ394" s="157"/>
      <c r="CR394" s="27"/>
      <c r="CS394" s="27"/>
      <c r="CT394" s="27"/>
      <c r="CU394" s="27"/>
      <c r="CV394" s="27"/>
      <c r="CW394" s="27"/>
      <c r="CX394" s="27"/>
      <c r="CY394" s="27"/>
      <c r="CZ394" s="27"/>
    </row>
    <row r="395" spans="1:107" ht="15.05" hidden="1" customHeight="1">
      <c r="A395" s="108"/>
      <c r="B395" s="250"/>
      <c r="C395" s="1093"/>
      <c r="D395" s="1093"/>
      <c r="E395" s="1093"/>
      <c r="F395" s="1093"/>
      <c r="G395" s="1060"/>
      <c r="H395" s="1093"/>
      <c r="I395" s="1094"/>
      <c r="J395" s="1066"/>
      <c r="K395" s="1066"/>
      <c r="L395" s="1066"/>
      <c r="M395" s="1066"/>
      <c r="N395" s="1066"/>
      <c r="O395" s="419"/>
      <c r="P395" s="419"/>
      <c r="Q395" s="419"/>
      <c r="R395" s="419"/>
      <c r="S395" s="419"/>
      <c r="T395" s="419"/>
      <c r="U395" s="419"/>
      <c r="V395" s="419"/>
      <c r="W395" s="419"/>
      <c r="X395" s="419"/>
      <c r="Y395" s="419"/>
      <c r="Z395" s="419"/>
      <c r="AA395" s="419"/>
      <c r="AB395" s="419"/>
      <c r="AC395" s="419"/>
      <c r="AD395" s="22"/>
      <c r="AE395" s="419"/>
      <c r="AF395" s="419"/>
      <c r="AG395" s="419"/>
      <c r="AH395" s="419"/>
      <c r="AI395" s="419"/>
      <c r="AJ395" s="419"/>
      <c r="AK395" s="419"/>
      <c r="AL395" s="419"/>
      <c r="AM395" s="419"/>
      <c r="AN395" s="419"/>
      <c r="AO395" s="419"/>
      <c r="AP395" s="419"/>
      <c r="AQ395" s="419"/>
      <c r="AR395" s="419"/>
      <c r="AS395" s="419"/>
      <c r="AT395" s="419"/>
      <c r="AU395" s="419"/>
      <c r="AV395" s="419"/>
      <c r="AW395" s="419"/>
      <c r="AX395" s="419"/>
      <c r="AY395" s="419"/>
      <c r="AZ395" s="419"/>
      <c r="BA395" s="419"/>
      <c r="BC395" s="419"/>
      <c r="BD395" s="419"/>
      <c r="BE395" s="419"/>
      <c r="BF395" s="419"/>
      <c r="BG395" s="419"/>
      <c r="BH395" s="419"/>
      <c r="BI395" s="419"/>
      <c r="BJ395" s="419"/>
      <c r="BK395" s="419"/>
      <c r="BL395" s="246"/>
      <c r="BM395" s="386"/>
      <c r="BN395" s="386"/>
      <c r="BO395" s="386"/>
      <c r="BP395" s="386"/>
      <c r="BQ395" s="386"/>
      <c r="BR395" s="386"/>
      <c r="BS395" s="386"/>
      <c r="BT395" s="386"/>
      <c r="BU395" s="386"/>
      <c r="BV395" s="259"/>
      <c r="BY395" s="246"/>
      <c r="BZ395" s="334"/>
      <c r="CA395" s="259"/>
      <c r="CB395" s="259"/>
      <c r="CC395" s="246"/>
      <c r="CD395" s="246"/>
      <c r="CE395" s="334"/>
      <c r="CF395" s="334"/>
      <c r="CG395" s="14"/>
      <c r="CH395" s="334"/>
      <c r="CM395" s="27"/>
      <c r="CN395" s="27"/>
      <c r="CO395" s="157"/>
      <c r="CP395" s="157"/>
      <c r="CQ395" s="157"/>
      <c r="CR395" s="27"/>
      <c r="CS395" s="27"/>
      <c r="CT395" s="27"/>
      <c r="CU395" s="27"/>
      <c r="CV395" s="27"/>
      <c r="CW395" s="27"/>
      <c r="CX395" s="27"/>
      <c r="CY395" s="27"/>
      <c r="CZ395" s="27"/>
    </row>
    <row r="396" spans="1:107" ht="15.05" hidden="1" customHeight="1">
      <c r="A396" s="108"/>
      <c r="B396" s="250"/>
      <c r="C396" s="1093"/>
      <c r="D396" s="1093"/>
      <c r="E396" s="1093"/>
      <c r="F396" s="1093"/>
      <c r="G396" s="1060"/>
      <c r="H396" s="1093"/>
      <c r="I396" s="1094"/>
      <c r="J396" s="1066"/>
      <c r="K396" s="1066"/>
      <c r="L396" s="1066"/>
      <c r="M396" s="1066"/>
      <c r="N396" s="1066"/>
      <c r="O396" s="419"/>
      <c r="P396" s="419"/>
      <c r="Q396" s="419"/>
      <c r="R396" s="419"/>
      <c r="S396" s="419"/>
      <c r="T396" s="419"/>
      <c r="U396" s="419"/>
      <c r="V396" s="419"/>
      <c r="W396" s="419"/>
      <c r="X396" s="419"/>
      <c r="Y396" s="419"/>
      <c r="Z396" s="419"/>
      <c r="AA396" s="419"/>
      <c r="AB396" s="419"/>
      <c r="AC396" s="419"/>
      <c r="AD396" s="22"/>
      <c r="AE396" s="419"/>
      <c r="AF396" s="419"/>
      <c r="AG396" s="419"/>
      <c r="AH396" s="419"/>
      <c r="AI396" s="419"/>
      <c r="AJ396" s="419"/>
      <c r="AK396" s="419"/>
      <c r="AL396" s="419"/>
      <c r="AM396" s="419"/>
      <c r="AN396" s="419"/>
      <c r="AO396" s="419"/>
      <c r="AP396" s="419"/>
      <c r="AQ396" s="419"/>
      <c r="AR396" s="419"/>
      <c r="AS396" s="419"/>
      <c r="AT396" s="419"/>
      <c r="AU396" s="419"/>
      <c r="AV396" s="419"/>
      <c r="AW396" s="419"/>
      <c r="AX396" s="419"/>
      <c r="AY396" s="419"/>
      <c r="AZ396" s="419"/>
      <c r="BA396" s="419"/>
      <c r="BC396" s="419"/>
      <c r="BD396" s="419"/>
      <c r="BE396" s="419"/>
      <c r="BF396" s="419"/>
      <c r="BG396" s="419"/>
      <c r="BH396" s="419"/>
      <c r="BI396" s="419"/>
      <c r="BJ396" s="419"/>
      <c r="BK396" s="419"/>
      <c r="BL396" s="246"/>
      <c r="BM396" s="386"/>
      <c r="BN396" s="386"/>
      <c r="BO396" s="386"/>
      <c r="BP396" s="386"/>
      <c r="BQ396" s="386"/>
      <c r="BR396" s="386"/>
      <c r="BS396" s="386"/>
      <c r="BT396" s="386"/>
      <c r="BU396" s="386"/>
      <c r="BV396" s="259"/>
      <c r="BY396" s="246"/>
      <c r="BZ396" s="334"/>
      <c r="CA396" s="259"/>
      <c r="CB396" s="259"/>
      <c r="CC396" s="246"/>
      <c r="CD396" s="246"/>
      <c r="CE396" s="334"/>
      <c r="CF396" s="334"/>
      <c r="CG396" s="14"/>
      <c r="CH396" s="334"/>
      <c r="CM396" s="27"/>
      <c r="CN396" s="27"/>
      <c r="CO396" s="157"/>
      <c r="CP396" s="157"/>
      <c r="CQ396" s="157"/>
      <c r="CR396" s="27"/>
      <c r="CS396" s="27"/>
      <c r="CT396" s="27"/>
      <c r="CU396" s="27"/>
      <c r="CV396" s="27"/>
      <c r="CW396" s="27"/>
      <c r="CX396" s="27"/>
      <c r="CY396" s="27"/>
      <c r="CZ396" s="27"/>
    </row>
    <row r="397" spans="1:107" ht="15.05" hidden="1" customHeight="1">
      <c r="A397" s="108"/>
      <c r="B397" s="250"/>
      <c r="C397" s="1093"/>
      <c r="D397" s="1093"/>
      <c r="E397" s="1093"/>
      <c r="F397" s="1093"/>
      <c r="G397" s="1060"/>
      <c r="H397" s="1093"/>
      <c r="I397" s="1094"/>
      <c r="J397" s="1066"/>
      <c r="K397" s="1066"/>
      <c r="L397" s="1066"/>
      <c r="M397" s="1066"/>
      <c r="N397" s="1066"/>
      <c r="O397" s="419"/>
      <c r="P397" s="419"/>
      <c r="Q397" s="419"/>
      <c r="R397" s="419"/>
      <c r="S397" s="419"/>
      <c r="T397" s="419"/>
      <c r="U397" s="419"/>
      <c r="V397" s="419"/>
      <c r="W397" s="419"/>
      <c r="X397" s="419"/>
      <c r="Y397" s="419"/>
      <c r="Z397" s="419"/>
      <c r="AA397" s="419"/>
      <c r="AB397" s="419"/>
      <c r="AC397" s="419"/>
      <c r="AD397" s="22"/>
      <c r="AE397" s="419"/>
      <c r="AF397" s="419"/>
      <c r="AG397" s="419"/>
      <c r="AH397" s="419"/>
      <c r="AI397" s="419"/>
      <c r="AJ397" s="419"/>
      <c r="AK397" s="419"/>
      <c r="AL397" s="419"/>
      <c r="AM397" s="419"/>
      <c r="AN397" s="419"/>
      <c r="AO397" s="419"/>
      <c r="AP397" s="419"/>
      <c r="AQ397" s="419"/>
      <c r="AR397" s="419"/>
      <c r="AS397" s="419"/>
      <c r="AT397" s="419"/>
      <c r="AU397" s="419"/>
      <c r="AV397" s="419"/>
      <c r="AW397" s="419"/>
      <c r="AX397" s="419"/>
      <c r="AY397" s="419"/>
      <c r="AZ397" s="419"/>
      <c r="BA397" s="419"/>
      <c r="BC397" s="419"/>
      <c r="BD397" s="419"/>
      <c r="BE397" s="419"/>
      <c r="BF397" s="419"/>
      <c r="BG397" s="419"/>
      <c r="BH397" s="419"/>
      <c r="BI397" s="419"/>
      <c r="BJ397" s="419"/>
      <c r="BK397" s="419"/>
      <c r="BL397" s="246"/>
      <c r="BM397" s="386"/>
      <c r="BN397" s="386"/>
      <c r="BO397" s="386"/>
      <c r="BP397" s="386"/>
      <c r="BQ397" s="386"/>
      <c r="BR397" s="386"/>
      <c r="BS397" s="386"/>
      <c r="BT397" s="386"/>
      <c r="BU397" s="386"/>
      <c r="BV397" s="259"/>
      <c r="BY397" s="246"/>
      <c r="BZ397" s="334"/>
      <c r="CA397" s="259"/>
      <c r="CB397" s="259"/>
      <c r="CC397" s="246"/>
      <c r="CD397" s="246"/>
      <c r="CE397" s="334"/>
      <c r="CF397" s="334"/>
      <c r="CG397" s="14"/>
      <c r="CH397" s="334"/>
      <c r="CM397" s="27"/>
      <c r="CN397" s="27"/>
      <c r="CO397" s="157"/>
      <c r="CP397" s="157"/>
      <c r="CQ397" s="157"/>
      <c r="CR397" s="27"/>
      <c r="CS397" s="27"/>
      <c r="CT397" s="27"/>
      <c r="CU397" s="27"/>
      <c r="CV397" s="27"/>
      <c r="CW397" s="27"/>
      <c r="CX397" s="27"/>
      <c r="CY397" s="27"/>
      <c r="CZ397" s="27"/>
    </row>
    <row r="398" spans="1:107" ht="15.05" hidden="1" customHeight="1">
      <c r="A398" s="108"/>
      <c r="B398" s="250"/>
      <c r="C398" s="1093"/>
      <c r="D398" s="1093"/>
      <c r="E398" s="1093"/>
      <c r="F398" s="1093"/>
      <c r="G398" s="1060"/>
      <c r="H398" s="1093"/>
      <c r="I398" s="1094"/>
      <c r="J398" s="1066"/>
      <c r="K398" s="1066"/>
      <c r="L398" s="1066"/>
      <c r="M398" s="1066"/>
      <c r="N398" s="1066"/>
      <c r="O398" s="419"/>
      <c r="P398" s="419"/>
      <c r="Q398" s="419"/>
      <c r="R398" s="419"/>
      <c r="S398" s="419"/>
      <c r="T398" s="419"/>
      <c r="U398" s="419"/>
      <c r="V398" s="419"/>
      <c r="W398" s="419"/>
      <c r="X398" s="419"/>
      <c r="Y398" s="419"/>
      <c r="Z398" s="419"/>
      <c r="AA398" s="419"/>
      <c r="AB398" s="419"/>
      <c r="AC398" s="419"/>
      <c r="AD398" s="22"/>
      <c r="AE398" s="419"/>
      <c r="AF398" s="419"/>
      <c r="AG398" s="419"/>
      <c r="AH398" s="419"/>
      <c r="AI398" s="419"/>
      <c r="AJ398" s="419"/>
      <c r="AK398" s="419"/>
      <c r="AL398" s="419"/>
      <c r="AM398" s="419"/>
      <c r="AN398" s="419"/>
      <c r="AO398" s="419"/>
      <c r="AP398" s="419"/>
      <c r="AQ398" s="419"/>
      <c r="AR398" s="419"/>
      <c r="AS398" s="419"/>
      <c r="AT398" s="419"/>
      <c r="AU398" s="419"/>
      <c r="AV398" s="419"/>
      <c r="AW398" s="419"/>
      <c r="AX398" s="419"/>
      <c r="AY398" s="419"/>
      <c r="AZ398" s="419"/>
      <c r="BA398" s="419"/>
      <c r="BC398" s="419"/>
      <c r="BD398" s="419"/>
      <c r="BE398" s="419"/>
      <c r="BF398" s="419"/>
      <c r="BG398" s="419"/>
      <c r="BH398" s="419"/>
      <c r="BI398" s="419"/>
      <c r="BJ398" s="419"/>
      <c r="BK398" s="419"/>
      <c r="BL398" s="246"/>
      <c r="BM398" s="386"/>
      <c r="BN398" s="386"/>
      <c r="BO398" s="386"/>
      <c r="BP398" s="386"/>
      <c r="BQ398" s="386"/>
      <c r="BR398" s="386"/>
      <c r="BS398" s="386"/>
      <c r="BT398" s="386"/>
      <c r="BU398" s="386"/>
      <c r="BV398" s="259"/>
      <c r="BY398" s="246"/>
      <c r="BZ398" s="334"/>
      <c r="CA398" s="259"/>
      <c r="CB398" s="259"/>
      <c r="CC398" s="246"/>
      <c r="CD398" s="246"/>
      <c r="CE398" s="334"/>
      <c r="CF398" s="334"/>
      <c r="CG398" s="14"/>
      <c r="CH398" s="334"/>
      <c r="CM398" s="27"/>
      <c r="CN398" s="27"/>
      <c r="CO398" s="157"/>
      <c r="CP398" s="157"/>
      <c r="CQ398" s="157"/>
      <c r="CR398" s="27"/>
      <c r="CS398" s="27"/>
      <c r="CT398" s="27"/>
      <c r="CU398" s="27"/>
      <c r="CV398" s="27"/>
      <c r="CW398" s="27"/>
      <c r="CX398" s="27"/>
      <c r="CY398" s="27"/>
      <c r="CZ398" s="27"/>
    </row>
    <row r="399" spans="1:107" ht="15.05" hidden="1" customHeight="1">
      <c r="A399" s="108"/>
      <c r="B399" s="250"/>
      <c r="C399" s="1093"/>
      <c r="D399" s="1093"/>
      <c r="E399" s="1093"/>
      <c r="F399" s="1093"/>
      <c r="G399" s="1060"/>
      <c r="H399" s="1093"/>
      <c r="I399" s="1094"/>
      <c r="J399" s="1066"/>
      <c r="K399" s="1066"/>
      <c r="L399" s="1066"/>
      <c r="M399" s="1066"/>
      <c r="N399" s="1066"/>
      <c r="O399" s="419"/>
      <c r="P399" s="419"/>
      <c r="Q399" s="419"/>
      <c r="R399" s="419"/>
      <c r="S399" s="419"/>
      <c r="T399" s="419"/>
      <c r="U399" s="419"/>
      <c r="V399" s="419"/>
      <c r="W399" s="419"/>
      <c r="X399" s="419"/>
      <c r="Y399" s="419"/>
      <c r="Z399" s="419"/>
      <c r="AA399" s="419"/>
      <c r="AB399" s="419"/>
      <c r="AC399" s="419"/>
      <c r="AD399" s="22"/>
      <c r="AE399" s="419"/>
      <c r="AF399" s="419"/>
      <c r="AG399" s="419"/>
      <c r="AH399" s="419"/>
      <c r="AI399" s="419"/>
      <c r="AJ399" s="419"/>
      <c r="AK399" s="419"/>
      <c r="AL399" s="419"/>
      <c r="AM399" s="419"/>
      <c r="AN399" s="419"/>
      <c r="AO399" s="419"/>
      <c r="AP399" s="419"/>
      <c r="AQ399" s="419"/>
      <c r="AR399" s="419"/>
      <c r="AS399" s="419"/>
      <c r="AT399" s="419"/>
      <c r="AU399" s="419"/>
      <c r="AV399" s="419"/>
      <c r="AW399" s="419"/>
      <c r="AX399" s="419"/>
      <c r="AY399" s="419"/>
      <c r="AZ399" s="419"/>
      <c r="BA399" s="419"/>
      <c r="BC399" s="419"/>
      <c r="BD399" s="419"/>
      <c r="BE399" s="419"/>
      <c r="BF399" s="419"/>
      <c r="BG399" s="419"/>
      <c r="BH399" s="419"/>
      <c r="BI399" s="419"/>
      <c r="BJ399" s="419"/>
      <c r="BK399" s="419"/>
      <c r="BL399" s="246"/>
      <c r="BM399" s="386"/>
      <c r="BN399" s="386"/>
      <c r="BO399" s="386"/>
      <c r="BP399" s="386"/>
      <c r="BQ399" s="386"/>
      <c r="BR399" s="386"/>
      <c r="BS399" s="386"/>
      <c r="BT399" s="386"/>
      <c r="BU399" s="386"/>
      <c r="BV399" s="259"/>
      <c r="BY399" s="246"/>
      <c r="BZ399" s="334"/>
      <c r="CA399" s="259"/>
      <c r="CB399" s="259"/>
      <c r="CC399" s="246"/>
      <c r="CD399" s="246"/>
      <c r="CE399" s="334"/>
      <c r="CF399" s="334"/>
      <c r="CG399" s="14"/>
      <c r="CH399" s="334"/>
      <c r="CM399" s="27"/>
      <c r="CN399" s="27"/>
      <c r="CO399" s="157"/>
      <c r="CP399" s="157"/>
      <c r="CQ399" s="157"/>
      <c r="CR399" s="27"/>
      <c r="CS399" s="27"/>
      <c r="CT399" s="27"/>
      <c r="CU399" s="27"/>
      <c r="CV399" s="27"/>
      <c r="CW399" s="27"/>
      <c r="CX399" s="27"/>
      <c r="CY399" s="27"/>
      <c r="CZ399" s="27"/>
    </row>
    <row r="400" spans="1:107" ht="15.05" hidden="1" customHeight="1">
      <c r="A400" s="108"/>
      <c r="B400" s="250"/>
      <c r="C400" s="1093"/>
      <c r="D400" s="1093"/>
      <c r="E400" s="1093"/>
      <c r="F400" s="1093"/>
      <c r="G400" s="1060"/>
      <c r="H400" s="1093"/>
      <c r="I400" s="1094"/>
      <c r="J400" s="1066"/>
      <c r="K400" s="1066"/>
      <c r="L400" s="1066"/>
      <c r="M400" s="1066"/>
      <c r="N400" s="1066"/>
      <c r="O400" s="419"/>
      <c r="P400" s="419"/>
      <c r="Q400" s="419"/>
      <c r="R400" s="419"/>
      <c r="S400" s="419"/>
      <c r="T400" s="419"/>
      <c r="U400" s="419"/>
      <c r="V400" s="419"/>
      <c r="W400" s="419"/>
      <c r="X400" s="419"/>
      <c r="Y400" s="419"/>
      <c r="Z400" s="419"/>
      <c r="AA400" s="419"/>
      <c r="AB400" s="419"/>
      <c r="AC400" s="419"/>
      <c r="AD400" s="22"/>
      <c r="AE400" s="419"/>
      <c r="AF400" s="419"/>
      <c r="AG400" s="419"/>
      <c r="AH400" s="419"/>
      <c r="AI400" s="419"/>
      <c r="AJ400" s="419"/>
      <c r="AK400" s="419"/>
      <c r="AL400" s="419"/>
      <c r="AM400" s="419"/>
      <c r="AN400" s="419"/>
      <c r="AO400" s="419"/>
      <c r="AP400" s="419"/>
      <c r="AQ400" s="419"/>
      <c r="AR400" s="419"/>
      <c r="AS400" s="419"/>
      <c r="AT400" s="419"/>
      <c r="AU400" s="419"/>
      <c r="AV400" s="419"/>
      <c r="AW400" s="419"/>
      <c r="AX400" s="419"/>
      <c r="AY400" s="419"/>
      <c r="AZ400" s="419"/>
      <c r="BA400" s="419"/>
      <c r="BC400" s="419"/>
      <c r="BD400" s="419"/>
      <c r="BE400" s="419"/>
      <c r="BF400" s="419"/>
      <c r="BG400" s="419"/>
      <c r="BH400" s="419"/>
      <c r="BI400" s="419"/>
      <c r="BJ400" s="419"/>
      <c r="BK400" s="419"/>
      <c r="BL400" s="246"/>
      <c r="BM400" s="386"/>
      <c r="BN400" s="386"/>
      <c r="BO400" s="386"/>
      <c r="BP400" s="386"/>
      <c r="BQ400" s="386"/>
      <c r="BR400" s="386"/>
      <c r="BS400" s="386"/>
      <c r="BT400" s="386"/>
      <c r="BU400" s="386"/>
      <c r="BV400" s="259"/>
      <c r="BY400" s="246"/>
      <c r="BZ400" s="334"/>
      <c r="CA400" s="259"/>
      <c r="CB400" s="259"/>
      <c r="CC400" s="246"/>
      <c r="CD400" s="246"/>
      <c r="CE400" s="334"/>
      <c r="CF400" s="334"/>
      <c r="CG400" s="14"/>
      <c r="CH400" s="334"/>
      <c r="CM400" s="27"/>
      <c r="CN400" s="27"/>
      <c r="CO400" s="157"/>
      <c r="CP400" s="157"/>
      <c r="CQ400" s="157"/>
      <c r="CR400" s="27"/>
      <c r="CS400" s="27"/>
      <c r="CT400" s="27"/>
      <c r="CU400" s="27"/>
      <c r="CV400" s="27"/>
      <c r="CW400" s="27"/>
      <c r="CX400" s="27"/>
      <c r="CY400" s="27"/>
      <c r="CZ400" s="27"/>
    </row>
    <row r="401" spans="1:107" ht="15.05" hidden="1" customHeight="1">
      <c r="A401" s="108"/>
      <c r="B401" s="250"/>
      <c r="C401" s="1093"/>
      <c r="D401" s="1093"/>
      <c r="E401" s="1093"/>
      <c r="F401" s="1093"/>
      <c r="G401" s="1060"/>
      <c r="H401" s="1093"/>
      <c r="I401" s="1094"/>
      <c r="J401" s="1066"/>
      <c r="K401" s="1066"/>
      <c r="L401" s="1066"/>
      <c r="M401" s="1066"/>
      <c r="N401" s="1066"/>
      <c r="O401" s="419"/>
      <c r="P401" s="419"/>
      <c r="Q401" s="419"/>
      <c r="R401" s="419"/>
      <c r="S401" s="419"/>
      <c r="T401" s="419"/>
      <c r="U401" s="419"/>
      <c r="V401" s="419"/>
      <c r="W401" s="419"/>
      <c r="X401" s="419"/>
      <c r="Y401" s="419"/>
      <c r="Z401" s="419"/>
      <c r="AA401" s="419"/>
      <c r="AB401" s="419"/>
      <c r="AC401" s="419"/>
      <c r="AD401" s="22"/>
      <c r="AE401" s="419"/>
      <c r="AF401" s="419"/>
      <c r="AG401" s="419"/>
      <c r="AH401" s="419"/>
      <c r="AI401" s="419"/>
      <c r="AJ401" s="419"/>
      <c r="AK401" s="419"/>
      <c r="AL401" s="419"/>
      <c r="AM401" s="419"/>
      <c r="AN401" s="419"/>
      <c r="AO401" s="419"/>
      <c r="AP401" s="419"/>
      <c r="AQ401" s="419"/>
      <c r="AR401" s="419"/>
      <c r="AS401" s="419"/>
      <c r="AT401" s="419"/>
      <c r="AU401" s="419"/>
      <c r="AV401" s="419"/>
      <c r="AW401" s="419"/>
      <c r="AX401" s="419"/>
      <c r="AY401" s="419"/>
      <c r="AZ401" s="419"/>
      <c r="BA401" s="419"/>
      <c r="BC401" s="419"/>
      <c r="BD401" s="419"/>
      <c r="BE401" s="419"/>
      <c r="BF401" s="419"/>
      <c r="BG401" s="419"/>
      <c r="BH401" s="419"/>
      <c r="BI401" s="419"/>
      <c r="BJ401" s="419"/>
      <c r="BK401" s="419"/>
      <c r="BL401" s="246"/>
      <c r="BM401" s="386"/>
      <c r="BN401" s="386"/>
      <c r="BO401" s="386"/>
      <c r="BP401" s="386"/>
      <c r="BQ401" s="386"/>
      <c r="BR401" s="386"/>
      <c r="BS401" s="386"/>
      <c r="BT401" s="386"/>
      <c r="BU401" s="386"/>
      <c r="BV401" s="259"/>
      <c r="BY401" s="246"/>
      <c r="BZ401" s="334"/>
      <c r="CA401" s="259"/>
      <c r="CB401" s="259"/>
      <c r="CC401" s="246"/>
      <c r="CD401" s="246"/>
      <c r="CE401" s="334"/>
      <c r="CF401" s="334"/>
      <c r="CG401" s="14"/>
      <c r="CH401" s="334"/>
      <c r="CM401" s="27"/>
      <c r="CN401" s="27"/>
      <c r="CO401" s="157"/>
      <c r="CP401" s="157"/>
      <c r="CQ401" s="157"/>
      <c r="CR401" s="27"/>
      <c r="CS401" s="27"/>
      <c r="CT401" s="27"/>
      <c r="CU401" s="27"/>
      <c r="CV401" s="27"/>
      <c r="CW401" s="27"/>
      <c r="CX401" s="27"/>
      <c r="CY401" s="27"/>
      <c r="CZ401" s="27"/>
    </row>
    <row r="402" spans="1:107" ht="15.05" hidden="1" customHeight="1">
      <c r="A402" s="108"/>
      <c r="B402" s="250"/>
      <c r="C402" s="1093"/>
      <c r="D402" s="1093"/>
      <c r="E402" s="1093"/>
      <c r="F402" s="1093"/>
      <c r="G402" s="1060"/>
      <c r="H402" s="1093"/>
      <c r="I402" s="1094"/>
      <c r="J402" s="1066"/>
      <c r="K402" s="1066"/>
      <c r="L402" s="1066"/>
      <c r="M402" s="1066"/>
      <c r="N402" s="1066"/>
      <c r="O402" s="419"/>
      <c r="P402" s="419"/>
      <c r="Q402" s="419"/>
      <c r="R402" s="419"/>
      <c r="S402" s="419"/>
      <c r="T402" s="419"/>
      <c r="U402" s="419"/>
      <c r="V402" s="419"/>
      <c r="W402" s="419"/>
      <c r="X402" s="419"/>
      <c r="Y402" s="419"/>
      <c r="Z402" s="419"/>
      <c r="AA402" s="419"/>
      <c r="AB402" s="419"/>
      <c r="AC402" s="419"/>
      <c r="AD402" s="22"/>
      <c r="AE402" s="419"/>
      <c r="AF402" s="419"/>
      <c r="AG402" s="419"/>
      <c r="AH402" s="419"/>
      <c r="AI402" s="419"/>
      <c r="AJ402" s="419"/>
      <c r="AK402" s="419"/>
      <c r="AL402" s="419"/>
      <c r="AM402" s="419"/>
      <c r="AN402" s="419"/>
      <c r="AO402" s="419"/>
      <c r="AP402" s="419"/>
      <c r="AQ402" s="419"/>
      <c r="AR402" s="419"/>
      <c r="AS402" s="419"/>
      <c r="AT402" s="419"/>
      <c r="AU402" s="419"/>
      <c r="AV402" s="419"/>
      <c r="AW402" s="419"/>
      <c r="AX402" s="419"/>
      <c r="AY402" s="419"/>
      <c r="AZ402" s="419"/>
      <c r="BA402" s="419"/>
      <c r="BC402" s="419"/>
      <c r="BD402" s="419"/>
      <c r="BE402" s="419"/>
      <c r="BF402" s="419"/>
      <c r="BG402" s="419"/>
      <c r="BH402" s="419"/>
      <c r="BI402" s="419"/>
      <c r="BJ402" s="419"/>
      <c r="BK402" s="419"/>
      <c r="BL402" s="246"/>
      <c r="BM402" s="386"/>
      <c r="BN402" s="386"/>
      <c r="BO402" s="386"/>
      <c r="BP402" s="386"/>
      <c r="BQ402" s="386"/>
      <c r="BR402" s="386"/>
      <c r="BS402" s="386"/>
      <c r="BT402" s="386"/>
      <c r="BU402" s="386"/>
      <c r="BV402" s="259"/>
      <c r="BY402" s="246"/>
      <c r="BZ402" s="334"/>
      <c r="CA402" s="259"/>
      <c r="CB402" s="259"/>
      <c r="CC402" s="246"/>
      <c r="CD402" s="246"/>
      <c r="CE402" s="334"/>
      <c r="CF402" s="334"/>
      <c r="CG402" s="14"/>
      <c r="CH402" s="334"/>
      <c r="CM402" s="27"/>
      <c r="CN402" s="27"/>
      <c r="CO402" s="157"/>
      <c r="CP402" s="157"/>
      <c r="CQ402" s="157"/>
      <c r="CR402" s="27"/>
      <c r="CS402" s="27"/>
      <c r="CT402" s="27"/>
      <c r="CU402" s="27"/>
      <c r="CV402" s="27"/>
      <c r="CW402" s="27"/>
      <c r="CX402" s="27"/>
      <c r="CY402" s="27"/>
      <c r="CZ402" s="27"/>
    </row>
    <row r="403" spans="1:107" ht="15.05" hidden="1" customHeight="1">
      <c r="A403" s="108"/>
      <c r="B403" s="250"/>
      <c r="C403" s="1093"/>
      <c r="D403" s="1093"/>
      <c r="E403" s="1093"/>
      <c r="F403" s="1093"/>
      <c r="G403" s="1060"/>
      <c r="H403" s="1093"/>
      <c r="I403" s="1094"/>
      <c r="J403" s="1066"/>
      <c r="K403" s="1066"/>
      <c r="L403" s="1066"/>
      <c r="M403" s="1066"/>
      <c r="N403" s="1066"/>
      <c r="O403" s="419"/>
      <c r="P403" s="419"/>
      <c r="Q403" s="419"/>
      <c r="R403" s="419"/>
      <c r="S403" s="419"/>
      <c r="T403" s="419"/>
      <c r="U403" s="419"/>
      <c r="V403" s="419"/>
      <c r="W403" s="419"/>
      <c r="X403" s="419"/>
      <c r="Y403" s="419"/>
      <c r="Z403" s="419"/>
      <c r="AA403" s="419"/>
      <c r="AB403" s="419"/>
      <c r="AC403" s="419"/>
      <c r="AD403" s="22"/>
      <c r="AE403" s="419"/>
      <c r="AF403" s="419"/>
      <c r="AG403" s="419"/>
      <c r="AH403" s="419"/>
      <c r="AI403" s="419"/>
      <c r="AJ403" s="419"/>
      <c r="AK403" s="419"/>
      <c r="AL403" s="419"/>
      <c r="AM403" s="419"/>
      <c r="AN403" s="419"/>
      <c r="AO403" s="419"/>
      <c r="AP403" s="419"/>
      <c r="AQ403" s="419"/>
      <c r="AR403" s="419"/>
      <c r="AS403" s="419"/>
      <c r="AT403" s="419"/>
      <c r="AU403" s="419"/>
      <c r="AV403" s="419"/>
      <c r="AW403" s="419"/>
      <c r="AX403" s="419"/>
      <c r="AY403" s="419"/>
      <c r="AZ403" s="419"/>
      <c r="BA403" s="419"/>
      <c r="BC403" s="419"/>
      <c r="BD403" s="419"/>
      <c r="BE403" s="419"/>
      <c r="BF403" s="419"/>
      <c r="BG403" s="419"/>
      <c r="BH403" s="419"/>
      <c r="BI403" s="419"/>
      <c r="BJ403" s="419"/>
      <c r="BK403" s="419"/>
      <c r="BL403" s="246"/>
      <c r="BM403" s="386"/>
      <c r="BN403" s="386"/>
      <c r="BO403" s="386"/>
      <c r="BP403" s="386"/>
      <c r="BQ403" s="386"/>
      <c r="BR403" s="386"/>
      <c r="BS403" s="386"/>
      <c r="BT403" s="386"/>
      <c r="BU403" s="386"/>
      <c r="BV403" s="259"/>
      <c r="BY403" s="246"/>
      <c r="BZ403" s="334"/>
      <c r="CA403" s="259"/>
      <c r="CB403" s="259"/>
      <c r="CC403" s="246"/>
      <c r="CD403" s="246"/>
      <c r="CE403" s="334"/>
      <c r="CF403" s="334"/>
      <c r="CG403" s="14"/>
      <c r="CH403" s="334"/>
      <c r="CM403" s="27"/>
      <c r="CN403" s="27"/>
      <c r="CO403" s="157"/>
      <c r="CP403" s="157"/>
      <c r="CQ403" s="157"/>
      <c r="CR403" s="27"/>
      <c r="CS403" s="27"/>
      <c r="CT403" s="27"/>
      <c r="CU403" s="27"/>
      <c r="CV403" s="27"/>
      <c r="CW403" s="27"/>
      <c r="CX403" s="27"/>
      <c r="CY403" s="27"/>
      <c r="CZ403" s="27"/>
    </row>
    <row r="404" spans="1:107" ht="15.05" hidden="1" customHeight="1">
      <c r="A404" s="108"/>
      <c r="B404" s="250"/>
      <c r="C404" s="1093"/>
      <c r="D404" s="1093"/>
      <c r="E404" s="1093"/>
      <c r="F404" s="1093"/>
      <c r="G404" s="1060"/>
      <c r="H404" s="1093"/>
      <c r="I404" s="1094"/>
      <c r="J404" s="1066"/>
      <c r="K404" s="1066"/>
      <c r="L404" s="1066"/>
      <c r="M404" s="1066"/>
      <c r="N404" s="1066"/>
      <c r="O404" s="419"/>
      <c r="P404" s="419"/>
      <c r="Q404" s="419"/>
      <c r="R404" s="419"/>
      <c r="S404" s="419"/>
      <c r="T404" s="419"/>
      <c r="U404" s="419"/>
      <c r="V404" s="419"/>
      <c r="W404" s="419"/>
      <c r="X404" s="419"/>
      <c r="Y404" s="419"/>
      <c r="Z404" s="419"/>
      <c r="AA404" s="419"/>
      <c r="AB404" s="419"/>
      <c r="AC404" s="419"/>
      <c r="AD404" s="22"/>
      <c r="AE404" s="419"/>
      <c r="AF404" s="419"/>
      <c r="AG404" s="419"/>
      <c r="AH404" s="419"/>
      <c r="AI404" s="419"/>
      <c r="AJ404" s="419"/>
      <c r="AK404" s="419"/>
      <c r="AL404" s="419"/>
      <c r="AM404" s="419"/>
      <c r="AN404" s="419"/>
      <c r="AO404" s="419"/>
      <c r="AP404" s="419"/>
      <c r="AQ404" s="419"/>
      <c r="AR404" s="419"/>
      <c r="AS404" s="419"/>
      <c r="AT404" s="419"/>
      <c r="AU404" s="419"/>
      <c r="AV404" s="419"/>
      <c r="AW404" s="419"/>
      <c r="AX404" s="419"/>
      <c r="AY404" s="419"/>
      <c r="AZ404" s="419"/>
      <c r="BA404" s="419"/>
      <c r="BC404" s="419"/>
      <c r="BD404" s="419"/>
      <c r="BE404" s="419"/>
      <c r="BF404" s="419"/>
      <c r="BG404" s="419"/>
      <c r="BH404" s="419"/>
      <c r="BI404" s="419"/>
      <c r="BJ404" s="419"/>
      <c r="BK404" s="419"/>
      <c r="BL404" s="246"/>
      <c r="BM404" s="386"/>
      <c r="BN404" s="386"/>
      <c r="BO404" s="386"/>
      <c r="BP404" s="386"/>
      <c r="BQ404" s="386"/>
      <c r="BR404" s="386"/>
      <c r="BS404" s="386"/>
      <c r="BT404" s="386"/>
      <c r="BU404" s="386"/>
      <c r="BV404" s="259"/>
      <c r="BY404" s="246"/>
      <c r="BZ404" s="334"/>
      <c r="CA404" s="259"/>
      <c r="CB404" s="259"/>
      <c r="CC404" s="246"/>
      <c r="CD404" s="246"/>
      <c r="CE404" s="334"/>
      <c r="CF404" s="334"/>
      <c r="CG404" s="14"/>
      <c r="CH404" s="334"/>
      <c r="CM404" s="27"/>
      <c r="CN404" s="27"/>
      <c r="CO404" s="157"/>
      <c r="CP404" s="157"/>
      <c r="CQ404" s="157"/>
      <c r="CR404" s="27"/>
      <c r="CS404" s="27"/>
      <c r="CT404" s="27"/>
      <c r="CU404" s="27"/>
      <c r="CV404" s="27"/>
      <c r="CW404" s="27"/>
      <c r="CX404" s="27"/>
      <c r="CY404" s="27"/>
      <c r="CZ404" s="27"/>
    </row>
    <row r="405" spans="1:107" ht="15.05" hidden="1" customHeight="1">
      <c r="A405" s="108"/>
      <c r="B405" s="250"/>
      <c r="C405" s="1093"/>
      <c r="D405" s="1093"/>
      <c r="E405" s="1093"/>
      <c r="F405" s="1093"/>
      <c r="G405" s="1060"/>
      <c r="H405" s="1093"/>
      <c r="I405" s="1094"/>
      <c r="J405" s="1066"/>
      <c r="K405" s="1066"/>
      <c r="L405" s="1066"/>
      <c r="M405" s="1066"/>
      <c r="N405" s="1066"/>
      <c r="O405" s="419"/>
      <c r="P405" s="419"/>
      <c r="Q405" s="419"/>
      <c r="R405" s="419"/>
      <c r="S405" s="419"/>
      <c r="T405" s="419"/>
      <c r="U405" s="419"/>
      <c r="V405" s="419"/>
      <c r="W405" s="419"/>
      <c r="X405" s="419"/>
      <c r="Y405" s="419"/>
      <c r="Z405" s="419"/>
      <c r="AA405" s="419"/>
      <c r="AB405" s="419"/>
      <c r="AC405" s="419"/>
      <c r="AD405" s="22"/>
      <c r="AE405" s="419"/>
      <c r="AF405" s="419"/>
      <c r="AG405" s="419"/>
      <c r="AH405" s="419"/>
      <c r="AI405" s="419"/>
      <c r="AJ405" s="419"/>
      <c r="AK405" s="419"/>
      <c r="AL405" s="419"/>
      <c r="AM405" s="419"/>
      <c r="AN405" s="419"/>
      <c r="AO405" s="419"/>
      <c r="AP405" s="419"/>
      <c r="AQ405" s="419"/>
      <c r="AR405" s="419"/>
      <c r="AS405" s="419"/>
      <c r="AT405" s="419"/>
      <c r="AU405" s="419"/>
      <c r="AV405" s="419"/>
      <c r="AW405" s="419"/>
      <c r="AX405" s="419"/>
      <c r="AY405" s="419"/>
      <c r="AZ405" s="419"/>
      <c r="BA405" s="419"/>
      <c r="BC405" s="419"/>
      <c r="BD405" s="419"/>
      <c r="BE405" s="419"/>
      <c r="BF405" s="419"/>
      <c r="BG405" s="419"/>
      <c r="BH405" s="419"/>
      <c r="BI405" s="419"/>
      <c r="BJ405" s="419"/>
      <c r="BK405" s="419"/>
      <c r="BL405" s="246"/>
      <c r="BM405" s="386"/>
      <c r="BN405" s="386"/>
      <c r="BO405" s="386"/>
      <c r="BP405" s="386"/>
      <c r="BQ405" s="386"/>
      <c r="BR405" s="386"/>
      <c r="BS405" s="386"/>
      <c r="BT405" s="386"/>
      <c r="BU405" s="386"/>
      <c r="BV405" s="259"/>
      <c r="BY405" s="246"/>
      <c r="BZ405" s="334"/>
      <c r="CA405" s="259"/>
      <c r="CB405" s="259"/>
      <c r="CC405" s="246"/>
      <c r="CD405" s="246"/>
      <c r="CE405" s="334"/>
      <c r="CF405" s="334"/>
      <c r="CG405" s="14"/>
      <c r="CH405" s="334"/>
      <c r="CM405" s="27"/>
      <c r="CN405" s="27"/>
      <c r="CO405" s="157"/>
      <c r="CP405" s="157"/>
      <c r="CQ405" s="157"/>
      <c r="CR405" s="27"/>
      <c r="CS405" s="27"/>
      <c r="CT405" s="27"/>
      <c r="CU405" s="27"/>
      <c r="CV405" s="27"/>
      <c r="CW405" s="27"/>
      <c r="CX405" s="27"/>
      <c r="CY405" s="27"/>
      <c r="CZ405" s="27"/>
    </row>
    <row r="406" spans="1:107" ht="15.05" hidden="1" customHeight="1">
      <c r="A406" s="108"/>
      <c r="B406" s="250"/>
      <c r="C406" s="1093"/>
      <c r="D406" s="1093"/>
      <c r="E406" s="1093"/>
      <c r="F406" s="1093"/>
      <c r="G406" s="1060"/>
      <c r="H406" s="1093"/>
      <c r="I406" s="1094"/>
      <c r="J406" s="1066"/>
      <c r="K406" s="1066"/>
      <c r="L406" s="1066"/>
      <c r="M406" s="1066"/>
      <c r="N406" s="1066"/>
      <c r="O406" s="419"/>
      <c r="P406" s="419"/>
      <c r="Q406" s="419"/>
      <c r="R406" s="419"/>
      <c r="S406" s="419"/>
      <c r="T406" s="419"/>
      <c r="U406" s="419"/>
      <c r="V406" s="419"/>
      <c r="W406" s="419"/>
      <c r="X406" s="419"/>
      <c r="Y406" s="419"/>
      <c r="Z406" s="419"/>
      <c r="AA406" s="419"/>
      <c r="AB406" s="419"/>
      <c r="AC406" s="419"/>
      <c r="AD406" s="22"/>
      <c r="AE406" s="419"/>
      <c r="AF406" s="419"/>
      <c r="AG406" s="419"/>
      <c r="AH406" s="419"/>
      <c r="AI406" s="419"/>
      <c r="AJ406" s="419"/>
      <c r="AK406" s="419"/>
      <c r="AL406" s="419"/>
      <c r="AM406" s="419"/>
      <c r="AN406" s="419"/>
      <c r="AO406" s="419"/>
      <c r="AP406" s="419"/>
      <c r="AQ406" s="419"/>
      <c r="AR406" s="419"/>
      <c r="AS406" s="419"/>
      <c r="AT406" s="419"/>
      <c r="AU406" s="419"/>
      <c r="AV406" s="419"/>
      <c r="AW406" s="419"/>
      <c r="AX406" s="419"/>
      <c r="AY406" s="419"/>
      <c r="AZ406" s="419"/>
      <c r="BA406" s="419"/>
      <c r="BC406" s="419"/>
      <c r="BD406" s="419"/>
      <c r="BE406" s="419"/>
      <c r="BF406" s="419"/>
      <c r="BG406" s="419"/>
      <c r="BH406" s="419"/>
      <c r="BI406" s="419"/>
      <c r="BJ406" s="419"/>
      <c r="BK406" s="419"/>
      <c r="BL406" s="246"/>
      <c r="BM406" s="386"/>
      <c r="BN406" s="386"/>
      <c r="BO406" s="386"/>
      <c r="BP406" s="386"/>
      <c r="BQ406" s="386"/>
      <c r="BR406" s="386"/>
      <c r="BS406" s="386"/>
      <c r="BT406" s="386"/>
      <c r="BU406" s="386"/>
      <c r="BV406" s="259"/>
      <c r="BY406" s="246"/>
      <c r="BZ406" s="334"/>
      <c r="CA406" s="259"/>
      <c r="CB406" s="259"/>
      <c r="CC406" s="246"/>
      <c r="CD406" s="246"/>
      <c r="CE406" s="334"/>
      <c r="CF406" s="334"/>
      <c r="CG406" s="14"/>
      <c r="CH406" s="334"/>
      <c r="CM406" s="27"/>
      <c r="CN406" s="27"/>
      <c r="CO406" s="157"/>
      <c r="CP406" s="157"/>
      <c r="CQ406" s="157"/>
      <c r="CR406" s="27"/>
      <c r="CS406" s="27"/>
      <c r="CT406" s="27"/>
      <c r="CU406" s="27"/>
      <c r="CV406" s="27"/>
      <c r="CW406" s="27"/>
      <c r="CX406" s="27"/>
      <c r="CY406" s="27"/>
      <c r="CZ406" s="27"/>
    </row>
    <row r="407" spans="1:107" ht="15.05" hidden="1" customHeight="1">
      <c r="A407" s="108"/>
      <c r="B407" s="250"/>
      <c r="C407" s="1093"/>
      <c r="D407" s="1093"/>
      <c r="E407" s="1093"/>
      <c r="F407" s="1093"/>
      <c r="G407" s="1060"/>
      <c r="H407" s="1093"/>
      <c r="I407" s="1094"/>
      <c r="J407" s="1066"/>
      <c r="K407" s="1066"/>
      <c r="L407" s="1066"/>
      <c r="M407" s="1066"/>
      <c r="N407" s="1066"/>
      <c r="O407" s="419"/>
      <c r="P407" s="419"/>
      <c r="Q407" s="419"/>
      <c r="R407" s="419"/>
      <c r="S407" s="419"/>
      <c r="T407" s="419"/>
      <c r="U407" s="419"/>
      <c r="V407" s="419"/>
      <c r="W407" s="419"/>
      <c r="X407" s="419"/>
      <c r="Y407" s="419"/>
      <c r="Z407" s="419"/>
      <c r="AA407" s="419"/>
      <c r="AB407" s="419"/>
      <c r="AC407" s="419"/>
      <c r="AD407" s="22"/>
      <c r="AE407" s="419"/>
      <c r="AF407" s="419"/>
      <c r="AG407" s="419"/>
      <c r="AH407" s="419"/>
      <c r="AI407" s="419"/>
      <c r="AJ407" s="419"/>
      <c r="AK407" s="419"/>
      <c r="AL407" s="419"/>
      <c r="AM407" s="419"/>
      <c r="AN407" s="419"/>
      <c r="AO407" s="419"/>
      <c r="AP407" s="419"/>
      <c r="AQ407" s="419"/>
      <c r="AR407" s="419"/>
      <c r="AS407" s="419"/>
      <c r="AT407" s="419"/>
      <c r="AU407" s="419"/>
      <c r="AV407" s="419"/>
      <c r="AW407" s="419"/>
      <c r="AX407" s="419"/>
      <c r="AY407" s="419"/>
      <c r="AZ407" s="419"/>
      <c r="BA407" s="419"/>
      <c r="BC407" s="419"/>
      <c r="BD407" s="419"/>
      <c r="BE407" s="419"/>
      <c r="BF407" s="419"/>
      <c r="BG407" s="419"/>
      <c r="BH407" s="419"/>
      <c r="BI407" s="419"/>
      <c r="BJ407" s="419"/>
      <c r="BK407" s="419"/>
      <c r="BL407" s="246"/>
      <c r="BM407" s="386"/>
      <c r="BN407" s="386"/>
      <c r="BO407" s="386"/>
      <c r="BP407" s="386"/>
      <c r="BQ407" s="386"/>
      <c r="BR407" s="386"/>
      <c r="BS407" s="386"/>
      <c r="BT407" s="386"/>
      <c r="BU407" s="386"/>
      <c r="BV407" s="259"/>
      <c r="BY407" s="246"/>
      <c r="BZ407" s="334"/>
      <c r="CA407" s="259"/>
      <c r="CB407" s="259"/>
      <c r="CC407" s="246"/>
      <c r="CD407" s="246"/>
      <c r="CE407" s="334"/>
      <c r="CF407" s="334"/>
      <c r="CG407" s="14"/>
      <c r="CH407" s="334"/>
      <c r="CM407" s="27"/>
      <c r="CN407" s="27"/>
      <c r="CO407" s="157"/>
      <c r="CP407" s="157"/>
      <c r="CQ407" s="157"/>
      <c r="CR407" s="27"/>
      <c r="CS407" s="27"/>
      <c r="CT407" s="27"/>
      <c r="CU407" s="27"/>
      <c r="CV407" s="27"/>
      <c r="CW407" s="27"/>
      <c r="CX407" s="27"/>
      <c r="CY407" s="27"/>
      <c r="CZ407" s="27"/>
    </row>
    <row r="408" spans="1:107" ht="15.05" hidden="1" customHeight="1">
      <c r="A408" s="108"/>
      <c r="B408" s="250"/>
      <c r="C408" s="1093"/>
      <c r="D408" s="1093"/>
      <c r="E408" s="1093"/>
      <c r="F408" s="1093"/>
      <c r="G408" s="1060"/>
      <c r="H408" s="1093"/>
      <c r="I408" s="1094"/>
      <c r="J408" s="1066"/>
      <c r="K408" s="1066"/>
      <c r="L408" s="1066"/>
      <c r="M408" s="1066"/>
      <c r="N408" s="1066"/>
      <c r="O408" s="419"/>
      <c r="P408" s="419"/>
      <c r="Q408" s="419"/>
      <c r="R408" s="419"/>
      <c r="S408" s="419"/>
      <c r="T408" s="419"/>
      <c r="U408" s="419"/>
      <c r="V408" s="419"/>
      <c r="W408" s="419"/>
      <c r="X408" s="419"/>
      <c r="Y408" s="419"/>
      <c r="Z408" s="419"/>
      <c r="AA408" s="419"/>
      <c r="AB408" s="419"/>
      <c r="AC408" s="419"/>
      <c r="AD408" s="22"/>
      <c r="AE408" s="419"/>
      <c r="AF408" s="419"/>
      <c r="AG408" s="419"/>
      <c r="AH408" s="419"/>
      <c r="AI408" s="419"/>
      <c r="AJ408" s="419"/>
      <c r="AK408" s="419"/>
      <c r="AL408" s="419"/>
      <c r="AM408" s="419"/>
      <c r="AN408" s="419"/>
      <c r="AO408" s="419"/>
      <c r="AP408" s="419"/>
      <c r="AQ408" s="419"/>
      <c r="AR408" s="419"/>
      <c r="AS408" s="419"/>
      <c r="AT408" s="419"/>
      <c r="AU408" s="419"/>
      <c r="AV408" s="419"/>
      <c r="AW408" s="419"/>
      <c r="AX408" s="419"/>
      <c r="AY408" s="419"/>
      <c r="AZ408" s="419"/>
      <c r="BA408" s="419"/>
      <c r="BC408" s="419"/>
      <c r="BD408" s="419"/>
      <c r="BE408" s="419"/>
      <c r="BF408" s="419"/>
      <c r="BG408" s="419"/>
      <c r="BH408" s="419"/>
      <c r="BI408" s="419"/>
      <c r="BJ408" s="419"/>
      <c r="BK408" s="419"/>
      <c r="BL408" s="246"/>
      <c r="BM408" s="386"/>
      <c r="BN408" s="386"/>
      <c r="BO408" s="386"/>
      <c r="BP408" s="386"/>
      <c r="BQ408" s="386"/>
      <c r="BR408" s="386"/>
      <c r="BS408" s="386"/>
      <c r="BT408" s="386"/>
      <c r="BU408" s="386"/>
      <c r="BV408" s="259"/>
      <c r="BY408" s="246"/>
      <c r="BZ408" s="334"/>
      <c r="CA408" s="259"/>
      <c r="CB408" s="259"/>
      <c r="CC408" s="246"/>
      <c r="CD408" s="246"/>
      <c r="CE408" s="334"/>
      <c r="CF408" s="334"/>
      <c r="CG408" s="14"/>
      <c r="CH408" s="334"/>
      <c r="CM408" s="27"/>
      <c r="CN408" s="27"/>
      <c r="CO408" s="157"/>
      <c r="CP408" s="157"/>
      <c r="CQ408" s="157"/>
      <c r="CR408" s="27"/>
      <c r="CS408" s="27"/>
      <c r="CT408" s="27"/>
      <c r="CU408" s="27"/>
      <c r="CV408" s="27"/>
      <c r="CW408" s="27"/>
      <c r="CX408" s="27"/>
      <c r="CY408" s="27"/>
      <c r="CZ408" s="27"/>
    </row>
    <row r="409" spans="1:107" ht="15.05" hidden="1" customHeight="1">
      <c r="A409" s="108"/>
      <c r="B409" s="250"/>
      <c r="C409" s="1093"/>
      <c r="D409" s="1093"/>
      <c r="E409" s="1093"/>
      <c r="F409" s="1093"/>
      <c r="G409" s="1060"/>
      <c r="H409" s="1093"/>
      <c r="I409" s="1094"/>
      <c r="J409" s="1066"/>
      <c r="K409" s="1066"/>
      <c r="L409" s="1066"/>
      <c r="M409" s="1066"/>
      <c r="N409" s="1066"/>
      <c r="O409" s="419"/>
      <c r="P409" s="419"/>
      <c r="Q409" s="419"/>
      <c r="R409" s="419"/>
      <c r="S409" s="419"/>
      <c r="T409" s="419"/>
      <c r="U409" s="419"/>
      <c r="V409" s="419"/>
      <c r="W409" s="419"/>
      <c r="X409" s="419"/>
      <c r="Y409" s="419"/>
      <c r="Z409" s="419"/>
      <c r="AA409" s="419"/>
      <c r="AB409" s="419"/>
      <c r="AC409" s="419"/>
      <c r="AD409" s="22"/>
      <c r="AE409" s="419"/>
      <c r="AF409" s="419"/>
      <c r="AG409" s="419"/>
      <c r="AH409" s="419"/>
      <c r="AI409" s="419"/>
      <c r="AJ409" s="419"/>
      <c r="AK409" s="419"/>
      <c r="AL409" s="419"/>
      <c r="AM409" s="419"/>
      <c r="AN409" s="419"/>
      <c r="AO409" s="419"/>
      <c r="AP409" s="419"/>
      <c r="AQ409" s="419"/>
      <c r="AR409" s="419"/>
      <c r="AS409" s="419"/>
      <c r="AT409" s="419"/>
      <c r="AU409" s="419"/>
      <c r="AV409" s="419"/>
      <c r="AW409" s="419"/>
      <c r="AX409" s="419"/>
      <c r="AY409" s="419"/>
      <c r="AZ409" s="419"/>
      <c r="BA409" s="419"/>
      <c r="BC409" s="419"/>
      <c r="BD409" s="419"/>
      <c r="BE409" s="419"/>
      <c r="BF409" s="419"/>
      <c r="BG409" s="419"/>
      <c r="BH409" s="419"/>
      <c r="BI409" s="419"/>
      <c r="BJ409" s="419"/>
      <c r="BK409" s="419"/>
      <c r="BL409" s="246"/>
      <c r="BM409" s="386"/>
      <c r="BN409" s="386"/>
      <c r="BO409" s="386"/>
      <c r="BP409" s="386"/>
      <c r="BQ409" s="386"/>
      <c r="BR409" s="386"/>
      <c r="BS409" s="386"/>
      <c r="BT409" s="386"/>
      <c r="BU409" s="386"/>
      <c r="BV409" s="259"/>
      <c r="BY409" s="246"/>
      <c r="BZ409" s="334"/>
      <c r="CA409" s="259"/>
      <c r="CB409" s="259"/>
      <c r="CC409" s="246"/>
      <c r="CD409" s="246"/>
      <c r="CE409" s="334"/>
      <c r="CF409" s="334"/>
      <c r="CG409" s="14"/>
      <c r="CH409" s="334"/>
      <c r="CM409" s="27"/>
      <c r="CN409" s="27"/>
      <c r="CO409" s="157"/>
      <c r="CP409" s="157"/>
      <c r="CQ409" s="157"/>
      <c r="CR409" s="27"/>
      <c r="CS409" s="27"/>
      <c r="CT409" s="27"/>
      <c r="CU409" s="27"/>
      <c r="CV409" s="27"/>
      <c r="CW409" s="27"/>
      <c r="CX409" s="27"/>
      <c r="CY409" s="27"/>
      <c r="CZ409" s="27"/>
    </row>
    <row r="410" spans="1:107" ht="15.05" hidden="1" customHeight="1">
      <c r="A410" s="108"/>
      <c r="B410" s="250"/>
      <c r="C410" s="1093"/>
      <c r="D410" s="1093"/>
      <c r="E410" s="1093"/>
      <c r="F410" s="1093"/>
      <c r="G410" s="1060"/>
      <c r="H410" s="1093"/>
      <c r="I410" s="1094"/>
      <c r="J410" s="1066"/>
      <c r="K410" s="1066"/>
      <c r="L410" s="1066"/>
      <c r="M410" s="1066"/>
      <c r="N410" s="1066"/>
      <c r="O410" s="419"/>
      <c r="P410" s="419"/>
      <c r="Q410" s="419"/>
      <c r="R410" s="419"/>
      <c r="S410" s="419"/>
      <c r="T410" s="419"/>
      <c r="U410" s="419"/>
      <c r="V410" s="419"/>
      <c r="W410" s="419"/>
      <c r="X410" s="419"/>
      <c r="Y410" s="419"/>
      <c r="Z410" s="419"/>
      <c r="AA410" s="419"/>
      <c r="AB410" s="419"/>
      <c r="AC410" s="419"/>
      <c r="AD410" s="22"/>
      <c r="AE410" s="419"/>
      <c r="AF410" s="419"/>
      <c r="AG410" s="419"/>
      <c r="AH410" s="419"/>
      <c r="AI410" s="419"/>
      <c r="AJ410" s="419"/>
      <c r="AK410" s="419"/>
      <c r="AL410" s="419"/>
      <c r="AM410" s="419"/>
      <c r="AN410" s="419"/>
      <c r="AO410" s="419"/>
      <c r="AP410" s="419"/>
      <c r="AQ410" s="419"/>
      <c r="AR410" s="419"/>
      <c r="AS410" s="419"/>
      <c r="AT410" s="419"/>
      <c r="AU410" s="419"/>
      <c r="AV410" s="419"/>
      <c r="AW410" s="419"/>
      <c r="AX410" s="419"/>
      <c r="AY410" s="419"/>
      <c r="AZ410" s="419"/>
      <c r="BA410" s="419"/>
      <c r="BC410" s="419"/>
      <c r="BD410" s="419"/>
      <c r="BE410" s="419"/>
      <c r="BF410" s="419"/>
      <c r="BG410" s="419"/>
      <c r="BH410" s="419"/>
      <c r="BI410" s="419"/>
      <c r="BJ410" s="419"/>
      <c r="BK410" s="419"/>
      <c r="BL410" s="246"/>
      <c r="BM410" s="386"/>
      <c r="BN410" s="386"/>
      <c r="BO410" s="386"/>
      <c r="BP410" s="386"/>
      <c r="BQ410" s="386"/>
      <c r="BR410" s="386"/>
      <c r="BS410" s="386"/>
      <c r="BT410" s="386"/>
      <c r="BU410" s="386"/>
      <c r="BV410" s="259"/>
      <c r="BY410" s="246"/>
      <c r="BZ410" s="334"/>
      <c r="CA410" s="259"/>
      <c r="CB410" s="259"/>
      <c r="CC410" s="246"/>
      <c r="CD410" s="246"/>
      <c r="CE410" s="334"/>
      <c r="CF410" s="334"/>
      <c r="CG410" s="14"/>
      <c r="CH410" s="334"/>
      <c r="CM410" s="27"/>
      <c r="CN410" s="27"/>
      <c r="CO410" s="157"/>
      <c r="CP410" s="157"/>
      <c r="CQ410" s="157"/>
      <c r="CR410" s="27"/>
      <c r="CS410" s="27"/>
      <c r="CT410" s="27"/>
      <c r="CU410" s="27"/>
      <c r="CV410" s="27"/>
      <c r="CW410" s="27"/>
      <c r="CX410" s="27"/>
      <c r="CY410" s="27"/>
      <c r="CZ410" s="27"/>
    </row>
    <row r="411" spans="1:107" ht="15.05" hidden="1" customHeight="1">
      <c r="A411" s="108"/>
      <c r="B411" s="250"/>
      <c r="C411" s="1093"/>
      <c r="D411" s="1093"/>
      <c r="E411" s="1093"/>
      <c r="F411" s="1093"/>
      <c r="G411" s="1060"/>
      <c r="H411" s="1093"/>
      <c r="I411" s="1094"/>
      <c r="J411" s="1066"/>
      <c r="K411" s="1066"/>
      <c r="L411" s="1066"/>
      <c r="M411" s="1066"/>
      <c r="N411" s="1066"/>
      <c r="O411" s="419"/>
      <c r="P411" s="419"/>
      <c r="Q411" s="419"/>
      <c r="R411" s="419"/>
      <c r="S411" s="419"/>
      <c r="T411" s="419"/>
      <c r="U411" s="419"/>
      <c r="V411" s="419"/>
      <c r="W411" s="419"/>
      <c r="X411" s="419"/>
      <c r="Y411" s="419"/>
      <c r="Z411" s="419"/>
      <c r="AA411" s="419"/>
      <c r="AB411" s="419"/>
      <c r="AC411" s="419"/>
      <c r="AD411" s="22"/>
      <c r="AE411" s="419"/>
      <c r="AF411" s="419"/>
      <c r="AG411" s="419"/>
      <c r="AH411" s="419"/>
      <c r="AI411" s="419"/>
      <c r="AJ411" s="419"/>
      <c r="AK411" s="419"/>
      <c r="AL411" s="419"/>
      <c r="AM411" s="419"/>
      <c r="AN411" s="419"/>
      <c r="AO411" s="419"/>
      <c r="AP411" s="419"/>
      <c r="AQ411" s="419"/>
      <c r="AR411" s="419"/>
      <c r="AS411" s="419"/>
      <c r="AT411" s="419"/>
      <c r="AU411" s="419"/>
      <c r="AV411" s="419"/>
      <c r="AW411" s="419"/>
      <c r="AX411" s="419"/>
      <c r="AY411" s="419"/>
      <c r="AZ411" s="419"/>
      <c r="BA411" s="419"/>
      <c r="BC411" s="419"/>
      <c r="BD411" s="419"/>
      <c r="BE411" s="419"/>
      <c r="BF411" s="419"/>
      <c r="BG411" s="419"/>
      <c r="BH411" s="419"/>
      <c r="BI411" s="419"/>
      <c r="BJ411" s="419"/>
      <c r="BK411" s="419"/>
      <c r="BL411" s="246"/>
      <c r="BM411" s="386"/>
      <c r="BN411" s="386"/>
      <c r="BO411" s="386"/>
      <c r="BP411" s="386"/>
      <c r="BQ411" s="386"/>
      <c r="BR411" s="386"/>
      <c r="BS411" s="386"/>
      <c r="BT411" s="386"/>
      <c r="BU411" s="386"/>
      <c r="BV411" s="259"/>
      <c r="BY411" s="246"/>
      <c r="BZ411" s="334"/>
      <c r="CA411" s="259"/>
      <c r="CB411" s="259"/>
      <c r="CC411" s="246"/>
      <c r="CD411" s="246"/>
      <c r="CE411" s="334"/>
      <c r="CF411" s="334"/>
      <c r="CG411" s="14"/>
      <c r="CH411" s="334"/>
      <c r="CM411" s="27"/>
      <c r="CN411" s="27"/>
      <c r="CO411" s="157"/>
      <c r="CP411" s="157"/>
      <c r="CQ411" s="157"/>
      <c r="CR411" s="27"/>
      <c r="CS411" s="27"/>
      <c r="CT411" s="27"/>
      <c r="CU411" s="27"/>
      <c r="CV411" s="27"/>
      <c r="CW411" s="27"/>
      <c r="CX411" s="27"/>
      <c r="CY411" s="27"/>
      <c r="CZ411" s="27"/>
    </row>
    <row r="412" spans="1:107" ht="15.05" hidden="1" customHeight="1">
      <c r="A412" s="108"/>
      <c r="B412" s="250"/>
      <c r="C412" s="1093"/>
      <c r="D412" s="1093"/>
      <c r="E412" s="1093"/>
      <c r="F412" s="1093"/>
      <c r="G412" s="1060"/>
      <c r="H412" s="1093"/>
      <c r="I412" s="1094"/>
      <c r="J412" s="1066"/>
      <c r="K412" s="1066"/>
      <c r="L412" s="1066"/>
      <c r="M412" s="1066"/>
      <c r="N412" s="1066"/>
      <c r="O412" s="419"/>
      <c r="P412" s="419"/>
      <c r="Q412" s="419"/>
      <c r="R412" s="419"/>
      <c r="S412" s="419"/>
      <c r="T412" s="419"/>
      <c r="U412" s="419"/>
      <c r="V412" s="419"/>
      <c r="W412" s="419"/>
      <c r="X412" s="419"/>
      <c r="Y412" s="419"/>
      <c r="Z412" s="419"/>
      <c r="AA412" s="419"/>
      <c r="AB412" s="419"/>
      <c r="AC412" s="419"/>
      <c r="AD412" s="22"/>
      <c r="AE412" s="419"/>
      <c r="AF412" s="419"/>
      <c r="AG412" s="419"/>
      <c r="AH412" s="419"/>
      <c r="AI412" s="419"/>
      <c r="AJ412" s="419"/>
      <c r="AK412" s="419"/>
      <c r="AL412" s="419"/>
      <c r="AM412" s="419"/>
      <c r="AN412" s="419"/>
      <c r="AO412" s="419"/>
      <c r="AP412" s="419"/>
      <c r="AQ412" s="419"/>
      <c r="AR412" s="419"/>
      <c r="AS412" s="419"/>
      <c r="AT412" s="419"/>
      <c r="AU412" s="419"/>
      <c r="AV412" s="419"/>
      <c r="AW412" s="419"/>
      <c r="AX412" s="419"/>
      <c r="AY412" s="419"/>
      <c r="AZ412" s="419"/>
      <c r="BA412" s="419"/>
      <c r="BC412" s="419"/>
      <c r="BD412" s="419"/>
      <c r="BE412" s="419"/>
      <c r="BF412" s="419"/>
      <c r="BG412" s="419"/>
      <c r="BH412" s="419"/>
      <c r="BI412" s="419"/>
      <c r="BJ412" s="419"/>
      <c r="BK412" s="419"/>
      <c r="BL412" s="246"/>
      <c r="BM412" s="386"/>
      <c r="BN412" s="386"/>
      <c r="BO412" s="386"/>
      <c r="BP412" s="386"/>
      <c r="BQ412" s="386"/>
      <c r="BR412" s="386"/>
      <c r="BS412" s="386"/>
      <c r="BT412" s="386"/>
      <c r="BU412" s="386"/>
      <c r="BV412" s="259"/>
      <c r="BY412" s="246"/>
      <c r="BZ412" s="334"/>
      <c r="CA412" s="259"/>
      <c r="CB412" s="259"/>
      <c r="CC412" s="246"/>
      <c r="CD412" s="246"/>
      <c r="CE412" s="334"/>
      <c r="CF412" s="334"/>
      <c r="CG412" s="14"/>
      <c r="CH412" s="334"/>
      <c r="CM412" s="27"/>
      <c r="CN412" s="27"/>
      <c r="CO412" s="157"/>
      <c r="CP412" s="157"/>
      <c r="CQ412" s="157"/>
      <c r="CR412" s="27"/>
      <c r="CS412" s="27"/>
      <c r="CT412" s="27"/>
      <c r="CU412" s="27"/>
      <c r="CV412" s="27"/>
      <c r="CW412" s="27"/>
      <c r="CX412" s="27"/>
      <c r="CY412" s="27"/>
      <c r="CZ412" s="27"/>
    </row>
    <row r="413" spans="1:107" ht="15.05" hidden="1" customHeight="1">
      <c r="A413" s="108"/>
      <c r="B413" s="1080"/>
      <c r="C413" s="1081"/>
      <c r="D413" s="1081"/>
      <c r="E413" s="1067"/>
      <c r="G413" s="310" t="s">
        <v>175</v>
      </c>
      <c r="H413" s="310" t="s">
        <v>175</v>
      </c>
      <c r="I413" s="310" t="s">
        <v>175</v>
      </c>
      <c r="J413" s="1066"/>
      <c r="K413" s="1066"/>
      <c r="L413" s="1066"/>
      <c r="M413" s="1066"/>
      <c r="N413" s="1066"/>
      <c r="O413" s="419"/>
      <c r="P413" s="419"/>
      <c r="Q413" s="419"/>
      <c r="R413" s="419"/>
      <c r="T413" s="419" t="s">
        <v>176</v>
      </c>
      <c r="U413" s="246"/>
      <c r="V413" s="246"/>
      <c r="W413" s="419"/>
      <c r="X413" s="419"/>
      <c r="Y413" s="419"/>
      <c r="Z413" s="419"/>
      <c r="AA413" s="419"/>
      <c r="AB413" s="419"/>
      <c r="AC413" s="419"/>
      <c r="AD413" s="419"/>
      <c r="AE413" s="419"/>
      <c r="AF413" s="419"/>
      <c r="AG413" s="22"/>
      <c r="AH413" s="419"/>
      <c r="AI413" s="419"/>
      <c r="AJ413" s="419"/>
      <c r="AK413" s="419"/>
      <c r="AL413" s="419"/>
      <c r="AM413" s="419"/>
      <c r="AN413" s="419"/>
      <c r="AO413" s="419"/>
      <c r="AP413" s="419"/>
      <c r="AQ413" s="419"/>
      <c r="AR413" s="419"/>
      <c r="AS413" s="419"/>
      <c r="AT413" s="419"/>
      <c r="AU413" s="419"/>
      <c r="AV413" s="419"/>
      <c r="AW413" s="419"/>
      <c r="AX413" s="419"/>
      <c r="AY413" s="419"/>
      <c r="AZ413" s="419"/>
      <c r="BA413" s="419"/>
      <c r="BB413" s="419"/>
      <c r="BC413" s="419"/>
      <c r="BD413" s="419"/>
      <c r="BF413" s="419"/>
      <c r="BG413" s="419"/>
      <c r="BH413" s="419"/>
      <c r="BI413" s="419"/>
      <c r="BJ413" s="419"/>
      <c r="BK413" s="419"/>
      <c r="BL413" s="419"/>
      <c r="BM413" s="419"/>
      <c r="BN413" s="419"/>
      <c r="BO413" s="246"/>
      <c r="BP413" s="386"/>
      <c r="BQ413" s="386"/>
      <c r="BR413" s="386"/>
      <c r="BS413" s="386"/>
      <c r="BT413" s="386"/>
      <c r="BU413" s="386"/>
      <c r="BV413" s="386"/>
      <c r="BW413" s="386"/>
      <c r="BX413" s="386"/>
      <c r="BY413" s="259"/>
      <c r="CB413" s="246"/>
      <c r="CC413" s="334"/>
      <c r="CD413" s="259"/>
      <c r="CE413" s="259"/>
      <c r="CF413" s="246"/>
      <c r="CG413" s="246"/>
      <c r="CH413" s="334"/>
      <c r="CI413" s="334"/>
      <c r="CJ413" s="14"/>
      <c r="CK413" s="334"/>
      <c r="CP413" s="27"/>
      <c r="CQ413" s="27"/>
      <c r="CR413" s="157"/>
      <c r="CS413" s="157"/>
      <c r="CT413" s="157"/>
      <c r="CU413" s="27"/>
      <c r="CV413" s="27"/>
      <c r="CW413" s="27"/>
      <c r="CX413" s="27"/>
      <c r="CY413" s="27"/>
      <c r="CZ413" s="27"/>
      <c r="DA413" s="27"/>
      <c r="DB413" s="27"/>
      <c r="DC413" s="27"/>
    </row>
    <row r="414" spans="1:107" ht="38.700000000000003" hidden="1">
      <c r="A414" s="108"/>
      <c r="B414" s="314" t="s">
        <v>540</v>
      </c>
      <c r="C414" s="314" t="s">
        <v>541</v>
      </c>
      <c r="D414" s="314" t="s">
        <v>177</v>
      </c>
      <c r="E414" s="314" t="s">
        <v>530</v>
      </c>
      <c r="F414" s="314" t="s">
        <v>1212</v>
      </c>
      <c r="G414" s="1095" t="s">
        <v>1213</v>
      </c>
      <c r="H414" s="1095" t="s">
        <v>1214</v>
      </c>
      <c r="I414" s="314" t="s">
        <v>1215</v>
      </c>
      <c r="J414" s="1088" t="s">
        <v>836</v>
      </c>
      <c r="K414" s="1088" t="s">
        <v>837</v>
      </c>
      <c r="L414" s="1088" t="s">
        <v>838</v>
      </c>
      <c r="M414" s="1085" t="s">
        <v>1148</v>
      </c>
      <c r="N414" s="1088" t="s">
        <v>839</v>
      </c>
      <c r="O414" s="495" t="s">
        <v>531</v>
      </c>
      <c r="P414" s="495" t="s">
        <v>532</v>
      </c>
      <c r="Q414" s="939" t="s">
        <v>397</v>
      </c>
      <c r="R414" s="939" t="s">
        <v>533</v>
      </c>
      <c r="S414" s="950" t="s">
        <v>1149</v>
      </c>
      <c r="T414" s="507" t="s">
        <v>535</v>
      </c>
      <c r="U414" s="507" t="s">
        <v>536</v>
      </c>
      <c r="V414" s="507" t="s">
        <v>537</v>
      </c>
      <c r="W414" s="939" t="s">
        <v>1148</v>
      </c>
      <c r="X414" s="939" t="s">
        <v>180</v>
      </c>
      <c r="Y414" s="939" t="s">
        <v>538</v>
      </c>
      <c r="Z414" s="939" t="s">
        <v>539</v>
      </c>
      <c r="AA414" s="939" t="s">
        <v>397</v>
      </c>
      <c r="AB414" s="939" t="s">
        <v>533</v>
      </c>
      <c r="AC414" s="939" t="s">
        <v>398</v>
      </c>
      <c r="AD414" s="939" t="s">
        <v>399</v>
      </c>
      <c r="AE414" s="419"/>
      <c r="AF414" s="419"/>
      <c r="AG414" s="22"/>
      <c r="AH414" s="419"/>
      <c r="AI414" s="419"/>
      <c r="AJ414" s="419"/>
      <c r="AK414" s="419"/>
      <c r="AL414" s="419"/>
      <c r="AM414" s="419"/>
      <c r="AN414" s="419"/>
      <c r="AO414" s="419"/>
      <c r="AP414" s="419"/>
      <c r="AQ414" s="419"/>
      <c r="AR414" s="419"/>
      <c r="AS414" s="419"/>
      <c r="AT414" s="419"/>
      <c r="AU414" s="419"/>
      <c r="AV414" s="419"/>
      <c r="AW414" s="419"/>
      <c r="AX414" s="419"/>
      <c r="AY414" s="419"/>
      <c r="AZ414" s="419"/>
      <c r="BA414" s="419"/>
      <c r="BB414" s="419"/>
      <c r="BC414" s="419"/>
      <c r="BD414" s="419"/>
      <c r="BF414" s="419"/>
      <c r="BG414" s="419"/>
      <c r="BH414" s="419"/>
      <c r="BI414" s="419"/>
      <c r="BJ414" s="419"/>
      <c r="BK414" s="419"/>
      <c r="BL414" s="419"/>
      <c r="BM414" s="419"/>
      <c r="BN414" s="419"/>
      <c r="BO414" s="246"/>
      <c r="BP414" s="386"/>
      <c r="BQ414" s="386"/>
      <c r="BR414" s="386"/>
      <c r="BS414" s="386"/>
      <c r="BT414" s="386"/>
      <c r="BU414" s="386"/>
      <c r="BV414" s="386"/>
      <c r="BW414" s="386"/>
      <c r="BX414" s="386"/>
      <c r="BY414" s="259"/>
      <c r="CB414" s="246"/>
      <c r="CC414" s="334"/>
      <c r="CD414" s="259"/>
      <c r="CE414" s="259"/>
      <c r="CF414" s="246"/>
      <c r="CG414" s="246"/>
      <c r="CH414" s="334"/>
      <c r="CI414" s="334"/>
      <c r="CJ414" s="14"/>
      <c r="CK414" s="334"/>
      <c r="CP414" s="27"/>
      <c r="CQ414" s="27"/>
      <c r="CR414" s="157"/>
      <c r="CS414" s="157"/>
      <c r="CT414" s="157"/>
      <c r="CU414" s="27"/>
      <c r="CV414" s="27"/>
      <c r="CW414" s="27"/>
      <c r="CX414" s="27"/>
      <c r="CY414" s="27"/>
      <c r="CZ414" s="27"/>
      <c r="DA414" s="27"/>
      <c r="DB414" s="27"/>
      <c r="DC414" s="27"/>
    </row>
    <row r="415" spans="1:107" ht="15.05" hidden="1" customHeight="1">
      <c r="A415" s="108"/>
      <c r="B415" s="314">
        <v>0</v>
      </c>
      <c r="C415" s="314">
        <f t="shared" ref="C415:C438" si="43">D$340*B415^4+D$341*B415^3+D$342*B415^2+D$343*B415+D$344</f>
        <v>3.3894878730379858</v>
      </c>
      <c r="D415" s="1022">
        <f t="shared" ref="D415:D438" si="44">D$345*B415^4+D$346*B415^3+D$347*B415^2+D$348*B415+D$349</f>
        <v>-1.9863509524587999E-4</v>
      </c>
      <c r="E415" s="1022">
        <f t="shared" ref="E415:E438" si="45">$D$468*(1+0.00393*($D415+$C$806-20))</f>
        <v>30.589476580922266</v>
      </c>
      <c r="F415" s="1022">
        <f t="shared" ref="F415:F438" si="46">$D$468*(1+0.00393*($D415+$C$807-20))</f>
        <v>35.894976580922275</v>
      </c>
      <c r="G415" s="1086">
        <f t="shared" ref="G415:G438" si="47">C415/E415*10^3</f>
        <v>110.80568391130652</v>
      </c>
      <c r="H415" s="1022">
        <f t="shared" ref="H415:H438" si="48">C415/F415*10^3</f>
        <v>94.427917104129151</v>
      </c>
      <c r="I415" s="1087">
        <f>D612</f>
        <v>75</v>
      </c>
      <c r="J415" s="1088" t="e">
        <f t="shared" ref="J415:J438" si="49">($D$329-$D$226)/$C415*$D$226/$D$329/$D$324*10^3</f>
        <v>#DIV/0!</v>
      </c>
      <c r="K415" s="1088" t="e">
        <f t="shared" ref="K415:K438" si="50">($D$328-$D$226)/$C415*$D$226/$D$328/$D$324*10^3</f>
        <v>#DIV/0!</v>
      </c>
      <c r="L415" s="1088" t="e">
        <f t="shared" ref="L415:L438" si="51">($D$330-$D$226)/$C415*$D$226/$D$330/$D$324*10^3</f>
        <v>#DIV/0!</v>
      </c>
      <c r="M415" s="1088">
        <f t="shared" ref="M415:M438" si="52">$D$465/(E415*$D$573/($D$571+$D$573))</f>
        <v>7.8458354579914831</v>
      </c>
      <c r="N415" s="1088" t="e">
        <f t="shared" ref="N415:N435" si="53">M415-0.5*J415</f>
        <v>#DIV/0!</v>
      </c>
      <c r="O415" s="495" t="e">
        <f t="shared" ref="O415:O435" si="54">M415-0.5*K415</f>
        <v>#DIV/0!</v>
      </c>
      <c r="P415" s="495" t="e">
        <f t="shared" ref="P415:P435" si="55">M415-0.5*L415</f>
        <v>#DIV/0!</v>
      </c>
      <c r="Q415" s="495" t="e">
        <f t="shared" ref="Q415:Q435" si="56">$D$465/($D$468*(1+0.00393*($D415+$D$807-20))*$D$573/($D$571+$D$573))-0.5*L415</f>
        <v>#DIV/0!</v>
      </c>
      <c r="R415" s="495" t="e">
        <f t="shared" ref="R415:R435" si="57">$D$465/($D$468*(1+0.00393*($D415+$D$805-20))*$D$573/($D$571+$D$573))-0.5*K415</f>
        <v>#DIV/0!</v>
      </c>
      <c r="S415" s="383">
        <f t="shared" ref="S415:S438" si="58">$B415</f>
        <v>0</v>
      </c>
      <c r="T415" s="384">
        <f t="shared" ref="T415:T438" si="59">$D$482*B415^2*19^-3</f>
        <v>0</v>
      </c>
      <c r="U415" s="384">
        <f t="shared" ref="U415:U438" si="60">T415*$D$484</f>
        <v>0</v>
      </c>
      <c r="V415" s="384">
        <f t="shared" ref="V415:V438" si="61">$D$482*(1+$D$491*10^-6*($D$806+U415-25))</f>
        <v>5.6</v>
      </c>
      <c r="W415" s="495">
        <f t="shared" ref="W415:W438" si="62">$D$465/V415</f>
        <v>10.714285714285715</v>
      </c>
      <c r="X415" s="495" t="e">
        <f t="shared" ref="X415:X435" si="63">W415-0.5*J415</f>
        <v>#DIV/0!</v>
      </c>
      <c r="Y415" s="495" t="e">
        <f t="shared" ref="Y415:Y435" si="64">W415-0.5*K415</f>
        <v>#DIV/0!</v>
      </c>
      <c r="Z415" s="495" t="e">
        <f t="shared" ref="Z415:Z435" si="65">W415-0.5*L415</f>
        <v>#DIV/0!</v>
      </c>
      <c r="AA415" s="495" t="e">
        <f t="shared" ref="AA415:AA435" si="66">$D$465/($D$482*(1+$D$491*10^-6*($D$807+U415-25)))-0.5*L415</f>
        <v>#DIV/0!</v>
      </c>
      <c r="AB415" s="495" t="e">
        <f t="shared" ref="AB415:AB435" si="67">$D$465/($D$482*(1+$D$491*10^-6*($D$805+U415-25)))-0.5*K415</f>
        <v>#DIV/0!</v>
      </c>
      <c r="AC415" s="383" t="e">
        <f t="shared" ref="AC415:AC435" si="68">$D$465/($D$482*(1+$D$491*10^-6*($D$807+U415-25)))*(1-$D$504*(1+$D$522))-0.5*L415*(1+$D$508*$D$522)</f>
        <v>#DIV/0!</v>
      </c>
      <c r="AD415" s="495" t="e">
        <f t="shared" ref="AD415:AD435" si="69">$D$465/($D$482*(1+$D$491*10^-6*($D$805+U415-25)))*(1+$D$500*(1-$D$522))-0.5*K415*(1-$D$508*$D$522)</f>
        <v>#DIV/0!</v>
      </c>
      <c r="AE415" s="419"/>
      <c r="AF415" s="419"/>
      <c r="AG415" s="22"/>
      <c r="AH415" s="419"/>
      <c r="AI415" s="419"/>
      <c r="AJ415" s="419"/>
      <c r="AK415" s="419"/>
      <c r="AL415" s="419"/>
      <c r="AM415" s="419"/>
      <c r="AN415" s="419"/>
      <c r="AO415" s="419"/>
      <c r="AP415" s="419"/>
      <c r="AQ415" s="419"/>
      <c r="AR415" s="419"/>
      <c r="AS415" s="419"/>
      <c r="AT415" s="419"/>
      <c r="AU415" s="419"/>
      <c r="AV415" s="419"/>
      <c r="AW415" s="419"/>
      <c r="AX415" s="419"/>
      <c r="AY415" s="419"/>
      <c r="AZ415" s="419"/>
      <c r="BA415" s="419"/>
      <c r="BB415" s="419"/>
      <c r="BC415" s="419"/>
      <c r="BD415" s="419"/>
      <c r="BF415" s="419"/>
      <c r="BG415" s="419"/>
      <c r="BH415" s="419"/>
      <c r="BI415" s="419"/>
      <c r="BJ415" s="419"/>
      <c r="BK415" s="419"/>
      <c r="BL415" s="419"/>
      <c r="BM415" s="419"/>
      <c r="BN415" s="419"/>
      <c r="BO415" s="246"/>
      <c r="BP415" s="386"/>
      <c r="BQ415" s="386"/>
      <c r="BR415" s="386"/>
      <c r="BS415" s="386"/>
      <c r="BT415" s="386"/>
      <c r="BU415" s="386"/>
      <c r="BV415" s="386"/>
      <c r="BW415" s="386"/>
      <c r="BX415" s="386"/>
      <c r="BY415" s="259"/>
      <c r="CB415" s="246"/>
      <c r="CC415" s="334"/>
      <c r="CD415" s="259"/>
      <c r="CE415" s="259"/>
      <c r="CF415" s="246"/>
      <c r="CG415" s="246"/>
      <c r="CH415" s="334"/>
      <c r="CI415" s="334"/>
      <c r="CJ415" s="14"/>
      <c r="CK415" s="334"/>
      <c r="CP415" s="27"/>
      <c r="CQ415" s="27"/>
      <c r="CR415" s="157"/>
      <c r="CS415" s="157"/>
      <c r="CT415" s="157"/>
      <c r="CU415" s="27"/>
      <c r="CV415" s="27"/>
      <c r="CW415" s="27"/>
      <c r="CX415" s="27"/>
      <c r="CY415" s="27"/>
      <c r="CZ415" s="27"/>
      <c r="DA415" s="27"/>
      <c r="DB415" s="27"/>
      <c r="DC415" s="27"/>
    </row>
    <row r="416" spans="1:107" ht="15.05" hidden="1" customHeight="1">
      <c r="A416" s="108"/>
      <c r="B416" s="1042">
        <f>B$425/10</f>
        <v>0.1</v>
      </c>
      <c r="C416" s="314">
        <f t="shared" si="43"/>
        <v>3.3939880033115024</v>
      </c>
      <c r="D416" s="1022">
        <f t="shared" si="44"/>
        <v>-1.6176960659697683E-2</v>
      </c>
      <c r="E416" s="1022">
        <f t="shared" si="45"/>
        <v>30.58759273633822</v>
      </c>
      <c r="F416" s="1022">
        <f t="shared" si="46"/>
        <v>35.893092736338225</v>
      </c>
      <c r="G416" s="1086">
        <f t="shared" si="47"/>
        <v>110.95963100356789</v>
      </c>
      <c r="H416" s="1022">
        <f t="shared" si="48"/>
        <v>94.55824908271066</v>
      </c>
      <c r="I416" s="1087">
        <f t="shared" ref="I416:I438" si="70">I415</f>
        <v>75</v>
      </c>
      <c r="J416" s="1088" t="e">
        <f t="shared" si="49"/>
        <v>#DIV/0!</v>
      </c>
      <c r="K416" s="1088" t="e">
        <f t="shared" si="50"/>
        <v>#DIV/0!</v>
      </c>
      <c r="L416" s="1088" t="e">
        <f t="shared" si="51"/>
        <v>#DIV/0!</v>
      </c>
      <c r="M416" s="1088">
        <f t="shared" si="52"/>
        <v>7.8463186713898789</v>
      </c>
      <c r="N416" s="1088" t="e">
        <f t="shared" si="53"/>
        <v>#DIV/0!</v>
      </c>
      <c r="O416" s="495" t="e">
        <f t="shared" si="54"/>
        <v>#DIV/0!</v>
      </c>
      <c r="P416" s="495" t="e">
        <f t="shared" si="55"/>
        <v>#DIV/0!</v>
      </c>
      <c r="Q416" s="495" t="e">
        <f t="shared" si="56"/>
        <v>#DIV/0!</v>
      </c>
      <c r="R416" s="495" t="e">
        <f t="shared" si="57"/>
        <v>#DIV/0!</v>
      </c>
      <c r="S416" s="383">
        <f t="shared" si="58"/>
        <v>0.1</v>
      </c>
      <c r="T416" s="384">
        <f t="shared" si="59"/>
        <v>8.16445545997959E-6</v>
      </c>
      <c r="U416" s="384">
        <f t="shared" si="60"/>
        <v>1.3063128735967345E-3</v>
      </c>
      <c r="V416" s="384">
        <f t="shared" si="61"/>
        <v>5.6000025603732322</v>
      </c>
      <c r="W416" s="495">
        <f t="shared" si="62"/>
        <v>10.714280815614678</v>
      </c>
      <c r="X416" s="495" t="e">
        <f t="shared" si="63"/>
        <v>#DIV/0!</v>
      </c>
      <c r="Y416" s="495" t="e">
        <f t="shared" si="64"/>
        <v>#DIV/0!</v>
      </c>
      <c r="Z416" s="495" t="e">
        <f t="shared" si="65"/>
        <v>#DIV/0!</v>
      </c>
      <c r="AA416" s="495" t="e">
        <f t="shared" si="66"/>
        <v>#DIV/0!</v>
      </c>
      <c r="AB416" s="495" t="e">
        <f t="shared" si="67"/>
        <v>#DIV/0!</v>
      </c>
      <c r="AC416" s="383" t="e">
        <f t="shared" si="68"/>
        <v>#DIV/0!</v>
      </c>
      <c r="AD416" s="495" t="e">
        <f t="shared" si="69"/>
        <v>#DIV/0!</v>
      </c>
      <c r="AE416" s="419"/>
      <c r="AF416" s="419"/>
      <c r="AG416" s="22"/>
      <c r="AH416" s="419"/>
      <c r="AI416" s="419"/>
      <c r="AJ416" s="419"/>
      <c r="AK416" s="419"/>
      <c r="AL416" s="419"/>
      <c r="AM416" s="419"/>
      <c r="AN416" s="419"/>
      <c r="AO416" s="419"/>
      <c r="AP416" s="419"/>
      <c r="AQ416" s="419"/>
      <c r="AR416" s="419"/>
      <c r="AS416" s="419"/>
      <c r="AT416" s="419"/>
      <c r="AU416" s="419"/>
      <c r="AV416" s="419"/>
      <c r="AW416" s="419"/>
      <c r="AX416" s="419"/>
      <c r="AY416" s="419"/>
      <c r="AZ416" s="419"/>
      <c r="BA416" s="419"/>
      <c r="BB416" s="419"/>
      <c r="BC416" s="419"/>
      <c r="BD416" s="419"/>
      <c r="BF416" s="419"/>
      <c r="BG416" s="419"/>
      <c r="BH416" s="419"/>
      <c r="BI416" s="419"/>
      <c r="BJ416" s="419"/>
      <c r="BK416" s="419"/>
      <c r="BL416" s="419"/>
      <c r="BM416" s="419"/>
      <c r="BN416" s="419"/>
      <c r="BO416" s="246"/>
      <c r="BP416" s="386"/>
      <c r="BQ416" s="386"/>
      <c r="BR416" s="386"/>
      <c r="BS416" s="386"/>
      <c r="BT416" s="386"/>
      <c r="BU416" s="386"/>
      <c r="BV416" s="386"/>
      <c r="BW416" s="386"/>
      <c r="BX416" s="386"/>
      <c r="BY416" s="259"/>
      <c r="CB416" s="246"/>
      <c r="CC416" s="334"/>
      <c r="CD416" s="259"/>
      <c r="CE416" s="259"/>
      <c r="CF416" s="246"/>
      <c r="CG416" s="246"/>
      <c r="CH416" s="334"/>
      <c r="CI416" s="334"/>
      <c r="CJ416" s="14"/>
      <c r="CK416" s="334"/>
      <c r="CP416" s="27"/>
      <c r="CQ416" s="27"/>
      <c r="CR416" s="157"/>
      <c r="CS416" s="157"/>
      <c r="CT416" s="157"/>
      <c r="CU416" s="27"/>
      <c r="CV416" s="27"/>
      <c r="CW416" s="27"/>
      <c r="CX416" s="27"/>
      <c r="CY416" s="27"/>
      <c r="CZ416" s="27"/>
      <c r="DA416" s="27"/>
      <c r="DB416" s="27"/>
      <c r="DC416" s="27"/>
    </row>
    <row r="417" spans="1:107" ht="15.05" hidden="1" customHeight="1">
      <c r="A417" s="108"/>
      <c r="B417" s="293">
        <f t="shared" ref="B417:B424" si="71">B$425/10+B416</f>
        <v>0.2</v>
      </c>
      <c r="C417" s="314">
        <f t="shared" si="43"/>
        <v>3.3981726039268816</v>
      </c>
      <c r="D417" s="1022">
        <f t="shared" si="44"/>
        <v>-2.6605510511212616E-2</v>
      </c>
      <c r="E417" s="1022">
        <f t="shared" si="45"/>
        <v>30.586363210310729</v>
      </c>
      <c r="F417" s="1022">
        <f t="shared" si="46"/>
        <v>35.891863210310731</v>
      </c>
      <c r="G417" s="1086">
        <f t="shared" si="47"/>
        <v>111.10090403887411</v>
      </c>
      <c r="H417" s="1022">
        <f t="shared" si="48"/>
        <v>94.678077424263705</v>
      </c>
      <c r="I417" s="1087">
        <f t="shared" si="70"/>
        <v>75</v>
      </c>
      <c r="J417" s="1088" t="e">
        <f t="shared" si="49"/>
        <v>#DIV/0!</v>
      </c>
      <c r="K417" s="1088" t="e">
        <f t="shared" si="50"/>
        <v>#DIV/0!</v>
      </c>
      <c r="L417" s="1088" t="e">
        <f t="shared" si="51"/>
        <v>#DIV/0!</v>
      </c>
      <c r="M417" s="1088">
        <f t="shared" si="52"/>
        <v>7.8466340816581779</v>
      </c>
      <c r="N417" s="1088" t="e">
        <f t="shared" si="53"/>
        <v>#DIV/0!</v>
      </c>
      <c r="O417" s="495" t="e">
        <f t="shared" si="54"/>
        <v>#DIV/0!</v>
      </c>
      <c r="P417" s="495" t="e">
        <f t="shared" si="55"/>
        <v>#DIV/0!</v>
      </c>
      <c r="Q417" s="495" t="e">
        <f t="shared" si="56"/>
        <v>#DIV/0!</v>
      </c>
      <c r="R417" s="495" t="e">
        <f t="shared" si="57"/>
        <v>#DIV/0!</v>
      </c>
      <c r="S417" s="383">
        <f t="shared" si="58"/>
        <v>0.2</v>
      </c>
      <c r="T417" s="384">
        <f t="shared" si="59"/>
        <v>3.265782183991836E-5</v>
      </c>
      <c r="U417" s="384">
        <f t="shared" si="60"/>
        <v>5.2252514943869378E-3</v>
      </c>
      <c r="V417" s="384">
        <f t="shared" si="61"/>
        <v>5.6000102414929289</v>
      </c>
      <c r="W417" s="495">
        <f t="shared" si="62"/>
        <v>10.714266119628446</v>
      </c>
      <c r="X417" s="495" t="e">
        <f t="shared" si="63"/>
        <v>#DIV/0!</v>
      </c>
      <c r="Y417" s="495" t="e">
        <f t="shared" si="64"/>
        <v>#DIV/0!</v>
      </c>
      <c r="Z417" s="495" t="e">
        <f t="shared" si="65"/>
        <v>#DIV/0!</v>
      </c>
      <c r="AA417" s="495" t="e">
        <f t="shared" si="66"/>
        <v>#DIV/0!</v>
      </c>
      <c r="AB417" s="495" t="e">
        <f t="shared" si="67"/>
        <v>#DIV/0!</v>
      </c>
      <c r="AC417" s="383" t="e">
        <f t="shared" si="68"/>
        <v>#DIV/0!</v>
      </c>
      <c r="AD417" s="495" t="e">
        <f t="shared" si="69"/>
        <v>#DIV/0!</v>
      </c>
      <c r="AE417" s="419"/>
      <c r="AF417" s="419"/>
      <c r="AG417" s="22"/>
      <c r="AH417" s="419"/>
      <c r="AI417" s="419"/>
      <c r="AJ417" s="419"/>
      <c r="AK417" s="419"/>
      <c r="AL417" s="419"/>
      <c r="AM417" s="419"/>
      <c r="AN417" s="419"/>
      <c r="AO417" s="419"/>
      <c r="AP417" s="419"/>
      <c r="AQ417" s="419"/>
      <c r="AR417" s="419"/>
      <c r="AS417" s="419"/>
      <c r="AT417" s="419"/>
      <c r="AU417" s="419"/>
      <c r="AV417" s="419"/>
      <c r="AW417" s="419"/>
      <c r="AX417" s="419"/>
      <c r="AY417" s="419"/>
      <c r="AZ417" s="419"/>
      <c r="BA417" s="419"/>
      <c r="BB417" s="419"/>
      <c r="BC417" s="419"/>
      <c r="BD417" s="419"/>
      <c r="BF417" s="419"/>
      <c r="BG417" s="419"/>
      <c r="BH417" s="419"/>
      <c r="BI417" s="419"/>
      <c r="BJ417" s="419"/>
      <c r="BK417" s="419"/>
      <c r="BL417" s="419"/>
      <c r="BM417" s="419"/>
      <c r="BN417" s="419"/>
      <c r="BO417" s="246"/>
      <c r="BP417" s="386"/>
      <c r="BQ417" s="386"/>
      <c r="BR417" s="386"/>
      <c r="BS417" s="386"/>
      <c r="BT417" s="386"/>
      <c r="BU417" s="386"/>
      <c r="BV417" s="386"/>
      <c r="BW417" s="386"/>
      <c r="BX417" s="386"/>
      <c r="BY417" s="259"/>
      <c r="CB417" s="246"/>
      <c r="CC417" s="334"/>
      <c r="CD417" s="259"/>
      <c r="CE417" s="259"/>
      <c r="CF417" s="246"/>
      <c r="CG417" s="246"/>
      <c r="CH417" s="334"/>
      <c r="CI417" s="334"/>
      <c r="CJ417" s="14"/>
      <c r="CK417" s="334"/>
      <c r="CP417" s="27"/>
      <c r="CQ417" s="27"/>
      <c r="CR417" s="157"/>
      <c r="CS417" s="157"/>
      <c r="CT417" s="157"/>
      <c r="CU417" s="27"/>
      <c r="CV417" s="27"/>
      <c r="CW417" s="27"/>
      <c r="CX417" s="27"/>
      <c r="CY417" s="27"/>
      <c r="CZ417" s="27"/>
      <c r="DA417" s="27"/>
      <c r="DB417" s="27"/>
      <c r="DC417" s="27"/>
    </row>
    <row r="418" spans="1:107" ht="15.05" hidden="1" customHeight="1">
      <c r="A418" s="108"/>
      <c r="B418" s="293">
        <f t="shared" si="71"/>
        <v>0.30000000000000004</v>
      </c>
      <c r="C418" s="314">
        <f t="shared" si="43"/>
        <v>3.4020453413558971</v>
      </c>
      <c r="D418" s="1022">
        <f t="shared" si="44"/>
        <v>-3.1458759291038495E-2</v>
      </c>
      <c r="E418" s="1022">
        <f t="shared" si="45"/>
        <v>30.585791012279586</v>
      </c>
      <c r="F418" s="1022">
        <f t="shared" si="46"/>
        <v>35.891291012279588</v>
      </c>
      <c r="G418" s="1086">
        <f t="shared" si="47"/>
        <v>111.22960135279952</v>
      </c>
      <c r="H418" s="1022">
        <f t="shared" si="48"/>
        <v>94.787488702814997</v>
      </c>
      <c r="I418" s="1087">
        <f t="shared" si="70"/>
        <v>75</v>
      </c>
      <c r="J418" s="1088" t="e">
        <f t="shared" si="49"/>
        <v>#DIV/0!</v>
      </c>
      <c r="K418" s="1088" t="e">
        <f t="shared" si="50"/>
        <v>#DIV/0!</v>
      </c>
      <c r="L418" s="1088" t="e">
        <f t="shared" si="51"/>
        <v>#DIV/0!</v>
      </c>
      <c r="M418" s="1088">
        <f t="shared" si="52"/>
        <v>7.8467808762455995</v>
      </c>
      <c r="N418" s="1088" t="e">
        <f t="shared" si="53"/>
        <v>#DIV/0!</v>
      </c>
      <c r="O418" s="495" t="e">
        <f t="shared" si="54"/>
        <v>#DIV/0!</v>
      </c>
      <c r="P418" s="495" t="e">
        <f t="shared" si="55"/>
        <v>#DIV/0!</v>
      </c>
      <c r="Q418" s="495" t="e">
        <f t="shared" si="56"/>
        <v>#DIV/0!</v>
      </c>
      <c r="R418" s="495" t="e">
        <f t="shared" si="57"/>
        <v>#DIV/0!</v>
      </c>
      <c r="S418" s="383">
        <f t="shared" si="58"/>
        <v>0.30000000000000004</v>
      </c>
      <c r="T418" s="384">
        <f t="shared" si="59"/>
        <v>7.3480099139816319E-5</v>
      </c>
      <c r="U418" s="384">
        <f t="shared" si="60"/>
        <v>1.1756815862370611E-2</v>
      </c>
      <c r="V418" s="384">
        <f t="shared" si="61"/>
        <v>5.6000230433590898</v>
      </c>
      <c r="W418" s="495">
        <f t="shared" si="62"/>
        <v>10.714241626407647</v>
      </c>
      <c r="X418" s="495" t="e">
        <f t="shared" si="63"/>
        <v>#DIV/0!</v>
      </c>
      <c r="Y418" s="495" t="e">
        <f t="shared" si="64"/>
        <v>#DIV/0!</v>
      </c>
      <c r="Z418" s="495" t="e">
        <f t="shared" si="65"/>
        <v>#DIV/0!</v>
      </c>
      <c r="AA418" s="495" t="e">
        <f t="shared" si="66"/>
        <v>#DIV/0!</v>
      </c>
      <c r="AB418" s="495" t="e">
        <f t="shared" si="67"/>
        <v>#DIV/0!</v>
      </c>
      <c r="AC418" s="383" t="e">
        <f t="shared" si="68"/>
        <v>#DIV/0!</v>
      </c>
      <c r="AD418" s="495" t="e">
        <f t="shared" si="69"/>
        <v>#DIV/0!</v>
      </c>
      <c r="AE418" s="419"/>
      <c r="AF418" s="419"/>
      <c r="AG418" s="22"/>
      <c r="AH418" s="419"/>
      <c r="AI418" s="419"/>
      <c r="AJ418" s="419"/>
      <c r="AK418" s="419"/>
      <c r="AL418" s="419"/>
      <c r="AM418" s="419"/>
      <c r="AN418" s="419"/>
      <c r="AO418" s="419"/>
      <c r="AP418" s="419"/>
      <c r="AQ418" s="419"/>
      <c r="AR418" s="419"/>
      <c r="AS418" s="419"/>
      <c r="AT418" s="419"/>
      <c r="AU418" s="419"/>
      <c r="AV418" s="419"/>
      <c r="AW418" s="419"/>
      <c r="AX418" s="419"/>
      <c r="AY418" s="419"/>
      <c r="AZ418" s="419"/>
      <c r="BA418" s="419"/>
      <c r="BB418" s="419"/>
      <c r="BC418" s="419"/>
      <c r="BD418" s="419"/>
      <c r="BF418" s="419"/>
      <c r="BG418" s="419"/>
      <c r="BH418" s="419"/>
      <c r="BI418" s="419"/>
      <c r="BJ418" s="419"/>
      <c r="BK418" s="419"/>
      <c r="BL418" s="419"/>
      <c r="BM418" s="419"/>
      <c r="BN418" s="419"/>
      <c r="BO418" s="246"/>
      <c r="BP418" s="386"/>
      <c r="BQ418" s="386"/>
      <c r="BR418" s="386"/>
      <c r="BS418" s="386"/>
      <c r="BT418" s="386"/>
      <c r="BU418" s="386"/>
      <c r="BV418" s="386"/>
      <c r="BW418" s="386"/>
      <c r="BX418" s="386"/>
      <c r="BY418" s="259"/>
      <c r="CB418" s="246"/>
      <c r="CC418" s="334"/>
      <c r="CD418" s="259"/>
      <c r="CE418" s="259"/>
      <c r="CF418" s="246"/>
      <c r="CG418" s="246"/>
      <c r="CH418" s="334"/>
      <c r="CI418" s="334"/>
      <c r="CJ418" s="14"/>
      <c r="CK418" s="334"/>
      <c r="CP418" s="27"/>
      <c r="CQ418" s="27"/>
      <c r="CR418" s="157"/>
      <c r="CS418" s="157"/>
      <c r="CT418" s="157"/>
      <c r="CU418" s="27"/>
      <c r="CV418" s="27"/>
      <c r="CW418" s="27"/>
      <c r="CX418" s="27"/>
      <c r="CY418" s="27"/>
      <c r="CZ418" s="27"/>
      <c r="DA418" s="27"/>
      <c r="DB418" s="27"/>
      <c r="DC418" s="27"/>
    </row>
    <row r="419" spans="1:107" ht="15.05" hidden="1" customHeight="1">
      <c r="A419" s="108"/>
      <c r="B419" s="293">
        <f t="shared" si="71"/>
        <v>0.4</v>
      </c>
      <c r="C419" s="314">
        <f t="shared" si="43"/>
        <v>3.4056098820703236</v>
      </c>
      <c r="D419" s="1022">
        <f t="shared" si="44"/>
        <v>-3.0711181640423118E-2</v>
      </c>
      <c r="E419" s="1022">
        <f t="shared" si="45"/>
        <v>30.585879151684594</v>
      </c>
      <c r="F419" s="1022">
        <f t="shared" si="46"/>
        <v>35.891379151684589</v>
      </c>
      <c r="G419" s="1086">
        <f t="shared" si="47"/>
        <v>111.34582286096396</v>
      </c>
      <c r="H419" s="1022">
        <f t="shared" si="48"/>
        <v>94.886570607317523</v>
      </c>
      <c r="I419" s="1087">
        <f t="shared" si="70"/>
        <v>75</v>
      </c>
      <c r="J419" s="1088" t="e">
        <f t="shared" si="49"/>
        <v>#DIV/0!</v>
      </c>
      <c r="K419" s="1088" t="e">
        <f t="shared" si="50"/>
        <v>#DIV/0!</v>
      </c>
      <c r="L419" s="1088" t="e">
        <f t="shared" si="51"/>
        <v>#DIV/0!</v>
      </c>
      <c r="M419" s="1088">
        <f t="shared" si="52"/>
        <v>7.8467582641573799</v>
      </c>
      <c r="N419" s="1088" t="e">
        <f t="shared" si="53"/>
        <v>#DIV/0!</v>
      </c>
      <c r="O419" s="495" t="e">
        <f t="shared" si="54"/>
        <v>#DIV/0!</v>
      </c>
      <c r="P419" s="495" t="e">
        <f t="shared" si="55"/>
        <v>#DIV/0!</v>
      </c>
      <c r="Q419" s="495" t="e">
        <f t="shared" si="56"/>
        <v>#DIV/0!</v>
      </c>
      <c r="R419" s="495" t="e">
        <f t="shared" si="57"/>
        <v>#DIV/0!</v>
      </c>
      <c r="S419" s="383">
        <f t="shared" si="58"/>
        <v>0.4</v>
      </c>
      <c r="T419" s="384">
        <f t="shared" si="59"/>
        <v>1.3063128735967344E-4</v>
      </c>
      <c r="U419" s="384">
        <f t="shared" si="60"/>
        <v>2.0901005977547751E-2</v>
      </c>
      <c r="V419" s="384">
        <f t="shared" si="61"/>
        <v>5.600040965971715</v>
      </c>
      <c r="W419" s="495">
        <f t="shared" si="62"/>
        <v>10.714207336086664</v>
      </c>
      <c r="X419" s="495" t="e">
        <f t="shared" si="63"/>
        <v>#DIV/0!</v>
      </c>
      <c r="Y419" s="495" t="e">
        <f t="shared" si="64"/>
        <v>#DIV/0!</v>
      </c>
      <c r="Z419" s="495" t="e">
        <f t="shared" si="65"/>
        <v>#DIV/0!</v>
      </c>
      <c r="AA419" s="495" t="e">
        <f t="shared" si="66"/>
        <v>#DIV/0!</v>
      </c>
      <c r="AB419" s="495" t="e">
        <f t="shared" si="67"/>
        <v>#DIV/0!</v>
      </c>
      <c r="AC419" s="383" t="e">
        <f t="shared" si="68"/>
        <v>#DIV/0!</v>
      </c>
      <c r="AD419" s="495" t="e">
        <f t="shared" si="69"/>
        <v>#DIV/0!</v>
      </c>
      <c r="AE419" s="419"/>
      <c r="AF419" s="419"/>
      <c r="AG419" s="22"/>
      <c r="AH419" s="419"/>
      <c r="AI419" s="419"/>
      <c r="AJ419" s="419"/>
      <c r="AK419" s="419"/>
      <c r="AL419" s="419"/>
      <c r="AM419" s="419"/>
      <c r="AN419" s="419"/>
      <c r="AO419" s="419"/>
      <c r="AP419" s="419"/>
      <c r="AQ419" s="419"/>
      <c r="AR419" s="419"/>
      <c r="AS419" s="419"/>
      <c r="AT419" s="419"/>
      <c r="AU419" s="419"/>
      <c r="AV419" s="419"/>
      <c r="AW419" s="419"/>
      <c r="AX419" s="419"/>
      <c r="AY419" s="419"/>
      <c r="AZ419" s="419"/>
      <c r="BA419" s="419"/>
      <c r="BB419" s="419"/>
      <c r="BC419" s="419"/>
      <c r="BD419" s="419"/>
      <c r="BF419" s="419"/>
      <c r="BG419" s="419"/>
      <c r="BH419" s="419"/>
      <c r="BI419" s="419"/>
      <c r="BJ419" s="419"/>
      <c r="BK419" s="419"/>
      <c r="BL419" s="419"/>
      <c r="BM419" s="419"/>
      <c r="BN419" s="419"/>
      <c r="BO419" s="246"/>
      <c r="BP419" s="386"/>
      <c r="BQ419" s="386"/>
      <c r="BR419" s="386"/>
      <c r="BS419" s="386"/>
      <c r="BT419" s="386"/>
      <c r="BU419" s="386"/>
      <c r="BV419" s="386"/>
      <c r="BW419" s="386"/>
      <c r="BX419" s="386"/>
      <c r="BY419" s="259"/>
      <c r="CB419" s="246"/>
      <c r="CC419" s="334"/>
      <c r="CD419" s="259"/>
      <c r="CE419" s="259"/>
      <c r="CF419" s="246"/>
      <c r="CG419" s="246"/>
      <c r="CH419" s="334"/>
      <c r="CI419" s="334"/>
      <c r="CJ419" s="14"/>
      <c r="CK419" s="334"/>
      <c r="CP419" s="27"/>
      <c r="CQ419" s="27"/>
      <c r="CR419" s="157"/>
      <c r="CS419" s="157"/>
      <c r="CT419" s="157"/>
      <c r="CU419" s="27"/>
      <c r="CV419" s="27"/>
      <c r="CW419" s="27"/>
      <c r="CX419" s="27"/>
      <c r="CY419" s="27"/>
      <c r="CZ419" s="27"/>
      <c r="DA419" s="27"/>
      <c r="DB419" s="27"/>
      <c r="DC419" s="27"/>
    </row>
    <row r="420" spans="1:107" ht="15.05" hidden="1" customHeight="1">
      <c r="A420" s="108"/>
      <c r="B420" s="293">
        <f t="shared" si="71"/>
        <v>0.5</v>
      </c>
      <c r="C420" s="314">
        <f t="shared" si="43"/>
        <v>3.4088698925419338</v>
      </c>
      <c r="D420" s="1022">
        <f t="shared" si="44"/>
        <v>-2.4337252200614303E-2</v>
      </c>
      <c r="E420" s="1022">
        <f t="shared" si="45"/>
        <v>30.586630637965552</v>
      </c>
      <c r="F420" s="1022">
        <f t="shared" si="46"/>
        <v>35.89213063796555</v>
      </c>
      <c r="G420" s="1086">
        <f t="shared" si="47"/>
        <v>111.44967004998209</v>
      </c>
      <c r="H420" s="1022">
        <f t="shared" si="48"/>
        <v>94.975411934340286</v>
      </c>
      <c r="I420" s="1087">
        <f t="shared" si="70"/>
        <v>75</v>
      </c>
      <c r="J420" s="1088" t="e">
        <f t="shared" si="49"/>
        <v>#DIV/0!</v>
      </c>
      <c r="K420" s="1088" t="e">
        <f t="shared" si="50"/>
        <v>#DIV/0!</v>
      </c>
      <c r="L420" s="1088" t="e">
        <f t="shared" si="51"/>
        <v>#DIV/0!</v>
      </c>
      <c r="M420" s="1088">
        <f t="shared" si="52"/>
        <v>7.84656547629345</v>
      </c>
      <c r="N420" s="1088" t="e">
        <f t="shared" si="53"/>
        <v>#DIV/0!</v>
      </c>
      <c r="O420" s="495" t="e">
        <f t="shared" si="54"/>
        <v>#DIV/0!</v>
      </c>
      <c r="P420" s="495" t="e">
        <f t="shared" si="55"/>
        <v>#DIV/0!</v>
      </c>
      <c r="Q420" s="495" t="e">
        <f t="shared" si="56"/>
        <v>#DIV/0!</v>
      </c>
      <c r="R420" s="495" t="e">
        <f t="shared" si="57"/>
        <v>#DIV/0!</v>
      </c>
      <c r="S420" s="383">
        <f t="shared" si="58"/>
        <v>0.5</v>
      </c>
      <c r="T420" s="384">
        <f t="shared" si="59"/>
        <v>2.0411138649948971E-4</v>
      </c>
      <c r="U420" s="384">
        <f t="shared" si="60"/>
        <v>3.2657821839918354E-2</v>
      </c>
      <c r="V420" s="384">
        <f t="shared" si="61"/>
        <v>5.6000640093308061</v>
      </c>
      <c r="W420" s="495">
        <f t="shared" si="62"/>
        <v>10.714163248853623</v>
      </c>
      <c r="X420" s="495" t="e">
        <f t="shared" si="63"/>
        <v>#DIV/0!</v>
      </c>
      <c r="Y420" s="495" t="e">
        <f t="shared" si="64"/>
        <v>#DIV/0!</v>
      </c>
      <c r="Z420" s="495" t="e">
        <f t="shared" si="65"/>
        <v>#DIV/0!</v>
      </c>
      <c r="AA420" s="495" t="e">
        <f t="shared" si="66"/>
        <v>#DIV/0!</v>
      </c>
      <c r="AB420" s="495" t="e">
        <f t="shared" si="67"/>
        <v>#DIV/0!</v>
      </c>
      <c r="AC420" s="383" t="e">
        <f t="shared" si="68"/>
        <v>#DIV/0!</v>
      </c>
      <c r="AD420" s="495" t="e">
        <f t="shared" si="69"/>
        <v>#DIV/0!</v>
      </c>
      <c r="AE420" s="419"/>
      <c r="AF420" s="419"/>
      <c r="AG420" s="22"/>
      <c r="AH420" s="419"/>
      <c r="AI420" s="419"/>
      <c r="AJ420" s="419"/>
      <c r="AK420" s="419"/>
      <c r="AL420" s="419"/>
      <c r="AM420" s="419"/>
      <c r="AN420" s="419"/>
      <c r="AO420" s="419"/>
      <c r="AP420" s="419"/>
      <c r="AQ420" s="419"/>
      <c r="AR420" s="419"/>
      <c r="AS420" s="419"/>
      <c r="AT420" s="419"/>
      <c r="AU420" s="419"/>
      <c r="AV420" s="419"/>
      <c r="AW420" s="419"/>
      <c r="AX420" s="419"/>
      <c r="AY420" s="419"/>
      <c r="AZ420" s="419"/>
      <c r="BA420" s="419"/>
      <c r="BB420" s="419"/>
      <c r="BC420" s="419"/>
      <c r="BD420" s="419"/>
      <c r="BF420" s="419"/>
      <c r="BG420" s="419"/>
      <c r="BH420" s="419"/>
      <c r="BI420" s="419"/>
      <c r="BJ420" s="419"/>
      <c r="BK420" s="419"/>
      <c r="BL420" s="419"/>
      <c r="BM420" s="419"/>
      <c r="BN420" s="419"/>
      <c r="BO420" s="246"/>
      <c r="BP420" s="386"/>
      <c r="BQ420" s="386"/>
      <c r="BR420" s="386"/>
      <c r="BS420" s="386"/>
      <c r="BT420" s="386"/>
      <c r="BU420" s="386"/>
      <c r="BV420" s="386"/>
      <c r="BW420" s="386"/>
      <c r="BX420" s="386"/>
      <c r="BY420" s="259"/>
      <c r="CB420" s="246"/>
      <c r="CC420" s="334"/>
      <c r="CD420" s="259"/>
      <c r="CE420" s="259"/>
      <c r="CF420" s="246"/>
      <c r="CG420" s="246"/>
      <c r="CH420" s="334"/>
      <c r="CI420" s="334"/>
      <c r="CJ420" s="14"/>
      <c r="CK420" s="334"/>
      <c r="CP420" s="27"/>
      <c r="CQ420" s="27"/>
      <c r="CR420" s="157"/>
      <c r="CS420" s="157"/>
      <c r="CT420" s="157"/>
      <c r="CU420" s="27"/>
      <c r="CV420" s="27"/>
      <c r="CW420" s="27"/>
      <c r="CX420" s="27"/>
      <c r="CY420" s="27"/>
      <c r="CZ420" s="27"/>
      <c r="DA420" s="27"/>
      <c r="DB420" s="27"/>
      <c r="DC420" s="27"/>
    </row>
    <row r="421" spans="1:107" ht="15.05" hidden="1" customHeight="1">
      <c r="A421" s="108"/>
      <c r="B421" s="293">
        <f t="shared" si="71"/>
        <v>0.6</v>
      </c>
      <c r="C421" s="314">
        <f t="shared" si="43"/>
        <v>3.4118290392425026</v>
      </c>
      <c r="D421" s="1022">
        <f t="shared" si="44"/>
        <v>-1.2311445612859875E-2</v>
      </c>
      <c r="E421" s="1022">
        <f t="shared" si="45"/>
        <v>30.588048480562247</v>
      </c>
      <c r="F421" s="1022">
        <f t="shared" si="46"/>
        <v>35.893548480562245</v>
      </c>
      <c r="G421" s="1086">
        <f t="shared" si="47"/>
        <v>111.54124596770578</v>
      </c>
      <c r="H421" s="1022">
        <f t="shared" si="48"/>
        <v>95.054102580304672</v>
      </c>
      <c r="I421" s="1087">
        <f t="shared" si="70"/>
        <v>75</v>
      </c>
      <c r="J421" s="1088" t="e">
        <f t="shared" si="49"/>
        <v>#DIV/0!</v>
      </c>
      <c r="K421" s="1088" t="e">
        <f t="shared" si="50"/>
        <v>#DIV/0!</v>
      </c>
      <c r="L421" s="1088" t="e">
        <f t="shared" si="51"/>
        <v>#DIV/0!</v>
      </c>
      <c r="M421" s="1088">
        <f t="shared" si="52"/>
        <v>7.8462017657815775</v>
      </c>
      <c r="N421" s="1088" t="e">
        <f t="shared" si="53"/>
        <v>#DIV/0!</v>
      </c>
      <c r="O421" s="495" t="e">
        <f t="shared" si="54"/>
        <v>#DIV/0!</v>
      </c>
      <c r="P421" s="495" t="e">
        <f t="shared" si="55"/>
        <v>#DIV/0!</v>
      </c>
      <c r="Q421" s="495" t="e">
        <f t="shared" si="56"/>
        <v>#DIV/0!</v>
      </c>
      <c r="R421" s="495" t="e">
        <f t="shared" si="57"/>
        <v>#DIV/0!</v>
      </c>
      <c r="S421" s="383">
        <f t="shared" si="58"/>
        <v>0.6</v>
      </c>
      <c r="T421" s="384">
        <f t="shared" si="59"/>
        <v>2.9392039655926517E-4</v>
      </c>
      <c r="U421" s="384">
        <f t="shared" si="60"/>
        <v>4.7027263449482423E-2</v>
      </c>
      <c r="V421" s="384">
        <f t="shared" si="61"/>
        <v>5.6000921734363613</v>
      </c>
      <c r="W421" s="495">
        <f t="shared" si="62"/>
        <v>10.714109364950408</v>
      </c>
      <c r="X421" s="495" t="e">
        <f t="shared" si="63"/>
        <v>#DIV/0!</v>
      </c>
      <c r="Y421" s="495" t="e">
        <f t="shared" si="64"/>
        <v>#DIV/0!</v>
      </c>
      <c r="Z421" s="495" t="e">
        <f t="shared" si="65"/>
        <v>#DIV/0!</v>
      </c>
      <c r="AA421" s="495" t="e">
        <f t="shared" si="66"/>
        <v>#DIV/0!</v>
      </c>
      <c r="AB421" s="495" t="e">
        <f t="shared" si="67"/>
        <v>#DIV/0!</v>
      </c>
      <c r="AC421" s="383" t="e">
        <f t="shared" si="68"/>
        <v>#DIV/0!</v>
      </c>
      <c r="AD421" s="495" t="e">
        <f t="shared" si="69"/>
        <v>#DIV/0!</v>
      </c>
      <c r="AE421" s="419"/>
      <c r="AF421" s="419"/>
      <c r="AG421" s="22"/>
      <c r="AH421" s="419"/>
      <c r="AI421" s="419"/>
      <c r="AJ421" s="419"/>
      <c r="AK421" s="419"/>
      <c r="AL421" s="419"/>
      <c r="AM421" s="419"/>
      <c r="AN421" s="419"/>
      <c r="AO421" s="419"/>
      <c r="AP421" s="419"/>
      <c r="AQ421" s="419"/>
      <c r="AR421" s="419"/>
      <c r="AS421" s="419"/>
      <c r="AT421" s="419"/>
      <c r="AU421" s="419"/>
      <c r="AV421" s="419"/>
      <c r="AW421" s="419"/>
      <c r="AX421" s="419"/>
      <c r="AY421" s="419"/>
      <c r="AZ421" s="419"/>
      <c r="BA421" s="419"/>
      <c r="BB421" s="419"/>
      <c r="BC421" s="419"/>
      <c r="BD421" s="419"/>
      <c r="BF421" s="419"/>
      <c r="BG421" s="419"/>
      <c r="BH421" s="419"/>
      <c r="BI421" s="419"/>
      <c r="BJ421" s="419"/>
      <c r="BK421" s="419"/>
      <c r="BL421" s="419"/>
      <c r="BM421" s="419"/>
      <c r="BN421" s="419"/>
      <c r="BO421" s="246"/>
      <c r="BP421" s="386"/>
      <c r="BQ421" s="386"/>
      <c r="BR421" s="386"/>
      <c r="BS421" s="386"/>
      <c r="BT421" s="386"/>
      <c r="BU421" s="386"/>
      <c r="BV421" s="386"/>
      <c r="BW421" s="386"/>
      <c r="BX421" s="386"/>
      <c r="BY421" s="259"/>
      <c r="CB421" s="246"/>
      <c r="CC421" s="334"/>
      <c r="CD421" s="259"/>
      <c r="CE421" s="259"/>
      <c r="CF421" s="246"/>
      <c r="CG421" s="246"/>
      <c r="CH421" s="334"/>
      <c r="CI421" s="334"/>
      <c r="CJ421" s="14"/>
      <c r="CK421" s="334"/>
      <c r="CP421" s="27"/>
      <c r="CQ421" s="27"/>
      <c r="CR421" s="157"/>
      <c r="CS421" s="157"/>
      <c r="CT421" s="157"/>
      <c r="CU421" s="27"/>
      <c r="CV421" s="27"/>
      <c r="CW421" s="27"/>
      <c r="CX421" s="27"/>
      <c r="CY421" s="27"/>
      <c r="CZ421" s="27"/>
      <c r="DA421" s="27"/>
      <c r="DB421" s="27"/>
      <c r="DC421" s="27"/>
    </row>
    <row r="422" spans="1:107" ht="15.05" hidden="1" customHeight="1">
      <c r="A422" s="108"/>
      <c r="B422" s="293">
        <f t="shared" si="71"/>
        <v>0.7</v>
      </c>
      <c r="C422" s="314">
        <f t="shared" si="43"/>
        <v>3.414490988643804</v>
      </c>
      <c r="D422" s="1022">
        <f t="shared" si="44"/>
        <v>5.3917634815923883E-3</v>
      </c>
      <c r="E422" s="1022">
        <f t="shared" si="45"/>
        <v>30.590135688914479</v>
      </c>
      <c r="F422" s="1022">
        <f t="shared" si="46"/>
        <v>35.895635688914481</v>
      </c>
      <c r="G422" s="1086">
        <f t="shared" si="47"/>
        <v>111.62065521275792</v>
      </c>
      <c r="H422" s="1022">
        <f t="shared" si="48"/>
        <v>95.122733533265958</v>
      </c>
      <c r="I422" s="1087">
        <f t="shared" si="70"/>
        <v>75</v>
      </c>
      <c r="J422" s="1088" t="e">
        <f t="shared" si="49"/>
        <v>#DIV/0!</v>
      </c>
      <c r="K422" s="1088" t="e">
        <f t="shared" si="50"/>
        <v>#DIV/0!</v>
      </c>
      <c r="L422" s="1088" t="e">
        <f t="shared" si="51"/>
        <v>#DIV/0!</v>
      </c>
      <c r="M422" s="1088">
        <f t="shared" si="52"/>
        <v>7.8456664083047301</v>
      </c>
      <c r="N422" s="1088" t="e">
        <f t="shared" si="53"/>
        <v>#DIV/0!</v>
      </c>
      <c r="O422" s="495" t="e">
        <f t="shared" si="54"/>
        <v>#DIV/0!</v>
      </c>
      <c r="P422" s="495" t="e">
        <f t="shared" si="55"/>
        <v>#DIV/0!</v>
      </c>
      <c r="Q422" s="495" t="e">
        <f t="shared" si="56"/>
        <v>#DIV/0!</v>
      </c>
      <c r="R422" s="495" t="e">
        <f t="shared" si="57"/>
        <v>#DIV/0!</v>
      </c>
      <c r="S422" s="383">
        <f t="shared" si="58"/>
        <v>0.7</v>
      </c>
      <c r="T422" s="384">
        <f t="shared" si="59"/>
        <v>4.0005831753899977E-4</v>
      </c>
      <c r="U422" s="384">
        <f t="shared" si="60"/>
        <v>6.4009330806239967E-2</v>
      </c>
      <c r="V422" s="384">
        <f t="shared" si="61"/>
        <v>5.6001254582883808</v>
      </c>
      <c r="W422" s="495">
        <f t="shared" si="62"/>
        <v>10.714045684672637</v>
      </c>
      <c r="X422" s="495" t="e">
        <f t="shared" si="63"/>
        <v>#DIV/0!</v>
      </c>
      <c r="Y422" s="495" t="e">
        <f t="shared" si="64"/>
        <v>#DIV/0!</v>
      </c>
      <c r="Z422" s="495" t="e">
        <f t="shared" si="65"/>
        <v>#DIV/0!</v>
      </c>
      <c r="AA422" s="495" t="e">
        <f t="shared" si="66"/>
        <v>#DIV/0!</v>
      </c>
      <c r="AB422" s="495" t="e">
        <f t="shared" si="67"/>
        <v>#DIV/0!</v>
      </c>
      <c r="AC422" s="383" t="e">
        <f t="shared" si="68"/>
        <v>#DIV/0!</v>
      </c>
      <c r="AD422" s="495" t="e">
        <f t="shared" si="69"/>
        <v>#DIV/0!</v>
      </c>
      <c r="AE422" s="419"/>
      <c r="AF422" s="419"/>
      <c r="AG422" s="22"/>
      <c r="AH422" s="419"/>
      <c r="AI422" s="419"/>
      <c r="AJ422" s="419"/>
      <c r="AK422" s="419"/>
      <c r="AL422" s="419"/>
      <c r="AM422" s="419"/>
      <c r="AN422" s="419"/>
      <c r="AO422" s="419"/>
      <c r="AP422" s="419"/>
      <c r="AQ422" s="419"/>
      <c r="AR422" s="419"/>
      <c r="AS422" s="419"/>
      <c r="AT422" s="419"/>
      <c r="AU422" s="419"/>
      <c r="AV422" s="419"/>
      <c r="AW422" s="419"/>
      <c r="AX422" s="419"/>
      <c r="AY422" s="419"/>
      <c r="AZ422" s="419"/>
      <c r="BA422" s="419"/>
      <c r="BB422" s="419"/>
      <c r="BC422" s="419"/>
      <c r="BD422" s="419"/>
      <c r="BF422" s="419"/>
      <c r="BG422" s="419"/>
      <c r="BH422" s="419"/>
      <c r="BI422" s="419"/>
      <c r="BJ422" s="419"/>
      <c r="BK422" s="419"/>
      <c r="BL422" s="419"/>
      <c r="BM422" s="419"/>
      <c r="BN422" s="419"/>
      <c r="BO422" s="246"/>
      <c r="BP422" s="386"/>
      <c r="BQ422" s="386"/>
      <c r="BR422" s="386"/>
      <c r="BS422" s="386"/>
      <c r="BT422" s="386"/>
      <c r="BU422" s="386"/>
      <c r="BV422" s="386"/>
      <c r="BW422" s="386"/>
      <c r="BX422" s="386"/>
      <c r="BY422" s="259"/>
      <c r="CB422" s="246"/>
      <c r="CC422" s="334"/>
      <c r="CD422" s="259"/>
      <c r="CE422" s="259"/>
      <c r="CF422" s="246"/>
      <c r="CG422" s="246"/>
      <c r="CH422" s="334"/>
      <c r="CI422" s="334"/>
      <c r="CJ422" s="14"/>
      <c r="CK422" s="334"/>
      <c r="CP422" s="27"/>
      <c r="CQ422" s="27"/>
      <c r="CR422" s="157"/>
      <c r="CS422" s="157"/>
      <c r="CT422" s="157"/>
      <c r="CU422" s="27"/>
      <c r="CV422" s="27"/>
      <c r="CW422" s="27"/>
      <c r="CX422" s="27"/>
      <c r="CY422" s="27"/>
      <c r="CZ422" s="27"/>
      <c r="DA422" s="27"/>
      <c r="DB422" s="27"/>
      <c r="DC422" s="27"/>
    </row>
    <row r="423" spans="1:107" ht="15.05" hidden="1" customHeight="1">
      <c r="A423" s="108"/>
      <c r="B423" s="293">
        <f t="shared" si="71"/>
        <v>0.79999999999999993</v>
      </c>
      <c r="C423" s="314">
        <f t="shared" si="43"/>
        <v>3.4168594072176108</v>
      </c>
      <c r="D423" s="1022">
        <f t="shared" si="44"/>
        <v>2.8797900441494623E-2</v>
      </c>
      <c r="E423" s="1022">
        <f t="shared" si="45"/>
        <v>30.592895272462052</v>
      </c>
      <c r="F423" s="1022">
        <f t="shared" si="46"/>
        <v>35.898395272462054</v>
      </c>
      <c r="G423" s="1086">
        <f t="shared" si="47"/>
        <v>111.68800392335764</v>
      </c>
      <c r="H423" s="1022">
        <f t="shared" si="48"/>
        <v>95.181396864241194</v>
      </c>
      <c r="I423" s="1087">
        <f t="shared" si="70"/>
        <v>75</v>
      </c>
      <c r="J423" s="1088" t="e">
        <f t="shared" si="49"/>
        <v>#DIV/0!</v>
      </c>
      <c r="K423" s="1088" t="e">
        <f t="shared" si="50"/>
        <v>#DIV/0!</v>
      </c>
      <c r="L423" s="1088" t="e">
        <f t="shared" si="51"/>
        <v>#DIV/0!</v>
      </c>
      <c r="M423" s="1088">
        <f t="shared" si="52"/>
        <v>7.8449587024224563</v>
      </c>
      <c r="N423" s="1088" t="e">
        <f t="shared" si="53"/>
        <v>#DIV/0!</v>
      </c>
      <c r="O423" s="495" t="e">
        <f t="shared" si="54"/>
        <v>#DIV/0!</v>
      </c>
      <c r="P423" s="495" t="e">
        <f t="shared" si="55"/>
        <v>#DIV/0!</v>
      </c>
      <c r="Q423" s="495" t="e">
        <f t="shared" si="56"/>
        <v>#DIV/0!</v>
      </c>
      <c r="R423" s="495" t="e">
        <f t="shared" si="57"/>
        <v>#DIV/0!</v>
      </c>
      <c r="S423" s="383">
        <f t="shared" si="58"/>
        <v>0.79999999999999993</v>
      </c>
      <c r="T423" s="384">
        <f t="shared" si="59"/>
        <v>5.2252514943869355E-4</v>
      </c>
      <c r="U423" s="384">
        <f t="shared" si="60"/>
        <v>8.3604023910190964E-2</v>
      </c>
      <c r="V423" s="384">
        <f t="shared" si="61"/>
        <v>5.6001638638868636</v>
      </c>
      <c r="W423" s="495">
        <f t="shared" si="62"/>
        <v>10.713972208369677</v>
      </c>
      <c r="X423" s="495" t="e">
        <f t="shared" si="63"/>
        <v>#DIV/0!</v>
      </c>
      <c r="Y423" s="495" t="e">
        <f t="shared" si="64"/>
        <v>#DIV/0!</v>
      </c>
      <c r="Z423" s="495" t="e">
        <f t="shared" si="65"/>
        <v>#DIV/0!</v>
      </c>
      <c r="AA423" s="495" t="e">
        <f t="shared" si="66"/>
        <v>#DIV/0!</v>
      </c>
      <c r="AB423" s="495" t="e">
        <f t="shared" si="67"/>
        <v>#DIV/0!</v>
      </c>
      <c r="AC423" s="383" t="e">
        <f t="shared" si="68"/>
        <v>#DIV/0!</v>
      </c>
      <c r="AD423" s="495" t="e">
        <f t="shared" si="69"/>
        <v>#DIV/0!</v>
      </c>
      <c r="AE423" s="419"/>
      <c r="AF423" s="419"/>
      <c r="AG423" s="22"/>
      <c r="AH423" s="419"/>
      <c r="AI423" s="419"/>
      <c r="AJ423" s="419"/>
      <c r="AK423" s="419"/>
      <c r="AL423" s="419"/>
      <c r="AM423" s="419"/>
      <c r="AN423" s="419"/>
      <c r="AO423" s="419"/>
      <c r="AP423" s="419"/>
      <c r="AQ423" s="419"/>
      <c r="AR423" s="419"/>
      <c r="AS423" s="419"/>
      <c r="AT423" s="419"/>
      <c r="AU423" s="419"/>
      <c r="AV423" s="419"/>
      <c r="AW423" s="419"/>
      <c r="AX423" s="419"/>
      <c r="AY423" s="419"/>
      <c r="AZ423" s="419"/>
      <c r="BA423" s="419"/>
      <c r="BB423" s="419"/>
      <c r="BC423" s="419"/>
      <c r="BD423" s="419"/>
      <c r="BF423" s="419"/>
      <c r="BG423" s="419"/>
      <c r="BH423" s="419"/>
      <c r="BI423" s="419"/>
      <c r="BJ423" s="419"/>
      <c r="BK423" s="419"/>
      <c r="BL423" s="419"/>
      <c r="BM423" s="419"/>
      <c r="BN423" s="419"/>
      <c r="BO423" s="246"/>
      <c r="BP423" s="386"/>
      <c r="BQ423" s="386"/>
      <c r="BR423" s="386"/>
      <c r="BS423" s="386"/>
      <c r="BT423" s="386"/>
      <c r="BU423" s="386"/>
      <c r="BV423" s="386"/>
      <c r="BW423" s="386"/>
      <c r="BX423" s="386"/>
      <c r="BY423" s="259"/>
      <c r="CB423" s="246"/>
      <c r="CC423" s="334"/>
      <c r="CD423" s="259"/>
      <c r="CE423" s="259"/>
      <c r="CF423" s="246"/>
      <c r="CG423" s="246"/>
      <c r="CH423" s="334"/>
      <c r="CI423" s="334"/>
      <c r="CJ423" s="14"/>
      <c r="CK423" s="334"/>
      <c r="CP423" s="27"/>
      <c r="CQ423" s="27"/>
      <c r="CR423" s="157"/>
      <c r="CS423" s="157"/>
      <c r="CT423" s="157"/>
      <c r="CU423" s="27"/>
      <c r="CV423" s="27"/>
      <c r="CW423" s="27"/>
      <c r="CX423" s="27"/>
      <c r="CY423" s="27"/>
      <c r="CZ423" s="27"/>
      <c r="DA423" s="27"/>
      <c r="DB423" s="27"/>
      <c r="DC423" s="27"/>
    </row>
    <row r="424" spans="1:107" ht="15.05" hidden="1" customHeight="1">
      <c r="A424" s="108"/>
      <c r="B424" s="293">
        <f t="shared" si="71"/>
        <v>0.89999999999999991</v>
      </c>
      <c r="C424" s="314">
        <f t="shared" si="43"/>
        <v>3.4189379614356978</v>
      </c>
      <c r="D424" s="1022">
        <f t="shared" si="44"/>
        <v>5.7932490625599034E-2</v>
      </c>
      <c r="E424" s="1022">
        <f t="shared" si="45"/>
        <v>30.596330240644757</v>
      </c>
      <c r="F424" s="1022">
        <f t="shared" si="46"/>
        <v>35.901830240644756</v>
      </c>
      <c r="G424" s="1086">
        <f t="shared" si="47"/>
        <v>111.74339976543705</v>
      </c>
      <c r="H424" s="1022">
        <f t="shared" si="48"/>
        <v>95.230185718083249</v>
      </c>
      <c r="I424" s="1087">
        <f t="shared" si="70"/>
        <v>75</v>
      </c>
      <c r="J424" s="1088" t="e">
        <f t="shared" si="49"/>
        <v>#DIV/0!</v>
      </c>
      <c r="K424" s="1088" t="e">
        <f t="shared" si="50"/>
        <v>#DIV/0!</v>
      </c>
      <c r="L424" s="1088" t="e">
        <f t="shared" si="51"/>
        <v>#DIV/0!</v>
      </c>
      <c r="M424" s="1088">
        <f t="shared" si="52"/>
        <v>7.8440779698860537</v>
      </c>
      <c r="N424" s="1088" t="e">
        <f t="shared" si="53"/>
        <v>#DIV/0!</v>
      </c>
      <c r="O424" s="495" t="e">
        <f t="shared" si="54"/>
        <v>#DIV/0!</v>
      </c>
      <c r="P424" s="495" t="e">
        <f t="shared" si="55"/>
        <v>#DIV/0!</v>
      </c>
      <c r="Q424" s="495" t="e">
        <f t="shared" si="56"/>
        <v>#DIV/0!</v>
      </c>
      <c r="R424" s="495" t="e">
        <f t="shared" si="57"/>
        <v>#DIV/0!</v>
      </c>
      <c r="S424" s="383">
        <f t="shared" si="58"/>
        <v>0.89999999999999991</v>
      </c>
      <c r="T424" s="384">
        <f t="shared" si="59"/>
        <v>6.6132089225834649E-4</v>
      </c>
      <c r="U424" s="384">
        <f t="shared" si="60"/>
        <v>0.10581134276133544</v>
      </c>
      <c r="V424" s="384">
        <f t="shared" si="61"/>
        <v>5.6002073902318115</v>
      </c>
      <c r="W424" s="495">
        <f t="shared" si="62"/>
        <v>10.713888936444619</v>
      </c>
      <c r="X424" s="495" t="e">
        <f t="shared" si="63"/>
        <v>#DIV/0!</v>
      </c>
      <c r="Y424" s="495" t="e">
        <f t="shared" si="64"/>
        <v>#DIV/0!</v>
      </c>
      <c r="Z424" s="495" t="e">
        <f t="shared" si="65"/>
        <v>#DIV/0!</v>
      </c>
      <c r="AA424" s="495" t="e">
        <f t="shared" si="66"/>
        <v>#DIV/0!</v>
      </c>
      <c r="AB424" s="495" t="e">
        <f t="shared" si="67"/>
        <v>#DIV/0!</v>
      </c>
      <c r="AC424" s="383" t="e">
        <f t="shared" si="68"/>
        <v>#DIV/0!</v>
      </c>
      <c r="AD424" s="495" t="e">
        <f t="shared" si="69"/>
        <v>#DIV/0!</v>
      </c>
      <c r="AE424" s="419"/>
      <c r="AF424" s="419"/>
      <c r="AG424" s="22"/>
      <c r="AH424" s="419"/>
      <c r="AI424" s="419"/>
      <c r="AJ424" s="419"/>
      <c r="AK424" s="419"/>
      <c r="AL424" s="419"/>
      <c r="AM424" s="419"/>
      <c r="AN424" s="419"/>
      <c r="AO424" s="419"/>
      <c r="AP424" s="419"/>
      <c r="AQ424" s="419"/>
      <c r="AR424" s="419"/>
      <c r="AS424" s="419"/>
      <c r="AT424" s="419"/>
      <c r="AU424" s="419"/>
      <c r="AV424" s="419"/>
      <c r="AW424" s="419"/>
      <c r="AX424" s="419"/>
      <c r="AY424" s="419"/>
      <c r="AZ424" s="419"/>
      <c r="BA424" s="419"/>
      <c r="BB424" s="419"/>
      <c r="BC424" s="419"/>
      <c r="BD424" s="419"/>
      <c r="BF424" s="419"/>
      <c r="BG424" s="419"/>
      <c r="BH424" s="419"/>
      <c r="BI424" s="419"/>
      <c r="BJ424" s="419"/>
      <c r="BK424" s="419"/>
      <c r="BL424" s="419"/>
      <c r="BM424" s="419"/>
      <c r="BN424" s="419"/>
      <c r="BO424" s="246"/>
      <c r="BP424" s="386"/>
      <c r="BQ424" s="386"/>
      <c r="BR424" s="386"/>
      <c r="BS424" s="386"/>
      <c r="BT424" s="386"/>
      <c r="BU424" s="386"/>
      <c r="BV424" s="386"/>
      <c r="BW424" s="386"/>
      <c r="BX424" s="386"/>
      <c r="BY424" s="259"/>
      <c r="CB424" s="246"/>
      <c r="CC424" s="334"/>
      <c r="CD424" s="259"/>
      <c r="CE424" s="259"/>
      <c r="CF424" s="246"/>
      <c r="CG424" s="246"/>
      <c r="CH424" s="334"/>
      <c r="CI424" s="334"/>
      <c r="CJ424" s="14"/>
      <c r="CK424" s="334"/>
      <c r="CP424" s="27"/>
      <c r="CQ424" s="27"/>
      <c r="CR424" s="157"/>
      <c r="CS424" s="157"/>
      <c r="CT424" s="157"/>
      <c r="CU424" s="27"/>
      <c r="CV424" s="27"/>
      <c r="CW424" s="27"/>
      <c r="CX424" s="27"/>
      <c r="CY424" s="27"/>
      <c r="CZ424" s="27"/>
      <c r="DA424" s="27"/>
      <c r="DB424" s="27"/>
      <c r="DC424" s="27"/>
    </row>
    <row r="425" spans="1:107" ht="15.05" hidden="1" customHeight="1">
      <c r="A425" s="108"/>
      <c r="B425" s="1089">
        <f>D332</f>
        <v>1</v>
      </c>
      <c r="C425" s="314">
        <f t="shared" si="43"/>
        <v>3.4207303177698387</v>
      </c>
      <c r="D425" s="1022">
        <f t="shared" si="44"/>
        <v>9.2821059392657876E-2</v>
      </c>
      <c r="E425" s="1022">
        <f t="shared" si="45"/>
        <v>30.600443602902391</v>
      </c>
      <c r="F425" s="1022">
        <f t="shared" si="46"/>
        <v>35.905943602902397</v>
      </c>
      <c r="G425" s="1086">
        <f t="shared" si="47"/>
        <v>111.78695192004959</v>
      </c>
      <c r="H425" s="1022">
        <f t="shared" si="48"/>
        <v>95.269194303901529</v>
      </c>
      <c r="I425" s="1087">
        <f t="shared" si="70"/>
        <v>75</v>
      </c>
      <c r="J425" s="1088" t="e">
        <f t="shared" si="49"/>
        <v>#DIV/0!</v>
      </c>
      <c r="K425" s="1088" t="e">
        <f t="shared" si="50"/>
        <v>#DIV/0!</v>
      </c>
      <c r="L425" s="1088" t="e">
        <f t="shared" si="51"/>
        <v>#DIV/0!</v>
      </c>
      <c r="M425" s="1088">
        <f t="shared" si="52"/>
        <v>7.8430235559472896</v>
      </c>
      <c r="N425" s="1088" t="e">
        <f t="shared" si="53"/>
        <v>#DIV/0!</v>
      </c>
      <c r="O425" s="495" t="e">
        <f t="shared" si="54"/>
        <v>#DIV/0!</v>
      </c>
      <c r="P425" s="495" t="e">
        <f t="shared" si="55"/>
        <v>#DIV/0!</v>
      </c>
      <c r="Q425" s="495" t="e">
        <f t="shared" si="56"/>
        <v>#DIV/0!</v>
      </c>
      <c r="R425" s="495" t="e">
        <f t="shared" si="57"/>
        <v>#DIV/0!</v>
      </c>
      <c r="S425" s="383">
        <f t="shared" si="58"/>
        <v>1</v>
      </c>
      <c r="T425" s="953">
        <f t="shared" si="59"/>
        <v>8.1644554599795882E-4</v>
      </c>
      <c r="U425" s="953">
        <f t="shared" si="60"/>
        <v>0.13063128735967341</v>
      </c>
      <c r="V425" s="953">
        <f t="shared" si="61"/>
        <v>5.6002560373232253</v>
      </c>
      <c r="W425" s="495">
        <f t="shared" si="62"/>
        <v>10.713795869354291</v>
      </c>
      <c r="X425" s="495" t="e">
        <f t="shared" si="63"/>
        <v>#DIV/0!</v>
      </c>
      <c r="Y425" s="495" t="e">
        <f t="shared" si="64"/>
        <v>#DIV/0!</v>
      </c>
      <c r="Z425" s="495" t="e">
        <f t="shared" si="65"/>
        <v>#DIV/0!</v>
      </c>
      <c r="AA425" s="495" t="e">
        <f t="shared" si="66"/>
        <v>#DIV/0!</v>
      </c>
      <c r="AB425" s="495" t="e">
        <f t="shared" si="67"/>
        <v>#DIV/0!</v>
      </c>
      <c r="AC425" s="383" t="e">
        <f t="shared" si="68"/>
        <v>#DIV/0!</v>
      </c>
      <c r="AD425" s="495" t="e">
        <f t="shared" si="69"/>
        <v>#DIV/0!</v>
      </c>
      <c r="AE425" s="419"/>
      <c r="AF425" s="419"/>
      <c r="AG425" s="22"/>
      <c r="AH425" s="419"/>
      <c r="AI425" s="419"/>
      <c r="AJ425" s="419"/>
      <c r="AK425" s="419"/>
      <c r="AL425" s="419"/>
      <c r="AM425" s="419"/>
      <c r="AN425" s="419"/>
      <c r="AO425" s="419"/>
      <c r="AP425" s="419"/>
      <c r="AQ425" s="419"/>
      <c r="AR425" s="419"/>
      <c r="AS425" s="419"/>
      <c r="AT425" s="419"/>
      <c r="AU425" s="419"/>
      <c r="AV425" s="419"/>
      <c r="AW425" s="419"/>
      <c r="AX425" s="419"/>
      <c r="AY425" s="419"/>
      <c r="AZ425" s="419"/>
      <c r="BA425" s="419"/>
      <c r="BB425" s="419"/>
      <c r="BC425" s="419"/>
      <c r="BD425" s="419"/>
      <c r="BF425" s="419"/>
      <c r="BG425" s="419"/>
      <c r="BH425" s="419"/>
      <c r="BI425" s="419"/>
      <c r="BJ425" s="419"/>
      <c r="BK425" s="419"/>
      <c r="BL425" s="419"/>
      <c r="BM425" s="419"/>
      <c r="BN425" s="419"/>
      <c r="BO425" s="246"/>
      <c r="BP425" s="386"/>
      <c r="BQ425" s="386"/>
      <c r="BR425" s="386"/>
      <c r="BS425" s="386"/>
      <c r="BT425" s="386"/>
      <c r="BU425" s="386"/>
      <c r="BV425" s="386"/>
      <c r="BW425" s="386"/>
      <c r="BX425" s="386"/>
      <c r="BY425" s="259"/>
      <c r="CB425" s="246"/>
      <c r="CC425" s="334"/>
      <c r="CD425" s="259"/>
      <c r="CE425" s="259"/>
      <c r="CF425" s="246"/>
      <c r="CG425" s="246"/>
      <c r="CH425" s="334"/>
      <c r="CI425" s="334"/>
      <c r="CJ425" s="14"/>
      <c r="CK425" s="334"/>
      <c r="CP425" s="27"/>
      <c r="CQ425" s="27"/>
      <c r="CR425" s="157"/>
      <c r="CS425" s="157"/>
      <c r="CT425" s="157"/>
      <c r="CU425" s="27"/>
      <c r="CV425" s="27"/>
      <c r="CW425" s="27"/>
      <c r="CX425" s="27"/>
      <c r="CY425" s="27"/>
      <c r="CZ425" s="27"/>
      <c r="DA425" s="27"/>
      <c r="DB425" s="27"/>
      <c r="DC425" s="27"/>
    </row>
    <row r="426" spans="1:107" ht="15.05" hidden="1" customHeight="1">
      <c r="A426" s="108"/>
      <c r="B426" s="293">
        <f t="shared" ref="B426:B435" si="72">B$425/10+B425</f>
        <v>1.1000000000000001</v>
      </c>
      <c r="C426" s="314">
        <f t="shared" si="43"/>
        <v>3.4222401426918077</v>
      </c>
      <c r="D426" s="1022">
        <f t="shared" si="44"/>
        <v>0.13348913210142332</v>
      </c>
      <c r="E426" s="1022">
        <f t="shared" si="45"/>
        <v>30.605238368674758</v>
      </c>
      <c r="F426" s="1022">
        <f t="shared" si="46"/>
        <v>35.910738368674757</v>
      </c>
      <c r="G426" s="1086">
        <f t="shared" si="47"/>
        <v>111.81877107007138</v>
      </c>
      <c r="H426" s="1022">
        <f t="shared" si="48"/>
        <v>95.298517885030648</v>
      </c>
      <c r="I426" s="1087">
        <f t="shared" si="70"/>
        <v>75</v>
      </c>
      <c r="J426" s="1088" t="e">
        <f t="shared" si="49"/>
        <v>#DIV/0!</v>
      </c>
      <c r="K426" s="1088" t="e">
        <f t="shared" si="50"/>
        <v>#DIV/0!</v>
      </c>
      <c r="L426" s="1088" t="e">
        <f t="shared" si="51"/>
        <v>#DIV/0!</v>
      </c>
      <c r="M426" s="1088">
        <f t="shared" si="52"/>
        <v>7.8417948296604711</v>
      </c>
      <c r="N426" s="1088" t="e">
        <f t="shared" si="53"/>
        <v>#DIV/0!</v>
      </c>
      <c r="O426" s="495" t="e">
        <f t="shared" si="54"/>
        <v>#DIV/0!</v>
      </c>
      <c r="P426" s="495" t="e">
        <f t="shared" si="55"/>
        <v>#DIV/0!</v>
      </c>
      <c r="Q426" s="495" t="e">
        <f t="shared" si="56"/>
        <v>#DIV/0!</v>
      </c>
      <c r="R426" s="495" t="e">
        <f t="shared" si="57"/>
        <v>#DIV/0!</v>
      </c>
      <c r="S426" s="383">
        <f t="shared" si="58"/>
        <v>1.1000000000000001</v>
      </c>
      <c r="T426" s="384">
        <f t="shared" si="59"/>
        <v>9.8789911065753043E-4</v>
      </c>
      <c r="U426" s="384">
        <f t="shared" si="60"/>
        <v>0.15806385770520487</v>
      </c>
      <c r="V426" s="384">
        <f t="shared" si="61"/>
        <v>5.6003098051611024</v>
      </c>
      <c r="W426" s="495">
        <f t="shared" si="62"/>
        <v>10.713693007609246</v>
      </c>
      <c r="X426" s="495" t="e">
        <f t="shared" si="63"/>
        <v>#DIV/0!</v>
      </c>
      <c r="Y426" s="495" t="e">
        <f t="shared" si="64"/>
        <v>#DIV/0!</v>
      </c>
      <c r="Z426" s="495" t="e">
        <f t="shared" si="65"/>
        <v>#DIV/0!</v>
      </c>
      <c r="AA426" s="495" t="e">
        <f t="shared" si="66"/>
        <v>#DIV/0!</v>
      </c>
      <c r="AB426" s="495" t="e">
        <f t="shared" si="67"/>
        <v>#DIV/0!</v>
      </c>
      <c r="AC426" s="383" t="e">
        <f t="shared" si="68"/>
        <v>#DIV/0!</v>
      </c>
      <c r="AD426" s="495" t="e">
        <f t="shared" si="69"/>
        <v>#DIV/0!</v>
      </c>
      <c r="AE426" s="419"/>
      <c r="AF426" s="419"/>
      <c r="AG426" s="22"/>
      <c r="AH426" s="419"/>
      <c r="AI426" s="419"/>
      <c r="AJ426" s="419"/>
      <c r="AK426" s="419"/>
      <c r="AL426" s="419"/>
      <c r="AM426" s="419"/>
      <c r="AN426" s="419"/>
      <c r="AO426" s="419"/>
      <c r="AP426" s="419"/>
      <c r="AQ426" s="419"/>
      <c r="AR426" s="419"/>
      <c r="AS426" s="419"/>
      <c r="AT426" s="419"/>
      <c r="AU426" s="419"/>
      <c r="AV426" s="419"/>
      <c r="AW426" s="419"/>
      <c r="AX426" s="419"/>
      <c r="AY426" s="419"/>
      <c r="AZ426" s="419"/>
      <c r="BA426" s="419"/>
      <c r="BB426" s="419"/>
      <c r="BC426" s="419"/>
      <c r="BD426" s="419"/>
      <c r="BF426" s="419"/>
      <c r="BG426" s="419"/>
      <c r="BH426" s="419"/>
      <c r="BI426" s="419"/>
      <c r="BJ426" s="419"/>
      <c r="BK426" s="419"/>
      <c r="BL426" s="419"/>
      <c r="BM426" s="419"/>
      <c r="BN426" s="419"/>
      <c r="BO426" s="246"/>
      <c r="BP426" s="386"/>
      <c r="BQ426" s="386"/>
      <c r="BR426" s="386"/>
      <c r="BS426" s="386"/>
      <c r="BT426" s="386"/>
      <c r="BU426" s="386"/>
      <c r="BV426" s="386"/>
      <c r="BW426" s="386"/>
      <c r="BX426" s="386"/>
      <c r="BY426" s="259"/>
      <c r="CB426" s="246"/>
      <c r="CC426" s="334"/>
      <c r="CD426" s="259"/>
      <c r="CE426" s="259"/>
      <c r="CF426" s="246"/>
      <c r="CG426" s="246"/>
      <c r="CH426" s="334"/>
      <c r="CI426" s="334"/>
      <c r="CJ426" s="14"/>
      <c r="CK426" s="334"/>
      <c r="CP426" s="27"/>
      <c r="CQ426" s="27"/>
      <c r="CR426" s="157"/>
      <c r="CS426" s="157"/>
      <c r="CT426" s="157"/>
      <c r="CU426" s="27"/>
      <c r="CV426" s="27"/>
      <c r="CW426" s="27"/>
      <c r="CX426" s="27"/>
      <c r="CY426" s="27"/>
      <c r="CZ426" s="27"/>
      <c r="DA426" s="27"/>
      <c r="DB426" s="27"/>
      <c r="DC426" s="27"/>
    </row>
    <row r="427" spans="1:107" ht="15.05" hidden="1" customHeight="1">
      <c r="A427" s="108"/>
      <c r="B427" s="293">
        <f t="shared" si="72"/>
        <v>1.2000000000000002</v>
      </c>
      <c r="C427" s="314">
        <f t="shared" si="43"/>
        <v>3.423471102673378</v>
      </c>
      <c r="D427" s="1022">
        <f t="shared" si="44"/>
        <v>0.17996223411064752</v>
      </c>
      <c r="E427" s="1022">
        <f t="shared" si="45"/>
        <v>30.610717547401642</v>
      </c>
      <c r="F427" s="1022">
        <f t="shared" si="46"/>
        <v>35.916217547401651</v>
      </c>
      <c r="G427" s="1086">
        <f t="shared" si="47"/>
        <v>111.83896938619708</v>
      </c>
      <c r="H427" s="1022">
        <f t="shared" si="48"/>
        <v>95.31825276854768</v>
      </c>
      <c r="I427" s="1087">
        <f t="shared" si="70"/>
        <v>75</v>
      </c>
      <c r="J427" s="1088" t="e">
        <f t="shared" si="49"/>
        <v>#DIV/0!</v>
      </c>
      <c r="K427" s="1088" t="e">
        <f t="shared" si="50"/>
        <v>#DIV/0!</v>
      </c>
      <c r="L427" s="1088" t="e">
        <f t="shared" si="51"/>
        <v>#DIV/0!</v>
      </c>
      <c r="M427" s="1088">
        <f t="shared" si="52"/>
        <v>7.8403911841776521</v>
      </c>
      <c r="N427" s="1088" t="e">
        <f t="shared" si="53"/>
        <v>#DIV/0!</v>
      </c>
      <c r="O427" s="495" t="e">
        <f t="shared" si="54"/>
        <v>#DIV/0!</v>
      </c>
      <c r="P427" s="495" t="e">
        <f t="shared" si="55"/>
        <v>#DIV/0!</v>
      </c>
      <c r="Q427" s="495" t="e">
        <f t="shared" si="56"/>
        <v>#DIV/0!</v>
      </c>
      <c r="R427" s="495" t="e">
        <f t="shared" si="57"/>
        <v>#DIV/0!</v>
      </c>
      <c r="S427" s="383">
        <f t="shared" si="58"/>
        <v>1.2000000000000002</v>
      </c>
      <c r="T427" s="384">
        <f t="shared" si="59"/>
        <v>1.1756815862370611E-3</v>
      </c>
      <c r="U427" s="384">
        <f t="shared" si="60"/>
        <v>0.18810905379792978</v>
      </c>
      <c r="V427" s="384">
        <f t="shared" si="61"/>
        <v>5.6003686937454429</v>
      </c>
      <c r="W427" s="495">
        <f t="shared" si="62"/>
        <v>10.71358035177375</v>
      </c>
      <c r="X427" s="495" t="e">
        <f t="shared" si="63"/>
        <v>#DIV/0!</v>
      </c>
      <c r="Y427" s="495" t="e">
        <f t="shared" si="64"/>
        <v>#DIV/0!</v>
      </c>
      <c r="Z427" s="495" t="e">
        <f t="shared" si="65"/>
        <v>#DIV/0!</v>
      </c>
      <c r="AA427" s="495" t="e">
        <f t="shared" si="66"/>
        <v>#DIV/0!</v>
      </c>
      <c r="AB427" s="495" t="e">
        <f t="shared" si="67"/>
        <v>#DIV/0!</v>
      </c>
      <c r="AC427" s="383" t="e">
        <f t="shared" si="68"/>
        <v>#DIV/0!</v>
      </c>
      <c r="AD427" s="495" t="e">
        <f t="shared" si="69"/>
        <v>#DIV/0!</v>
      </c>
      <c r="AE427" s="419"/>
      <c r="AF427" s="419"/>
      <c r="AG427" s="22"/>
      <c r="AH427" s="419"/>
      <c r="AI427" s="419"/>
      <c r="AJ427" s="419"/>
      <c r="AK427" s="419"/>
      <c r="AL427" s="419"/>
      <c r="AM427" s="419"/>
      <c r="AN427" s="419"/>
      <c r="AO427" s="419"/>
      <c r="AP427" s="419"/>
      <c r="AQ427" s="419"/>
      <c r="AR427" s="419"/>
      <c r="AS427" s="419"/>
      <c r="AT427" s="419"/>
      <c r="AU427" s="419"/>
      <c r="AV427" s="419"/>
      <c r="AW427" s="419"/>
      <c r="AX427" s="419"/>
      <c r="AY427" s="419"/>
      <c r="AZ427" s="419"/>
      <c r="BA427" s="419"/>
      <c r="BB427" s="419"/>
      <c r="BC427" s="419"/>
      <c r="BD427" s="419"/>
      <c r="BF427" s="419"/>
      <c r="BG427" s="419"/>
      <c r="BH427" s="419"/>
      <c r="BI427" s="419"/>
      <c r="BJ427" s="419"/>
      <c r="BK427" s="419"/>
      <c r="BL427" s="419"/>
      <c r="BM427" s="419"/>
      <c r="BN427" s="419"/>
      <c r="BO427" s="246"/>
      <c r="BP427" s="386"/>
      <c r="BQ427" s="386"/>
      <c r="BR427" s="386"/>
      <c r="BS427" s="386"/>
      <c r="BT427" s="386"/>
      <c r="BU427" s="386"/>
      <c r="BV427" s="386"/>
      <c r="BW427" s="386"/>
      <c r="BX427" s="386"/>
      <c r="BY427" s="259"/>
      <c r="CB427" s="246"/>
      <c r="CC427" s="334"/>
      <c r="CD427" s="259"/>
      <c r="CE427" s="259"/>
      <c r="CF427" s="246"/>
      <c r="CG427" s="246"/>
      <c r="CH427" s="334"/>
      <c r="CI427" s="334"/>
      <c r="CJ427" s="14"/>
      <c r="CK427" s="334"/>
      <c r="CP427" s="27"/>
      <c r="CQ427" s="27"/>
      <c r="CR427" s="157"/>
      <c r="CS427" s="157"/>
      <c r="CT427" s="157"/>
      <c r="CU427" s="27"/>
      <c r="CV427" s="27"/>
      <c r="CW427" s="27"/>
      <c r="CX427" s="27"/>
      <c r="CY427" s="27"/>
      <c r="CZ427" s="27"/>
      <c r="DA427" s="27"/>
      <c r="DB427" s="27"/>
      <c r="DC427" s="27"/>
    </row>
    <row r="428" spans="1:107" ht="15.05" hidden="1" customHeight="1">
      <c r="A428" s="108"/>
      <c r="B428" s="293">
        <f t="shared" si="72"/>
        <v>1.3000000000000003</v>
      </c>
      <c r="C428" s="314">
        <f t="shared" si="43"/>
        <v>3.4244268641863238</v>
      </c>
      <c r="D428" s="1022">
        <f t="shared" si="44"/>
        <v>0.23226589077908269</v>
      </c>
      <c r="E428" s="1022">
        <f t="shared" si="45"/>
        <v>30.616884148522853</v>
      </c>
      <c r="F428" s="1022">
        <f t="shared" si="46"/>
        <v>35.922384148522852</v>
      </c>
      <c r="G428" s="1086">
        <f t="shared" si="47"/>
        <v>111.84766051223208</v>
      </c>
      <c r="H428" s="1022">
        <f t="shared" si="48"/>
        <v>95.328496294340141</v>
      </c>
      <c r="I428" s="1087">
        <f t="shared" si="70"/>
        <v>75</v>
      </c>
      <c r="J428" s="1088" t="e">
        <f t="shared" si="49"/>
        <v>#DIV/0!</v>
      </c>
      <c r="K428" s="1088" t="e">
        <f t="shared" si="50"/>
        <v>#DIV/0!</v>
      </c>
      <c r="L428" s="1088" t="e">
        <f t="shared" si="51"/>
        <v>#DIV/0!</v>
      </c>
      <c r="M428" s="1088">
        <f t="shared" si="52"/>
        <v>7.83881203703673</v>
      </c>
      <c r="N428" s="1088" t="e">
        <f t="shared" si="53"/>
        <v>#DIV/0!</v>
      </c>
      <c r="O428" s="495" t="e">
        <f t="shared" si="54"/>
        <v>#DIV/0!</v>
      </c>
      <c r="P428" s="495" t="e">
        <f t="shared" si="55"/>
        <v>#DIV/0!</v>
      </c>
      <c r="Q428" s="495" t="e">
        <f t="shared" si="56"/>
        <v>#DIV/0!</v>
      </c>
      <c r="R428" s="495" t="e">
        <f t="shared" si="57"/>
        <v>#DIV/0!</v>
      </c>
      <c r="S428" s="383">
        <f t="shared" si="58"/>
        <v>1.3000000000000003</v>
      </c>
      <c r="T428" s="384">
        <f t="shared" si="59"/>
        <v>1.3797929727365507E-3</v>
      </c>
      <c r="U428" s="384">
        <f t="shared" si="60"/>
        <v>0.22076687563784811</v>
      </c>
      <c r="V428" s="384">
        <f t="shared" si="61"/>
        <v>5.6004327030762493</v>
      </c>
      <c r="W428" s="495">
        <f t="shared" si="62"/>
        <v>10.713457902465775</v>
      </c>
      <c r="X428" s="495" t="e">
        <f t="shared" si="63"/>
        <v>#DIV/0!</v>
      </c>
      <c r="Y428" s="495" t="e">
        <f t="shared" si="64"/>
        <v>#DIV/0!</v>
      </c>
      <c r="Z428" s="495" t="e">
        <f t="shared" si="65"/>
        <v>#DIV/0!</v>
      </c>
      <c r="AA428" s="495" t="e">
        <f t="shared" si="66"/>
        <v>#DIV/0!</v>
      </c>
      <c r="AB428" s="495" t="e">
        <f t="shared" si="67"/>
        <v>#DIV/0!</v>
      </c>
      <c r="AC428" s="383" t="e">
        <f t="shared" si="68"/>
        <v>#DIV/0!</v>
      </c>
      <c r="AD428" s="495" t="e">
        <f t="shared" si="69"/>
        <v>#DIV/0!</v>
      </c>
      <c r="AE428" s="419"/>
      <c r="AF428" s="419"/>
      <c r="AG428" s="22"/>
      <c r="AH428" s="419"/>
      <c r="AI428" s="419"/>
      <c r="AJ428" s="419"/>
      <c r="AK428" s="419"/>
      <c r="AL428" s="419"/>
      <c r="AM428" s="419"/>
      <c r="AN428" s="419"/>
      <c r="AO428" s="419"/>
      <c r="AP428" s="419"/>
      <c r="AQ428" s="419"/>
      <c r="AR428" s="419"/>
      <c r="AS428" s="419"/>
      <c r="AT428" s="419"/>
      <c r="AU428" s="419"/>
      <c r="AV428" s="419"/>
      <c r="AW428" s="419"/>
      <c r="AX428" s="419"/>
      <c r="AY428" s="419"/>
      <c r="AZ428" s="419"/>
      <c r="BA428" s="419"/>
      <c r="BB428" s="419"/>
      <c r="BC428" s="419"/>
      <c r="BD428" s="419"/>
      <c r="BF428" s="419"/>
      <c r="BG428" s="419"/>
      <c r="BH428" s="419"/>
      <c r="BI428" s="419"/>
      <c r="BJ428" s="419"/>
      <c r="BK428" s="419"/>
      <c r="BL428" s="419"/>
      <c r="BM428" s="419"/>
      <c r="BN428" s="419"/>
      <c r="BO428" s="246"/>
      <c r="BP428" s="386"/>
      <c r="BQ428" s="386"/>
      <c r="BR428" s="386"/>
      <c r="BS428" s="386"/>
      <c r="BT428" s="386"/>
      <c r="BU428" s="386"/>
      <c r="BV428" s="386"/>
      <c r="BW428" s="386"/>
      <c r="BX428" s="386"/>
      <c r="BY428" s="259"/>
      <c r="CB428" s="246"/>
      <c r="CC428" s="334"/>
      <c r="CD428" s="259"/>
      <c r="CE428" s="259"/>
      <c r="CF428" s="246"/>
      <c r="CG428" s="246"/>
      <c r="CH428" s="334"/>
      <c r="CI428" s="334"/>
      <c r="CJ428" s="14"/>
      <c r="CK428" s="334"/>
      <c r="CP428" s="27"/>
      <c r="CQ428" s="27"/>
      <c r="CR428" s="157"/>
      <c r="CS428" s="157"/>
      <c r="CT428" s="157"/>
      <c r="CU428" s="27"/>
      <c r="CV428" s="27"/>
      <c r="CW428" s="27"/>
      <c r="CX428" s="27"/>
      <c r="CY428" s="27"/>
      <c r="CZ428" s="27"/>
      <c r="DA428" s="27"/>
      <c r="DB428" s="27"/>
      <c r="DC428" s="27"/>
    </row>
    <row r="429" spans="1:107" ht="15.05" hidden="1" customHeight="1">
      <c r="A429" s="108"/>
      <c r="B429" s="293">
        <f t="shared" si="72"/>
        <v>1.4000000000000004</v>
      </c>
      <c r="C429" s="314">
        <f t="shared" si="43"/>
        <v>3.4251110937024194</v>
      </c>
      <c r="D429" s="1022">
        <f t="shared" si="44"/>
        <v>0.29042562746548106</v>
      </c>
      <c r="E429" s="1022">
        <f t="shared" si="45"/>
        <v>30.623741181478184</v>
      </c>
      <c r="F429" s="1022">
        <f t="shared" si="46"/>
        <v>35.929241181478183</v>
      </c>
      <c r="G429" s="1086">
        <f t="shared" si="47"/>
        <v>111.84495954968399</v>
      </c>
      <c r="H429" s="1022">
        <f t="shared" si="48"/>
        <v>95.329346823725643</v>
      </c>
      <c r="I429" s="1087">
        <f t="shared" si="70"/>
        <v>75</v>
      </c>
      <c r="J429" s="1088" t="e">
        <f t="shared" si="49"/>
        <v>#DIV/0!</v>
      </c>
      <c r="K429" s="1088" t="e">
        <f t="shared" si="50"/>
        <v>#DIV/0!</v>
      </c>
      <c r="L429" s="1088" t="e">
        <f t="shared" si="51"/>
        <v>#DIV/0!</v>
      </c>
      <c r="M429" s="1088">
        <f t="shared" si="52"/>
        <v>7.8370568304422754</v>
      </c>
      <c r="N429" s="1088" t="e">
        <f t="shared" si="53"/>
        <v>#DIV/0!</v>
      </c>
      <c r="O429" s="495" t="e">
        <f t="shared" si="54"/>
        <v>#DIV/0!</v>
      </c>
      <c r="P429" s="495" t="e">
        <f t="shared" si="55"/>
        <v>#DIV/0!</v>
      </c>
      <c r="Q429" s="495" t="e">
        <f t="shared" si="56"/>
        <v>#DIV/0!</v>
      </c>
      <c r="R429" s="495" t="e">
        <f t="shared" si="57"/>
        <v>#DIV/0!</v>
      </c>
      <c r="S429" s="383">
        <f t="shared" si="58"/>
        <v>1.4000000000000004</v>
      </c>
      <c r="T429" s="384">
        <f t="shared" si="59"/>
        <v>1.6002332701560002E-3</v>
      </c>
      <c r="U429" s="384">
        <f t="shared" si="60"/>
        <v>0.25603732322496003</v>
      </c>
      <c r="V429" s="384">
        <f t="shared" si="61"/>
        <v>5.6005018331535208</v>
      </c>
      <c r="W429" s="495">
        <f t="shared" si="62"/>
        <v>10.713325660356995</v>
      </c>
      <c r="X429" s="495" t="e">
        <f t="shared" si="63"/>
        <v>#DIV/0!</v>
      </c>
      <c r="Y429" s="495" t="e">
        <f t="shared" si="64"/>
        <v>#DIV/0!</v>
      </c>
      <c r="Z429" s="495" t="e">
        <f t="shared" si="65"/>
        <v>#DIV/0!</v>
      </c>
      <c r="AA429" s="495" t="e">
        <f t="shared" si="66"/>
        <v>#DIV/0!</v>
      </c>
      <c r="AB429" s="495" t="e">
        <f t="shared" si="67"/>
        <v>#DIV/0!</v>
      </c>
      <c r="AC429" s="383" t="e">
        <f t="shared" si="68"/>
        <v>#DIV/0!</v>
      </c>
      <c r="AD429" s="495" t="e">
        <f t="shared" si="69"/>
        <v>#DIV/0!</v>
      </c>
      <c r="AE429" s="419"/>
      <c r="AF429" s="419"/>
      <c r="AG429" s="22"/>
      <c r="AH429" s="419"/>
      <c r="AI429" s="419"/>
      <c r="AJ429" s="419"/>
      <c r="AK429" s="419"/>
      <c r="AL429" s="419"/>
      <c r="AM429" s="419"/>
      <c r="AN429" s="419"/>
      <c r="AO429" s="419"/>
      <c r="AP429" s="419"/>
      <c r="AQ429" s="419"/>
      <c r="AR429" s="419"/>
      <c r="AS429" s="419"/>
      <c r="AT429" s="419"/>
      <c r="AU429" s="419"/>
      <c r="AV429" s="419"/>
      <c r="AW429" s="419"/>
      <c r="AX429" s="419"/>
      <c r="AY429" s="419"/>
      <c r="AZ429" s="419"/>
      <c r="BA429" s="419"/>
      <c r="BB429" s="419"/>
      <c r="BC429" s="419"/>
      <c r="BD429" s="419"/>
      <c r="BF429" s="419"/>
      <c r="BG429" s="419"/>
      <c r="BH429" s="419"/>
      <c r="BI429" s="419"/>
      <c r="BJ429" s="419"/>
      <c r="BK429" s="419"/>
      <c r="BL429" s="419"/>
      <c r="BM429" s="419"/>
      <c r="BN429" s="419"/>
      <c r="BO429" s="246"/>
      <c r="BP429" s="386"/>
      <c r="BQ429" s="386"/>
      <c r="BR429" s="386"/>
      <c r="BS429" s="386"/>
      <c r="BT429" s="386"/>
      <c r="BU429" s="386"/>
      <c r="BV429" s="386"/>
      <c r="BW429" s="386"/>
      <c r="BX429" s="386"/>
      <c r="BY429" s="259"/>
      <c r="CB429" s="246"/>
      <c r="CC429" s="334"/>
      <c r="CD429" s="259"/>
      <c r="CE429" s="259"/>
      <c r="CF429" s="246"/>
      <c r="CG429" s="246"/>
      <c r="CH429" s="334"/>
      <c r="CI429" s="334"/>
      <c r="CJ429" s="14"/>
      <c r="CK429" s="334"/>
      <c r="CP429" s="27"/>
      <c r="CQ429" s="27"/>
      <c r="CR429" s="157"/>
      <c r="CS429" s="157"/>
      <c r="CT429" s="157"/>
      <c r="CU429" s="27"/>
      <c r="CV429" s="27"/>
      <c r="CW429" s="27"/>
      <c r="CX429" s="27"/>
      <c r="CY429" s="27"/>
      <c r="CZ429" s="27"/>
      <c r="DA429" s="27"/>
      <c r="DB429" s="27"/>
      <c r="DC429" s="27"/>
    </row>
    <row r="430" spans="1:107" ht="15.05" hidden="1" customHeight="1">
      <c r="A430" s="108"/>
      <c r="B430" s="293">
        <f t="shared" si="72"/>
        <v>1.5000000000000004</v>
      </c>
      <c r="C430" s="314">
        <f t="shared" si="43"/>
        <v>3.4255274576934385</v>
      </c>
      <c r="D430" s="1022">
        <f t="shared" si="44"/>
        <v>0.35446696952859469</v>
      </c>
      <c r="E430" s="1022">
        <f t="shared" si="45"/>
        <v>30.631291655707422</v>
      </c>
      <c r="F430" s="1022">
        <f t="shared" si="46"/>
        <v>35.936791655707424</v>
      </c>
      <c r="G430" s="1086">
        <f t="shared" si="47"/>
        <v>111.8309830416561</v>
      </c>
      <c r="H430" s="1022">
        <f t="shared" si="48"/>
        <v>95.320903727625947</v>
      </c>
      <c r="I430" s="1087">
        <f t="shared" si="70"/>
        <v>75</v>
      </c>
      <c r="J430" s="1088" t="e">
        <f t="shared" si="49"/>
        <v>#DIV/0!</v>
      </c>
      <c r="K430" s="1088" t="e">
        <f t="shared" si="50"/>
        <v>#DIV/0!</v>
      </c>
      <c r="L430" s="1088" t="e">
        <f t="shared" si="51"/>
        <v>#DIV/0!</v>
      </c>
      <c r="M430" s="1088">
        <f t="shared" si="52"/>
        <v>7.8351250315388397</v>
      </c>
      <c r="N430" s="1088" t="e">
        <f t="shared" si="53"/>
        <v>#DIV/0!</v>
      </c>
      <c r="O430" s="495" t="e">
        <f t="shared" si="54"/>
        <v>#DIV/0!</v>
      </c>
      <c r="P430" s="495" t="e">
        <f t="shared" si="55"/>
        <v>#DIV/0!</v>
      </c>
      <c r="Q430" s="495" t="e">
        <f t="shared" si="56"/>
        <v>#DIV/0!</v>
      </c>
      <c r="R430" s="495" t="e">
        <f t="shared" si="57"/>
        <v>#DIV/0!</v>
      </c>
      <c r="S430" s="383">
        <f t="shared" si="58"/>
        <v>1.5000000000000004</v>
      </c>
      <c r="T430" s="384">
        <f t="shared" si="59"/>
        <v>1.8370024784954083E-3</v>
      </c>
      <c r="U430" s="384">
        <f t="shared" si="60"/>
        <v>0.29392039655926533</v>
      </c>
      <c r="V430" s="384">
        <f t="shared" si="61"/>
        <v>5.6005760839772556</v>
      </c>
      <c r="W430" s="495">
        <f t="shared" si="62"/>
        <v>10.71318362617278</v>
      </c>
      <c r="X430" s="495" t="e">
        <f t="shared" si="63"/>
        <v>#DIV/0!</v>
      </c>
      <c r="Y430" s="495" t="e">
        <f t="shared" si="64"/>
        <v>#DIV/0!</v>
      </c>
      <c r="Z430" s="495" t="e">
        <f t="shared" si="65"/>
        <v>#DIV/0!</v>
      </c>
      <c r="AA430" s="495" t="e">
        <f t="shared" si="66"/>
        <v>#DIV/0!</v>
      </c>
      <c r="AB430" s="495" t="e">
        <f t="shared" si="67"/>
        <v>#DIV/0!</v>
      </c>
      <c r="AC430" s="383" t="e">
        <f t="shared" si="68"/>
        <v>#DIV/0!</v>
      </c>
      <c r="AD430" s="495" t="e">
        <f t="shared" si="69"/>
        <v>#DIV/0!</v>
      </c>
      <c r="AE430" s="419"/>
      <c r="AF430" s="419"/>
      <c r="AG430" s="22"/>
      <c r="AH430" s="419"/>
      <c r="AI430" s="419"/>
      <c r="AJ430" s="419"/>
      <c r="AK430" s="419"/>
      <c r="AL430" s="419"/>
      <c r="AM430" s="419"/>
      <c r="AN430" s="419"/>
      <c r="AO430" s="419"/>
      <c r="AP430" s="419"/>
      <c r="AQ430" s="419"/>
      <c r="AR430" s="419"/>
      <c r="AS430" s="419"/>
      <c r="AT430" s="419"/>
      <c r="AU430" s="419"/>
      <c r="AV430" s="419"/>
      <c r="AW430" s="419"/>
      <c r="AX430" s="419"/>
      <c r="AY430" s="419"/>
      <c r="AZ430" s="419"/>
      <c r="BA430" s="419"/>
      <c r="BB430" s="419"/>
      <c r="BC430" s="419"/>
      <c r="BD430" s="419"/>
      <c r="BF430" s="419"/>
      <c r="BG430" s="419"/>
      <c r="BH430" s="419"/>
      <c r="BI430" s="419"/>
      <c r="BJ430" s="419"/>
      <c r="BK430" s="419"/>
      <c r="BL430" s="419"/>
      <c r="BM430" s="419"/>
      <c r="BN430" s="419"/>
      <c r="BO430" s="246"/>
      <c r="BP430" s="386"/>
      <c r="BQ430" s="386"/>
      <c r="BR430" s="386"/>
      <c r="BS430" s="386"/>
      <c r="BT430" s="386"/>
      <c r="BU430" s="386"/>
      <c r="BV430" s="386"/>
      <c r="BW430" s="386"/>
      <c r="BX430" s="386"/>
      <c r="BY430" s="259"/>
      <c r="CB430" s="246"/>
      <c r="CC430" s="334"/>
      <c r="CD430" s="259"/>
      <c r="CE430" s="259"/>
      <c r="CF430" s="246"/>
      <c r="CG430" s="246"/>
      <c r="CH430" s="334"/>
      <c r="CI430" s="334"/>
      <c r="CJ430" s="14"/>
      <c r="CK430" s="334"/>
      <c r="CP430" s="27"/>
      <c r="CQ430" s="27"/>
      <c r="CR430" s="157"/>
      <c r="CS430" s="157"/>
      <c r="CT430" s="157"/>
      <c r="CU430" s="27"/>
      <c r="CV430" s="27"/>
      <c r="CW430" s="27"/>
      <c r="CX430" s="27"/>
      <c r="CY430" s="27"/>
      <c r="CZ430" s="27"/>
      <c r="DA430" s="27"/>
      <c r="DB430" s="27"/>
      <c r="DC430" s="27"/>
    </row>
    <row r="431" spans="1:107" ht="15.05" hidden="1" customHeight="1">
      <c r="A431" s="108"/>
      <c r="B431" s="293">
        <f t="shared" si="72"/>
        <v>1.6000000000000005</v>
      </c>
      <c r="C431" s="314">
        <f t="shared" si="43"/>
        <v>3.4256796226311548</v>
      </c>
      <c r="D431" s="1022">
        <f t="shared" si="44"/>
        <v>0.42441544232717587</v>
      </c>
      <c r="E431" s="1022">
        <f t="shared" si="45"/>
        <v>30.639538580650374</v>
      </c>
      <c r="F431" s="1022">
        <f t="shared" si="46"/>
        <v>35.945038580650376</v>
      </c>
      <c r="G431" s="1086">
        <f t="shared" si="47"/>
        <v>111.80584895604649</v>
      </c>
      <c r="H431" s="1022">
        <f t="shared" si="48"/>
        <v>95.303267374297292</v>
      </c>
      <c r="I431" s="1087">
        <f t="shared" si="70"/>
        <v>75</v>
      </c>
      <c r="J431" s="1088" t="e">
        <f t="shared" si="49"/>
        <v>#DIV/0!</v>
      </c>
      <c r="K431" s="1088" t="e">
        <f t="shared" si="50"/>
        <v>#DIV/0!</v>
      </c>
      <c r="L431" s="1088" t="e">
        <f t="shared" si="51"/>
        <v>#DIV/0!</v>
      </c>
      <c r="M431" s="1088">
        <f t="shared" si="52"/>
        <v>7.8330161326765522</v>
      </c>
      <c r="N431" s="1088" t="e">
        <f t="shared" si="53"/>
        <v>#DIV/0!</v>
      </c>
      <c r="O431" s="495" t="e">
        <f t="shared" si="54"/>
        <v>#DIV/0!</v>
      </c>
      <c r="P431" s="495" t="e">
        <f t="shared" si="55"/>
        <v>#DIV/0!</v>
      </c>
      <c r="Q431" s="495" t="e">
        <f t="shared" si="56"/>
        <v>#DIV/0!</v>
      </c>
      <c r="R431" s="495" t="e">
        <f t="shared" si="57"/>
        <v>#DIV/0!</v>
      </c>
      <c r="S431" s="383">
        <f t="shared" si="58"/>
        <v>1.6000000000000005</v>
      </c>
      <c r="T431" s="384">
        <f t="shared" si="59"/>
        <v>2.0901005977547759E-3</v>
      </c>
      <c r="U431" s="384">
        <f t="shared" si="60"/>
        <v>0.33441609564076413</v>
      </c>
      <c r="V431" s="384">
        <f t="shared" si="61"/>
        <v>5.6006554555474555</v>
      </c>
      <c r="W431" s="495">
        <f t="shared" si="62"/>
        <v>10.713031800692173</v>
      </c>
      <c r="X431" s="495" t="e">
        <f t="shared" si="63"/>
        <v>#DIV/0!</v>
      </c>
      <c r="Y431" s="495" t="e">
        <f t="shared" si="64"/>
        <v>#DIV/0!</v>
      </c>
      <c r="Z431" s="495" t="e">
        <f t="shared" si="65"/>
        <v>#DIV/0!</v>
      </c>
      <c r="AA431" s="495" t="e">
        <f t="shared" si="66"/>
        <v>#DIV/0!</v>
      </c>
      <c r="AB431" s="495" t="e">
        <f t="shared" si="67"/>
        <v>#DIV/0!</v>
      </c>
      <c r="AC431" s="383" t="e">
        <f t="shared" si="68"/>
        <v>#DIV/0!</v>
      </c>
      <c r="AD431" s="495" t="e">
        <f t="shared" si="69"/>
        <v>#DIV/0!</v>
      </c>
      <c r="AE431" s="419"/>
      <c r="AF431" s="419"/>
      <c r="AG431" s="22"/>
      <c r="AH431" s="419"/>
      <c r="AI431" s="419"/>
      <c r="AJ431" s="419"/>
      <c r="AK431" s="419"/>
      <c r="AL431" s="419"/>
      <c r="AM431" s="419"/>
      <c r="AN431" s="419"/>
      <c r="AO431" s="419"/>
      <c r="AP431" s="419"/>
      <c r="AQ431" s="419"/>
      <c r="AR431" s="419"/>
      <c r="AS431" s="419"/>
      <c r="AT431" s="419"/>
      <c r="AU431" s="419"/>
      <c r="AV431" s="419"/>
      <c r="AW431" s="419"/>
      <c r="AX431" s="419"/>
      <c r="AY431" s="419"/>
      <c r="AZ431" s="419"/>
      <c r="BA431" s="419"/>
      <c r="BB431" s="419"/>
      <c r="BC431" s="419"/>
      <c r="BD431" s="419"/>
      <c r="BF431" s="419"/>
      <c r="BG431" s="419"/>
      <c r="BH431" s="419"/>
      <c r="BI431" s="419"/>
      <c r="BJ431" s="419"/>
      <c r="BK431" s="419"/>
      <c r="BL431" s="419"/>
      <c r="BM431" s="419"/>
      <c r="BN431" s="419"/>
      <c r="BO431" s="246"/>
      <c r="BP431" s="386"/>
      <c r="BQ431" s="386"/>
      <c r="BR431" s="386"/>
      <c r="BS431" s="386"/>
      <c r="BT431" s="386"/>
      <c r="BU431" s="386"/>
      <c r="BV431" s="386"/>
      <c r="BW431" s="386"/>
      <c r="BX431" s="386"/>
      <c r="BY431" s="259"/>
      <c r="CB431" s="246"/>
      <c r="CC431" s="334"/>
      <c r="CD431" s="259"/>
      <c r="CE431" s="259"/>
      <c r="CF431" s="246"/>
      <c r="CG431" s="246"/>
      <c r="CH431" s="334"/>
      <c r="CI431" s="334"/>
      <c r="CJ431" s="14"/>
      <c r="CK431" s="334"/>
      <c r="CP431" s="27"/>
      <c r="CQ431" s="27"/>
      <c r="CR431" s="157"/>
      <c r="CS431" s="157"/>
      <c r="CT431" s="157"/>
      <c r="CU431" s="27"/>
      <c r="CV431" s="27"/>
      <c r="CW431" s="27"/>
      <c r="CX431" s="27"/>
      <c r="CY431" s="27"/>
      <c r="CZ431" s="27"/>
      <c r="DA431" s="27"/>
      <c r="DB431" s="27"/>
      <c r="DC431" s="27"/>
    </row>
    <row r="432" spans="1:107" ht="15.05" hidden="1" customHeight="1">
      <c r="A432" s="108"/>
      <c r="B432" s="293">
        <f t="shared" si="72"/>
        <v>1.7000000000000006</v>
      </c>
      <c r="C432" s="314">
        <f t="shared" si="43"/>
        <v>3.4255712549873425</v>
      </c>
      <c r="D432" s="1022">
        <f t="shared" si="44"/>
        <v>0.50029657121997662</v>
      </c>
      <c r="E432" s="1022">
        <f t="shared" si="45"/>
        <v>30.648484965746835</v>
      </c>
      <c r="F432" s="1022">
        <f t="shared" si="46"/>
        <v>35.953984965746834</v>
      </c>
      <c r="G432" s="1086">
        <f t="shared" si="47"/>
        <v>111.76967666805741</v>
      </c>
      <c r="H432" s="1022">
        <f t="shared" si="48"/>
        <v>95.276539116619915</v>
      </c>
      <c r="I432" s="1087">
        <f t="shared" si="70"/>
        <v>75</v>
      </c>
      <c r="J432" s="1088" t="e">
        <f t="shared" si="49"/>
        <v>#DIV/0!</v>
      </c>
      <c r="K432" s="1088" t="e">
        <f t="shared" si="50"/>
        <v>#DIV/0!</v>
      </c>
      <c r="L432" s="1088" t="e">
        <f t="shared" si="51"/>
        <v>#DIV/0!</v>
      </c>
      <c r="M432" s="1088">
        <f t="shared" si="52"/>
        <v>7.8307296516688272</v>
      </c>
      <c r="N432" s="1088" t="e">
        <f t="shared" si="53"/>
        <v>#DIV/0!</v>
      </c>
      <c r="O432" s="495" t="e">
        <f t="shared" si="54"/>
        <v>#DIV/0!</v>
      </c>
      <c r="P432" s="495" t="e">
        <f t="shared" si="55"/>
        <v>#DIV/0!</v>
      </c>
      <c r="Q432" s="495" t="e">
        <f t="shared" si="56"/>
        <v>#DIV/0!</v>
      </c>
      <c r="R432" s="495" t="e">
        <f t="shared" si="57"/>
        <v>#DIV/0!</v>
      </c>
      <c r="S432" s="383">
        <f t="shared" si="58"/>
        <v>1.7000000000000006</v>
      </c>
      <c r="T432" s="384">
        <f t="shared" si="59"/>
        <v>2.3595276279341024E-3</v>
      </c>
      <c r="U432" s="384">
        <f t="shared" si="60"/>
        <v>0.37752442046945639</v>
      </c>
      <c r="V432" s="384">
        <f t="shared" si="61"/>
        <v>5.6007399478641196</v>
      </c>
      <c r="W432" s="495">
        <f t="shared" si="62"/>
        <v>10.712870184747894</v>
      </c>
      <c r="X432" s="495" t="e">
        <f t="shared" si="63"/>
        <v>#DIV/0!</v>
      </c>
      <c r="Y432" s="495" t="e">
        <f t="shared" si="64"/>
        <v>#DIV/0!</v>
      </c>
      <c r="Z432" s="495" t="e">
        <f t="shared" si="65"/>
        <v>#DIV/0!</v>
      </c>
      <c r="AA432" s="495" t="e">
        <f t="shared" si="66"/>
        <v>#DIV/0!</v>
      </c>
      <c r="AB432" s="495" t="e">
        <f t="shared" si="67"/>
        <v>#DIV/0!</v>
      </c>
      <c r="AC432" s="383" t="e">
        <f t="shared" si="68"/>
        <v>#DIV/0!</v>
      </c>
      <c r="AD432" s="495" t="e">
        <f t="shared" si="69"/>
        <v>#DIV/0!</v>
      </c>
      <c r="AE432" s="419"/>
      <c r="AF432" s="419"/>
      <c r="AG432" s="22"/>
      <c r="AH432" s="419"/>
      <c r="AI432" s="419"/>
      <c r="AJ432" s="419"/>
      <c r="AK432" s="419"/>
      <c r="AL432" s="419"/>
      <c r="AM432" s="419"/>
      <c r="AN432" s="419"/>
      <c r="AO432" s="419"/>
      <c r="AP432" s="419"/>
      <c r="AQ432" s="419"/>
      <c r="AR432" s="419"/>
      <c r="AS432" s="419"/>
      <c r="AT432" s="419"/>
      <c r="AU432" s="419"/>
      <c r="AV432" s="419"/>
      <c r="AW432" s="419"/>
      <c r="AX432" s="419"/>
      <c r="AY432" s="419"/>
      <c r="AZ432" s="419"/>
      <c r="BA432" s="419"/>
      <c r="BB432" s="419"/>
      <c r="BC432" s="419"/>
      <c r="BD432" s="419"/>
      <c r="BF432" s="419"/>
      <c r="BG432" s="419"/>
      <c r="BH432" s="419"/>
      <c r="BI432" s="419"/>
      <c r="BJ432" s="419"/>
      <c r="BK432" s="419"/>
      <c r="BL432" s="419"/>
      <c r="BM432" s="419"/>
      <c r="BN432" s="419"/>
      <c r="BO432" s="246"/>
      <c r="BP432" s="386"/>
      <c r="BQ432" s="386"/>
      <c r="BR432" s="386"/>
      <c r="BS432" s="386"/>
      <c r="BT432" s="386"/>
      <c r="BU432" s="386"/>
      <c r="BV432" s="386"/>
      <c r="BW432" s="386"/>
      <c r="BX432" s="386"/>
      <c r="BY432" s="259"/>
      <c r="CB432" s="246"/>
      <c r="CC432" s="334"/>
      <c r="CD432" s="259"/>
      <c r="CE432" s="259"/>
      <c r="CF432" s="246"/>
      <c r="CG432" s="246"/>
      <c r="CH432" s="334"/>
      <c r="CI432" s="334"/>
      <c r="CJ432" s="14"/>
      <c r="CK432" s="334"/>
      <c r="CP432" s="27"/>
      <c r="CQ432" s="27"/>
      <c r="CR432" s="157"/>
      <c r="CS432" s="157"/>
      <c r="CT432" s="157"/>
      <c r="CU432" s="27"/>
      <c r="CV432" s="27"/>
      <c r="CW432" s="27"/>
      <c r="CX432" s="27"/>
      <c r="CY432" s="27"/>
      <c r="CZ432" s="27"/>
      <c r="DA432" s="27"/>
      <c r="DB432" s="27"/>
      <c r="DC432" s="27"/>
    </row>
    <row r="433" spans="1:107" ht="15.05" hidden="1" customHeight="1">
      <c r="A433" s="108"/>
      <c r="B433" s="293">
        <f t="shared" si="72"/>
        <v>1.8000000000000007</v>
      </c>
      <c r="C433" s="314">
        <f t="shared" si="43"/>
        <v>3.4252060212337754</v>
      </c>
      <c r="D433" s="1022">
        <f t="shared" si="44"/>
        <v>0.58213588156574936</v>
      </c>
      <c r="E433" s="1022">
        <f t="shared" si="45"/>
        <v>30.6581338204366</v>
      </c>
      <c r="F433" s="1022">
        <f t="shared" si="46"/>
        <v>35.963633820436606</v>
      </c>
      <c r="G433" s="1086">
        <f t="shared" si="47"/>
        <v>111.72258694201881</v>
      </c>
      <c r="H433" s="1022">
        <f t="shared" si="48"/>
        <v>95.240821278949184</v>
      </c>
      <c r="I433" s="1087">
        <f t="shared" si="70"/>
        <v>75</v>
      </c>
      <c r="J433" s="1088" t="e">
        <f t="shared" si="49"/>
        <v>#DIV/0!</v>
      </c>
      <c r="K433" s="1088" t="e">
        <f t="shared" si="50"/>
        <v>#DIV/0!</v>
      </c>
      <c r="L433" s="1088" t="e">
        <f t="shared" si="51"/>
        <v>#DIV/0!</v>
      </c>
      <c r="M433" s="1088">
        <f t="shared" si="52"/>
        <v>7.8282651320419534</v>
      </c>
      <c r="N433" s="1088" t="e">
        <f t="shared" si="53"/>
        <v>#DIV/0!</v>
      </c>
      <c r="O433" s="495" t="e">
        <f t="shared" si="54"/>
        <v>#DIV/0!</v>
      </c>
      <c r="P433" s="495" t="e">
        <f t="shared" si="55"/>
        <v>#DIV/0!</v>
      </c>
      <c r="Q433" s="495" t="e">
        <f t="shared" si="56"/>
        <v>#DIV/0!</v>
      </c>
      <c r="R433" s="495" t="e">
        <f t="shared" si="57"/>
        <v>#DIV/0!</v>
      </c>
      <c r="S433" s="383">
        <f t="shared" si="58"/>
        <v>1.8000000000000007</v>
      </c>
      <c r="T433" s="384">
        <f t="shared" si="59"/>
        <v>2.6452835690333886E-3</v>
      </c>
      <c r="U433" s="384">
        <f t="shared" si="60"/>
        <v>0.42324537104534216</v>
      </c>
      <c r="V433" s="384">
        <f t="shared" si="61"/>
        <v>5.6008295609272487</v>
      </c>
      <c r="W433" s="495">
        <f t="shared" si="62"/>
        <v>10.712698779226315</v>
      </c>
      <c r="X433" s="495" t="e">
        <f t="shared" si="63"/>
        <v>#DIV/0!</v>
      </c>
      <c r="Y433" s="495" t="e">
        <f t="shared" si="64"/>
        <v>#DIV/0!</v>
      </c>
      <c r="Z433" s="495" t="e">
        <f t="shared" si="65"/>
        <v>#DIV/0!</v>
      </c>
      <c r="AA433" s="495" t="e">
        <f t="shared" si="66"/>
        <v>#DIV/0!</v>
      </c>
      <c r="AB433" s="495" t="e">
        <f t="shared" si="67"/>
        <v>#DIV/0!</v>
      </c>
      <c r="AC433" s="383" t="e">
        <f t="shared" si="68"/>
        <v>#DIV/0!</v>
      </c>
      <c r="AD433" s="495" t="e">
        <f t="shared" si="69"/>
        <v>#DIV/0!</v>
      </c>
      <c r="AE433" s="419"/>
      <c r="AF433" s="419"/>
      <c r="AG433" s="22"/>
      <c r="AH433" s="419"/>
      <c r="AI433" s="419"/>
      <c r="AJ433" s="419"/>
      <c r="AK433" s="419"/>
      <c r="AL433" s="419"/>
      <c r="AM433" s="419"/>
      <c r="AN433" s="419"/>
      <c r="AO433" s="419"/>
      <c r="AP433" s="419"/>
      <c r="AQ433" s="419"/>
      <c r="AR433" s="419"/>
      <c r="AS433" s="419"/>
      <c r="AT433" s="419"/>
      <c r="AU433" s="419"/>
      <c r="AV433" s="419"/>
      <c r="AW433" s="419"/>
      <c r="AX433" s="419"/>
      <c r="AY433" s="419"/>
      <c r="AZ433" s="419"/>
      <c r="BA433" s="419"/>
      <c r="BB433" s="419"/>
      <c r="BC433" s="419"/>
      <c r="BD433" s="419"/>
      <c r="BF433" s="419"/>
      <c r="BG433" s="419"/>
      <c r="BH433" s="419"/>
      <c r="BI433" s="419"/>
      <c r="BJ433" s="419"/>
      <c r="BK433" s="419"/>
      <c r="BL433" s="419"/>
      <c r="BM433" s="419"/>
      <c r="BN433" s="419"/>
      <c r="BO433" s="246"/>
      <c r="BP433" s="386"/>
      <c r="BQ433" s="386"/>
      <c r="BR433" s="386"/>
      <c r="BS433" s="386"/>
      <c r="BT433" s="386"/>
      <c r="BU433" s="386"/>
      <c r="BV433" s="386"/>
      <c r="BW433" s="386"/>
      <c r="BX433" s="386"/>
      <c r="BY433" s="259"/>
      <c r="CB433" s="246"/>
      <c r="CC433" s="334"/>
      <c r="CD433" s="259"/>
      <c r="CE433" s="259"/>
      <c r="CF433" s="246"/>
      <c r="CG433" s="246"/>
      <c r="CH433" s="334"/>
      <c r="CI433" s="334"/>
      <c r="CJ433" s="14"/>
      <c r="CK433" s="334"/>
      <c r="CP433" s="27"/>
      <c r="CQ433" s="27"/>
      <c r="CR433" s="157"/>
      <c r="CS433" s="157"/>
      <c r="CT433" s="157"/>
      <c r="CU433" s="27"/>
      <c r="CV433" s="27"/>
      <c r="CW433" s="27"/>
      <c r="CX433" s="27"/>
      <c r="CY433" s="27"/>
      <c r="CZ433" s="27"/>
      <c r="DA433" s="27"/>
      <c r="DB433" s="27"/>
      <c r="DC433" s="27"/>
    </row>
    <row r="434" spans="1:107" ht="15.05" hidden="1" customHeight="1">
      <c r="A434" s="108"/>
      <c r="B434" s="293">
        <f t="shared" si="72"/>
        <v>1.9000000000000008</v>
      </c>
      <c r="C434" s="314">
        <f t="shared" si="43"/>
        <v>3.4245875878422272</v>
      </c>
      <c r="D434" s="1022">
        <f t="shared" si="44"/>
        <v>0.66995889872324632</v>
      </c>
      <c r="E434" s="1022">
        <f t="shared" si="45"/>
        <v>30.668488154159469</v>
      </c>
      <c r="F434" s="1022">
        <f t="shared" si="46"/>
        <v>35.973988154159471</v>
      </c>
      <c r="G434" s="1086">
        <f t="shared" si="47"/>
        <v>111.66470191253173</v>
      </c>
      <c r="H434" s="1022">
        <f t="shared" si="48"/>
        <v>95.196217143532394</v>
      </c>
      <c r="I434" s="1087">
        <f t="shared" si="70"/>
        <v>75</v>
      </c>
      <c r="J434" s="1088" t="e">
        <f t="shared" si="49"/>
        <v>#DIV/0!</v>
      </c>
      <c r="K434" s="1088" t="e">
        <f t="shared" si="50"/>
        <v>#DIV/0!</v>
      </c>
      <c r="L434" s="1088" t="e">
        <f t="shared" si="51"/>
        <v>#DIV/0!</v>
      </c>
      <c r="M434" s="1088">
        <f t="shared" si="52"/>
        <v>7.8256221432763899</v>
      </c>
      <c r="N434" s="1088" t="e">
        <f t="shared" si="53"/>
        <v>#DIV/0!</v>
      </c>
      <c r="O434" s="495" t="e">
        <f t="shared" si="54"/>
        <v>#DIV/0!</v>
      </c>
      <c r="P434" s="495" t="e">
        <f t="shared" si="55"/>
        <v>#DIV/0!</v>
      </c>
      <c r="Q434" s="495" t="e">
        <f t="shared" si="56"/>
        <v>#DIV/0!</v>
      </c>
      <c r="R434" s="495" t="e">
        <f t="shared" si="57"/>
        <v>#DIV/0!</v>
      </c>
      <c r="S434" s="383">
        <f t="shared" si="58"/>
        <v>1.9000000000000008</v>
      </c>
      <c r="T434" s="384">
        <f t="shared" si="59"/>
        <v>2.9473684210526339E-3</v>
      </c>
      <c r="U434" s="384">
        <f t="shared" si="60"/>
        <v>0.47157894736842143</v>
      </c>
      <c r="V434" s="384">
        <f t="shared" si="61"/>
        <v>5.6009242947368412</v>
      </c>
      <c r="W434" s="495">
        <f t="shared" si="62"/>
        <v>10.712517585067465</v>
      </c>
      <c r="X434" s="495" t="e">
        <f t="shared" si="63"/>
        <v>#DIV/0!</v>
      </c>
      <c r="Y434" s="495" t="e">
        <f t="shared" si="64"/>
        <v>#DIV/0!</v>
      </c>
      <c r="Z434" s="495" t="e">
        <f t="shared" si="65"/>
        <v>#DIV/0!</v>
      </c>
      <c r="AA434" s="495" t="e">
        <f t="shared" si="66"/>
        <v>#DIV/0!</v>
      </c>
      <c r="AB434" s="495" t="e">
        <f t="shared" si="67"/>
        <v>#DIV/0!</v>
      </c>
      <c r="AC434" s="383" t="e">
        <f t="shared" si="68"/>
        <v>#DIV/0!</v>
      </c>
      <c r="AD434" s="495" t="e">
        <f t="shared" si="69"/>
        <v>#DIV/0!</v>
      </c>
      <c r="AE434" s="419"/>
      <c r="AF434" s="419"/>
      <c r="AG434" s="22"/>
      <c r="AH434" s="419"/>
      <c r="AI434" s="419"/>
      <c r="AJ434" s="419"/>
      <c r="AK434" s="419"/>
      <c r="AL434" s="419"/>
      <c r="AM434" s="419"/>
      <c r="AN434" s="419"/>
      <c r="AO434" s="419"/>
      <c r="AP434" s="419"/>
      <c r="AQ434" s="419"/>
      <c r="AR434" s="419"/>
      <c r="AS434" s="419"/>
      <c r="AT434" s="419"/>
      <c r="AU434" s="419"/>
      <c r="AV434" s="419"/>
      <c r="AW434" s="419"/>
      <c r="AX434" s="419"/>
      <c r="AY434" s="419"/>
      <c r="AZ434" s="419"/>
      <c r="BA434" s="419"/>
      <c r="BB434" s="419"/>
      <c r="BC434" s="419"/>
      <c r="BD434" s="419"/>
      <c r="BF434" s="419"/>
      <c r="BG434" s="419"/>
      <c r="BH434" s="419"/>
      <c r="BI434" s="419"/>
      <c r="BJ434" s="419"/>
      <c r="BK434" s="419"/>
      <c r="BL434" s="419"/>
      <c r="BM434" s="419"/>
      <c r="BN434" s="419"/>
      <c r="BO434" s="246"/>
      <c r="BP434" s="386"/>
      <c r="BQ434" s="386"/>
      <c r="BR434" s="386"/>
      <c r="BS434" s="386"/>
      <c r="BT434" s="386"/>
      <c r="BU434" s="386"/>
      <c r="BV434" s="386"/>
      <c r="BW434" s="386"/>
      <c r="BX434" s="386"/>
      <c r="BY434" s="259"/>
      <c r="CB434" s="246"/>
      <c r="CC434" s="334"/>
      <c r="CD434" s="259"/>
      <c r="CE434" s="259"/>
      <c r="CF434" s="246"/>
      <c r="CG434" s="246"/>
      <c r="CH434" s="334"/>
      <c r="CI434" s="334"/>
      <c r="CJ434" s="14"/>
      <c r="CK434" s="334"/>
      <c r="CP434" s="27"/>
      <c r="CQ434" s="27"/>
      <c r="CR434" s="157"/>
      <c r="CS434" s="157"/>
      <c r="CT434" s="157"/>
      <c r="CU434" s="27"/>
      <c r="CV434" s="27"/>
      <c r="CW434" s="27"/>
      <c r="CX434" s="27"/>
      <c r="CY434" s="27"/>
      <c r="CZ434" s="27"/>
      <c r="DA434" s="27"/>
      <c r="DB434" s="27"/>
      <c r="DC434" s="27"/>
    </row>
    <row r="435" spans="1:107" ht="15.05" hidden="1" customHeight="1">
      <c r="A435" s="108"/>
      <c r="B435" s="293">
        <f t="shared" si="72"/>
        <v>2.0000000000000009</v>
      </c>
      <c r="C435" s="314">
        <f t="shared" si="43"/>
        <v>3.4237196212844716</v>
      </c>
      <c r="D435" s="1022">
        <f t="shared" si="44"/>
        <v>0.76379114805121939</v>
      </c>
      <c r="E435" s="1022">
        <f t="shared" si="45"/>
        <v>30.679550976355237</v>
      </c>
      <c r="F435" s="1022">
        <f t="shared" si="46"/>
        <v>35.98505097635524</v>
      </c>
      <c r="G435" s="1086">
        <f t="shared" si="47"/>
        <v>111.59614506493709</v>
      </c>
      <c r="H435" s="1022">
        <f t="shared" si="48"/>
        <v>95.142830936493624</v>
      </c>
      <c r="I435" s="1087">
        <f t="shared" si="70"/>
        <v>75</v>
      </c>
      <c r="J435" s="1088" t="e">
        <f t="shared" si="49"/>
        <v>#DIV/0!</v>
      </c>
      <c r="K435" s="1088" t="e">
        <f t="shared" si="50"/>
        <v>#DIV/0!</v>
      </c>
      <c r="L435" s="1088" t="e">
        <f t="shared" si="51"/>
        <v>#DIV/0!</v>
      </c>
      <c r="M435" s="1088">
        <f t="shared" si="52"/>
        <v>7.8228002810395845</v>
      </c>
      <c r="N435" s="1088" t="e">
        <f t="shared" si="53"/>
        <v>#DIV/0!</v>
      </c>
      <c r="O435" s="495" t="e">
        <f t="shared" si="54"/>
        <v>#DIV/0!</v>
      </c>
      <c r="P435" s="495" t="e">
        <f t="shared" si="55"/>
        <v>#DIV/0!</v>
      </c>
      <c r="Q435" s="495" t="e">
        <f t="shared" si="56"/>
        <v>#DIV/0!</v>
      </c>
      <c r="R435" s="495" t="e">
        <f t="shared" si="57"/>
        <v>#DIV/0!</v>
      </c>
      <c r="S435" s="383">
        <f t="shared" si="58"/>
        <v>2.0000000000000009</v>
      </c>
      <c r="T435" s="384">
        <f t="shared" si="59"/>
        <v>3.2657821839918383E-3</v>
      </c>
      <c r="U435" s="384">
        <f t="shared" si="60"/>
        <v>0.5225251494386941</v>
      </c>
      <c r="V435" s="384">
        <f t="shared" si="61"/>
        <v>5.6010241492928987</v>
      </c>
      <c r="W435" s="495">
        <f t="shared" si="62"/>
        <v>10.712326603264994</v>
      </c>
      <c r="X435" s="495" t="e">
        <f t="shared" si="63"/>
        <v>#DIV/0!</v>
      </c>
      <c r="Y435" s="495" t="e">
        <f t="shared" si="64"/>
        <v>#DIV/0!</v>
      </c>
      <c r="Z435" s="495" t="e">
        <f t="shared" si="65"/>
        <v>#DIV/0!</v>
      </c>
      <c r="AA435" s="495" t="e">
        <f t="shared" si="66"/>
        <v>#DIV/0!</v>
      </c>
      <c r="AB435" s="495" t="e">
        <f t="shared" si="67"/>
        <v>#DIV/0!</v>
      </c>
      <c r="AC435" s="383" t="e">
        <f t="shared" si="68"/>
        <v>#DIV/0!</v>
      </c>
      <c r="AD435" s="495" t="e">
        <f t="shared" si="69"/>
        <v>#DIV/0!</v>
      </c>
      <c r="AE435" s="419"/>
      <c r="AF435" s="419"/>
      <c r="AG435" s="22"/>
      <c r="AH435" s="419"/>
      <c r="AI435" s="419"/>
      <c r="AJ435" s="419"/>
      <c r="AK435" s="419"/>
      <c r="AL435" s="419"/>
      <c r="AM435" s="419"/>
      <c r="AN435" s="419"/>
      <c r="AO435" s="419"/>
      <c r="AP435" s="419"/>
      <c r="AQ435" s="419"/>
      <c r="AR435" s="419"/>
      <c r="AS435" s="419"/>
      <c r="AT435" s="419"/>
      <c r="AU435" s="419"/>
      <c r="AV435" s="419"/>
      <c r="AW435" s="419"/>
      <c r="AX435" s="419"/>
      <c r="AY435" s="419"/>
      <c r="AZ435" s="419"/>
      <c r="BA435" s="419"/>
      <c r="BB435" s="419"/>
      <c r="BC435" s="419"/>
      <c r="BD435" s="419"/>
      <c r="BF435" s="419"/>
      <c r="BG435" s="419"/>
      <c r="BH435" s="419"/>
      <c r="BI435" s="419"/>
      <c r="BJ435" s="419"/>
      <c r="BK435" s="419"/>
      <c r="BL435" s="419"/>
      <c r="BM435" s="419"/>
      <c r="BN435" s="419"/>
      <c r="BO435" s="246"/>
      <c r="BP435" s="386"/>
      <c r="BQ435" s="386"/>
      <c r="BR435" s="386"/>
      <c r="BS435" s="386"/>
      <c r="BT435" s="386"/>
      <c r="BU435" s="386"/>
      <c r="BV435" s="386"/>
      <c r="BW435" s="386"/>
      <c r="BX435" s="386"/>
      <c r="BY435" s="259"/>
      <c r="CB435" s="246"/>
      <c r="CC435" s="334"/>
      <c r="CD435" s="259"/>
      <c r="CE435" s="259"/>
      <c r="CF435" s="246"/>
      <c r="CG435" s="246"/>
      <c r="CH435" s="334"/>
      <c r="CI435" s="334"/>
      <c r="CJ435" s="14"/>
      <c r="CK435" s="334"/>
      <c r="CP435" s="27"/>
      <c r="CQ435" s="27"/>
      <c r="CR435" s="157"/>
      <c r="CS435" s="157"/>
      <c r="CT435" s="157"/>
      <c r="CU435" s="27"/>
      <c r="CV435" s="27"/>
      <c r="CW435" s="27"/>
      <c r="CX435" s="27"/>
      <c r="CY435" s="27"/>
      <c r="CZ435" s="27"/>
      <c r="DA435" s="27"/>
      <c r="DB435" s="27"/>
      <c r="DC435" s="27"/>
    </row>
    <row r="436" spans="1:107" ht="15.05" hidden="1" customHeight="1">
      <c r="A436" s="108"/>
      <c r="B436" s="1090">
        <v>9.17466115165068</v>
      </c>
      <c r="C436" s="314">
        <f t="shared" si="43"/>
        <v>2.9454575524610238</v>
      </c>
      <c r="D436" s="1022">
        <f t="shared" si="44"/>
        <v>24.815481699636241</v>
      </c>
      <c r="E436" s="1022">
        <f t="shared" si="45"/>
        <v>33.515245292387114</v>
      </c>
      <c r="F436" s="1022">
        <f t="shared" si="46"/>
        <v>38.820745292387116</v>
      </c>
      <c r="G436" s="1086">
        <f t="shared" si="47"/>
        <v>87.884111447338128</v>
      </c>
      <c r="H436" s="1022">
        <f t="shared" si="48"/>
        <v>75.873287085980763</v>
      </c>
      <c r="I436" s="1087">
        <f t="shared" si="70"/>
        <v>75</v>
      </c>
      <c r="J436" s="1088" t="e">
        <f t="shared" si="49"/>
        <v>#DIV/0!</v>
      </c>
      <c r="K436" s="1088" t="e">
        <f t="shared" si="50"/>
        <v>#DIV/0!</v>
      </c>
      <c r="L436" s="1088" t="e">
        <f t="shared" si="51"/>
        <v>#DIV/0!</v>
      </c>
      <c r="M436" s="1088">
        <f t="shared" si="52"/>
        <v>7.1609202888488266</v>
      </c>
      <c r="N436" s="1091" t="e">
        <f>M436-0.5*J436-$B436</f>
        <v>#DIV/0!</v>
      </c>
      <c r="O436" s="951"/>
      <c r="P436" s="951"/>
      <c r="Q436" s="951" t="e">
        <f>$D$465/($D$468*(1+0.00393*($D436+$D$807-20))*$D$573/($D$571+$D$573))-0.5*L436-$B436</f>
        <v>#DIV/0!</v>
      </c>
      <c r="R436" s="951"/>
      <c r="S436" s="383">
        <f t="shared" si="58"/>
        <v>9.17466115165068</v>
      </c>
      <c r="T436" s="384">
        <f t="shared" si="59"/>
        <v>6.8723819884328005E-2</v>
      </c>
      <c r="U436" s="384">
        <f t="shared" si="60"/>
        <v>10.995811181492481</v>
      </c>
      <c r="V436" s="384">
        <f t="shared" si="61"/>
        <v>5.621551789915725</v>
      </c>
      <c r="W436" s="495">
        <f t="shared" si="62"/>
        <v>10.673209505537525</v>
      </c>
      <c r="X436" s="951" t="e">
        <f>W436-0.5*J436-$B436</f>
        <v>#DIV/0!</v>
      </c>
      <c r="Y436" s="951"/>
      <c r="Z436" s="951"/>
      <c r="AA436" s="951" t="e">
        <f>$D$465/($D$482*(1+$D$491*10^-6*($D$807+U436-25)))-0.5*L436-$B436</f>
        <v>#DIV/0!</v>
      </c>
      <c r="AB436" s="951"/>
      <c r="AC436" s="383" t="e">
        <f>$D$465/($D$482*(1+$D$491*10^-6*($D$807+U436-25)))*(1-$D$504*(1+$D$522))-0.5*L436*(1+$D$508*$D$522)-$B436</f>
        <v>#DIV/0!</v>
      </c>
      <c r="AD436" s="495"/>
      <c r="AE436" s="419"/>
      <c r="AF436" s="419"/>
      <c r="AG436" s="22"/>
      <c r="AH436" s="419"/>
      <c r="AI436" s="419"/>
      <c r="AJ436" s="419"/>
      <c r="AK436" s="419"/>
      <c r="AL436" s="419"/>
      <c r="AM436" s="419"/>
      <c r="AN436" s="419"/>
      <c r="AO436" s="419"/>
      <c r="AP436" s="419"/>
      <c r="AQ436" s="419"/>
      <c r="AR436" s="419"/>
      <c r="AS436" s="419"/>
      <c r="AT436" s="419"/>
      <c r="AU436" s="419"/>
      <c r="AV436" s="419"/>
      <c r="AW436" s="419"/>
      <c r="AX436" s="419"/>
      <c r="AY436" s="419"/>
      <c r="AZ436" s="419"/>
      <c r="BA436" s="419"/>
      <c r="BB436" s="419"/>
      <c r="BC436" s="419"/>
      <c r="BD436" s="419"/>
      <c r="BF436" s="419"/>
      <c r="BG436" s="419"/>
      <c r="BH436" s="419"/>
      <c r="BI436" s="419"/>
      <c r="BJ436" s="419"/>
      <c r="BK436" s="419"/>
      <c r="BL436" s="419"/>
      <c r="BM436" s="419"/>
      <c r="BN436" s="419"/>
      <c r="BO436" s="246"/>
      <c r="BP436" s="386"/>
      <c r="BQ436" s="386"/>
      <c r="BR436" s="386"/>
      <c r="BS436" s="386"/>
      <c r="BT436" s="386"/>
      <c r="BU436" s="386"/>
      <c r="BV436" s="386"/>
      <c r="BW436" s="386"/>
      <c r="BX436" s="386"/>
      <c r="BY436" s="259"/>
      <c r="CB436" s="246"/>
      <c r="CC436" s="334"/>
      <c r="CD436" s="259"/>
      <c r="CE436" s="259"/>
      <c r="CF436" s="246"/>
      <c r="CG436" s="246"/>
      <c r="CH436" s="334"/>
      <c r="CI436" s="334"/>
      <c r="CJ436" s="14"/>
      <c r="CK436" s="334"/>
      <c r="CP436" s="27"/>
      <c r="CQ436" s="27"/>
      <c r="CR436" s="157"/>
      <c r="CS436" s="157"/>
      <c r="CT436" s="157"/>
      <c r="CU436" s="27"/>
      <c r="CV436" s="27"/>
      <c r="CW436" s="27"/>
      <c r="CX436" s="27"/>
      <c r="CY436" s="27"/>
      <c r="CZ436" s="27"/>
      <c r="DA436" s="27"/>
      <c r="DB436" s="27"/>
      <c r="DC436" s="27"/>
    </row>
    <row r="437" spans="1:107" ht="15.05" hidden="1" customHeight="1">
      <c r="A437" s="108"/>
      <c r="B437" s="1090">
        <v>9.6812461413018873</v>
      </c>
      <c r="C437" s="314">
        <f t="shared" si="43"/>
        <v>2.8991776292672857</v>
      </c>
      <c r="D437" s="1022">
        <f t="shared" si="44"/>
        <v>27.93376103967304</v>
      </c>
      <c r="E437" s="1022">
        <f t="shared" si="45"/>
        <v>33.882890426577447</v>
      </c>
      <c r="F437" s="1022">
        <f t="shared" si="46"/>
        <v>39.188390426577456</v>
      </c>
      <c r="G437" s="1086">
        <f t="shared" si="47"/>
        <v>85.564649082983649</v>
      </c>
      <c r="H437" s="1022">
        <f t="shared" si="48"/>
        <v>73.980523254690041</v>
      </c>
      <c r="I437" s="1087">
        <f t="shared" si="70"/>
        <v>75</v>
      </c>
      <c r="J437" s="1088" t="e">
        <f t="shared" si="49"/>
        <v>#DIV/0!</v>
      </c>
      <c r="K437" s="1088" t="e">
        <f t="shared" si="50"/>
        <v>#DIV/0!</v>
      </c>
      <c r="L437" s="1088" t="e">
        <f t="shared" si="51"/>
        <v>#DIV/0!</v>
      </c>
      <c r="M437" s="1088">
        <f t="shared" si="52"/>
        <v>7.0832209701845885</v>
      </c>
      <c r="N437" s="1092"/>
      <c r="O437" s="951" t="e">
        <f>M437-0.5*K437-$B437</f>
        <v>#DIV/0!</v>
      </c>
      <c r="P437" s="951"/>
      <c r="Q437" s="951"/>
      <c r="R437" s="951" t="e">
        <f>$D$465/($D$468*(1+0.00393*($D437+$D$805-20))*$D$573/($D$571+$D$573))-0.5*K437-$B437</f>
        <v>#DIV/0!</v>
      </c>
      <c r="S437" s="383">
        <f t="shared" si="58"/>
        <v>9.6812461413018873</v>
      </c>
      <c r="T437" s="384">
        <f t="shared" si="59"/>
        <v>7.6522605387293621E-2</v>
      </c>
      <c r="U437" s="384">
        <f t="shared" si="60"/>
        <v>12.243616861966979</v>
      </c>
      <c r="V437" s="384">
        <f t="shared" si="61"/>
        <v>5.6239974890494553</v>
      </c>
      <c r="W437" s="495">
        <f t="shared" si="62"/>
        <v>10.668568063344024</v>
      </c>
      <c r="X437" s="951"/>
      <c r="Y437" s="951" t="e">
        <f>W437-0.5*K437-$B437</f>
        <v>#DIV/0!</v>
      </c>
      <c r="Z437" s="951"/>
      <c r="AA437" s="951"/>
      <c r="AB437" s="951" t="e">
        <f>$D$465/($D$482*(1+$D$491*10^-6*($D$805+U437-25)))-0.5*K437-$B437</f>
        <v>#DIV/0!</v>
      </c>
      <c r="AC437" s="383"/>
      <c r="AD437" s="495" t="e">
        <f>$D$465/($D$482*(1+$D$491*10^-6*($D$805+U437-25)))*(1+$D$500*(1-$D$522))-0.5*K437*(1-$D$508*$D$522)-$B437</f>
        <v>#DIV/0!</v>
      </c>
      <c r="AE437" s="419"/>
      <c r="AF437" s="419"/>
      <c r="AG437" s="22"/>
      <c r="AH437" s="419"/>
      <c r="AI437" s="419"/>
      <c r="AJ437" s="419"/>
      <c r="AK437" s="419"/>
      <c r="AL437" s="419"/>
      <c r="AM437" s="419"/>
      <c r="AN437" s="419"/>
      <c r="AO437" s="419"/>
      <c r="AP437" s="419"/>
      <c r="AQ437" s="419"/>
      <c r="AR437" s="419"/>
      <c r="AS437" s="419"/>
      <c r="AT437" s="419"/>
      <c r="AU437" s="419"/>
      <c r="AV437" s="419"/>
      <c r="AW437" s="419"/>
      <c r="AX437" s="419"/>
      <c r="AY437" s="419"/>
      <c r="AZ437" s="419"/>
      <c r="BA437" s="419"/>
      <c r="BB437" s="419"/>
      <c r="BC437" s="419"/>
      <c r="BD437" s="419"/>
      <c r="BF437" s="419"/>
      <c r="BG437" s="419"/>
      <c r="BH437" s="419"/>
      <c r="BI437" s="419"/>
      <c r="BJ437" s="419"/>
      <c r="BK437" s="419"/>
      <c r="BL437" s="419"/>
      <c r="BM437" s="419"/>
      <c r="BN437" s="419"/>
      <c r="BO437" s="246"/>
      <c r="BP437" s="386"/>
      <c r="BQ437" s="386"/>
      <c r="BR437" s="386"/>
      <c r="BS437" s="386"/>
      <c r="BT437" s="386"/>
      <c r="BU437" s="386"/>
      <c r="BV437" s="386"/>
      <c r="BW437" s="386"/>
      <c r="BX437" s="386"/>
      <c r="BY437" s="259"/>
      <c r="CB437" s="246"/>
      <c r="CC437" s="334"/>
      <c r="CD437" s="259"/>
      <c r="CE437" s="259"/>
      <c r="CF437" s="246"/>
      <c r="CG437" s="246"/>
      <c r="CH437" s="334"/>
      <c r="CI437" s="334"/>
      <c r="CJ437" s="14"/>
      <c r="CK437" s="334"/>
      <c r="CP437" s="27"/>
      <c r="CQ437" s="27"/>
      <c r="CR437" s="157"/>
      <c r="CS437" s="157"/>
      <c r="CT437" s="157"/>
      <c r="CU437" s="27"/>
      <c r="CV437" s="27"/>
      <c r="CW437" s="27"/>
      <c r="CX437" s="27"/>
      <c r="CY437" s="27"/>
      <c r="CZ437" s="27"/>
      <c r="DA437" s="27"/>
      <c r="DB437" s="27"/>
      <c r="DC437" s="27"/>
    </row>
    <row r="438" spans="1:107" ht="15.05" hidden="1" customHeight="1">
      <c r="A438" s="108"/>
      <c r="B438" s="1090">
        <v>9.2796435750451813</v>
      </c>
      <c r="C438" s="314">
        <f t="shared" si="43"/>
        <v>2.9358147123598979</v>
      </c>
      <c r="D438" s="1022">
        <f t="shared" si="44"/>
        <v>25.44500812060862</v>
      </c>
      <c r="E438" s="1022">
        <f t="shared" si="45"/>
        <v>33.589466457419753</v>
      </c>
      <c r="F438" s="1022">
        <f t="shared" si="46"/>
        <v>38.894966457419756</v>
      </c>
      <c r="G438" s="1086">
        <f t="shared" si="47"/>
        <v>87.40283850836191</v>
      </c>
      <c r="H438" s="1022">
        <f t="shared" si="48"/>
        <v>75.480582187257568</v>
      </c>
      <c r="I438" s="1087">
        <f t="shared" si="70"/>
        <v>75</v>
      </c>
      <c r="J438" s="1088" t="e">
        <f t="shared" si="49"/>
        <v>#DIV/0!</v>
      </c>
      <c r="K438" s="1088" t="e">
        <f t="shared" si="50"/>
        <v>#DIV/0!</v>
      </c>
      <c r="L438" s="1088" t="e">
        <f t="shared" si="51"/>
        <v>#DIV/0!</v>
      </c>
      <c r="M438" s="1088">
        <f t="shared" si="52"/>
        <v>7.145097118593414</v>
      </c>
      <c r="N438" s="1092"/>
      <c r="O438" s="951"/>
      <c r="P438" s="951" t="e">
        <f>M438-0.5*L438-$B438</f>
        <v>#DIV/0!</v>
      </c>
      <c r="Q438" s="951"/>
      <c r="R438" s="951"/>
      <c r="S438" s="383">
        <f t="shared" si="58"/>
        <v>9.2796435750451813</v>
      </c>
      <c r="T438" s="384">
        <f t="shared" si="59"/>
        <v>7.0305583223110216E-2</v>
      </c>
      <c r="U438" s="384">
        <f t="shared" si="60"/>
        <v>11.248893315697634</v>
      </c>
      <c r="V438" s="384">
        <f t="shared" si="61"/>
        <v>5.6220478308987669</v>
      </c>
      <c r="W438" s="495">
        <f t="shared" si="62"/>
        <v>10.672267793639193</v>
      </c>
      <c r="X438" s="951"/>
      <c r="Y438" s="951"/>
      <c r="Z438" s="951" t="e">
        <f>W438-0.5*L438-$B438</f>
        <v>#DIV/0!</v>
      </c>
      <c r="AA438" s="951"/>
      <c r="AB438" s="951"/>
      <c r="AC438" s="383"/>
      <c r="AD438" s="495"/>
      <c r="AE438" s="419"/>
      <c r="AF438" s="419"/>
      <c r="AG438" s="22"/>
      <c r="AH438" s="419"/>
      <c r="AI438" s="419"/>
      <c r="AJ438" s="419"/>
      <c r="AK438" s="419"/>
      <c r="AL438" s="419"/>
      <c r="AM438" s="419"/>
      <c r="AN438" s="419"/>
      <c r="AO438" s="419"/>
      <c r="AP438" s="419"/>
      <c r="AQ438" s="419"/>
      <c r="AR438" s="419"/>
      <c r="AS438" s="419"/>
      <c r="AT438" s="419"/>
      <c r="AU438" s="419"/>
      <c r="AV438" s="419"/>
      <c r="AW438" s="419"/>
      <c r="AX438" s="419"/>
      <c r="AY438" s="419"/>
      <c r="AZ438" s="419"/>
      <c r="BA438" s="419"/>
      <c r="BB438" s="419"/>
      <c r="BC438" s="419"/>
      <c r="BD438" s="419"/>
      <c r="BF438" s="419"/>
      <c r="BG438" s="419"/>
      <c r="BH438" s="419"/>
      <c r="BI438" s="419"/>
      <c r="BJ438" s="419"/>
      <c r="BK438" s="419"/>
      <c r="BL438" s="419"/>
      <c r="BM438" s="419"/>
      <c r="BN438" s="419"/>
      <c r="BO438" s="246"/>
      <c r="BP438" s="386"/>
      <c r="BQ438" s="386"/>
      <c r="BR438" s="386"/>
      <c r="BS438" s="386"/>
      <c r="BT438" s="386"/>
      <c r="BU438" s="386"/>
      <c r="BV438" s="386"/>
      <c r="BW438" s="386"/>
      <c r="BX438" s="386"/>
      <c r="BY438" s="259"/>
      <c r="CB438" s="246"/>
      <c r="CC438" s="334"/>
      <c r="CD438" s="259"/>
      <c r="CE438" s="259"/>
      <c r="CF438" s="246"/>
      <c r="CG438" s="246"/>
      <c r="CH438" s="334"/>
      <c r="CI438" s="334"/>
      <c r="CJ438" s="14"/>
      <c r="CK438" s="334"/>
      <c r="CP438" s="27"/>
      <c r="CQ438" s="27"/>
      <c r="CR438" s="157"/>
      <c r="CS438" s="157"/>
      <c r="CT438" s="157"/>
      <c r="CU438" s="27"/>
      <c r="CV438" s="27"/>
      <c r="CW438" s="27"/>
      <c r="CX438" s="27"/>
      <c r="CY438" s="27"/>
      <c r="CZ438" s="27"/>
      <c r="DA438" s="27"/>
      <c r="DB438" s="27"/>
      <c r="DC438" s="27"/>
    </row>
    <row r="439" spans="1:107" ht="15.05" hidden="1" customHeight="1">
      <c r="A439" s="108"/>
      <c r="B439" s="1080"/>
      <c r="C439" s="1081"/>
      <c r="D439" s="1081"/>
      <c r="E439" s="1067"/>
      <c r="J439" s="1066"/>
      <c r="K439" s="1066"/>
      <c r="L439" s="1066"/>
      <c r="M439" s="1066"/>
      <c r="N439" s="1066"/>
      <c r="O439" s="419"/>
      <c r="P439" s="419"/>
      <c r="Q439" s="419"/>
      <c r="R439" s="419"/>
      <c r="S439" s="419"/>
      <c r="T439" s="419"/>
      <c r="U439" s="419"/>
      <c r="V439" s="419"/>
      <c r="W439" s="419"/>
      <c r="X439" s="419"/>
      <c r="Y439" s="419"/>
      <c r="Z439" s="419"/>
      <c r="AA439" s="419"/>
      <c r="AB439" s="419"/>
      <c r="AC439" s="419"/>
      <c r="AD439" s="419"/>
      <c r="AE439" s="419"/>
      <c r="AF439" s="22"/>
      <c r="AG439" s="419"/>
      <c r="AH439" s="419"/>
      <c r="AI439" s="419"/>
      <c r="AJ439" s="419"/>
      <c r="AK439" s="419"/>
      <c r="AL439" s="419"/>
      <c r="AM439" s="419"/>
      <c r="AN439" s="419"/>
      <c r="AO439" s="419"/>
      <c r="AP439" s="419"/>
      <c r="AQ439" s="419"/>
      <c r="AR439" s="419"/>
      <c r="AS439" s="419"/>
      <c r="AT439" s="419"/>
      <c r="AU439" s="419"/>
      <c r="AV439" s="419"/>
      <c r="AW439" s="419"/>
      <c r="AX439" s="419"/>
      <c r="AY439" s="419"/>
      <c r="AZ439" s="419"/>
      <c r="BA439" s="419"/>
      <c r="BB439" s="419"/>
      <c r="BC439" s="419"/>
      <c r="BE439" s="419"/>
      <c r="BF439" s="419"/>
      <c r="BG439" s="419"/>
      <c r="BH439" s="419"/>
      <c r="BI439" s="419"/>
      <c r="BJ439" s="419"/>
      <c r="BK439" s="419"/>
      <c r="BL439" s="419"/>
      <c r="BM439" s="419"/>
      <c r="BN439" s="246"/>
      <c r="BO439" s="386"/>
      <c r="BP439" s="386"/>
      <c r="BQ439" s="386"/>
      <c r="BR439" s="386"/>
      <c r="BS439" s="386"/>
      <c r="BT439" s="386"/>
      <c r="BU439" s="386"/>
      <c r="BV439" s="386"/>
      <c r="BW439" s="386"/>
      <c r="BX439" s="259"/>
      <c r="CA439" s="246"/>
      <c r="CB439" s="334"/>
      <c r="CC439" s="259"/>
      <c r="CD439" s="259"/>
      <c r="CE439" s="246"/>
      <c r="CF439" s="246"/>
      <c r="CG439" s="334"/>
      <c r="CH439" s="334"/>
      <c r="CI439" s="14"/>
      <c r="CJ439" s="334"/>
      <c r="CO439" s="27"/>
      <c r="CP439" s="27"/>
      <c r="CQ439" s="157"/>
      <c r="CR439" s="157"/>
      <c r="CS439" s="157"/>
      <c r="CT439" s="27"/>
      <c r="CU439" s="27"/>
      <c r="CV439" s="27"/>
      <c r="CW439" s="27"/>
      <c r="CX439" s="27"/>
      <c r="CY439" s="27"/>
      <c r="CZ439" s="27"/>
      <c r="DA439" s="27"/>
      <c r="DB439" s="27"/>
    </row>
    <row r="440" spans="1:107" ht="15.05" hidden="1" customHeight="1">
      <c r="A440" s="108"/>
      <c r="B440" s="1080"/>
      <c r="C440" s="1081"/>
      <c r="D440" s="1081"/>
      <c r="E440" s="1067"/>
      <c r="J440" s="1066"/>
      <c r="K440" s="1066"/>
      <c r="L440" s="1066"/>
      <c r="M440" s="1066"/>
      <c r="N440" s="1066"/>
      <c r="O440" s="419"/>
      <c r="P440" s="419"/>
      <c r="Q440" s="419"/>
      <c r="R440" s="419"/>
      <c r="S440" s="419"/>
      <c r="T440" s="419"/>
      <c r="U440" s="419"/>
      <c r="V440" s="419"/>
      <c r="W440" s="419"/>
      <c r="X440" s="419"/>
      <c r="Y440" s="419"/>
      <c r="Z440" s="419"/>
      <c r="AA440" s="419"/>
      <c r="AB440" s="419"/>
      <c r="AC440" s="419"/>
      <c r="AD440" s="22"/>
      <c r="AE440" s="419"/>
      <c r="AF440" s="419"/>
      <c r="AG440" s="419"/>
      <c r="AH440" s="419"/>
      <c r="AI440" s="419"/>
      <c r="AJ440" s="419"/>
      <c r="AK440" s="419"/>
      <c r="AL440" s="419"/>
      <c r="AM440" s="419"/>
      <c r="AN440" s="419"/>
      <c r="AO440" s="419"/>
      <c r="AP440" s="419"/>
      <c r="AQ440" s="419"/>
      <c r="AR440" s="419"/>
      <c r="AS440" s="419"/>
      <c r="AT440" s="419"/>
      <c r="AU440" s="419"/>
      <c r="AV440" s="419"/>
      <c r="AW440" s="419"/>
      <c r="AX440" s="419"/>
      <c r="AY440" s="419"/>
      <c r="AZ440" s="419"/>
      <c r="BA440" s="419"/>
      <c r="BC440" s="419"/>
      <c r="BD440" s="419"/>
      <c r="BE440" s="419"/>
      <c r="BF440" s="419"/>
      <c r="BG440" s="419"/>
      <c r="BH440" s="419"/>
      <c r="BI440" s="419"/>
      <c r="BJ440" s="419"/>
      <c r="BK440" s="419"/>
      <c r="BL440" s="246"/>
      <c r="BM440" s="386"/>
      <c r="BN440" s="386"/>
      <c r="BO440" s="386"/>
      <c r="BP440" s="386"/>
      <c r="BQ440" s="386"/>
      <c r="BR440" s="386"/>
      <c r="BS440" s="386"/>
      <c r="BT440" s="386"/>
      <c r="BU440" s="386"/>
      <c r="BV440" s="259"/>
      <c r="BY440" s="246"/>
      <c r="BZ440" s="334"/>
      <c r="CA440" s="259"/>
      <c r="CB440" s="259"/>
      <c r="CC440" s="246"/>
      <c r="CD440" s="246"/>
      <c r="CE440" s="334"/>
      <c r="CF440" s="334"/>
      <c r="CG440" s="14"/>
      <c r="CH440" s="334"/>
      <c r="CM440" s="27"/>
      <c r="CN440" s="27"/>
      <c r="CO440" s="157"/>
      <c r="CP440" s="157"/>
      <c r="CQ440" s="157"/>
      <c r="CR440" s="27"/>
      <c r="CS440" s="27"/>
      <c r="CT440" s="27"/>
      <c r="CU440" s="27"/>
      <c r="CV440" s="27"/>
      <c r="CW440" s="27"/>
      <c r="CX440" s="27"/>
      <c r="CY440" s="27"/>
      <c r="CZ440" s="27"/>
    </row>
    <row r="441" spans="1:107" ht="15.05" hidden="1" customHeight="1">
      <c r="A441" s="108"/>
      <c r="B441" s="1080"/>
      <c r="C441" s="1081"/>
      <c r="D441" s="1081"/>
      <c r="E441" s="1067"/>
      <c r="J441" s="1066"/>
      <c r="K441" s="1066"/>
      <c r="L441" s="1066"/>
      <c r="M441" s="1066"/>
      <c r="N441" s="1066"/>
      <c r="O441" s="419"/>
      <c r="P441" s="419"/>
      <c r="Q441" s="419"/>
      <c r="R441" s="419"/>
      <c r="S441" s="419"/>
      <c r="T441" s="419"/>
      <c r="U441" s="419"/>
      <c r="V441" s="419"/>
      <c r="W441" s="419"/>
      <c r="X441" s="419"/>
      <c r="Y441" s="419"/>
      <c r="Z441" s="419"/>
      <c r="AA441" s="419"/>
      <c r="AB441" s="419"/>
      <c r="AC441" s="419"/>
      <c r="AD441" s="22"/>
      <c r="AE441" s="419"/>
      <c r="AF441" s="419"/>
      <c r="AG441" s="419"/>
      <c r="AH441" s="419"/>
      <c r="AI441" s="419"/>
      <c r="AJ441" s="419"/>
      <c r="AK441" s="419"/>
      <c r="AL441" s="419"/>
      <c r="AM441" s="419"/>
      <c r="AN441" s="419"/>
      <c r="AO441" s="419"/>
      <c r="AP441" s="419"/>
      <c r="AQ441" s="419"/>
      <c r="AR441" s="419"/>
      <c r="AS441" s="419"/>
      <c r="AT441" s="419"/>
      <c r="AU441" s="419"/>
      <c r="AV441" s="419"/>
      <c r="AW441" s="419"/>
      <c r="AX441" s="419"/>
      <c r="AY441" s="419"/>
      <c r="AZ441" s="419"/>
      <c r="BA441" s="419"/>
      <c r="BC441" s="419"/>
      <c r="BD441" s="419"/>
      <c r="BE441" s="419"/>
      <c r="BF441" s="419"/>
      <c r="BG441" s="419"/>
      <c r="BH441" s="419"/>
      <c r="BI441" s="419"/>
      <c r="BJ441" s="419"/>
      <c r="BK441" s="419"/>
      <c r="BL441" s="246"/>
      <c r="BM441" s="386"/>
      <c r="BN441" s="386"/>
      <c r="BO441" s="386"/>
      <c r="BP441" s="386"/>
      <c r="BQ441" s="386"/>
      <c r="BR441" s="386"/>
      <c r="BS441" s="386"/>
      <c r="BT441" s="386"/>
      <c r="BU441" s="386"/>
      <c r="BV441" s="259"/>
      <c r="BY441" s="246"/>
      <c r="BZ441" s="334"/>
      <c r="CA441" s="259"/>
      <c r="CB441" s="259"/>
      <c r="CC441" s="246"/>
      <c r="CD441" s="246"/>
      <c r="CE441" s="334"/>
      <c r="CF441" s="334"/>
      <c r="CG441" s="14"/>
      <c r="CH441" s="334"/>
      <c r="CM441" s="27"/>
      <c r="CN441" s="27"/>
      <c r="CO441" s="157"/>
      <c r="CP441" s="157"/>
      <c r="CQ441" s="157"/>
      <c r="CR441" s="27"/>
      <c r="CS441" s="27"/>
      <c r="CT441" s="27"/>
      <c r="CU441" s="27"/>
      <c r="CV441" s="27"/>
      <c r="CW441" s="27"/>
      <c r="CX441" s="27"/>
      <c r="CY441" s="27"/>
      <c r="CZ441" s="27"/>
    </row>
    <row r="442" spans="1:107" ht="15.05" hidden="1" customHeight="1">
      <c r="A442" s="108"/>
      <c r="B442" s="1080"/>
      <c r="C442" s="1081"/>
      <c r="D442" s="1081"/>
      <c r="E442" s="1067"/>
      <c r="J442" s="1066"/>
      <c r="K442" s="1066"/>
      <c r="L442" s="1066"/>
      <c r="M442" s="1066"/>
      <c r="N442" s="1066"/>
      <c r="O442" s="419"/>
      <c r="P442" s="419"/>
      <c r="Q442" s="419"/>
      <c r="R442" s="419"/>
      <c r="S442" s="419"/>
      <c r="T442" s="419"/>
      <c r="U442" s="419"/>
      <c r="V442" s="419"/>
      <c r="W442" s="419"/>
      <c r="X442" s="419"/>
      <c r="Y442" s="419"/>
      <c r="Z442" s="419"/>
      <c r="AA442" s="419"/>
      <c r="AB442" s="419"/>
      <c r="AC442" s="419"/>
      <c r="AD442" s="22"/>
      <c r="AE442" s="419"/>
      <c r="AF442" s="419"/>
      <c r="AG442" s="419"/>
      <c r="AH442" s="419"/>
      <c r="AI442" s="419"/>
      <c r="AJ442" s="419"/>
      <c r="AK442" s="419"/>
      <c r="AL442" s="419"/>
      <c r="AM442" s="419"/>
      <c r="AN442" s="419"/>
      <c r="AO442" s="419"/>
      <c r="AP442" s="419"/>
      <c r="AQ442" s="419"/>
      <c r="AR442" s="419"/>
      <c r="AS442" s="419"/>
      <c r="AT442" s="419"/>
      <c r="AU442" s="419"/>
      <c r="AV442" s="419"/>
      <c r="AW442" s="419"/>
      <c r="AX442" s="419"/>
      <c r="AY442" s="419"/>
      <c r="AZ442" s="419"/>
      <c r="BA442" s="419"/>
      <c r="BC442" s="419"/>
      <c r="BD442" s="419"/>
      <c r="BE442" s="419"/>
      <c r="BF442" s="419"/>
      <c r="BG442" s="419"/>
      <c r="BH442" s="419"/>
      <c r="BI442" s="419"/>
      <c r="BJ442" s="419"/>
      <c r="BK442" s="419"/>
      <c r="BL442" s="246"/>
      <c r="BM442" s="386"/>
      <c r="BN442" s="386"/>
      <c r="BO442" s="386"/>
      <c r="BP442" s="386"/>
      <c r="BQ442" s="386"/>
      <c r="BR442" s="386"/>
      <c r="BS442" s="386"/>
      <c r="BT442" s="386"/>
      <c r="BU442" s="386"/>
      <c r="BV442" s="259"/>
      <c r="BY442" s="246"/>
      <c r="BZ442" s="334"/>
      <c r="CA442" s="259"/>
      <c r="CB442" s="259"/>
      <c r="CC442" s="246"/>
      <c r="CD442" s="246"/>
      <c r="CE442" s="334"/>
      <c r="CF442" s="334"/>
      <c r="CG442" s="14"/>
      <c r="CH442" s="334"/>
      <c r="CM442" s="27"/>
      <c r="CN442" s="27"/>
      <c r="CO442" s="157"/>
      <c r="CP442" s="157"/>
      <c r="CQ442" s="157"/>
      <c r="CR442" s="27"/>
      <c r="CS442" s="27"/>
      <c r="CT442" s="27"/>
      <c r="CU442" s="27"/>
      <c r="CV442" s="27"/>
      <c r="CW442" s="27"/>
      <c r="CX442" s="27"/>
      <c r="CY442" s="27"/>
      <c r="CZ442" s="27"/>
    </row>
    <row r="443" spans="1:107" ht="15.05" hidden="1" customHeight="1">
      <c r="A443" s="108"/>
      <c r="B443" s="1080"/>
      <c r="C443" s="1081"/>
      <c r="D443" s="1081"/>
      <c r="E443" s="1067"/>
      <c r="J443" s="1066"/>
      <c r="K443" s="1066"/>
      <c r="L443" s="1066"/>
      <c r="M443" s="1066"/>
      <c r="N443" s="1066"/>
      <c r="O443" s="419"/>
      <c r="P443" s="419"/>
      <c r="Q443" s="419"/>
      <c r="R443" s="419"/>
      <c r="S443" s="419"/>
      <c r="T443" s="419"/>
      <c r="U443" s="419"/>
      <c r="V443" s="419"/>
      <c r="W443" s="419"/>
      <c r="X443" s="419"/>
      <c r="Y443" s="419"/>
      <c r="Z443" s="419"/>
      <c r="AA443" s="419"/>
      <c r="AB443" s="419"/>
      <c r="AC443" s="419"/>
      <c r="AD443" s="22"/>
      <c r="AE443" s="419"/>
      <c r="AF443" s="419"/>
      <c r="AG443" s="419"/>
      <c r="AH443" s="419"/>
      <c r="AI443" s="419"/>
      <c r="AJ443" s="419"/>
      <c r="AK443" s="419"/>
      <c r="AL443" s="419"/>
      <c r="AM443" s="419"/>
      <c r="AN443" s="419"/>
      <c r="AO443" s="419"/>
      <c r="AP443" s="419"/>
      <c r="AQ443" s="419"/>
      <c r="AR443" s="419"/>
      <c r="AS443" s="419"/>
      <c r="AT443" s="419"/>
      <c r="AU443" s="419"/>
      <c r="AV443" s="419"/>
      <c r="AW443" s="419"/>
      <c r="AX443" s="419"/>
      <c r="AY443" s="419"/>
      <c r="AZ443" s="419"/>
      <c r="BA443" s="419"/>
      <c r="BC443" s="419"/>
      <c r="BD443" s="419"/>
      <c r="BE443" s="419"/>
      <c r="BF443" s="419"/>
      <c r="BG443" s="419"/>
      <c r="BH443" s="419"/>
      <c r="BI443" s="419"/>
      <c r="BJ443" s="419"/>
      <c r="BK443" s="419"/>
      <c r="BL443" s="246"/>
      <c r="BM443" s="386"/>
      <c r="BN443" s="386"/>
      <c r="BO443" s="386"/>
      <c r="BP443" s="386"/>
      <c r="BQ443" s="386"/>
      <c r="BR443" s="386"/>
      <c r="BS443" s="386"/>
      <c r="BT443" s="386"/>
      <c r="BU443" s="386"/>
      <c r="BV443" s="259"/>
      <c r="BY443" s="246"/>
      <c r="BZ443" s="334"/>
      <c r="CA443" s="259"/>
      <c r="CB443" s="259"/>
      <c r="CC443" s="246"/>
      <c r="CD443" s="246"/>
      <c r="CE443" s="334"/>
      <c r="CF443" s="334"/>
      <c r="CG443" s="14"/>
      <c r="CH443" s="334"/>
      <c r="CM443" s="27"/>
      <c r="CN443" s="27"/>
      <c r="CO443" s="157"/>
      <c r="CP443" s="157"/>
      <c r="CQ443" s="157"/>
      <c r="CR443" s="27"/>
      <c r="CS443" s="27"/>
      <c r="CT443" s="27"/>
      <c r="CU443" s="27"/>
      <c r="CV443" s="27"/>
      <c r="CW443" s="27"/>
      <c r="CX443" s="27"/>
      <c r="CY443" s="27"/>
      <c r="CZ443" s="27"/>
    </row>
    <row r="444" spans="1:107" ht="15.05" hidden="1" customHeight="1">
      <c r="A444" s="108"/>
      <c r="B444" s="1080"/>
      <c r="C444" s="1081"/>
      <c r="D444" s="1081"/>
      <c r="E444" s="1067"/>
      <c r="J444" s="1066"/>
      <c r="K444" s="1066"/>
      <c r="L444" s="1066"/>
      <c r="M444" s="1066"/>
      <c r="N444" s="1066"/>
      <c r="O444" s="419"/>
      <c r="P444" s="419"/>
      <c r="Q444" s="419"/>
      <c r="R444" s="419"/>
      <c r="S444" s="419"/>
      <c r="T444" s="419"/>
      <c r="U444" s="419"/>
      <c r="V444" s="419"/>
      <c r="W444" s="419"/>
      <c r="X444" s="419"/>
      <c r="Y444" s="419"/>
      <c r="Z444" s="419"/>
      <c r="AA444" s="419"/>
      <c r="AB444" s="419"/>
      <c r="AC444" s="419"/>
      <c r="AD444" s="22"/>
      <c r="AE444" s="419"/>
      <c r="AF444" s="419"/>
      <c r="AG444" s="419"/>
      <c r="AH444" s="419"/>
      <c r="AI444" s="419"/>
      <c r="AJ444" s="419"/>
      <c r="AK444" s="419"/>
      <c r="AL444" s="419"/>
      <c r="AM444" s="419"/>
      <c r="AN444" s="419"/>
      <c r="AO444" s="419"/>
      <c r="AP444" s="419"/>
      <c r="AQ444" s="419"/>
      <c r="AR444" s="419"/>
      <c r="AS444" s="419"/>
      <c r="AT444" s="419"/>
      <c r="AU444" s="419"/>
      <c r="AV444" s="419"/>
      <c r="AW444" s="419"/>
      <c r="AX444" s="419"/>
      <c r="AY444" s="419"/>
      <c r="AZ444" s="419"/>
      <c r="BA444" s="419"/>
      <c r="BC444" s="419"/>
      <c r="BD444" s="419"/>
      <c r="BE444" s="419"/>
      <c r="BF444" s="419"/>
      <c r="BG444" s="419"/>
      <c r="BH444" s="419"/>
      <c r="BI444" s="419"/>
      <c r="BJ444" s="419"/>
      <c r="BK444" s="419"/>
      <c r="BL444" s="246"/>
      <c r="BM444" s="386"/>
      <c r="BN444" s="386"/>
      <c r="BO444" s="386"/>
      <c r="BP444" s="386"/>
      <c r="BQ444" s="386"/>
      <c r="BR444" s="386"/>
      <c r="BS444" s="386"/>
      <c r="BT444" s="386"/>
      <c r="BU444" s="386"/>
      <c r="BV444" s="259"/>
      <c r="BY444" s="246"/>
      <c r="BZ444" s="334"/>
      <c r="CA444" s="259"/>
      <c r="CB444" s="259"/>
      <c r="CC444" s="246"/>
      <c r="CD444" s="246"/>
      <c r="CE444" s="334"/>
      <c r="CF444" s="334"/>
      <c r="CG444" s="14"/>
      <c r="CH444" s="334"/>
      <c r="CM444" s="27"/>
      <c r="CN444" s="27"/>
      <c r="CO444" s="157"/>
      <c r="CP444" s="157"/>
      <c r="CQ444" s="157"/>
      <c r="CR444" s="27"/>
      <c r="CS444" s="27"/>
      <c r="CT444" s="27"/>
      <c r="CU444" s="27"/>
      <c r="CV444" s="27"/>
      <c r="CW444" s="27"/>
      <c r="CX444" s="27"/>
      <c r="CY444" s="27"/>
      <c r="CZ444" s="27"/>
    </row>
    <row r="445" spans="1:107" ht="15.05" hidden="1" customHeight="1">
      <c r="A445" s="108"/>
      <c r="B445" s="1080"/>
      <c r="C445" s="1081"/>
      <c r="D445" s="1081"/>
      <c r="E445" s="1067"/>
      <c r="J445" s="1066"/>
      <c r="K445" s="1066"/>
      <c r="L445" s="1066"/>
      <c r="M445" s="1066"/>
      <c r="N445" s="1066"/>
      <c r="O445" s="419"/>
      <c r="P445" s="419"/>
      <c r="Q445" s="419"/>
      <c r="R445" s="419"/>
      <c r="S445" s="419"/>
      <c r="T445" s="419"/>
      <c r="U445" s="419"/>
      <c r="V445" s="419"/>
      <c r="W445" s="419"/>
      <c r="X445" s="419"/>
      <c r="Y445" s="419"/>
      <c r="Z445" s="419"/>
      <c r="AA445" s="419"/>
      <c r="AB445" s="419"/>
      <c r="AC445" s="419"/>
      <c r="AD445" s="22"/>
      <c r="AE445" s="419"/>
      <c r="AF445" s="419"/>
      <c r="AG445" s="419"/>
      <c r="AH445" s="419"/>
      <c r="AI445" s="419"/>
      <c r="AJ445" s="419"/>
      <c r="AK445" s="419"/>
      <c r="AL445" s="419"/>
      <c r="AM445" s="419"/>
      <c r="AN445" s="419"/>
      <c r="AO445" s="419"/>
      <c r="AP445" s="419"/>
      <c r="AQ445" s="419"/>
      <c r="AR445" s="419"/>
      <c r="AS445" s="419"/>
      <c r="AT445" s="419"/>
      <c r="AU445" s="419"/>
      <c r="AV445" s="419"/>
      <c r="AW445" s="419"/>
      <c r="AX445" s="419"/>
      <c r="AY445" s="419"/>
      <c r="AZ445" s="419"/>
      <c r="BA445" s="419"/>
      <c r="BC445" s="419"/>
      <c r="BD445" s="419"/>
      <c r="BE445" s="419"/>
      <c r="BF445" s="419"/>
      <c r="BG445" s="419"/>
      <c r="BH445" s="419"/>
      <c r="BI445" s="419"/>
      <c r="BJ445" s="419"/>
      <c r="BK445" s="419"/>
      <c r="BL445" s="246"/>
      <c r="BM445" s="386"/>
      <c r="BN445" s="386"/>
      <c r="BO445" s="386"/>
      <c r="BP445" s="386"/>
      <c r="BQ445" s="386"/>
      <c r="BR445" s="386"/>
      <c r="BS445" s="386"/>
      <c r="BT445" s="386"/>
      <c r="BU445" s="386"/>
      <c r="BV445" s="259"/>
      <c r="BY445" s="246"/>
      <c r="BZ445" s="334"/>
      <c r="CA445" s="259"/>
      <c r="CB445" s="259"/>
      <c r="CC445" s="246"/>
      <c r="CD445" s="246"/>
      <c r="CE445" s="334"/>
      <c r="CF445" s="334"/>
      <c r="CG445" s="14"/>
      <c r="CH445" s="334"/>
      <c r="CM445" s="27"/>
      <c r="CN445" s="27"/>
      <c r="CO445" s="157"/>
      <c r="CP445" s="157"/>
      <c r="CQ445" s="157"/>
      <c r="CR445" s="27"/>
      <c r="CS445" s="27"/>
      <c r="CT445" s="27"/>
      <c r="CU445" s="27"/>
      <c r="CV445" s="27"/>
      <c r="CW445" s="27"/>
      <c r="CX445" s="27"/>
      <c r="CY445" s="27"/>
      <c r="CZ445" s="27"/>
    </row>
    <row r="446" spans="1:107" ht="15.05" hidden="1" customHeight="1">
      <c r="A446" s="108"/>
      <c r="B446" s="1080"/>
      <c r="C446" s="1081"/>
      <c r="D446" s="1081"/>
      <c r="E446" s="1067"/>
      <c r="J446" s="1066"/>
      <c r="K446" s="1066"/>
      <c r="L446" s="1066"/>
      <c r="M446" s="1066"/>
      <c r="N446" s="1066"/>
      <c r="O446" s="419"/>
      <c r="P446" s="419"/>
      <c r="Q446" s="419"/>
      <c r="R446" s="419"/>
      <c r="S446" s="419"/>
      <c r="T446" s="419"/>
      <c r="U446" s="419"/>
      <c r="V446" s="419"/>
      <c r="W446" s="419"/>
      <c r="X446" s="419"/>
      <c r="Y446" s="419"/>
      <c r="Z446" s="419"/>
      <c r="AA446" s="419"/>
      <c r="AB446" s="419"/>
      <c r="AC446" s="419"/>
      <c r="AD446" s="22"/>
      <c r="AE446" s="419"/>
      <c r="AF446" s="419"/>
      <c r="AG446" s="419"/>
      <c r="AH446" s="419"/>
      <c r="AI446" s="419"/>
      <c r="AJ446" s="419"/>
      <c r="AK446" s="419"/>
      <c r="AL446" s="419"/>
      <c r="AM446" s="419"/>
      <c r="AN446" s="419"/>
      <c r="AO446" s="419"/>
      <c r="AP446" s="419"/>
      <c r="AQ446" s="419"/>
      <c r="AR446" s="419"/>
      <c r="AS446" s="419"/>
      <c r="AT446" s="419"/>
      <c r="AU446" s="419"/>
      <c r="AV446" s="419"/>
      <c r="AW446" s="419"/>
      <c r="AX446" s="419"/>
      <c r="AY446" s="419"/>
      <c r="AZ446" s="419"/>
      <c r="BA446" s="419"/>
      <c r="BC446" s="419"/>
      <c r="BD446" s="419"/>
      <c r="BE446" s="419"/>
      <c r="BF446" s="419"/>
      <c r="BG446" s="419"/>
      <c r="BH446" s="419"/>
      <c r="BI446" s="419"/>
      <c r="BJ446" s="419"/>
      <c r="BK446" s="419"/>
      <c r="BL446" s="246"/>
      <c r="BM446" s="386"/>
      <c r="BN446" s="386"/>
      <c r="BO446" s="386"/>
      <c r="BP446" s="386"/>
      <c r="BQ446" s="386"/>
      <c r="BR446" s="386"/>
      <c r="BS446" s="386"/>
      <c r="BT446" s="386"/>
      <c r="BU446" s="386"/>
      <c r="BV446" s="259"/>
      <c r="BY446" s="246"/>
      <c r="BZ446" s="334"/>
      <c r="CA446" s="259"/>
      <c r="CB446" s="259"/>
      <c r="CC446" s="246"/>
      <c r="CD446" s="246"/>
      <c r="CE446" s="334"/>
      <c r="CF446" s="334"/>
      <c r="CG446" s="14"/>
      <c r="CH446" s="334"/>
      <c r="CM446" s="27"/>
      <c r="CN446" s="27"/>
      <c r="CO446" s="157"/>
      <c r="CP446" s="157"/>
      <c r="CQ446" s="157"/>
      <c r="CR446" s="27"/>
      <c r="CS446" s="27"/>
      <c r="CT446" s="27"/>
      <c r="CU446" s="27"/>
      <c r="CV446" s="27"/>
      <c r="CW446" s="27"/>
      <c r="CX446" s="27"/>
      <c r="CY446" s="27"/>
      <c r="CZ446" s="27"/>
    </row>
    <row r="447" spans="1:107" ht="15.05" hidden="1" customHeight="1">
      <c r="A447" s="108"/>
      <c r="B447" s="1080"/>
      <c r="C447" s="1081"/>
      <c r="D447" s="1081"/>
      <c r="E447" s="1067"/>
      <c r="J447" s="1066"/>
      <c r="K447" s="1066"/>
      <c r="L447" s="1066"/>
      <c r="M447" s="1066"/>
      <c r="N447" s="1066"/>
      <c r="O447" s="419"/>
      <c r="P447" s="419"/>
      <c r="Q447" s="419"/>
      <c r="R447" s="419"/>
      <c r="S447" s="419"/>
      <c r="T447" s="419"/>
      <c r="U447" s="419"/>
      <c r="V447" s="419"/>
      <c r="W447" s="419"/>
      <c r="X447" s="419"/>
      <c r="Y447" s="419"/>
      <c r="Z447" s="419"/>
      <c r="AA447" s="419"/>
      <c r="AB447" s="419"/>
      <c r="AC447" s="419"/>
      <c r="AD447" s="22"/>
      <c r="AE447" s="419"/>
      <c r="AF447" s="419"/>
      <c r="AG447" s="419"/>
      <c r="AH447" s="419"/>
      <c r="AI447" s="419"/>
      <c r="AJ447" s="419"/>
      <c r="AK447" s="419"/>
      <c r="AL447" s="419"/>
      <c r="AM447" s="419"/>
      <c r="AN447" s="419"/>
      <c r="AO447" s="419"/>
      <c r="AP447" s="419"/>
      <c r="AQ447" s="419"/>
      <c r="AR447" s="419"/>
      <c r="AS447" s="419"/>
      <c r="AT447" s="419"/>
      <c r="AU447" s="419"/>
      <c r="AV447" s="419"/>
      <c r="AW447" s="419"/>
      <c r="AX447" s="419"/>
      <c r="AY447" s="419"/>
      <c r="AZ447" s="419"/>
      <c r="BA447" s="419"/>
      <c r="BC447" s="419"/>
      <c r="BD447" s="419"/>
      <c r="BE447" s="419"/>
      <c r="BF447" s="419"/>
      <c r="BG447" s="419"/>
      <c r="BH447" s="419"/>
      <c r="BI447" s="419"/>
      <c r="BJ447" s="419"/>
      <c r="BK447" s="419"/>
      <c r="BL447" s="246"/>
      <c r="BM447" s="386"/>
      <c r="BN447" s="386"/>
      <c r="BO447" s="386"/>
      <c r="BP447" s="386"/>
      <c r="BQ447" s="386"/>
      <c r="BR447" s="386"/>
      <c r="BS447" s="386"/>
      <c r="BT447" s="386"/>
      <c r="BU447" s="386"/>
      <c r="BV447" s="259"/>
      <c r="BY447" s="246"/>
      <c r="BZ447" s="334"/>
      <c r="CA447" s="259"/>
      <c r="CB447" s="259"/>
      <c r="CC447" s="246"/>
      <c r="CD447" s="246"/>
      <c r="CE447" s="334"/>
      <c r="CF447" s="334"/>
      <c r="CG447" s="14"/>
      <c r="CH447" s="334"/>
      <c r="CM447" s="27"/>
      <c r="CN447" s="27"/>
      <c r="CO447" s="157"/>
      <c r="CP447" s="157"/>
      <c r="CQ447" s="157"/>
      <c r="CR447" s="27"/>
      <c r="CS447" s="27"/>
      <c r="CT447" s="27"/>
      <c r="CU447" s="27"/>
      <c r="CV447" s="27"/>
      <c r="CW447" s="27"/>
      <c r="CX447" s="27"/>
      <c r="CY447" s="27"/>
      <c r="CZ447" s="27"/>
    </row>
    <row r="448" spans="1:107" ht="15.05" hidden="1" customHeight="1">
      <c r="A448" s="108"/>
      <c r="B448" s="1080"/>
      <c r="C448" s="1081"/>
      <c r="D448" s="1081"/>
      <c r="E448" s="1067"/>
      <c r="J448" s="1066"/>
      <c r="K448" s="1066"/>
      <c r="L448" s="1066"/>
      <c r="M448" s="1066"/>
      <c r="N448" s="1066"/>
      <c r="O448" s="419"/>
      <c r="P448" s="419"/>
      <c r="Q448" s="419"/>
      <c r="R448" s="419"/>
      <c r="S448" s="419"/>
      <c r="T448" s="419"/>
      <c r="U448" s="419"/>
      <c r="V448" s="419"/>
      <c r="W448" s="419"/>
      <c r="X448" s="419"/>
      <c r="Y448" s="419"/>
      <c r="Z448" s="419"/>
      <c r="AA448" s="419"/>
      <c r="AB448" s="419"/>
      <c r="AC448" s="419"/>
      <c r="AD448" s="22"/>
      <c r="AE448" s="419"/>
      <c r="AF448" s="419"/>
      <c r="AG448" s="419"/>
      <c r="AH448" s="419"/>
      <c r="AI448" s="419"/>
      <c r="AJ448" s="419"/>
      <c r="AK448" s="419"/>
      <c r="AL448" s="419"/>
      <c r="AM448" s="419"/>
      <c r="AN448" s="419"/>
      <c r="AO448" s="419"/>
      <c r="AP448" s="419"/>
      <c r="AQ448" s="419"/>
      <c r="AR448" s="419"/>
      <c r="AS448" s="419"/>
      <c r="AT448" s="419"/>
      <c r="AU448" s="419"/>
      <c r="AV448" s="419"/>
      <c r="AW448" s="419"/>
      <c r="AX448" s="419"/>
      <c r="AY448" s="419"/>
      <c r="AZ448" s="419"/>
      <c r="BA448" s="419"/>
      <c r="BC448" s="419"/>
      <c r="BD448" s="419"/>
      <c r="BE448" s="419"/>
      <c r="BF448" s="419"/>
      <c r="BG448" s="419"/>
      <c r="BH448" s="419"/>
      <c r="BI448" s="419"/>
      <c r="BJ448" s="419"/>
      <c r="BK448" s="419"/>
      <c r="BL448" s="246"/>
      <c r="BM448" s="386"/>
      <c r="BN448" s="386"/>
      <c r="BO448" s="386"/>
      <c r="BP448" s="386"/>
      <c r="BQ448" s="386"/>
      <c r="BR448" s="386"/>
      <c r="BS448" s="386"/>
      <c r="BT448" s="386"/>
      <c r="BU448" s="386"/>
      <c r="BV448" s="259"/>
      <c r="BY448" s="246"/>
      <c r="BZ448" s="334"/>
      <c r="CA448" s="259"/>
      <c r="CB448" s="259"/>
      <c r="CC448" s="246"/>
      <c r="CD448" s="246"/>
      <c r="CE448" s="334"/>
      <c r="CF448" s="334"/>
      <c r="CG448" s="14"/>
      <c r="CH448" s="334"/>
      <c r="CM448" s="27"/>
      <c r="CN448" s="27"/>
      <c r="CO448" s="157"/>
      <c r="CP448" s="157"/>
      <c r="CQ448" s="157"/>
      <c r="CR448" s="27"/>
      <c r="CS448" s="27"/>
      <c r="CT448" s="27"/>
      <c r="CU448" s="27"/>
      <c r="CV448" s="27"/>
      <c r="CW448" s="27"/>
      <c r="CX448" s="27"/>
      <c r="CY448" s="27"/>
      <c r="CZ448" s="27"/>
    </row>
    <row r="449" spans="1:104" ht="15.05" hidden="1" customHeight="1">
      <c r="A449" s="108"/>
      <c r="B449" s="1080"/>
      <c r="C449" s="1081"/>
      <c r="D449" s="1081"/>
      <c r="E449" s="1067"/>
      <c r="J449" s="1066"/>
      <c r="K449" s="1066"/>
      <c r="L449" s="1066"/>
      <c r="M449" s="1066"/>
      <c r="N449" s="1066"/>
      <c r="O449" s="419"/>
      <c r="P449" s="419"/>
      <c r="Q449" s="419"/>
      <c r="R449" s="419"/>
      <c r="S449" s="419"/>
      <c r="T449" s="419"/>
      <c r="U449" s="419"/>
      <c r="V449" s="419"/>
      <c r="W449" s="419"/>
      <c r="X449" s="419"/>
      <c r="Y449" s="419"/>
      <c r="Z449" s="419"/>
      <c r="AA449" s="419"/>
      <c r="AB449" s="419"/>
      <c r="AC449" s="419"/>
      <c r="AD449" s="22"/>
      <c r="AE449" s="419"/>
      <c r="AF449" s="419"/>
      <c r="AG449" s="419"/>
      <c r="AH449" s="419"/>
      <c r="AI449" s="419"/>
      <c r="AJ449" s="419"/>
      <c r="AK449" s="419"/>
      <c r="AL449" s="419"/>
      <c r="AM449" s="419"/>
      <c r="AN449" s="419"/>
      <c r="AO449" s="419"/>
      <c r="AP449" s="419"/>
      <c r="AQ449" s="419"/>
      <c r="AR449" s="419"/>
      <c r="AS449" s="419"/>
      <c r="AT449" s="419"/>
      <c r="AU449" s="419"/>
      <c r="AV449" s="419"/>
      <c r="AW449" s="419"/>
      <c r="AX449" s="419"/>
      <c r="AY449" s="419"/>
      <c r="AZ449" s="419"/>
      <c r="BA449" s="419"/>
      <c r="BC449" s="419"/>
      <c r="BD449" s="419"/>
      <c r="BE449" s="419"/>
      <c r="BF449" s="419"/>
      <c r="BG449" s="419"/>
      <c r="BH449" s="419"/>
      <c r="BI449" s="419"/>
      <c r="BJ449" s="419"/>
      <c r="BK449" s="419"/>
      <c r="BL449" s="246"/>
      <c r="BM449" s="386"/>
      <c r="BN449" s="386"/>
      <c r="BO449" s="386"/>
      <c r="BP449" s="386"/>
      <c r="BQ449" s="386"/>
      <c r="BR449" s="386"/>
      <c r="BS449" s="386"/>
      <c r="BT449" s="386"/>
      <c r="BU449" s="386"/>
      <c r="BV449" s="259"/>
      <c r="BY449" s="246"/>
      <c r="BZ449" s="334"/>
      <c r="CA449" s="259"/>
      <c r="CB449" s="259"/>
      <c r="CC449" s="246"/>
      <c r="CD449" s="246"/>
      <c r="CE449" s="334"/>
      <c r="CF449" s="334"/>
      <c r="CG449" s="14"/>
      <c r="CH449" s="334"/>
      <c r="CM449" s="27"/>
      <c r="CN449" s="27"/>
      <c r="CO449" s="157"/>
      <c r="CP449" s="157"/>
      <c r="CQ449" s="157"/>
      <c r="CR449" s="27"/>
      <c r="CS449" s="27"/>
      <c r="CT449" s="27"/>
      <c r="CU449" s="27"/>
      <c r="CV449" s="27"/>
      <c r="CW449" s="27"/>
      <c r="CX449" s="27"/>
      <c r="CY449" s="27"/>
      <c r="CZ449" s="27"/>
    </row>
    <row r="450" spans="1:104" ht="15.05" hidden="1" customHeight="1">
      <c r="A450" s="108"/>
      <c r="B450" s="1080"/>
      <c r="C450" s="1081"/>
      <c r="D450" s="1081"/>
      <c r="E450" s="1067"/>
      <c r="J450" s="1066"/>
      <c r="K450" s="1066"/>
      <c r="L450" s="1066"/>
      <c r="M450" s="1066"/>
      <c r="N450" s="1066"/>
      <c r="O450" s="419"/>
      <c r="P450" s="419"/>
      <c r="Q450" s="419"/>
      <c r="R450" s="419"/>
      <c r="S450" s="419"/>
      <c r="T450" s="419"/>
      <c r="U450" s="419"/>
      <c r="V450" s="419"/>
      <c r="W450" s="419"/>
      <c r="X450" s="419"/>
      <c r="Y450" s="419"/>
      <c r="Z450" s="419"/>
      <c r="AA450" s="419"/>
      <c r="AB450" s="419"/>
      <c r="AC450" s="419"/>
      <c r="AD450" s="22"/>
      <c r="AE450" s="419"/>
      <c r="AF450" s="419"/>
      <c r="AG450" s="419"/>
      <c r="AH450" s="419"/>
      <c r="AI450" s="419"/>
      <c r="AJ450" s="419"/>
      <c r="AK450" s="419"/>
      <c r="AL450" s="419"/>
      <c r="AM450" s="419"/>
      <c r="AN450" s="419"/>
      <c r="AO450" s="419"/>
      <c r="AP450" s="419"/>
      <c r="AQ450" s="419"/>
      <c r="AR450" s="419"/>
      <c r="AS450" s="419"/>
      <c r="AT450" s="419"/>
      <c r="AU450" s="419"/>
      <c r="AV450" s="419"/>
      <c r="AW450" s="419"/>
      <c r="AX450" s="419"/>
      <c r="AY450" s="419"/>
      <c r="AZ450" s="419"/>
      <c r="BA450" s="419"/>
      <c r="BC450" s="419"/>
      <c r="BD450" s="419"/>
      <c r="BE450" s="419"/>
      <c r="BF450" s="419"/>
      <c r="BG450" s="419"/>
      <c r="BH450" s="419"/>
      <c r="BI450" s="419"/>
      <c r="BJ450" s="419"/>
      <c r="BK450" s="419"/>
      <c r="BL450" s="246"/>
      <c r="BM450" s="386"/>
      <c r="BN450" s="386"/>
      <c r="BO450" s="386"/>
      <c r="BP450" s="386"/>
      <c r="BQ450" s="386"/>
      <c r="BR450" s="386"/>
      <c r="BS450" s="386"/>
      <c r="BT450" s="386"/>
      <c r="BU450" s="386"/>
      <c r="BV450" s="259"/>
      <c r="BY450" s="246"/>
      <c r="BZ450" s="334"/>
      <c r="CA450" s="259"/>
      <c r="CB450" s="259"/>
      <c r="CC450" s="246"/>
      <c r="CD450" s="246"/>
      <c r="CE450" s="334"/>
      <c r="CF450" s="334"/>
      <c r="CG450" s="14"/>
      <c r="CH450" s="334"/>
      <c r="CM450" s="27"/>
      <c r="CN450" s="27"/>
      <c r="CO450" s="157"/>
      <c r="CP450" s="157"/>
      <c r="CQ450" s="157"/>
      <c r="CR450" s="27"/>
      <c r="CS450" s="27"/>
      <c r="CT450" s="27"/>
      <c r="CU450" s="27"/>
      <c r="CV450" s="27"/>
      <c r="CW450" s="27"/>
      <c r="CX450" s="27"/>
      <c r="CY450" s="27"/>
      <c r="CZ450" s="27"/>
    </row>
    <row r="451" spans="1:104" ht="15.05" hidden="1" customHeight="1">
      <c r="A451" s="108"/>
      <c r="B451" s="1080"/>
      <c r="C451" s="1081"/>
      <c r="D451" s="1081"/>
      <c r="E451" s="1067"/>
      <c r="J451" s="1066"/>
      <c r="K451" s="1066"/>
      <c r="L451" s="1066"/>
      <c r="M451" s="1066"/>
      <c r="N451" s="1066"/>
      <c r="O451" s="419"/>
      <c r="P451" s="419"/>
      <c r="Q451" s="419"/>
      <c r="R451" s="419"/>
      <c r="S451" s="419"/>
      <c r="T451" s="419"/>
      <c r="U451" s="419"/>
      <c r="V451" s="419"/>
      <c r="W451" s="419"/>
      <c r="X451" s="419"/>
      <c r="Y451" s="419"/>
      <c r="Z451" s="419"/>
      <c r="AA451" s="419"/>
      <c r="AB451" s="419"/>
      <c r="AC451" s="419"/>
      <c r="AD451" s="22"/>
      <c r="AE451" s="419"/>
      <c r="AF451" s="419"/>
      <c r="AG451" s="419"/>
      <c r="AH451" s="419"/>
      <c r="AI451" s="419"/>
      <c r="AJ451" s="419"/>
      <c r="AK451" s="419"/>
      <c r="AL451" s="419"/>
      <c r="AM451" s="419"/>
      <c r="AN451" s="419"/>
      <c r="AO451" s="419"/>
      <c r="AP451" s="419"/>
      <c r="AQ451" s="419"/>
      <c r="AR451" s="419"/>
      <c r="AS451" s="419"/>
      <c r="AT451" s="419"/>
      <c r="AU451" s="419"/>
      <c r="AV451" s="419"/>
      <c r="AW451" s="419"/>
      <c r="AX451" s="419"/>
      <c r="AY451" s="419"/>
      <c r="AZ451" s="419"/>
      <c r="BA451" s="419"/>
      <c r="BC451" s="419"/>
      <c r="BD451" s="419"/>
      <c r="BE451" s="419"/>
      <c r="BF451" s="419"/>
      <c r="BG451" s="419"/>
      <c r="BH451" s="419"/>
      <c r="BI451" s="419"/>
      <c r="BJ451" s="419"/>
      <c r="BK451" s="419"/>
      <c r="BL451" s="246"/>
      <c r="BM451" s="386"/>
      <c r="BN451" s="386"/>
      <c r="BO451" s="386"/>
      <c r="BP451" s="386"/>
      <c r="BQ451" s="386"/>
      <c r="BR451" s="386"/>
      <c r="BS451" s="386"/>
      <c r="BT451" s="386"/>
      <c r="BU451" s="386"/>
      <c r="BV451" s="259"/>
      <c r="BY451" s="246"/>
      <c r="BZ451" s="334"/>
      <c r="CA451" s="259"/>
      <c r="CB451" s="259"/>
      <c r="CC451" s="246"/>
      <c r="CD451" s="246"/>
      <c r="CE451" s="334"/>
      <c r="CF451" s="334"/>
      <c r="CG451" s="14"/>
      <c r="CH451" s="334"/>
      <c r="CM451" s="27"/>
      <c r="CN451" s="27"/>
      <c r="CO451" s="157"/>
      <c r="CP451" s="157"/>
      <c r="CQ451" s="157"/>
      <c r="CR451" s="27"/>
      <c r="CS451" s="27"/>
      <c r="CT451" s="27"/>
      <c r="CU451" s="27"/>
      <c r="CV451" s="27"/>
      <c r="CW451" s="27"/>
      <c r="CX451" s="27"/>
      <c r="CY451" s="27"/>
      <c r="CZ451" s="27"/>
    </row>
    <row r="452" spans="1:104" ht="15.05" hidden="1" customHeight="1">
      <c r="A452" s="108"/>
      <c r="B452" s="1080"/>
      <c r="C452" s="1081"/>
      <c r="D452" s="1081"/>
      <c r="E452" s="1067"/>
      <c r="J452" s="1066"/>
      <c r="K452" s="1066"/>
      <c r="L452" s="1066"/>
      <c r="M452" s="1066"/>
      <c r="N452" s="1066"/>
      <c r="O452" s="419"/>
      <c r="P452" s="419"/>
      <c r="Q452" s="419"/>
      <c r="R452" s="419"/>
      <c r="S452" s="419"/>
      <c r="T452" s="419"/>
      <c r="U452" s="419"/>
      <c r="V452" s="419"/>
      <c r="W452" s="419"/>
      <c r="X452" s="419"/>
      <c r="Y452" s="419"/>
      <c r="Z452" s="419"/>
      <c r="AA452" s="419"/>
      <c r="AB452" s="419"/>
      <c r="AC452" s="419"/>
      <c r="AD452" s="22"/>
      <c r="AE452" s="419"/>
      <c r="AF452" s="419"/>
      <c r="AG452" s="419"/>
      <c r="AH452" s="419"/>
      <c r="AI452" s="419"/>
      <c r="AJ452" s="419"/>
      <c r="AK452" s="419"/>
      <c r="AL452" s="419"/>
      <c r="AM452" s="419"/>
      <c r="AN452" s="419"/>
      <c r="AO452" s="419"/>
      <c r="AP452" s="419"/>
      <c r="AQ452" s="419"/>
      <c r="AR452" s="419"/>
      <c r="AS452" s="419"/>
      <c r="AT452" s="419"/>
      <c r="AU452" s="419"/>
      <c r="AV452" s="419"/>
      <c r="AW452" s="419"/>
      <c r="AX452" s="419"/>
      <c r="AY452" s="419"/>
      <c r="AZ452" s="419"/>
      <c r="BA452" s="419"/>
      <c r="BC452" s="419"/>
      <c r="BD452" s="419"/>
      <c r="BE452" s="419"/>
      <c r="BF452" s="419"/>
      <c r="BG452" s="419"/>
      <c r="BH452" s="419"/>
      <c r="BI452" s="419"/>
      <c r="BJ452" s="419"/>
      <c r="BK452" s="419"/>
      <c r="BL452" s="246"/>
      <c r="BM452" s="386"/>
      <c r="BN452" s="386"/>
      <c r="BO452" s="386"/>
      <c r="BP452" s="386"/>
      <c r="BQ452" s="386"/>
      <c r="BR452" s="386"/>
      <c r="BS452" s="386"/>
      <c r="BT452" s="386"/>
      <c r="BU452" s="386"/>
      <c r="BV452" s="259"/>
      <c r="BY452" s="246"/>
      <c r="BZ452" s="334"/>
      <c r="CA452" s="259"/>
      <c r="CB452" s="259"/>
      <c r="CC452" s="246"/>
      <c r="CD452" s="246"/>
      <c r="CE452" s="334"/>
      <c r="CF452" s="334"/>
      <c r="CG452" s="14"/>
      <c r="CH452" s="334"/>
      <c r="CM452" s="27"/>
      <c r="CN452" s="27"/>
      <c r="CO452" s="157"/>
      <c r="CP452" s="157"/>
      <c r="CQ452" s="157"/>
      <c r="CR452" s="27"/>
      <c r="CS452" s="27"/>
      <c r="CT452" s="27"/>
      <c r="CU452" s="27"/>
      <c r="CV452" s="27"/>
      <c r="CW452" s="27"/>
      <c r="CX452" s="27"/>
      <c r="CY452" s="27"/>
      <c r="CZ452" s="27"/>
    </row>
    <row r="453" spans="1:104" ht="15.05" hidden="1" customHeight="1">
      <c r="A453" s="108"/>
      <c r="B453" s="1080"/>
      <c r="C453" s="1081"/>
      <c r="D453" s="1081"/>
      <c r="E453" s="1067"/>
      <c r="J453" s="1066"/>
      <c r="K453" s="1066"/>
      <c r="L453" s="1066"/>
      <c r="M453" s="1066"/>
      <c r="N453" s="1066"/>
      <c r="O453" s="419"/>
      <c r="P453" s="419"/>
      <c r="Q453" s="419"/>
      <c r="R453" s="419"/>
      <c r="S453" s="419"/>
      <c r="T453" s="419"/>
      <c r="U453" s="419"/>
      <c r="V453" s="419"/>
      <c r="W453" s="419"/>
      <c r="X453" s="419"/>
      <c r="Y453" s="419"/>
      <c r="Z453" s="419"/>
      <c r="AA453" s="419"/>
      <c r="AB453" s="419"/>
      <c r="AC453" s="419"/>
      <c r="AD453" s="22"/>
      <c r="AE453" s="419"/>
      <c r="AF453" s="419"/>
      <c r="AG453" s="419"/>
      <c r="AH453" s="419"/>
      <c r="AI453" s="419"/>
      <c r="AJ453" s="419"/>
      <c r="AK453" s="419"/>
      <c r="AL453" s="419"/>
      <c r="AM453" s="419"/>
      <c r="AN453" s="419"/>
      <c r="AO453" s="419"/>
      <c r="AP453" s="419"/>
      <c r="AQ453" s="419"/>
      <c r="AR453" s="419"/>
      <c r="AS453" s="419"/>
      <c r="AT453" s="419"/>
      <c r="AU453" s="419"/>
      <c r="AV453" s="419"/>
      <c r="AW453" s="419"/>
      <c r="AX453" s="419"/>
      <c r="AY453" s="419"/>
      <c r="AZ453" s="419"/>
      <c r="BA453" s="419"/>
      <c r="BC453" s="419"/>
      <c r="BD453" s="419"/>
      <c r="BE453" s="419"/>
      <c r="BF453" s="419"/>
      <c r="BG453" s="419"/>
      <c r="BH453" s="419"/>
      <c r="BI453" s="419"/>
      <c r="BJ453" s="419"/>
      <c r="BK453" s="419"/>
      <c r="BL453" s="246"/>
      <c r="BM453" s="386"/>
      <c r="BN453" s="386"/>
      <c r="BO453" s="386"/>
      <c r="BP453" s="386"/>
      <c r="BQ453" s="386"/>
      <c r="BR453" s="386"/>
      <c r="BS453" s="386"/>
      <c r="BT453" s="386"/>
      <c r="BU453" s="386"/>
      <c r="BV453" s="259"/>
      <c r="BY453" s="246"/>
      <c r="BZ453" s="334"/>
      <c r="CA453" s="259"/>
      <c r="CB453" s="259"/>
      <c r="CC453" s="246"/>
      <c r="CD453" s="246"/>
      <c r="CE453" s="334"/>
      <c r="CF453" s="334"/>
      <c r="CG453" s="14"/>
      <c r="CH453" s="334"/>
      <c r="CM453" s="27"/>
      <c r="CN453" s="27"/>
      <c r="CO453" s="157"/>
      <c r="CP453" s="157"/>
      <c r="CQ453" s="157"/>
      <c r="CR453" s="27"/>
      <c r="CS453" s="27"/>
      <c r="CT453" s="27"/>
      <c r="CU453" s="27"/>
      <c r="CV453" s="27"/>
      <c r="CW453" s="27"/>
      <c r="CX453" s="27"/>
      <c r="CY453" s="27"/>
      <c r="CZ453" s="27"/>
    </row>
    <row r="454" spans="1:104" ht="15.05" hidden="1" customHeight="1">
      <c r="A454" s="108"/>
      <c r="B454" s="1080"/>
      <c r="C454" s="1081"/>
      <c r="D454" s="1081"/>
      <c r="E454" s="1067"/>
      <c r="J454" s="1066"/>
      <c r="K454" s="1066"/>
      <c r="L454" s="1066"/>
      <c r="M454" s="1066"/>
      <c r="N454" s="1066"/>
      <c r="O454" s="419"/>
      <c r="P454" s="419"/>
      <c r="Q454" s="419"/>
      <c r="R454" s="419"/>
      <c r="S454" s="419"/>
      <c r="T454" s="419"/>
      <c r="U454" s="419"/>
      <c r="V454" s="419"/>
      <c r="W454" s="419"/>
      <c r="X454" s="419"/>
      <c r="Y454" s="419"/>
      <c r="Z454" s="419"/>
      <c r="AA454" s="419"/>
      <c r="AB454" s="419"/>
      <c r="AC454" s="419"/>
      <c r="AD454" s="22"/>
      <c r="AE454" s="419"/>
      <c r="AF454" s="419"/>
      <c r="AG454" s="419"/>
      <c r="AH454" s="419"/>
      <c r="AI454" s="419"/>
      <c r="AJ454" s="419"/>
      <c r="AK454" s="419"/>
      <c r="AL454" s="419"/>
      <c r="AM454" s="419"/>
      <c r="AN454" s="419"/>
      <c r="AO454" s="419"/>
      <c r="AP454" s="419"/>
      <c r="AQ454" s="419"/>
      <c r="AR454" s="419"/>
      <c r="AS454" s="419"/>
      <c r="AT454" s="419"/>
      <c r="AU454" s="419"/>
      <c r="AV454" s="419"/>
      <c r="AW454" s="419"/>
      <c r="AX454" s="419"/>
      <c r="AY454" s="419"/>
      <c r="AZ454" s="419"/>
      <c r="BA454" s="419"/>
      <c r="BC454" s="419"/>
      <c r="BD454" s="419"/>
      <c r="BE454" s="419"/>
      <c r="BF454" s="419"/>
      <c r="BG454" s="419"/>
      <c r="BH454" s="419"/>
      <c r="BI454" s="419"/>
      <c r="BJ454" s="419"/>
      <c r="BK454" s="419"/>
      <c r="BL454" s="246"/>
      <c r="BM454" s="386"/>
      <c r="BN454" s="386"/>
      <c r="BO454" s="386"/>
      <c r="BP454" s="386"/>
      <c r="BQ454" s="386"/>
      <c r="BR454" s="386"/>
      <c r="BS454" s="386"/>
      <c r="BT454" s="386"/>
      <c r="BU454" s="386"/>
      <c r="BV454" s="259"/>
      <c r="BY454" s="246"/>
      <c r="BZ454" s="334"/>
      <c r="CA454" s="259"/>
      <c r="CB454" s="259"/>
      <c r="CC454" s="246"/>
      <c r="CD454" s="246"/>
      <c r="CE454" s="334"/>
      <c r="CF454" s="334"/>
      <c r="CG454" s="14"/>
      <c r="CH454" s="334"/>
      <c r="CM454" s="27"/>
      <c r="CN454" s="27"/>
      <c r="CO454" s="157"/>
      <c r="CP454" s="157"/>
      <c r="CQ454" s="157"/>
      <c r="CR454" s="27"/>
      <c r="CS454" s="27"/>
      <c r="CT454" s="27"/>
      <c r="CU454" s="27"/>
      <c r="CV454" s="27"/>
      <c r="CW454" s="27"/>
      <c r="CX454" s="27"/>
      <c r="CY454" s="27"/>
      <c r="CZ454" s="27"/>
    </row>
    <row r="455" spans="1:104" ht="15.05" hidden="1" customHeight="1">
      <c r="A455" s="108"/>
      <c r="B455" s="1080"/>
      <c r="C455" s="1081"/>
      <c r="D455" s="1081"/>
      <c r="E455" s="1067"/>
      <c r="J455" s="1066"/>
      <c r="K455" s="1066"/>
      <c r="L455" s="1066"/>
      <c r="M455" s="1066"/>
      <c r="N455" s="1066"/>
      <c r="O455" s="419"/>
      <c r="P455" s="419"/>
      <c r="Q455" s="419"/>
      <c r="R455" s="419"/>
      <c r="S455" s="419"/>
      <c r="T455" s="419"/>
      <c r="U455" s="419"/>
      <c r="V455" s="419"/>
      <c r="W455" s="419"/>
      <c r="X455" s="419"/>
      <c r="Y455" s="419"/>
      <c r="Z455" s="419"/>
      <c r="AA455" s="419"/>
      <c r="AB455" s="419"/>
      <c r="AC455" s="419"/>
      <c r="AD455" s="22"/>
      <c r="AE455" s="419"/>
      <c r="AF455" s="419"/>
      <c r="AG455" s="419"/>
      <c r="AH455" s="419"/>
      <c r="AI455" s="419"/>
      <c r="AJ455" s="419"/>
      <c r="AK455" s="419"/>
      <c r="AL455" s="419"/>
      <c r="AM455" s="419"/>
      <c r="AN455" s="419"/>
      <c r="AO455" s="419"/>
      <c r="AP455" s="419"/>
      <c r="AQ455" s="419"/>
      <c r="AR455" s="419"/>
      <c r="AS455" s="419"/>
      <c r="AT455" s="419"/>
      <c r="AU455" s="419"/>
      <c r="AV455" s="419"/>
      <c r="AW455" s="419"/>
      <c r="AX455" s="419"/>
      <c r="AY455" s="419"/>
      <c r="AZ455" s="419"/>
      <c r="BA455" s="419"/>
      <c r="BC455" s="419"/>
      <c r="BD455" s="419"/>
      <c r="BE455" s="419"/>
      <c r="BF455" s="419"/>
      <c r="BG455" s="419"/>
      <c r="BH455" s="419"/>
      <c r="BI455" s="419"/>
      <c r="BJ455" s="419"/>
      <c r="BK455" s="419"/>
      <c r="BL455" s="246"/>
      <c r="BM455" s="386"/>
      <c r="BN455" s="386"/>
      <c r="BO455" s="386"/>
      <c r="BP455" s="386"/>
      <c r="BQ455" s="386"/>
      <c r="BR455" s="386"/>
      <c r="BS455" s="386"/>
      <c r="BT455" s="386"/>
      <c r="BU455" s="386"/>
      <c r="BV455" s="259"/>
      <c r="BY455" s="246"/>
      <c r="BZ455" s="334"/>
      <c r="CA455" s="259"/>
      <c r="CB455" s="259"/>
      <c r="CC455" s="246"/>
      <c r="CD455" s="246"/>
      <c r="CE455" s="334"/>
      <c r="CF455" s="334"/>
      <c r="CG455" s="14"/>
      <c r="CH455" s="334"/>
      <c r="CM455" s="27"/>
      <c r="CN455" s="27"/>
      <c r="CO455" s="157"/>
      <c r="CP455" s="157"/>
      <c r="CQ455" s="157"/>
      <c r="CR455" s="27"/>
      <c r="CS455" s="27"/>
      <c r="CT455" s="27"/>
      <c r="CU455" s="27"/>
      <c r="CV455" s="27"/>
      <c r="CW455" s="27"/>
      <c r="CX455" s="27"/>
      <c r="CY455" s="27"/>
      <c r="CZ455" s="27"/>
    </row>
    <row r="456" spans="1:104" ht="15.05" hidden="1" customHeight="1">
      <c r="A456" s="108"/>
      <c r="B456" s="1080"/>
      <c r="C456" s="1081"/>
      <c r="D456" s="1081"/>
      <c r="E456" s="1067"/>
      <c r="J456" s="1066"/>
      <c r="K456" s="1066"/>
      <c r="L456" s="1066"/>
      <c r="M456" s="1066"/>
      <c r="N456" s="1066"/>
      <c r="O456" s="419"/>
      <c r="P456" s="419"/>
      <c r="Q456" s="419"/>
      <c r="R456" s="419"/>
      <c r="S456" s="419"/>
      <c r="T456" s="419"/>
      <c r="U456" s="419"/>
      <c r="V456" s="419"/>
      <c r="W456" s="419"/>
      <c r="X456" s="419"/>
      <c r="Y456" s="419"/>
      <c r="Z456" s="419"/>
      <c r="AA456" s="419"/>
      <c r="AB456" s="419"/>
      <c r="AC456" s="419"/>
      <c r="AD456" s="22"/>
      <c r="AE456" s="419"/>
      <c r="AF456" s="419"/>
      <c r="AG456" s="419"/>
      <c r="AH456" s="419"/>
      <c r="AI456" s="419"/>
      <c r="AJ456" s="419"/>
      <c r="AK456" s="419"/>
      <c r="AL456" s="419"/>
      <c r="AM456" s="419"/>
      <c r="AN456" s="419"/>
      <c r="AO456" s="419"/>
      <c r="AP456" s="419"/>
      <c r="AQ456" s="419"/>
      <c r="AR456" s="419"/>
      <c r="AS456" s="419"/>
      <c r="AT456" s="419"/>
      <c r="AU456" s="419"/>
      <c r="AV456" s="419"/>
      <c r="AW456" s="419"/>
      <c r="AX456" s="419"/>
      <c r="AY456" s="419"/>
      <c r="AZ456" s="419"/>
      <c r="BA456" s="419"/>
      <c r="BC456" s="419"/>
      <c r="BD456" s="419"/>
      <c r="BE456" s="419"/>
      <c r="BF456" s="419"/>
      <c r="BG456" s="419"/>
      <c r="BH456" s="419"/>
      <c r="BI456" s="419"/>
      <c r="BJ456" s="419"/>
      <c r="BK456" s="419"/>
      <c r="BL456" s="246"/>
      <c r="BM456" s="386"/>
      <c r="BN456" s="386"/>
      <c r="BO456" s="386"/>
      <c r="BP456" s="386"/>
      <c r="BQ456" s="386"/>
      <c r="BR456" s="386"/>
      <c r="BS456" s="386"/>
      <c r="BT456" s="386"/>
      <c r="BU456" s="386"/>
      <c r="BV456" s="259"/>
      <c r="BY456" s="246"/>
      <c r="BZ456" s="334"/>
      <c r="CA456" s="259"/>
      <c r="CB456" s="259"/>
      <c r="CC456" s="246"/>
      <c r="CD456" s="246"/>
      <c r="CE456" s="334"/>
      <c r="CF456" s="334"/>
      <c r="CG456" s="14"/>
      <c r="CH456" s="334"/>
      <c r="CM456" s="27"/>
      <c r="CN456" s="27"/>
      <c r="CO456" s="157"/>
      <c r="CP456" s="157"/>
      <c r="CQ456" s="157"/>
      <c r="CR456" s="27"/>
      <c r="CS456" s="27"/>
      <c r="CT456" s="27"/>
      <c r="CU456" s="27"/>
      <c r="CV456" s="27"/>
      <c r="CW456" s="27"/>
      <c r="CX456" s="27"/>
      <c r="CY456" s="27"/>
      <c r="CZ456" s="27"/>
    </row>
    <row r="457" spans="1:104" ht="15.05" hidden="1" customHeight="1">
      <c r="A457" s="108"/>
      <c r="B457" s="1080"/>
      <c r="C457" s="1081"/>
      <c r="D457" s="1081"/>
      <c r="E457" s="1067"/>
      <c r="J457" s="1066"/>
      <c r="K457" s="1066"/>
      <c r="L457" s="1066"/>
      <c r="M457" s="1066"/>
      <c r="N457" s="1066"/>
      <c r="O457" s="419"/>
      <c r="P457" s="419"/>
      <c r="Q457" s="419"/>
      <c r="R457" s="419"/>
      <c r="S457" s="419"/>
      <c r="T457" s="419"/>
      <c r="U457" s="419"/>
      <c r="V457" s="419"/>
      <c r="W457" s="419"/>
      <c r="X457" s="419"/>
      <c r="Y457" s="419"/>
      <c r="Z457" s="419"/>
      <c r="AA457" s="419"/>
      <c r="AB457" s="419"/>
      <c r="AC457" s="419"/>
      <c r="AD457" s="22"/>
      <c r="AE457" s="419"/>
      <c r="AF457" s="419"/>
      <c r="AG457" s="419"/>
      <c r="AH457" s="419"/>
      <c r="AI457" s="419"/>
      <c r="AJ457" s="419"/>
      <c r="AK457" s="419"/>
      <c r="AL457" s="419"/>
      <c r="AM457" s="419"/>
      <c r="AN457" s="419"/>
      <c r="AO457" s="419"/>
      <c r="AP457" s="419"/>
      <c r="AQ457" s="419"/>
      <c r="AR457" s="419"/>
      <c r="AS457" s="419"/>
      <c r="AT457" s="419"/>
      <c r="AU457" s="419"/>
      <c r="AV457" s="419"/>
      <c r="AW457" s="419"/>
      <c r="AX457" s="419"/>
      <c r="AY457" s="419"/>
      <c r="AZ457" s="419"/>
      <c r="BA457" s="419"/>
      <c r="BC457" s="419"/>
      <c r="BD457" s="419"/>
      <c r="BE457" s="419"/>
      <c r="BF457" s="419"/>
      <c r="BG457" s="419"/>
      <c r="BH457" s="419"/>
      <c r="BI457" s="419"/>
      <c r="BJ457" s="419"/>
      <c r="BK457" s="419"/>
      <c r="BL457" s="246"/>
      <c r="BM457" s="386"/>
      <c r="BN457" s="386"/>
      <c r="BO457" s="386"/>
      <c r="BP457" s="386"/>
      <c r="BQ457" s="386"/>
      <c r="BR457" s="386"/>
      <c r="BS457" s="386"/>
      <c r="BT457" s="386"/>
      <c r="BU457" s="386"/>
      <c r="BV457" s="259"/>
      <c r="BY457" s="246"/>
      <c r="BZ457" s="334"/>
      <c r="CA457" s="259"/>
      <c r="CB457" s="259"/>
      <c r="CC457" s="246"/>
      <c r="CD457" s="246"/>
      <c r="CE457" s="334"/>
      <c r="CF457" s="334"/>
      <c r="CG457" s="14"/>
      <c r="CH457" s="334"/>
      <c r="CM457" s="27"/>
      <c r="CN457" s="27"/>
      <c r="CO457" s="157"/>
      <c r="CP457" s="157"/>
      <c r="CQ457" s="157"/>
      <c r="CR457" s="27"/>
      <c r="CS457" s="27"/>
      <c r="CT457" s="27"/>
      <c r="CU457" s="27"/>
      <c r="CV457" s="27"/>
      <c r="CW457" s="27"/>
      <c r="CX457" s="27"/>
      <c r="CY457" s="27"/>
      <c r="CZ457" s="27"/>
    </row>
    <row r="458" spans="1:104" ht="15.05" hidden="1" customHeight="1">
      <c r="A458" s="108"/>
      <c r="B458" s="1080"/>
      <c r="C458" s="1081"/>
      <c r="D458" s="1081"/>
      <c r="E458" s="1067"/>
      <c r="J458" s="1066"/>
      <c r="K458" s="1066"/>
      <c r="L458" s="1066"/>
      <c r="M458" s="1066"/>
      <c r="N458" s="1066"/>
      <c r="O458" s="419"/>
      <c r="P458" s="419"/>
      <c r="Q458" s="419"/>
      <c r="R458" s="419"/>
      <c r="S458" s="419"/>
      <c r="T458" s="419"/>
      <c r="U458" s="419"/>
      <c r="V458" s="419"/>
      <c r="W458" s="419"/>
      <c r="X458" s="419"/>
      <c r="Y458" s="419"/>
      <c r="Z458" s="419"/>
      <c r="AA458" s="419"/>
      <c r="AB458" s="419"/>
      <c r="AC458" s="419"/>
      <c r="AD458" s="22"/>
      <c r="AE458" s="419"/>
      <c r="AF458" s="419"/>
      <c r="AG458" s="419"/>
      <c r="AH458" s="419"/>
      <c r="AI458" s="419"/>
      <c r="AJ458" s="419"/>
      <c r="AK458" s="419"/>
      <c r="AL458" s="419"/>
      <c r="AM458" s="419"/>
      <c r="AN458" s="419"/>
      <c r="AO458" s="419"/>
      <c r="AP458" s="419"/>
      <c r="AQ458" s="419"/>
      <c r="AR458" s="419"/>
      <c r="AS458" s="419"/>
      <c r="AT458" s="419"/>
      <c r="AU458" s="419"/>
      <c r="AV458" s="419"/>
      <c r="AW458" s="419"/>
      <c r="AX458" s="419"/>
      <c r="AY458" s="419"/>
      <c r="AZ458" s="419"/>
      <c r="BA458" s="419"/>
      <c r="BC458" s="419"/>
      <c r="BD458" s="419"/>
      <c r="BE458" s="419"/>
      <c r="BF458" s="419"/>
      <c r="BG458" s="419"/>
      <c r="BH458" s="419"/>
      <c r="BI458" s="419"/>
      <c r="BJ458" s="419"/>
      <c r="BK458" s="419"/>
      <c r="BL458" s="246"/>
      <c r="BM458" s="386"/>
      <c r="BN458" s="386"/>
      <c r="BO458" s="386"/>
      <c r="BP458" s="386"/>
      <c r="BQ458" s="386"/>
      <c r="BR458" s="386"/>
      <c r="BS458" s="386"/>
      <c r="BT458" s="386"/>
      <c r="BU458" s="386"/>
      <c r="BV458" s="259"/>
      <c r="BY458" s="246"/>
      <c r="BZ458" s="334"/>
      <c r="CA458" s="259"/>
      <c r="CB458" s="259"/>
      <c r="CC458" s="246"/>
      <c r="CD458" s="246"/>
      <c r="CE458" s="334"/>
      <c r="CF458" s="334"/>
      <c r="CG458" s="14"/>
      <c r="CH458" s="334"/>
      <c r="CM458" s="27"/>
      <c r="CN458" s="27"/>
      <c r="CO458" s="157"/>
      <c r="CP458" s="157"/>
      <c r="CQ458" s="157"/>
      <c r="CR458" s="27"/>
      <c r="CS458" s="27"/>
      <c r="CT458" s="27"/>
      <c r="CU458" s="27"/>
      <c r="CV458" s="27"/>
      <c r="CW458" s="27"/>
      <c r="CX458" s="27"/>
      <c r="CY458" s="27"/>
      <c r="CZ458" s="27"/>
    </row>
    <row r="459" spans="1:104" ht="15.05" hidden="1" customHeight="1">
      <c r="A459" s="108"/>
      <c r="B459" s="1080"/>
      <c r="C459" s="1081"/>
      <c r="D459" s="1081"/>
      <c r="E459" s="1067"/>
      <c r="J459" s="1066"/>
      <c r="K459" s="1066"/>
      <c r="L459" s="1066"/>
      <c r="M459" s="1066"/>
      <c r="N459" s="1066"/>
      <c r="O459" s="419"/>
      <c r="P459" s="419"/>
      <c r="Q459" s="419"/>
      <c r="R459" s="419"/>
      <c r="S459" s="419"/>
      <c r="T459" s="419"/>
      <c r="U459" s="419"/>
      <c r="V459" s="419"/>
      <c r="W459" s="419"/>
      <c r="X459" s="419"/>
      <c r="Y459" s="419"/>
      <c r="Z459" s="419"/>
      <c r="AA459" s="419"/>
      <c r="AB459" s="419"/>
      <c r="AC459" s="419"/>
      <c r="AD459" s="22"/>
      <c r="AE459" s="419"/>
      <c r="AF459" s="419"/>
      <c r="AG459" s="419"/>
      <c r="AH459" s="419"/>
      <c r="AI459" s="419"/>
      <c r="AJ459" s="419"/>
      <c r="AK459" s="419"/>
      <c r="AL459" s="419"/>
      <c r="AM459" s="419"/>
      <c r="AN459" s="419"/>
      <c r="AO459" s="419"/>
      <c r="AP459" s="419"/>
      <c r="AQ459" s="419"/>
      <c r="AR459" s="419"/>
      <c r="AS459" s="419"/>
      <c r="AT459" s="419"/>
      <c r="AU459" s="419"/>
      <c r="AV459" s="419"/>
      <c r="AW459" s="419"/>
      <c r="AX459" s="419"/>
      <c r="AY459" s="419"/>
      <c r="AZ459" s="419"/>
      <c r="BA459" s="419"/>
      <c r="BC459" s="419"/>
      <c r="BD459" s="419"/>
      <c r="BE459" s="419"/>
      <c r="BF459" s="419"/>
      <c r="BG459" s="419"/>
      <c r="BH459" s="419"/>
      <c r="BI459" s="419"/>
      <c r="BJ459" s="419"/>
      <c r="BK459" s="419"/>
      <c r="BL459" s="246"/>
      <c r="BM459" s="386"/>
      <c r="BN459" s="386"/>
      <c r="BO459" s="386"/>
      <c r="BP459" s="386"/>
      <c r="BQ459" s="386"/>
      <c r="BR459" s="386"/>
      <c r="BS459" s="386"/>
      <c r="BT459" s="386"/>
      <c r="BU459" s="386"/>
      <c r="BV459" s="259"/>
      <c r="BY459" s="246"/>
      <c r="BZ459" s="334"/>
      <c r="CA459" s="259"/>
      <c r="CB459" s="259"/>
      <c r="CC459" s="246"/>
      <c r="CD459" s="246"/>
      <c r="CE459" s="334"/>
      <c r="CF459" s="334"/>
      <c r="CG459" s="14"/>
      <c r="CH459" s="334"/>
      <c r="CM459" s="27"/>
      <c r="CN459" s="27"/>
      <c r="CO459" s="157"/>
      <c r="CP459" s="157"/>
      <c r="CQ459" s="157"/>
      <c r="CR459" s="27"/>
      <c r="CS459" s="27"/>
      <c r="CT459" s="27"/>
      <c r="CU459" s="27"/>
      <c r="CV459" s="27"/>
      <c r="CW459" s="27"/>
      <c r="CX459" s="27"/>
      <c r="CY459" s="27"/>
      <c r="CZ459" s="27"/>
    </row>
    <row r="460" spans="1:104" ht="15.05" hidden="1" customHeight="1">
      <c r="A460" s="108"/>
      <c r="B460" s="1080"/>
      <c r="C460" s="1081"/>
      <c r="D460" s="1081"/>
      <c r="E460" s="1067"/>
      <c r="J460" s="1066"/>
      <c r="K460" s="1066"/>
      <c r="L460" s="1066"/>
      <c r="M460" s="1066"/>
      <c r="N460" s="1066"/>
      <c r="O460" s="419"/>
      <c r="P460" s="419"/>
      <c r="Q460" s="419"/>
      <c r="R460" s="419"/>
      <c r="S460" s="419"/>
      <c r="T460" s="419"/>
      <c r="U460" s="419"/>
      <c r="V460" s="419"/>
      <c r="W460" s="419"/>
      <c r="X460" s="419"/>
      <c r="Y460" s="419"/>
      <c r="Z460" s="419"/>
      <c r="AA460" s="419"/>
      <c r="AB460" s="419"/>
      <c r="AC460" s="419"/>
      <c r="AD460" s="22"/>
      <c r="AE460" s="419"/>
      <c r="AF460" s="419"/>
      <c r="AG460" s="419"/>
      <c r="AH460" s="419"/>
      <c r="AI460" s="419"/>
      <c r="AJ460" s="419"/>
      <c r="AK460" s="419"/>
      <c r="AL460" s="419"/>
      <c r="AM460" s="419"/>
      <c r="AN460" s="419"/>
      <c r="AO460" s="419"/>
      <c r="AP460" s="419"/>
      <c r="AQ460" s="419"/>
      <c r="AR460" s="419"/>
      <c r="AS460" s="419"/>
      <c r="AT460" s="419"/>
      <c r="AU460" s="419"/>
      <c r="AV460" s="419"/>
      <c r="AW460" s="419"/>
      <c r="AX460" s="419"/>
      <c r="AY460" s="419"/>
      <c r="AZ460" s="419"/>
      <c r="BA460" s="419"/>
      <c r="BC460" s="419"/>
      <c r="BD460" s="419"/>
      <c r="BE460" s="419"/>
      <c r="BF460" s="419"/>
      <c r="BG460" s="419"/>
      <c r="BH460" s="419"/>
      <c r="BI460" s="419"/>
      <c r="BJ460" s="419"/>
      <c r="BK460" s="419"/>
      <c r="BL460" s="246"/>
      <c r="BM460" s="386"/>
      <c r="BN460" s="386"/>
      <c r="BO460" s="386"/>
      <c r="BP460" s="386"/>
      <c r="BQ460" s="386"/>
      <c r="BR460" s="386"/>
      <c r="BS460" s="386"/>
      <c r="BT460" s="386"/>
      <c r="BU460" s="386"/>
      <c r="BV460" s="259"/>
      <c r="BY460" s="246"/>
      <c r="BZ460" s="334"/>
      <c r="CA460" s="259"/>
      <c r="CB460" s="259"/>
      <c r="CC460" s="246"/>
      <c r="CD460" s="246"/>
      <c r="CE460" s="334"/>
      <c r="CF460" s="334"/>
      <c r="CG460" s="14"/>
      <c r="CH460" s="334"/>
      <c r="CM460" s="27"/>
      <c r="CN460" s="27"/>
      <c r="CO460" s="157"/>
      <c r="CP460" s="157"/>
      <c r="CQ460" s="157"/>
      <c r="CR460" s="27"/>
      <c r="CS460" s="27"/>
      <c r="CT460" s="27"/>
      <c r="CU460" s="27"/>
      <c r="CV460" s="27"/>
      <c r="CW460" s="27"/>
      <c r="CX460" s="27"/>
      <c r="CY460" s="27"/>
      <c r="CZ460" s="27"/>
    </row>
    <row r="461" spans="1:104" ht="15.05" hidden="1" customHeight="1">
      <c r="A461" s="108"/>
      <c r="B461" s="1080"/>
      <c r="C461" s="1081"/>
      <c r="D461" s="1081"/>
      <c r="E461" s="1067"/>
      <c r="J461" s="1066"/>
      <c r="K461" s="1066"/>
      <c r="L461" s="1066"/>
      <c r="M461" s="1066"/>
      <c r="N461" s="1066"/>
      <c r="O461" s="419"/>
      <c r="P461" s="419"/>
      <c r="Q461" s="419"/>
      <c r="R461" s="419"/>
      <c r="S461" s="419"/>
      <c r="T461" s="419"/>
      <c r="U461" s="419"/>
      <c r="V461" s="419"/>
      <c r="W461" s="419"/>
      <c r="X461" s="419"/>
      <c r="Y461" s="419"/>
      <c r="Z461" s="419"/>
      <c r="AA461" s="419"/>
      <c r="AB461" s="419"/>
      <c r="AC461" s="419"/>
      <c r="AD461" s="22"/>
      <c r="AE461" s="419"/>
      <c r="AF461" s="419"/>
      <c r="AG461" s="419"/>
      <c r="AH461" s="419"/>
      <c r="AI461" s="419"/>
      <c r="AJ461" s="419"/>
      <c r="AK461" s="419"/>
      <c r="AL461" s="419"/>
      <c r="AM461" s="419"/>
      <c r="AN461" s="419"/>
      <c r="AO461" s="419"/>
      <c r="AP461" s="419"/>
      <c r="AQ461" s="419"/>
      <c r="AR461" s="419"/>
      <c r="AS461" s="419"/>
      <c r="AT461" s="419"/>
      <c r="AU461" s="419"/>
      <c r="AV461" s="419"/>
      <c r="AW461" s="419"/>
      <c r="AX461" s="419"/>
      <c r="AY461" s="419"/>
      <c r="AZ461" s="419"/>
      <c r="BA461" s="419"/>
      <c r="BC461" s="419"/>
      <c r="BD461" s="419"/>
      <c r="BE461" s="419"/>
      <c r="BF461" s="419"/>
      <c r="BG461" s="419"/>
      <c r="BH461" s="419"/>
      <c r="BI461" s="419"/>
      <c r="BJ461" s="419"/>
      <c r="BK461" s="419"/>
      <c r="BL461" s="246"/>
      <c r="BM461" s="386"/>
      <c r="BN461" s="386"/>
      <c r="BO461" s="386"/>
      <c r="BP461" s="386"/>
      <c r="BQ461" s="386"/>
      <c r="BR461" s="386"/>
      <c r="BS461" s="386"/>
      <c r="BT461" s="386"/>
      <c r="BU461" s="386"/>
      <c r="BV461" s="259"/>
      <c r="BY461" s="246"/>
      <c r="BZ461" s="334"/>
      <c r="CA461" s="259"/>
      <c r="CB461" s="259"/>
      <c r="CC461" s="246"/>
      <c r="CD461" s="246"/>
      <c r="CE461" s="334"/>
      <c r="CF461" s="334"/>
      <c r="CG461" s="14"/>
      <c r="CH461" s="334"/>
      <c r="CM461" s="27"/>
      <c r="CN461" s="27"/>
      <c r="CO461" s="157"/>
      <c r="CP461" s="157"/>
      <c r="CQ461" s="157"/>
      <c r="CR461" s="27"/>
      <c r="CS461" s="27"/>
      <c r="CT461" s="27"/>
      <c r="CU461" s="27"/>
      <c r="CV461" s="27"/>
      <c r="CW461" s="27"/>
      <c r="CX461" s="27"/>
      <c r="CY461" s="27"/>
      <c r="CZ461" s="27"/>
    </row>
    <row r="462" spans="1:104" ht="15.05" hidden="1" customHeight="1">
      <c r="A462" s="108"/>
      <c r="B462" s="1080"/>
      <c r="C462" s="1081"/>
      <c r="D462" s="1081"/>
      <c r="E462" s="1067"/>
      <c r="J462" s="1066"/>
      <c r="K462" s="1066"/>
      <c r="L462" s="1066"/>
      <c r="M462" s="1066"/>
      <c r="N462" s="1066"/>
      <c r="O462" s="419"/>
      <c r="P462" s="419"/>
      <c r="Q462" s="419"/>
      <c r="R462" s="419"/>
      <c r="S462" s="419"/>
      <c r="T462" s="419"/>
      <c r="U462" s="419"/>
      <c r="V462" s="419"/>
      <c r="W462" s="419"/>
      <c r="X462" s="419"/>
      <c r="Y462" s="419"/>
      <c r="Z462" s="419"/>
      <c r="AA462" s="419"/>
      <c r="AB462" s="419"/>
      <c r="AC462" s="419"/>
      <c r="AD462" s="22"/>
      <c r="AE462" s="419"/>
      <c r="AF462" s="419"/>
      <c r="AG462" s="419"/>
      <c r="AH462" s="419"/>
      <c r="AI462" s="419"/>
      <c r="AJ462" s="419"/>
      <c r="AK462" s="419"/>
      <c r="AL462" s="419"/>
      <c r="AM462" s="419"/>
      <c r="AN462" s="419"/>
      <c r="AO462" s="419"/>
      <c r="AP462" s="419"/>
      <c r="AQ462" s="419"/>
      <c r="AR462" s="419"/>
      <c r="AS462" s="419"/>
      <c r="AT462" s="419"/>
      <c r="AU462" s="419"/>
      <c r="AV462" s="419"/>
      <c r="AW462" s="419"/>
      <c r="AX462" s="419"/>
      <c r="AY462" s="419"/>
      <c r="AZ462" s="419"/>
      <c r="BA462" s="419"/>
      <c r="BC462" s="419"/>
      <c r="BD462" s="419"/>
      <c r="BE462" s="419"/>
      <c r="BF462" s="419"/>
      <c r="BG462" s="419"/>
      <c r="BH462" s="419"/>
      <c r="BI462" s="419"/>
      <c r="BJ462" s="419"/>
      <c r="BK462" s="419"/>
      <c r="BL462" s="246"/>
      <c r="BM462" s="386"/>
      <c r="BN462" s="386"/>
      <c r="BO462" s="386"/>
      <c r="BP462" s="386"/>
      <c r="BQ462" s="386"/>
      <c r="BR462" s="386"/>
      <c r="BS462" s="386"/>
      <c r="BT462" s="386"/>
      <c r="BU462" s="386"/>
      <c r="BV462" s="259"/>
      <c r="BY462" s="246"/>
      <c r="BZ462" s="334"/>
      <c r="CA462" s="259"/>
      <c r="CB462" s="259"/>
      <c r="CC462" s="246"/>
      <c r="CD462" s="246"/>
      <c r="CE462" s="334"/>
      <c r="CF462" s="334"/>
      <c r="CG462" s="14"/>
      <c r="CH462" s="334"/>
      <c r="CM462" s="27"/>
      <c r="CN462" s="27"/>
      <c r="CO462" s="157"/>
      <c r="CP462" s="157"/>
      <c r="CQ462" s="157"/>
      <c r="CR462" s="27"/>
      <c r="CS462" s="27"/>
      <c r="CT462" s="27"/>
      <c r="CU462" s="27"/>
      <c r="CV462" s="27"/>
      <c r="CW462" s="27"/>
      <c r="CX462" s="27"/>
      <c r="CY462" s="27"/>
      <c r="CZ462" s="27"/>
    </row>
    <row r="463" spans="1:104" ht="15.05" hidden="1" customHeight="1">
      <c r="A463" s="108"/>
      <c r="J463" s="1066"/>
      <c r="K463" s="1066"/>
      <c r="L463" s="1066"/>
      <c r="M463" s="1066"/>
      <c r="N463" s="1066"/>
      <c r="O463" s="419"/>
      <c r="P463" s="419"/>
      <c r="Q463" s="419"/>
      <c r="R463" s="419"/>
      <c r="S463" s="419"/>
      <c r="T463" s="419"/>
      <c r="U463" s="419"/>
      <c r="V463" s="419"/>
      <c r="W463" s="419"/>
      <c r="X463" s="419"/>
      <c r="Y463" s="419"/>
      <c r="Z463" s="419"/>
      <c r="AA463" s="419"/>
      <c r="AB463" s="419"/>
      <c r="AC463" s="419"/>
      <c r="AD463" s="22"/>
      <c r="AE463" s="419"/>
      <c r="AF463" s="419"/>
      <c r="AG463" s="419"/>
      <c r="AH463" s="419"/>
      <c r="AI463" s="419"/>
      <c r="AJ463" s="419"/>
      <c r="AK463" s="419"/>
      <c r="AL463" s="419"/>
      <c r="AM463" s="419"/>
      <c r="AN463" s="419"/>
      <c r="AO463" s="419"/>
      <c r="AP463" s="419"/>
      <c r="AQ463" s="419"/>
      <c r="AR463" s="419"/>
      <c r="AS463" s="419"/>
      <c r="AT463" s="419"/>
      <c r="AU463" s="419"/>
      <c r="AV463" s="419"/>
      <c r="AW463" s="419"/>
      <c r="AX463" s="419"/>
      <c r="AY463" s="419"/>
      <c r="AZ463" s="419"/>
      <c r="BA463" s="419"/>
      <c r="BC463" s="419"/>
      <c r="BD463" s="419"/>
      <c r="BE463" s="419"/>
      <c r="BF463" s="419"/>
      <c r="BG463" s="419"/>
      <c r="BH463" s="419"/>
      <c r="BI463" s="419"/>
      <c r="BJ463" s="419"/>
      <c r="BK463" s="419"/>
      <c r="BL463" s="246"/>
      <c r="BM463" s="386">
        <f t="shared" ref="BM463:BU463" si="73">BM358/BM355*$C$319*(1+BM360)+$C$319*(1+$C$320)</f>
        <v>5.0792820323027552</v>
      </c>
      <c r="BN463" s="386">
        <f t="shared" si="73"/>
        <v>3.346069314840471</v>
      </c>
      <c r="BO463" s="386">
        <f t="shared" si="73"/>
        <v>5.1131927159052779</v>
      </c>
      <c r="BP463" s="386">
        <f t="shared" si="73"/>
        <v>3.3536050223076979</v>
      </c>
      <c r="BQ463" s="386">
        <f t="shared" si="73"/>
        <v>1.5186602540378444</v>
      </c>
      <c r="BR463" s="386">
        <f t="shared" si="73"/>
        <v>3.346069314840471</v>
      </c>
      <c r="BS463" s="386">
        <f t="shared" si="73"/>
        <v>1.111732050807569</v>
      </c>
      <c r="BT463" s="386">
        <f t="shared" si="73"/>
        <v>8.1312435565298227</v>
      </c>
      <c r="BU463" s="386">
        <f t="shared" si="73"/>
        <v>8.1312435565298227</v>
      </c>
      <c r="BV463" s="259"/>
      <c r="BW463" s="246"/>
      <c r="BX463" s="246"/>
      <c r="BY463" s="445"/>
      <c r="BZ463" s="334"/>
      <c r="CA463" s="259"/>
      <c r="CB463" s="259"/>
      <c r="CC463" s="334"/>
      <c r="CD463" s="334"/>
      <c r="CE463" s="334"/>
      <c r="CF463" s="334"/>
      <c r="CG463" s="334"/>
      <c r="CH463" s="334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</row>
    <row r="464" spans="1:104" ht="15.05" hidden="1" customHeight="1">
      <c r="A464" s="108"/>
      <c r="B464" s="314"/>
      <c r="C464" s="1096" t="s">
        <v>873</v>
      </c>
      <c r="D464" s="1096" t="s">
        <v>873</v>
      </c>
      <c r="J464" s="1066"/>
      <c r="K464" s="1066"/>
      <c r="L464" s="1066"/>
      <c r="M464" s="1066"/>
      <c r="N464" s="1066"/>
      <c r="O464" s="419"/>
      <c r="P464" s="419"/>
      <c r="Q464" s="419"/>
      <c r="R464" s="419"/>
      <c r="S464" s="419"/>
      <c r="T464" s="419"/>
      <c r="U464" s="419"/>
      <c r="V464" s="419"/>
      <c r="W464" s="419"/>
      <c r="X464" s="419"/>
      <c r="Y464" s="419"/>
      <c r="Z464" s="419"/>
      <c r="AA464" s="419"/>
      <c r="AB464" s="419"/>
      <c r="AC464" s="419"/>
      <c r="AD464" s="22"/>
      <c r="AE464" s="419"/>
      <c r="AF464" s="419"/>
      <c r="AG464" s="419"/>
      <c r="AH464" s="419"/>
      <c r="AI464" s="419"/>
      <c r="AJ464" s="419"/>
      <c r="AK464" s="419"/>
      <c r="AL464" s="419"/>
      <c r="AM464" s="419"/>
      <c r="AN464" s="419"/>
      <c r="AO464" s="419"/>
      <c r="AP464" s="419"/>
      <c r="AQ464" s="419"/>
      <c r="AR464" s="419"/>
      <c r="AS464" s="419"/>
      <c r="AT464" s="419"/>
      <c r="AU464" s="419"/>
      <c r="AV464" s="419"/>
      <c r="AW464" s="419"/>
      <c r="AX464" s="419"/>
      <c r="AY464" s="419"/>
      <c r="AZ464" s="419"/>
      <c r="BA464" s="419"/>
      <c r="BC464" s="419"/>
      <c r="BD464" s="419"/>
      <c r="BE464" s="419"/>
      <c r="BF464" s="419"/>
      <c r="BG464" s="419"/>
      <c r="BH464" s="419"/>
      <c r="BI464" s="419"/>
      <c r="BJ464" s="419"/>
      <c r="BK464" s="419"/>
      <c r="BL464" s="246"/>
      <c r="BM464" s="386"/>
      <c r="BN464" s="386"/>
      <c r="BO464" s="386"/>
      <c r="BP464" s="386"/>
      <c r="BQ464" s="386"/>
      <c r="BR464" s="386"/>
      <c r="BS464" s="386"/>
      <c r="BT464" s="386"/>
      <c r="BU464" s="386"/>
      <c r="BV464" s="259"/>
      <c r="BW464" s="246"/>
      <c r="BX464" s="246"/>
      <c r="BY464" s="445"/>
      <c r="BZ464" s="334"/>
      <c r="CA464" s="259"/>
      <c r="CB464" s="259"/>
      <c r="CC464" s="334"/>
      <c r="CD464" s="334"/>
      <c r="CE464" s="334"/>
      <c r="CF464" s="334"/>
      <c r="CG464" s="334"/>
      <c r="CH464" s="334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</row>
    <row r="465" spans="1:104" ht="15.05" hidden="1" customHeight="1">
      <c r="A465" s="108"/>
      <c r="B465" s="307" t="s">
        <v>947</v>
      </c>
      <c r="C465" s="1097">
        <f>C36</f>
        <v>60</v>
      </c>
      <c r="D465" s="1097">
        <f>C36</f>
        <v>60</v>
      </c>
      <c r="J465" s="1067"/>
      <c r="K465" s="1067"/>
      <c r="L465" s="1067"/>
      <c r="M465" s="1067"/>
      <c r="N465" s="1067"/>
      <c r="O465" s="424"/>
      <c r="P465" s="424"/>
      <c r="Q465" s="424"/>
      <c r="R465" s="424"/>
      <c r="S465" s="424"/>
      <c r="T465" s="424"/>
      <c r="U465" s="424"/>
      <c r="V465" s="424"/>
      <c r="W465" s="424"/>
      <c r="X465" s="424"/>
      <c r="Y465" s="424"/>
      <c r="Z465" s="424"/>
      <c r="AA465" s="424"/>
      <c r="AB465" s="424"/>
      <c r="AC465" s="424"/>
      <c r="AD465" s="22"/>
      <c r="AE465" s="424"/>
      <c r="AF465" s="424"/>
      <c r="AG465" s="424"/>
      <c r="AH465" s="424"/>
      <c r="AI465" s="424"/>
      <c r="AJ465" s="424"/>
      <c r="AK465" s="424"/>
      <c r="AL465" s="424"/>
      <c r="AM465" s="424"/>
      <c r="AN465" s="424"/>
      <c r="AO465" s="424"/>
      <c r="AP465" s="424"/>
      <c r="AQ465" s="424"/>
      <c r="AR465" s="424"/>
      <c r="AS465" s="424"/>
      <c r="AT465" s="424"/>
      <c r="AU465" s="424"/>
      <c r="AV465" s="424"/>
      <c r="AW465" s="424"/>
      <c r="AX465" s="424"/>
      <c r="AY465" s="424"/>
      <c r="AZ465" s="424"/>
      <c r="BA465" s="424"/>
      <c r="BC465" s="424"/>
      <c r="BD465" s="424"/>
      <c r="BE465" s="424"/>
      <c r="BF465" s="424"/>
      <c r="BG465" s="424"/>
      <c r="BH465" s="424"/>
      <c r="BI465" s="424"/>
      <c r="BJ465" s="424"/>
      <c r="BK465" s="424"/>
      <c r="BL465" s="246"/>
      <c r="BM465" s="446">
        <f t="shared" ref="BM465:BU465" si="74">(BM463-BM$339)*1000</f>
        <v>79.282032302755212</v>
      </c>
      <c r="BN465" s="446">
        <f t="shared" si="74"/>
        <v>49.773018544174704</v>
      </c>
      <c r="BO465" s="446">
        <f t="shared" si="74"/>
        <v>79.859382571944693</v>
      </c>
      <c r="BP465" s="446">
        <f t="shared" si="74"/>
        <v>49.901318603994049</v>
      </c>
      <c r="BQ465" s="446">
        <f t="shared" si="74"/>
        <v>18.660254037844439</v>
      </c>
      <c r="BR465" s="446">
        <f t="shared" si="74"/>
        <v>49.773018544174704</v>
      </c>
      <c r="BS465" s="446">
        <f t="shared" si="74"/>
        <v>11.732050807568895</v>
      </c>
      <c r="BT465" s="446">
        <f t="shared" si="74"/>
        <v>131.24355652982268</v>
      </c>
      <c r="BU465" s="446">
        <f t="shared" si="74"/>
        <v>131.24355652982268</v>
      </c>
      <c r="BV465" s="259"/>
      <c r="BW465" s="246"/>
      <c r="BX465" s="246"/>
      <c r="BY465" s="445"/>
      <c r="BZ465" s="334"/>
      <c r="CA465" s="259"/>
      <c r="CB465" s="259"/>
      <c r="CC465" s="334"/>
      <c r="CD465" s="334"/>
      <c r="CE465" s="334"/>
      <c r="CF465" s="334"/>
      <c r="CG465" s="334"/>
      <c r="CH465" s="334"/>
      <c r="CM465" s="27"/>
      <c r="CN465" s="156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</row>
    <row r="466" spans="1:104" ht="15.05" hidden="1" customHeight="1">
      <c r="A466" s="108"/>
      <c r="B466" s="293" t="s">
        <v>1137</v>
      </c>
      <c r="C466" s="1098">
        <f>C52</f>
        <v>100</v>
      </c>
      <c r="D466" s="1098">
        <f>C53</f>
        <v>100</v>
      </c>
      <c r="I466" s="1066"/>
      <c r="J466" s="1066"/>
      <c r="K466" s="1066"/>
      <c r="L466" s="1066"/>
      <c r="M466" s="1066"/>
      <c r="N466" s="1066"/>
      <c r="O466" s="419"/>
      <c r="P466" s="419"/>
      <c r="Q466" s="419"/>
      <c r="R466" s="419"/>
      <c r="S466" s="419"/>
      <c r="T466" s="419"/>
      <c r="U466" s="419"/>
      <c r="V466" s="419"/>
      <c r="W466" s="419"/>
      <c r="X466" s="419"/>
      <c r="Y466" s="419"/>
      <c r="Z466" s="419"/>
      <c r="AA466" s="419"/>
      <c r="AB466" s="419"/>
      <c r="AC466" s="419"/>
      <c r="AD466" s="22"/>
      <c r="AE466" s="419"/>
      <c r="AF466" s="419"/>
      <c r="AG466" s="419"/>
      <c r="AH466" s="419"/>
      <c r="AI466" s="419"/>
      <c r="AJ466" s="419"/>
      <c r="AK466" s="419"/>
      <c r="AL466" s="419"/>
      <c r="AM466" s="419"/>
      <c r="AN466" s="419"/>
      <c r="AO466" s="419"/>
      <c r="AP466" s="419"/>
      <c r="AQ466" s="419"/>
      <c r="AR466" s="419"/>
      <c r="AS466" s="419"/>
      <c r="AT466" s="419"/>
      <c r="AU466" s="419"/>
      <c r="AV466" s="419"/>
      <c r="AW466" s="419"/>
      <c r="AX466" s="419"/>
      <c r="AY466" s="419"/>
      <c r="AZ466" s="419"/>
      <c r="BA466" s="419"/>
      <c r="BC466" s="419"/>
      <c r="BD466" s="419"/>
      <c r="BE466" s="419"/>
      <c r="BF466" s="419"/>
      <c r="BG466" s="419"/>
      <c r="BH466" s="419"/>
      <c r="BI466" s="419"/>
      <c r="BJ466" s="419"/>
      <c r="BK466" s="419"/>
      <c r="BL466" s="246"/>
      <c r="BM466" s="386">
        <f t="shared" ref="BM466:BU466" si="75">BM358/BM355*$C$319*(1-BM361)+$C$319*(1-$C$320)</f>
        <v>4.8860769515458671</v>
      </c>
      <c r="BN466" s="386">
        <f t="shared" si="75"/>
        <v>3.2266367684800352</v>
      </c>
      <c r="BO466" s="386">
        <f t="shared" si="75"/>
        <v>4.9185442594754161</v>
      </c>
      <c r="BP466" s="386">
        <f t="shared" si="75"/>
        <v>3.2338517257977122</v>
      </c>
      <c r="BQ466" s="386">
        <f t="shared" si="75"/>
        <v>1.4770096189432333</v>
      </c>
      <c r="BR466" s="386">
        <f t="shared" si="75"/>
        <v>3.2266367684800352</v>
      </c>
      <c r="BS466" s="386">
        <f t="shared" si="75"/>
        <v>1.0874019237886468</v>
      </c>
      <c r="BT466" s="386">
        <f t="shared" si="75"/>
        <v>7.8081346652052677</v>
      </c>
      <c r="BU466" s="386">
        <f t="shared" si="75"/>
        <v>7.8081346652052677</v>
      </c>
      <c r="BV466" s="259"/>
      <c r="BW466" s="246"/>
      <c r="BX466" s="246"/>
      <c r="BY466" s="445"/>
      <c r="BZ466" s="334"/>
      <c r="CA466" s="259"/>
      <c r="CB466" s="259"/>
      <c r="CC466" s="246"/>
      <c r="CD466" s="246"/>
      <c r="CE466" s="246"/>
      <c r="CF466" s="246"/>
      <c r="CG466" s="400"/>
      <c r="CH466" s="246"/>
      <c r="CM466" s="27"/>
      <c r="CN466" s="27"/>
      <c r="CO466" s="410"/>
      <c r="CP466" s="410"/>
      <c r="CQ466" s="410"/>
      <c r="CR466" s="410"/>
      <c r="CS466" s="27"/>
      <c r="CT466" s="27"/>
      <c r="CU466" s="27"/>
      <c r="CV466" s="27"/>
      <c r="CW466" s="27"/>
      <c r="CX466" s="27"/>
      <c r="CY466" s="27"/>
      <c r="CZ466" s="27"/>
    </row>
    <row r="467" spans="1:104" ht="15.05" hidden="1" customHeight="1">
      <c r="A467" s="108"/>
      <c r="B467" s="1010" t="s">
        <v>796</v>
      </c>
      <c r="C467" s="1038"/>
      <c r="D467" s="1038"/>
      <c r="I467" s="1066"/>
      <c r="J467" s="1066"/>
      <c r="K467" s="1066"/>
      <c r="L467" s="1066"/>
      <c r="M467" s="1066"/>
      <c r="N467" s="1066"/>
      <c r="O467" s="419"/>
      <c r="P467" s="419"/>
      <c r="Q467" s="419"/>
      <c r="R467" s="419"/>
      <c r="S467" s="419"/>
      <c r="T467" s="419"/>
      <c r="U467" s="419"/>
      <c r="V467" s="419"/>
      <c r="W467" s="419"/>
      <c r="X467" s="419"/>
      <c r="Y467" s="419"/>
      <c r="Z467" s="419"/>
      <c r="AA467" s="419"/>
      <c r="AB467" s="419"/>
      <c r="AC467" s="419"/>
      <c r="AD467" s="22"/>
      <c r="AE467" s="419"/>
      <c r="AF467" s="419"/>
      <c r="AG467" s="419"/>
      <c r="AH467" s="419"/>
      <c r="AI467" s="419"/>
      <c r="AJ467" s="419"/>
      <c r="AK467" s="419"/>
      <c r="AL467" s="419"/>
      <c r="AM467" s="419"/>
      <c r="AN467" s="419"/>
      <c r="AO467" s="419"/>
      <c r="AP467" s="419"/>
      <c r="AQ467" s="419"/>
      <c r="AR467" s="419"/>
      <c r="AS467" s="419"/>
      <c r="AT467" s="419"/>
      <c r="AU467" s="419"/>
      <c r="AV467" s="419"/>
      <c r="AW467" s="419"/>
      <c r="AX467" s="419"/>
      <c r="AY467" s="419"/>
      <c r="AZ467" s="419"/>
      <c r="BA467" s="419"/>
      <c r="BC467" s="419"/>
      <c r="BD467" s="419"/>
      <c r="BE467" s="419"/>
      <c r="BF467" s="419"/>
      <c r="BG467" s="419"/>
      <c r="BH467" s="419"/>
      <c r="BI467" s="419"/>
      <c r="BJ467" s="419"/>
      <c r="BK467" s="419"/>
      <c r="BL467" s="246"/>
      <c r="BM467" s="386">
        <f t="shared" ref="BM467:BU467" si="76">BM358/BM355*$C$319*(1+BM361)+$C$319*(1+$C$320)</f>
        <v>5.113923048454132</v>
      </c>
      <c r="BN467" s="386">
        <f t="shared" si="76"/>
        <v>3.3659558241125573</v>
      </c>
      <c r="BO467" s="386">
        <f t="shared" si="76"/>
        <v>5.1481224071912495</v>
      </c>
      <c r="BP467" s="386">
        <f t="shared" si="76"/>
        <v>3.3735556816096945</v>
      </c>
      <c r="BQ467" s="386">
        <f t="shared" si="76"/>
        <v>1.5229903810567667</v>
      </c>
      <c r="BR467" s="386">
        <f t="shared" si="76"/>
        <v>3.3659558241125573</v>
      </c>
      <c r="BS467" s="386">
        <f t="shared" si="76"/>
        <v>1.1125980762113534</v>
      </c>
      <c r="BT467" s="386">
        <f t="shared" si="76"/>
        <v>8.1918653347947323</v>
      </c>
      <c r="BU467" s="386">
        <f t="shared" si="76"/>
        <v>8.1918653347947323</v>
      </c>
      <c r="BV467" s="259"/>
      <c r="BW467" s="246"/>
      <c r="BX467" s="246"/>
      <c r="BY467" s="445"/>
      <c r="BZ467" s="334"/>
      <c r="CA467" s="259"/>
      <c r="CB467" s="259"/>
      <c r="CC467" s="246"/>
      <c r="CD467" s="246"/>
      <c r="CE467" s="246"/>
      <c r="CF467" s="246"/>
      <c r="CG467" s="246"/>
      <c r="CH467" s="246"/>
      <c r="CK467" s="15"/>
      <c r="CL467" s="15"/>
      <c r="CM467" s="22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</row>
    <row r="468" spans="1:104" ht="15.05" hidden="1" customHeight="1">
      <c r="A468" s="108"/>
      <c r="B468" s="1064" t="s">
        <v>1136</v>
      </c>
      <c r="C468" s="1099">
        <f>C40</f>
        <v>5.5</v>
      </c>
      <c r="D468" s="1099">
        <f>C41</f>
        <v>30</v>
      </c>
      <c r="I468" s="1067"/>
      <c r="J468" s="1067"/>
      <c r="K468" s="1067"/>
      <c r="L468" s="1067"/>
      <c r="M468" s="1067"/>
      <c r="N468" s="1067"/>
      <c r="O468" s="424"/>
      <c r="P468" s="424"/>
      <c r="Q468" s="424"/>
      <c r="R468" s="424"/>
      <c r="S468" s="424"/>
      <c r="T468" s="424"/>
      <c r="U468" s="424"/>
      <c r="V468" s="424"/>
      <c r="W468" s="424"/>
      <c r="X468" s="424"/>
      <c r="Y468" s="424"/>
      <c r="Z468" s="424"/>
      <c r="AA468" s="424"/>
      <c r="AB468" s="424"/>
      <c r="AC468" s="424"/>
      <c r="AD468" s="22"/>
      <c r="AE468" s="424"/>
      <c r="AF468" s="424"/>
      <c r="AG468" s="424"/>
      <c r="AH468" s="424"/>
      <c r="AI468" s="424"/>
      <c r="AJ468" s="424"/>
      <c r="AK468" s="424"/>
      <c r="AL468" s="424"/>
      <c r="AM468" s="424"/>
      <c r="AN468" s="424"/>
      <c r="AO468" s="424"/>
      <c r="AP468" s="424"/>
      <c r="AQ468" s="424"/>
      <c r="AR468" s="424"/>
      <c r="AS468" s="424"/>
      <c r="AT468" s="424"/>
      <c r="AU468" s="424"/>
      <c r="AV468" s="424"/>
      <c r="AW468" s="424"/>
      <c r="AX468" s="424"/>
      <c r="AY468" s="424"/>
      <c r="AZ468" s="424"/>
      <c r="BA468" s="424"/>
      <c r="BC468" s="424"/>
      <c r="BD468" s="424"/>
      <c r="BE468" s="424"/>
      <c r="BF468" s="424"/>
      <c r="BG468" s="424"/>
      <c r="BH468" s="424"/>
      <c r="BI468" s="424"/>
      <c r="BJ468" s="424"/>
      <c r="BK468" s="424"/>
      <c r="BL468" s="246"/>
      <c r="BM468" s="446">
        <f t="shared" ref="BM468:BU468" si="77">(BM467-BM$339)*1000</f>
        <v>113.92304845413204</v>
      </c>
      <c r="BN468" s="446">
        <f t="shared" si="77"/>
        <v>69.659527816261061</v>
      </c>
      <c r="BO468" s="446">
        <f t="shared" si="77"/>
        <v>114.78907385791626</v>
      </c>
      <c r="BP468" s="446">
        <f t="shared" si="77"/>
        <v>69.851977905990736</v>
      </c>
      <c r="BQ468" s="446">
        <f t="shared" si="77"/>
        <v>22.990381056766651</v>
      </c>
      <c r="BR468" s="446">
        <f t="shared" si="77"/>
        <v>69.659527816261061</v>
      </c>
      <c r="BS468" s="446">
        <f t="shared" si="77"/>
        <v>12.598076211353337</v>
      </c>
      <c r="BT468" s="446">
        <f t="shared" si="77"/>
        <v>191.86533479473235</v>
      </c>
      <c r="BU468" s="446">
        <f t="shared" si="77"/>
        <v>191.86533479473235</v>
      </c>
      <c r="BV468" s="259"/>
      <c r="BW468" s="246"/>
      <c r="BX468" s="246"/>
      <c r="BY468" s="445"/>
      <c r="BZ468" s="334"/>
      <c r="CA468" s="259"/>
      <c r="CB468" s="259"/>
      <c r="CC468" s="246"/>
      <c r="CD468" s="246"/>
      <c r="CE468" s="246"/>
      <c r="CF468" s="246"/>
      <c r="CG468" s="246"/>
      <c r="CH468" s="246"/>
      <c r="CK468" s="15"/>
      <c r="CL468" s="15"/>
      <c r="CM468" s="22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</row>
    <row r="469" spans="1:104" ht="15.05" hidden="1" customHeight="1">
      <c r="A469" s="108"/>
      <c r="B469" s="1097" t="s">
        <v>260</v>
      </c>
      <c r="C469" s="1100">
        <f>D40</f>
        <v>0.1</v>
      </c>
      <c r="D469" s="1100">
        <f>D41</f>
        <v>0.1</v>
      </c>
      <c r="I469" s="1077"/>
      <c r="J469" s="1077"/>
      <c r="K469" s="1077"/>
      <c r="L469" s="1077"/>
      <c r="M469" s="1077"/>
      <c r="N469" s="1077"/>
      <c r="O469" s="435"/>
      <c r="P469" s="435"/>
      <c r="Q469" s="435"/>
      <c r="R469" s="435"/>
      <c r="S469" s="435"/>
      <c r="T469" s="435"/>
      <c r="U469" s="435"/>
      <c r="V469" s="435"/>
      <c r="W469" s="435"/>
      <c r="X469" s="435"/>
      <c r="Y469" s="435"/>
      <c r="Z469" s="435"/>
      <c r="AA469" s="435"/>
      <c r="AB469" s="435"/>
      <c r="AC469" s="435"/>
      <c r="AD469" s="22"/>
      <c r="AE469" s="435"/>
      <c r="AF469" s="435"/>
      <c r="AG469" s="435"/>
      <c r="AH469" s="435"/>
      <c r="AI469" s="435"/>
      <c r="AJ469" s="435"/>
      <c r="AK469" s="435"/>
      <c r="AL469" s="435"/>
      <c r="AM469" s="435"/>
      <c r="AN469" s="435"/>
      <c r="AO469" s="435"/>
      <c r="AP469" s="435"/>
      <c r="AQ469" s="435"/>
      <c r="AR469" s="435"/>
      <c r="AS469" s="435"/>
      <c r="AT469" s="435"/>
      <c r="AU469" s="435"/>
      <c r="AV469" s="435"/>
      <c r="AW469" s="435"/>
      <c r="AX469" s="435"/>
      <c r="AY469" s="435"/>
      <c r="AZ469" s="435"/>
      <c r="BA469" s="435"/>
      <c r="BC469" s="435"/>
      <c r="BD469" s="435"/>
      <c r="BE469" s="435"/>
      <c r="BF469" s="435"/>
      <c r="BG469" s="435"/>
      <c r="BH469" s="435"/>
      <c r="BI469" s="435"/>
      <c r="BJ469" s="435"/>
      <c r="BK469" s="435"/>
      <c r="BL469" s="246"/>
      <c r="BM469" s="448">
        <f t="shared" ref="BM469:BU469" si="78">BM358*(1-BM359)/(BM355*(1+BM356))*$C$319*(1-$C$320)+$C$319*(1-$C$320)</f>
        <v>4.8715841584158417</v>
      </c>
      <c r="BN469" s="448">
        <f t="shared" si="78"/>
        <v>3.2183168316831683</v>
      </c>
      <c r="BO469" s="448">
        <f t="shared" si="78"/>
        <v>4.9039306930693067</v>
      </c>
      <c r="BP469" s="448">
        <f t="shared" si="78"/>
        <v>3.2255049504950497</v>
      </c>
      <c r="BQ469" s="448">
        <f t="shared" si="78"/>
        <v>1.4751980198019803</v>
      </c>
      <c r="BR469" s="448">
        <f t="shared" si="78"/>
        <v>3.2183168316831683</v>
      </c>
      <c r="BS469" s="448">
        <f t="shared" si="78"/>
        <v>1.087039603960396</v>
      </c>
      <c r="BT469" s="448">
        <f t="shared" si="78"/>
        <v>7.782772277227723</v>
      </c>
      <c r="BU469" s="448">
        <f t="shared" si="78"/>
        <v>7.782772277227723</v>
      </c>
      <c r="BV469" s="259"/>
      <c r="BW469" s="246"/>
      <c r="BX469" s="246"/>
      <c r="BY469" s="445"/>
      <c r="BZ469" s="334"/>
      <c r="CA469" s="259"/>
      <c r="CB469" s="259"/>
      <c r="CC469" s="246"/>
      <c r="CD469" s="246"/>
      <c r="CE469" s="246"/>
      <c r="CF469" s="246"/>
      <c r="CG469" s="246"/>
      <c r="CH469" s="246"/>
      <c r="CK469" s="15"/>
      <c r="CL469" s="247"/>
      <c r="CM469" s="22"/>
      <c r="CN469" s="27"/>
      <c r="CO469" s="27"/>
      <c r="CP469" s="27"/>
      <c r="CQ469" s="27"/>
      <c r="CR469" s="27"/>
      <c r="CS469" s="27"/>
      <c r="CT469" s="27"/>
      <c r="CU469" s="27"/>
      <c r="CV469" s="158"/>
      <c r="CW469" s="158"/>
      <c r="CX469" s="27"/>
      <c r="CY469" s="27"/>
      <c r="CZ469" s="27"/>
    </row>
    <row r="470" spans="1:104" ht="15.05" hidden="1" customHeight="1">
      <c r="A470" s="108"/>
      <c r="B470" s="1064" t="s">
        <v>261</v>
      </c>
      <c r="C470" s="1101">
        <f>E40</f>
        <v>35</v>
      </c>
      <c r="D470" s="1101">
        <f>E41</f>
        <v>35</v>
      </c>
      <c r="F470" s="112"/>
      <c r="G470" s="112"/>
      <c r="H470" s="112"/>
      <c r="I470" s="1077"/>
      <c r="J470" s="1077"/>
      <c r="K470" s="1077"/>
      <c r="L470" s="1077"/>
      <c r="M470" s="1077"/>
      <c r="N470" s="1077"/>
      <c r="O470" s="435"/>
      <c r="P470" s="435"/>
      <c r="Q470" s="435"/>
      <c r="R470" s="435"/>
      <c r="S470" s="435"/>
      <c r="T470" s="435"/>
      <c r="U470" s="435"/>
      <c r="V470" s="435"/>
      <c r="W470" s="435"/>
      <c r="X470" s="435"/>
      <c r="Y470" s="435"/>
      <c r="Z470" s="435"/>
      <c r="AA470" s="435"/>
      <c r="AB470" s="435"/>
      <c r="AC470" s="435"/>
      <c r="AD470" s="22"/>
      <c r="AE470" s="435"/>
      <c r="AF470" s="435"/>
      <c r="AG470" s="435"/>
      <c r="AH470" s="435"/>
      <c r="AI470" s="435"/>
      <c r="AJ470" s="435"/>
      <c r="AK470" s="435"/>
      <c r="AL470" s="435"/>
      <c r="AM470" s="435"/>
      <c r="AN470" s="435"/>
      <c r="AO470" s="435"/>
      <c r="AP470" s="435"/>
      <c r="AQ470" s="435"/>
      <c r="AR470" s="435"/>
      <c r="AS470" s="435"/>
      <c r="AT470" s="435"/>
      <c r="AU470" s="435"/>
      <c r="AV470" s="435"/>
      <c r="AW470" s="435"/>
      <c r="AX470" s="435"/>
      <c r="AY470" s="435"/>
      <c r="AZ470" s="435"/>
      <c r="BA470" s="435"/>
      <c r="BC470" s="435"/>
      <c r="BD470" s="435"/>
      <c r="BE470" s="435"/>
      <c r="BF470" s="435"/>
      <c r="BG470" s="435"/>
      <c r="BH470" s="435"/>
      <c r="BI470" s="435"/>
      <c r="BJ470" s="435"/>
      <c r="BK470" s="435"/>
      <c r="BL470" s="246"/>
      <c r="BM470" s="448"/>
      <c r="BN470" s="448"/>
      <c r="BO470" s="448"/>
      <c r="BP470" s="448"/>
      <c r="BQ470" s="448"/>
      <c r="BR470" s="448"/>
      <c r="BS470" s="448"/>
      <c r="BT470" s="448"/>
      <c r="BU470" s="448"/>
      <c r="BV470" s="259"/>
      <c r="BW470" s="246"/>
      <c r="BX470" s="246"/>
      <c r="BY470" s="445"/>
      <c r="BZ470" s="334"/>
      <c r="CA470" s="259"/>
      <c r="CB470" s="259"/>
      <c r="CC470" s="246"/>
      <c r="CD470" s="246"/>
      <c r="CE470" s="246"/>
      <c r="CF470" s="246"/>
      <c r="CG470" s="246"/>
      <c r="CH470" s="246"/>
      <c r="CK470" s="15"/>
      <c r="CL470" s="247"/>
      <c r="CM470" s="22"/>
      <c r="CN470" s="27"/>
      <c r="CO470" s="27"/>
      <c r="CP470" s="27"/>
      <c r="CQ470" s="27"/>
      <c r="CR470" s="27"/>
      <c r="CS470" s="27"/>
      <c r="CT470" s="27"/>
      <c r="CU470" s="27"/>
      <c r="CV470" s="158"/>
      <c r="CW470" s="158"/>
      <c r="CX470" s="27"/>
      <c r="CY470" s="27"/>
      <c r="CZ470" s="27"/>
    </row>
    <row r="471" spans="1:104" ht="15.05" hidden="1" customHeight="1">
      <c r="A471" s="108"/>
      <c r="B471" s="1064" t="s">
        <v>262</v>
      </c>
      <c r="C471" s="1101">
        <f>G40</f>
        <v>100</v>
      </c>
      <c r="D471" s="1101">
        <f>G41</f>
        <v>40</v>
      </c>
      <c r="F471" s="112"/>
      <c r="G471" s="112"/>
      <c r="H471" s="112"/>
      <c r="I471" s="1077"/>
      <c r="J471" s="1077"/>
      <c r="K471" s="1077"/>
      <c r="L471" s="1077"/>
      <c r="M471" s="1077"/>
      <c r="N471" s="1077"/>
      <c r="O471" s="435"/>
      <c r="P471" s="435"/>
      <c r="Q471" s="435"/>
      <c r="R471" s="435"/>
      <c r="S471" s="435"/>
      <c r="T471" s="435"/>
      <c r="U471" s="435"/>
      <c r="V471" s="435"/>
      <c r="W471" s="435"/>
      <c r="X471" s="435"/>
      <c r="Y471" s="435"/>
      <c r="Z471" s="435"/>
      <c r="AA471" s="435"/>
      <c r="AB471" s="435"/>
      <c r="AC471" s="435"/>
      <c r="AD471" s="22"/>
      <c r="AE471" s="435"/>
      <c r="AF471" s="435"/>
      <c r="AG471" s="435"/>
      <c r="AH471" s="435"/>
      <c r="AI471" s="435"/>
      <c r="AJ471" s="435"/>
      <c r="AK471" s="435"/>
      <c r="AL471" s="435"/>
      <c r="AM471" s="435"/>
      <c r="AN471" s="435"/>
      <c r="AO471" s="435"/>
      <c r="AP471" s="435"/>
      <c r="AQ471" s="435"/>
      <c r="AR471" s="435"/>
      <c r="AS471" s="435"/>
      <c r="AT471" s="435"/>
      <c r="AU471" s="435"/>
      <c r="AV471" s="435"/>
      <c r="AW471" s="435"/>
      <c r="AX471" s="435"/>
      <c r="AY471" s="435"/>
      <c r="AZ471" s="435"/>
      <c r="BA471" s="435"/>
      <c r="BC471" s="435"/>
      <c r="BD471" s="435"/>
      <c r="BE471" s="435"/>
      <c r="BF471" s="435"/>
      <c r="BG471" s="435"/>
      <c r="BH471" s="435"/>
      <c r="BI471" s="435"/>
      <c r="BJ471" s="435"/>
      <c r="BK471" s="435"/>
      <c r="BL471" s="246"/>
      <c r="BM471" s="448"/>
      <c r="BN471" s="448"/>
      <c r="BO471" s="448"/>
      <c r="BP471" s="448"/>
      <c r="BQ471" s="448"/>
      <c r="BR471" s="448"/>
      <c r="BS471" s="448"/>
      <c r="BT471" s="448"/>
      <c r="BU471" s="448"/>
      <c r="BV471" s="259"/>
      <c r="BW471" s="246"/>
      <c r="BX471" s="246"/>
      <c r="BY471" s="445"/>
      <c r="BZ471" s="334"/>
      <c r="CA471" s="259"/>
      <c r="CB471" s="259"/>
      <c r="CC471" s="246"/>
      <c r="CD471" s="246"/>
      <c r="CE471" s="246"/>
      <c r="CF471" s="246"/>
      <c r="CG471" s="246"/>
      <c r="CH471" s="246"/>
      <c r="CK471" s="15"/>
      <c r="CL471" s="247"/>
      <c r="CM471" s="22"/>
      <c r="CN471" s="27"/>
      <c r="CO471" s="27"/>
      <c r="CP471" s="27"/>
      <c r="CQ471" s="27"/>
      <c r="CR471" s="27"/>
      <c r="CS471" s="27"/>
      <c r="CT471" s="27"/>
      <c r="CU471" s="27"/>
      <c r="CV471" s="158"/>
      <c r="CW471" s="158"/>
      <c r="CX471" s="27"/>
      <c r="CY471" s="27"/>
      <c r="CZ471" s="27"/>
    </row>
    <row r="472" spans="1:104" ht="15.05" hidden="1" customHeight="1" thickBot="1">
      <c r="A472" s="108"/>
      <c r="B472" s="1064" t="s">
        <v>870</v>
      </c>
      <c r="C472" s="1099">
        <f>C468*(1+0.00393*(C806+C470-20))</f>
        <v>6.3646000000000003</v>
      </c>
      <c r="D472" s="1099">
        <f>D468*(1+0.00393*(D806+D470-20))</f>
        <v>34.716000000000001</v>
      </c>
      <c r="F472" s="112"/>
      <c r="G472" s="112"/>
      <c r="H472" s="112"/>
      <c r="I472" s="1077"/>
      <c r="J472" s="1077"/>
      <c r="K472" s="1077"/>
      <c r="L472" s="1077"/>
      <c r="M472" s="1077"/>
      <c r="N472" s="1077"/>
      <c r="O472" s="435"/>
      <c r="P472" s="435"/>
      <c r="Q472" s="435"/>
      <c r="R472" s="435"/>
      <c r="S472" s="435"/>
      <c r="T472" s="435"/>
      <c r="U472" s="435"/>
      <c r="V472" s="435"/>
      <c r="W472" s="435"/>
      <c r="X472" s="435"/>
      <c r="Y472" s="435"/>
      <c r="Z472" s="435"/>
      <c r="AA472" s="435"/>
      <c r="AB472" s="435"/>
      <c r="AC472" s="435"/>
      <c r="AD472" s="22"/>
      <c r="AE472" s="435"/>
      <c r="AF472" s="435"/>
      <c r="AG472" s="435"/>
      <c r="AH472" s="435"/>
      <c r="AI472" s="435"/>
      <c r="AJ472" s="435"/>
      <c r="AK472" s="435"/>
      <c r="AL472" s="435"/>
      <c r="AM472" s="435"/>
      <c r="AN472" s="435"/>
      <c r="AO472" s="435"/>
      <c r="AP472" s="435"/>
      <c r="AQ472" s="435"/>
      <c r="AR472" s="435"/>
      <c r="AS472" s="435"/>
      <c r="AT472" s="435"/>
      <c r="AU472" s="435"/>
      <c r="AV472" s="435"/>
      <c r="AW472" s="435"/>
      <c r="AX472" s="435"/>
      <c r="AY472" s="435"/>
      <c r="AZ472" s="435"/>
      <c r="BA472" s="435"/>
      <c r="BC472" s="435"/>
      <c r="BD472" s="435"/>
      <c r="BE472" s="435"/>
      <c r="BF472" s="435"/>
      <c r="BG472" s="435"/>
      <c r="BH472" s="435"/>
      <c r="BI472" s="435"/>
      <c r="BJ472" s="435"/>
      <c r="BK472" s="435"/>
      <c r="BL472" s="246"/>
      <c r="BM472" s="448"/>
      <c r="BN472" s="448"/>
      <c r="BO472" s="448"/>
      <c r="BP472" s="448"/>
      <c r="BQ472" s="448"/>
      <c r="BR472" s="448"/>
      <c r="BS472" s="448"/>
      <c r="BT472" s="448"/>
      <c r="BU472" s="448"/>
      <c r="BV472" s="259"/>
      <c r="BW472" s="246"/>
      <c r="BX472" s="246"/>
      <c r="BY472" s="445"/>
      <c r="BZ472" s="334"/>
      <c r="CA472" s="259"/>
      <c r="CB472" s="259"/>
      <c r="CC472" s="246"/>
      <c r="CD472" s="246"/>
      <c r="CE472" s="246"/>
      <c r="CF472" s="246"/>
      <c r="CG472" s="246"/>
      <c r="CH472" s="246"/>
      <c r="CK472" s="15"/>
      <c r="CL472" s="247"/>
      <c r="CM472" s="22"/>
      <c r="CN472" s="27"/>
      <c r="CO472" s="27"/>
      <c r="CP472" s="27"/>
      <c r="CQ472" s="27"/>
      <c r="CR472" s="27"/>
      <c r="CS472" s="27"/>
      <c r="CT472" s="27"/>
      <c r="CU472" s="27"/>
      <c r="CV472" s="158"/>
      <c r="CW472" s="158"/>
      <c r="CX472" s="27"/>
      <c r="CY472" s="27"/>
      <c r="CZ472" s="27"/>
    </row>
    <row r="473" spans="1:104" ht="15.05" hidden="1" customHeight="1">
      <c r="A473" s="108"/>
      <c r="B473" s="1064" t="s">
        <v>888</v>
      </c>
      <c r="C473" s="1099">
        <f>C468*(1+0.00393*(C806+C471-20))</f>
        <v>7.7695749999999997</v>
      </c>
      <c r="D473" s="1099">
        <f>D468*(1+0.00393*(D806+D471-20))</f>
        <v>35.305499999999995</v>
      </c>
      <c r="I473" s="1077"/>
      <c r="J473" s="1077"/>
      <c r="K473" s="1077"/>
      <c r="L473" s="1077"/>
      <c r="M473" s="1077"/>
      <c r="N473" s="1077"/>
      <c r="O473" s="435"/>
      <c r="P473" s="435"/>
      <c r="Q473" s="435"/>
      <c r="R473" s="435"/>
      <c r="S473" s="435"/>
      <c r="T473" s="435"/>
      <c r="U473" s="435"/>
      <c r="V473" s="435"/>
      <c r="W473" s="435"/>
      <c r="X473" s="435"/>
      <c r="Y473" s="435"/>
      <c r="Z473" s="435"/>
      <c r="AA473" s="435"/>
      <c r="AB473" s="435"/>
      <c r="AC473" s="435"/>
      <c r="AD473" s="22"/>
      <c r="AE473" s="435"/>
      <c r="AF473" s="435"/>
      <c r="AG473" s="435"/>
      <c r="AH473" s="435"/>
      <c r="AI473" s="435"/>
      <c r="AJ473" s="435"/>
      <c r="AK473" s="435"/>
      <c r="AL473" s="435"/>
      <c r="AM473" s="435"/>
      <c r="AN473" s="435"/>
      <c r="AO473" s="435"/>
      <c r="AP473" s="435"/>
      <c r="AQ473" s="435"/>
      <c r="AR473" s="435"/>
      <c r="AS473" s="435"/>
      <c r="AT473" s="435"/>
      <c r="AU473" s="435"/>
      <c r="AV473" s="435"/>
      <c r="AW473" s="435"/>
      <c r="AX473" s="435"/>
      <c r="AY473" s="435"/>
      <c r="AZ473" s="435"/>
      <c r="BA473" s="435"/>
      <c r="BC473" s="435"/>
      <c r="BD473" s="435"/>
      <c r="BE473" s="435"/>
      <c r="BF473" s="435"/>
      <c r="BG473" s="435"/>
      <c r="BH473" s="435"/>
      <c r="BI473" s="435"/>
      <c r="BJ473" s="435"/>
      <c r="BK473" s="435"/>
      <c r="BL473" s="246"/>
      <c r="BM473" s="448">
        <f t="shared" ref="BM473:BU473" si="79">BM358*(1+BM359)/(BM355*(1-BM356))*$C$319*(1+$C$320)+$C$319*(1+$C$320)</f>
        <v>5.1316161616161624</v>
      </c>
      <c r="BN473" s="448">
        <f t="shared" si="79"/>
        <v>3.3761129816685367</v>
      </c>
      <c r="BO473" s="448">
        <f t="shared" si="79"/>
        <v>5.165962962962964</v>
      </c>
      <c r="BP473" s="448">
        <f t="shared" si="79"/>
        <v>3.3837456041900484</v>
      </c>
      <c r="BQ473" s="448">
        <f t="shared" si="79"/>
        <v>1.5252020202020202</v>
      </c>
      <c r="BR473" s="448">
        <f t="shared" si="79"/>
        <v>3.3761129816685367</v>
      </c>
      <c r="BS473" s="448">
        <f t="shared" si="79"/>
        <v>1.1130404040404041</v>
      </c>
      <c r="BT473" s="448">
        <f t="shared" si="79"/>
        <v>8.2228282828282833</v>
      </c>
      <c r="BU473" s="448">
        <f t="shared" si="79"/>
        <v>8.2228282828282833</v>
      </c>
      <c r="BV473" s="259"/>
      <c r="BW473" s="73" t="s">
        <v>1131</v>
      </c>
      <c r="BX473" s="74"/>
      <c r="BY473" s="445"/>
      <c r="BZ473" s="334"/>
      <c r="CA473" s="259"/>
      <c r="CB473" s="259"/>
      <c r="CC473" s="246"/>
      <c r="CD473" s="246"/>
      <c r="CE473" s="246"/>
      <c r="CF473" s="246"/>
      <c r="CG473" s="246"/>
      <c r="CH473" s="246"/>
      <c r="CK473" s="15"/>
      <c r="CL473" s="15"/>
      <c r="CM473" s="22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</row>
    <row r="474" spans="1:104" ht="15.05" hidden="1" customHeight="1">
      <c r="A474" s="108"/>
      <c r="B474" s="1064" t="s">
        <v>985</v>
      </c>
      <c r="C474" s="1102">
        <f>C468*(1+0.00393*(C805+C471-20))</f>
        <v>7.0130500000000007</v>
      </c>
      <c r="D474" s="1102">
        <f>D468*(1+0.00393*(D805+D471-20))</f>
        <v>31.178999999999995</v>
      </c>
      <c r="I474" s="1067"/>
      <c r="J474" s="1067"/>
      <c r="K474" s="1067"/>
      <c r="L474" s="1067"/>
      <c r="M474" s="1067"/>
      <c r="N474" s="1067"/>
      <c r="O474" s="424"/>
      <c r="P474" s="424"/>
      <c r="Q474" s="424"/>
      <c r="R474" s="424"/>
      <c r="S474" s="424"/>
      <c r="T474" s="424"/>
      <c r="U474" s="424"/>
      <c r="V474" s="424"/>
      <c r="W474" s="424"/>
      <c r="X474" s="424"/>
      <c r="Y474" s="424"/>
      <c r="Z474" s="424"/>
      <c r="AA474" s="424"/>
      <c r="AB474" s="424"/>
      <c r="AC474" s="424"/>
      <c r="AD474" s="22"/>
      <c r="AE474" s="424"/>
      <c r="AF474" s="424"/>
      <c r="AG474" s="424"/>
      <c r="AH474" s="424"/>
      <c r="AI474" s="424"/>
      <c r="AJ474" s="424"/>
      <c r="AK474" s="424"/>
      <c r="AL474" s="424"/>
      <c r="AM474" s="424"/>
      <c r="AN474" s="424"/>
      <c r="AO474" s="424"/>
      <c r="AP474" s="424"/>
      <c r="AQ474" s="424"/>
      <c r="AR474" s="424"/>
      <c r="AS474" s="424"/>
      <c r="AT474" s="424"/>
      <c r="AU474" s="424"/>
      <c r="AV474" s="424"/>
      <c r="AW474" s="424"/>
      <c r="AX474" s="424"/>
      <c r="AY474" s="424"/>
      <c r="AZ474" s="424"/>
      <c r="BA474" s="424"/>
      <c r="BC474" s="424"/>
      <c r="BD474" s="424"/>
      <c r="BE474" s="424"/>
      <c r="BF474" s="424"/>
      <c r="BG474" s="424"/>
      <c r="BH474" s="424"/>
      <c r="BI474" s="424"/>
      <c r="BJ474" s="424"/>
      <c r="BK474" s="424"/>
      <c r="BL474" s="246"/>
      <c r="BM474" s="446">
        <f t="shared" ref="BM474:BU474" si="80">(BM473-BM$339)*1000</f>
        <v>131.6161616161624</v>
      </c>
      <c r="BN474" s="446">
        <f t="shared" si="80"/>
        <v>79.8166853722404</v>
      </c>
      <c r="BO474" s="446">
        <f t="shared" si="80"/>
        <v>132.62962962963076</v>
      </c>
      <c r="BP474" s="446">
        <f t="shared" si="80"/>
        <v>80.04190048634463</v>
      </c>
      <c r="BQ474" s="446">
        <f t="shared" si="80"/>
        <v>25.202020202020226</v>
      </c>
      <c r="BR474" s="446">
        <f t="shared" si="80"/>
        <v>79.8166853722404</v>
      </c>
      <c r="BS474" s="446">
        <f t="shared" si="80"/>
        <v>13.040404040403963</v>
      </c>
      <c r="BT474" s="446">
        <f t="shared" si="80"/>
        <v>222.82828282828325</v>
      </c>
      <c r="BU474" s="446">
        <f t="shared" si="80"/>
        <v>222.82828282828325</v>
      </c>
      <c r="BV474" s="259"/>
      <c r="BW474" s="246"/>
      <c r="BX474" s="246"/>
      <c r="BY474" s="445"/>
      <c r="BZ474" s="334"/>
      <c r="CA474" s="259"/>
      <c r="CB474" s="259"/>
      <c r="CC474" s="246"/>
      <c r="CD474" s="246"/>
      <c r="CE474" s="246"/>
      <c r="CF474" s="246"/>
      <c r="CG474" s="246"/>
      <c r="CH474" s="246"/>
      <c r="CK474" s="15"/>
      <c r="CL474" s="15"/>
      <c r="CM474" s="22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</row>
    <row r="475" spans="1:104" hidden="1">
      <c r="A475" s="108"/>
      <c r="B475" s="1064" t="s">
        <v>1138</v>
      </c>
      <c r="C475" s="1102">
        <f>C468*(1+0.00393*(C807+C471-20))</f>
        <v>8.7422500000000003</v>
      </c>
      <c r="D475" s="1102">
        <f>D468*(1+0.00393*(D807+D471-20))</f>
        <v>40.610999999999997</v>
      </c>
      <c r="I475" s="1067"/>
      <c r="J475" s="1067"/>
      <c r="K475" s="1067"/>
      <c r="L475" s="1067"/>
      <c r="M475" s="1067"/>
      <c r="N475" s="1067"/>
      <c r="O475" s="424"/>
      <c r="P475" s="424"/>
      <c r="Q475" s="424"/>
      <c r="R475" s="424"/>
      <c r="S475" s="424"/>
      <c r="T475" s="424"/>
      <c r="U475" s="424"/>
      <c r="V475" s="424"/>
      <c r="W475" s="424"/>
      <c r="X475" s="424"/>
      <c r="Y475" s="424"/>
      <c r="Z475" s="424"/>
      <c r="AA475" s="424"/>
      <c r="AB475" s="424"/>
      <c r="AC475" s="424"/>
      <c r="AD475" s="22"/>
      <c r="AE475" s="424"/>
      <c r="AF475" s="424"/>
      <c r="AG475" s="424"/>
      <c r="AH475" s="424"/>
      <c r="AI475" s="424"/>
      <c r="AJ475" s="424"/>
      <c r="AK475" s="424"/>
      <c r="AL475" s="424"/>
      <c r="AM475" s="424"/>
      <c r="AN475" s="424"/>
      <c r="AO475" s="424"/>
      <c r="AP475" s="424"/>
      <c r="AQ475" s="424"/>
      <c r="AR475" s="424"/>
      <c r="AS475" s="424"/>
      <c r="AT475" s="424"/>
      <c r="AU475" s="424"/>
      <c r="AV475" s="424"/>
      <c r="AW475" s="424"/>
      <c r="AX475" s="424"/>
      <c r="AY475" s="424"/>
      <c r="AZ475" s="424"/>
      <c r="BA475" s="424"/>
      <c r="BC475" s="424"/>
      <c r="BD475" s="424"/>
      <c r="BE475" s="424"/>
      <c r="BF475" s="424"/>
      <c r="BG475" s="424"/>
      <c r="BH475" s="424"/>
      <c r="BI475" s="424"/>
      <c r="BJ475" s="424"/>
      <c r="BK475" s="424"/>
      <c r="BL475" s="246"/>
      <c r="BM475" s="450"/>
      <c r="BN475" s="450"/>
      <c r="BO475" s="450"/>
      <c r="BP475" s="450"/>
      <c r="BQ475" s="450"/>
      <c r="BR475" s="450"/>
      <c r="BS475" s="450"/>
      <c r="BT475" s="450"/>
      <c r="BU475" s="450"/>
      <c r="BV475" s="259"/>
      <c r="BW475" s="246"/>
      <c r="BX475" s="246"/>
      <c r="BY475" s="445"/>
      <c r="BZ475" s="334"/>
      <c r="CA475" s="259"/>
      <c r="CB475" s="259"/>
      <c r="CC475" s="246"/>
      <c r="CD475" s="246"/>
      <c r="CE475" s="246"/>
      <c r="CF475" s="27"/>
      <c r="CG475" s="246"/>
      <c r="CH475" s="246"/>
      <c r="CI475" s="419"/>
      <c r="CM475" s="22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</row>
    <row r="476" spans="1:104" ht="15.05" hidden="1" customHeight="1">
      <c r="A476" s="108"/>
      <c r="B476" s="314" t="s">
        <v>1139</v>
      </c>
      <c r="C476" s="1103">
        <f>C336/C468*10^3</f>
        <v>400</v>
      </c>
      <c r="D476" s="1103">
        <f>D336/D468*10^3</f>
        <v>333.33333333333331</v>
      </c>
      <c r="I476" s="1077"/>
      <c r="J476" s="1077"/>
      <c r="K476" s="1104"/>
      <c r="L476" s="1104"/>
      <c r="M476" s="1104"/>
      <c r="N476" s="1104"/>
      <c r="O476" s="452"/>
      <c r="P476" s="452"/>
      <c r="Q476" s="452"/>
      <c r="R476" s="452"/>
      <c r="S476" s="452"/>
      <c r="T476" s="452"/>
      <c r="U476" s="452"/>
      <c r="V476" s="452"/>
      <c r="W476" s="452"/>
      <c r="X476" s="452"/>
      <c r="Y476" s="452"/>
      <c r="Z476" s="452"/>
      <c r="AA476" s="452"/>
      <c r="AB476" s="452"/>
      <c r="AC476" s="452"/>
      <c r="AD476" s="22"/>
      <c r="AE476" s="452"/>
      <c r="AF476" s="452"/>
      <c r="AG476" s="452"/>
      <c r="AH476" s="452"/>
      <c r="AI476" s="452"/>
      <c r="AJ476" s="452"/>
      <c r="AK476" s="452"/>
      <c r="AL476" s="452"/>
      <c r="AM476" s="452"/>
      <c r="AN476" s="452"/>
      <c r="AO476" s="452"/>
      <c r="AP476" s="452"/>
      <c r="AQ476" s="452"/>
      <c r="AR476" s="452"/>
      <c r="AS476" s="452"/>
      <c r="AT476" s="452"/>
      <c r="AU476" s="452"/>
      <c r="AV476" s="452"/>
      <c r="AW476" s="452"/>
      <c r="AX476" s="452"/>
      <c r="AY476" s="452"/>
      <c r="AZ476" s="452"/>
      <c r="BA476" s="452"/>
      <c r="BC476" s="452"/>
      <c r="BD476" s="452"/>
      <c r="BE476" s="452"/>
      <c r="BF476" s="452"/>
      <c r="BG476" s="452"/>
      <c r="BH476" s="452"/>
      <c r="BI476" s="452"/>
      <c r="BJ476" s="452"/>
      <c r="BK476" s="452"/>
      <c r="BL476" s="246"/>
      <c r="BM476" s="403" t="s">
        <v>1004</v>
      </c>
      <c r="BN476" s="403" t="s">
        <v>1004</v>
      </c>
      <c r="BO476" s="403" t="s">
        <v>1004</v>
      </c>
      <c r="BP476" s="403" t="s">
        <v>1004</v>
      </c>
      <c r="BQ476" s="403" t="s">
        <v>1004</v>
      </c>
      <c r="BR476" s="403" t="s">
        <v>1004</v>
      </c>
      <c r="BS476" s="403" t="s">
        <v>1004</v>
      </c>
      <c r="BT476" s="403" t="s">
        <v>1004</v>
      </c>
      <c r="BU476" s="403" t="s">
        <v>1004</v>
      </c>
      <c r="BV476" s="259"/>
      <c r="BW476" s="246"/>
      <c r="BX476" s="246"/>
      <c r="BY476" s="445"/>
      <c r="BZ476" s="334"/>
      <c r="CA476" s="259"/>
      <c r="CB476" s="259"/>
      <c r="CC476" s="246"/>
      <c r="CD476" s="246"/>
      <c r="CE476" s="246"/>
      <c r="CF476" s="22"/>
      <c r="CG476" s="390"/>
      <c r="CH476" s="419"/>
      <c r="CI476" s="419"/>
      <c r="CM476" s="22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</row>
    <row r="477" spans="1:104" ht="15.05" hidden="1" customHeight="1">
      <c r="A477" s="108"/>
      <c r="B477" s="314" t="s">
        <v>1140</v>
      </c>
      <c r="C477" s="1103">
        <f>0.9*C476</f>
        <v>360</v>
      </c>
      <c r="D477" s="1103">
        <f>0.9*D476</f>
        <v>300</v>
      </c>
      <c r="I477" s="1067"/>
      <c r="J477" s="1067"/>
      <c r="K477" s="1105"/>
      <c r="L477" s="1105"/>
      <c r="M477" s="1105"/>
      <c r="N477" s="1105"/>
      <c r="O477" s="453"/>
      <c r="P477" s="453"/>
      <c r="Q477" s="453"/>
      <c r="R477" s="453"/>
      <c r="S477" s="453"/>
      <c r="T477" s="453"/>
      <c r="U477" s="453"/>
      <c r="V477" s="453"/>
      <c r="W477" s="453"/>
      <c r="X477" s="453"/>
      <c r="Y477" s="453"/>
      <c r="Z477" s="453"/>
      <c r="AA477" s="453"/>
      <c r="AB477" s="453"/>
      <c r="AC477" s="453"/>
      <c r="AD477" s="22"/>
      <c r="AE477" s="453"/>
      <c r="AF477" s="453"/>
      <c r="AG477" s="453"/>
      <c r="AH477" s="453"/>
      <c r="AI477" s="453"/>
      <c r="AJ477" s="453"/>
      <c r="AK477" s="453"/>
      <c r="AL477" s="453"/>
      <c r="AM477" s="453"/>
      <c r="AN477" s="453"/>
      <c r="AO477" s="453"/>
      <c r="AP477" s="453"/>
      <c r="AQ477" s="453"/>
      <c r="AR477" s="453"/>
      <c r="AS477" s="453"/>
      <c r="AT477" s="453"/>
      <c r="AU477" s="453"/>
      <c r="AV477" s="453"/>
      <c r="AW477" s="453"/>
      <c r="AX477" s="453"/>
      <c r="AY477" s="453"/>
      <c r="AZ477" s="453"/>
      <c r="BA477" s="453"/>
      <c r="BC477" s="453"/>
      <c r="BD477" s="453"/>
      <c r="BE477" s="453"/>
      <c r="BF477" s="453"/>
      <c r="BG477" s="453"/>
      <c r="BH477" s="453"/>
      <c r="BI477" s="453"/>
      <c r="BJ477" s="453"/>
      <c r="BK477" s="453"/>
      <c r="BL477" s="246"/>
      <c r="BM477" s="454">
        <v>320</v>
      </c>
      <c r="BN477" s="454">
        <v>300</v>
      </c>
      <c r="BO477" s="454">
        <v>370</v>
      </c>
      <c r="BP477" s="454">
        <v>370</v>
      </c>
      <c r="BQ477" s="454">
        <v>1000</v>
      </c>
      <c r="BR477" s="454">
        <v>370</v>
      </c>
      <c r="BS477" s="454">
        <v>370</v>
      </c>
      <c r="BT477" s="454">
        <v>320</v>
      </c>
      <c r="BU477" s="454">
        <v>300</v>
      </c>
      <c r="BV477" s="259"/>
      <c r="BW477" s="246"/>
      <c r="BX477" s="246"/>
      <c r="BY477" s="445"/>
      <c r="BZ477" s="334"/>
      <c r="CA477" s="259"/>
      <c r="CB477" s="259"/>
      <c r="CC477" s="246"/>
      <c r="CD477" s="246"/>
      <c r="CE477" s="246"/>
      <c r="CF477" s="246"/>
      <c r="CG477" s="246"/>
      <c r="CH477" s="246"/>
      <c r="CI477" s="72"/>
      <c r="CK477" s="71"/>
      <c r="CM477" s="22"/>
      <c r="CN477" s="27"/>
      <c r="CO477" s="157"/>
      <c r="CP477" s="15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</row>
    <row r="478" spans="1:104" ht="15.05" hidden="1" customHeight="1">
      <c r="A478" s="108"/>
      <c r="B478" s="314" t="s">
        <v>1141</v>
      </c>
      <c r="C478" s="1103">
        <f>C337/C472*10^3</f>
        <v>329.95003613738487</v>
      </c>
      <c r="D478" s="1103">
        <f>D337/D472*10^3</f>
        <v>273.64903790759303</v>
      </c>
      <c r="I478" s="1106"/>
      <c r="J478" s="1106"/>
      <c r="K478" s="1106"/>
      <c r="L478" s="1106"/>
      <c r="M478" s="1106"/>
      <c r="N478" s="1106"/>
      <c r="O478" s="455"/>
      <c r="P478" s="455"/>
      <c r="Q478" s="455"/>
      <c r="R478" s="455"/>
      <c r="S478" s="455"/>
      <c r="T478" s="455"/>
      <c r="U478" s="455"/>
      <c r="V478" s="455"/>
      <c r="W478" s="455"/>
      <c r="X478" s="455"/>
      <c r="Y478" s="455"/>
      <c r="Z478" s="455"/>
      <c r="AA478" s="455"/>
      <c r="AB478" s="455"/>
      <c r="AC478" s="455"/>
      <c r="AD478" s="22"/>
      <c r="AE478" s="455"/>
      <c r="AF478" s="455"/>
      <c r="AG478" s="455"/>
      <c r="AH478" s="455"/>
      <c r="AI478" s="455"/>
      <c r="AJ478" s="455"/>
      <c r="AK478" s="455"/>
      <c r="AL478" s="455"/>
      <c r="AM478" s="455"/>
      <c r="AN478" s="455"/>
      <c r="AO478" s="455"/>
      <c r="AP478" s="455"/>
      <c r="AQ478" s="455"/>
      <c r="AR478" s="455"/>
      <c r="AS478" s="455"/>
      <c r="AT478" s="455"/>
      <c r="AU478" s="455"/>
      <c r="AV478" s="455"/>
      <c r="AW478" s="455"/>
      <c r="AX478" s="455"/>
      <c r="AY478" s="455"/>
      <c r="AZ478" s="455"/>
      <c r="BA478" s="455"/>
      <c r="BC478" s="455"/>
      <c r="BD478" s="455"/>
      <c r="BE478" s="455"/>
      <c r="BF478" s="455"/>
      <c r="BG478" s="455"/>
      <c r="BH478" s="455"/>
      <c r="BI478" s="455"/>
      <c r="BJ478" s="455"/>
      <c r="BK478" s="455"/>
      <c r="BL478" s="246"/>
      <c r="BM478" s="404">
        <f t="shared" ref="BM478:BU478" si="81">IF(BM$476="internal",10^8/BM$479/1000, BM$477)</f>
        <v>333.33333333333331</v>
      </c>
      <c r="BN478" s="404">
        <f t="shared" si="81"/>
        <v>333.33333333333331</v>
      </c>
      <c r="BO478" s="404">
        <f t="shared" si="81"/>
        <v>370.37037037037038</v>
      </c>
      <c r="BP478" s="404">
        <f t="shared" si="81"/>
        <v>370.37037037037038</v>
      </c>
      <c r="BQ478" s="404">
        <f t="shared" si="81"/>
        <v>1000</v>
      </c>
      <c r="BR478" s="404">
        <f t="shared" si="81"/>
        <v>277.77777777777777</v>
      </c>
      <c r="BS478" s="404">
        <f t="shared" si="81"/>
        <v>277.77777777777777</v>
      </c>
      <c r="BT478" s="404">
        <f t="shared" si="81"/>
        <v>370.37037037037038</v>
      </c>
      <c r="BU478" s="404">
        <f t="shared" si="81"/>
        <v>370.37037037037038</v>
      </c>
      <c r="BV478" s="259"/>
      <c r="BY478" s="445"/>
      <c r="BZ478" s="334"/>
      <c r="CA478" s="259"/>
      <c r="CB478" s="259"/>
      <c r="CC478" s="246"/>
      <c r="CD478" s="246"/>
      <c r="CE478" s="246"/>
      <c r="CF478" s="246"/>
      <c r="CG478" s="246"/>
      <c r="CH478" s="246"/>
      <c r="CI478" s="400"/>
      <c r="CK478" s="71"/>
      <c r="CM478" s="15"/>
    </row>
    <row r="479" spans="1:104" ht="15.05" hidden="1" customHeight="1">
      <c r="A479" s="108"/>
      <c r="B479" s="314" t="s">
        <v>1150</v>
      </c>
      <c r="C479" s="1103">
        <f>C338/C473*10^3</f>
        <v>257.41433733505374</v>
      </c>
      <c r="D479" s="1103">
        <f>D338/D473*10^3</f>
        <v>254.91778901304335</v>
      </c>
      <c r="I479" s="1107"/>
      <c r="J479" s="1107"/>
      <c r="K479" s="1107"/>
      <c r="L479" s="1107"/>
      <c r="M479" s="1107"/>
      <c r="N479" s="1107"/>
      <c r="O479" s="456"/>
      <c r="P479" s="456"/>
      <c r="Q479" s="456"/>
      <c r="R479" s="456"/>
      <c r="S479" s="456"/>
      <c r="T479" s="456"/>
      <c r="U479" s="456"/>
      <c r="V479" s="456"/>
      <c r="W479" s="456"/>
      <c r="X479" s="456"/>
      <c r="Y479" s="456"/>
      <c r="Z479" s="456"/>
      <c r="AA479" s="456"/>
      <c r="AB479" s="456"/>
      <c r="AC479" s="456"/>
      <c r="AD479" s="22"/>
      <c r="AE479" s="456"/>
      <c r="AF479" s="456"/>
      <c r="AG479" s="456"/>
      <c r="AH479" s="456"/>
      <c r="AI479" s="456"/>
      <c r="AJ479" s="456"/>
      <c r="AK479" s="456"/>
      <c r="AL479" s="456"/>
      <c r="AM479" s="456"/>
      <c r="AN479" s="456"/>
      <c r="AO479" s="456"/>
      <c r="AP479" s="456"/>
      <c r="AQ479" s="456"/>
      <c r="AR479" s="456"/>
      <c r="AS479" s="456"/>
      <c r="AT479" s="456"/>
      <c r="AU479" s="456"/>
      <c r="AV479" s="456"/>
      <c r="AW479" s="456"/>
      <c r="AX479" s="456"/>
      <c r="AY479" s="456"/>
      <c r="AZ479" s="456"/>
      <c r="BA479" s="456"/>
      <c r="BC479" s="456"/>
      <c r="BD479" s="456"/>
      <c r="BE479" s="456"/>
      <c r="BF479" s="456"/>
      <c r="BG479" s="456"/>
      <c r="BH479" s="456"/>
      <c r="BI479" s="456"/>
      <c r="BJ479" s="456"/>
      <c r="BK479" s="456"/>
      <c r="BL479" s="246"/>
      <c r="BM479" s="258">
        <v>300</v>
      </c>
      <c r="BN479" s="258">
        <v>300</v>
      </c>
      <c r="BO479" s="258">
        <v>270</v>
      </c>
      <c r="BP479" s="258">
        <v>270</v>
      </c>
      <c r="BQ479" s="258">
        <v>100</v>
      </c>
      <c r="BR479" s="258">
        <v>360</v>
      </c>
      <c r="BS479" s="258">
        <v>360</v>
      </c>
      <c r="BT479" s="258">
        <v>270</v>
      </c>
      <c r="BU479" s="258">
        <v>270</v>
      </c>
      <c r="BV479" s="259"/>
      <c r="BY479" s="445"/>
      <c r="BZ479" s="334"/>
      <c r="CA479" s="259"/>
      <c r="CB479" s="259"/>
      <c r="CC479" s="246"/>
      <c r="CD479" s="246"/>
      <c r="CE479" s="246"/>
      <c r="CF479" s="246"/>
      <c r="CG479" s="246"/>
      <c r="CH479" s="246"/>
      <c r="CI479" s="457"/>
      <c r="CM479" s="15"/>
    </row>
    <row r="480" spans="1:104" ht="15.05" hidden="1" customHeight="1">
      <c r="A480" s="108"/>
      <c r="B480" s="314" t="s">
        <v>875</v>
      </c>
      <c r="C480" s="1108">
        <f>C575/C479</f>
        <v>1.8524773129795395</v>
      </c>
      <c r="D480" s="1108">
        <f>D575/D479</f>
        <v>0.29421249999999993</v>
      </c>
      <c r="E480" s="1109"/>
      <c r="I480" s="1109"/>
      <c r="J480" s="1109"/>
      <c r="K480" s="1109"/>
      <c r="L480" s="1109"/>
      <c r="M480" s="1109"/>
      <c r="N480" s="1109"/>
      <c r="O480" s="459"/>
      <c r="P480" s="459"/>
      <c r="Q480" s="459"/>
      <c r="R480" s="459"/>
      <c r="S480" s="459"/>
      <c r="T480" s="459"/>
      <c r="U480" s="459"/>
      <c r="V480" s="459"/>
      <c r="W480" s="459"/>
      <c r="X480" s="459"/>
      <c r="Y480" s="459"/>
      <c r="Z480" s="459"/>
      <c r="AA480" s="459"/>
      <c r="AB480" s="459"/>
      <c r="AC480" s="459"/>
      <c r="AD480" s="22"/>
      <c r="AE480" s="459"/>
      <c r="AF480" s="459"/>
      <c r="AG480" s="459"/>
      <c r="AH480" s="459"/>
      <c r="AI480" s="459"/>
      <c r="AJ480" s="459"/>
      <c r="AK480" s="459"/>
      <c r="AL480" s="459"/>
      <c r="AM480" s="459"/>
      <c r="AN480" s="459"/>
      <c r="AO480" s="459"/>
      <c r="AP480" s="459"/>
      <c r="AQ480" s="459"/>
      <c r="AR480" s="459"/>
      <c r="AS480" s="459"/>
      <c r="AT480" s="459"/>
      <c r="AU480" s="459"/>
      <c r="AV480" s="459"/>
      <c r="AW480" s="459"/>
      <c r="AX480" s="459"/>
      <c r="AY480" s="459"/>
      <c r="AZ480" s="459"/>
      <c r="BA480" s="459"/>
      <c r="BC480" s="459"/>
      <c r="BD480" s="459"/>
      <c r="BE480" s="459"/>
      <c r="BF480" s="459"/>
      <c r="BG480" s="459"/>
      <c r="BH480" s="459"/>
      <c r="BI480" s="459"/>
      <c r="BJ480" s="459"/>
      <c r="BK480" s="459"/>
      <c r="BL480" s="246"/>
      <c r="BM480" s="406">
        <f t="shared" ref="BM480:BU480" si="82">10^8/BM$477/1000</f>
        <v>312.5</v>
      </c>
      <c r="BN480" s="406">
        <f t="shared" si="82"/>
        <v>333.33333333333331</v>
      </c>
      <c r="BO480" s="406">
        <f t="shared" si="82"/>
        <v>270.27027027027032</v>
      </c>
      <c r="BP480" s="406">
        <f t="shared" si="82"/>
        <v>270.27027027027032</v>
      </c>
      <c r="BQ480" s="406">
        <f t="shared" si="82"/>
        <v>100</v>
      </c>
      <c r="BR480" s="406">
        <f t="shared" si="82"/>
        <v>270.27027027027032</v>
      </c>
      <c r="BS480" s="406">
        <f t="shared" si="82"/>
        <v>270.27027027027032</v>
      </c>
      <c r="BT480" s="406">
        <f t="shared" si="82"/>
        <v>312.5</v>
      </c>
      <c r="BU480" s="406">
        <f t="shared" si="82"/>
        <v>333.33333333333331</v>
      </c>
      <c r="BV480" s="259"/>
      <c r="BY480" s="445"/>
      <c r="BZ480" s="334"/>
      <c r="CA480" s="259"/>
      <c r="CB480" s="259"/>
      <c r="CC480" s="246"/>
      <c r="CD480" s="246"/>
      <c r="CE480" s="246"/>
      <c r="CF480" s="246"/>
      <c r="CG480" s="246"/>
      <c r="CH480" s="246"/>
      <c r="CI480" s="334"/>
    </row>
    <row r="481" spans="1:91" ht="15.05" hidden="1" customHeight="1">
      <c r="A481" s="108"/>
      <c r="B481" s="1110" t="s">
        <v>797</v>
      </c>
      <c r="C481" s="1038"/>
      <c r="D481" s="1038"/>
      <c r="E481" s="1109"/>
      <c r="I481" s="1109"/>
      <c r="J481" s="1109"/>
      <c r="K481" s="1109"/>
      <c r="L481" s="1109"/>
      <c r="M481" s="1109"/>
      <c r="N481" s="1109"/>
      <c r="O481" s="459"/>
      <c r="P481" s="459"/>
      <c r="Q481" s="459"/>
      <c r="R481" s="459"/>
      <c r="S481" s="459"/>
      <c r="T481" s="459"/>
      <c r="U481" s="459"/>
      <c r="V481" s="459"/>
      <c r="W481" s="459"/>
      <c r="X481" s="459"/>
      <c r="Y481" s="459"/>
      <c r="Z481" s="459"/>
      <c r="AA481" s="459"/>
      <c r="AB481" s="459"/>
      <c r="AC481" s="459"/>
      <c r="AD481" s="22"/>
      <c r="AE481" s="459"/>
      <c r="AF481" s="459"/>
      <c r="AG481" s="459"/>
      <c r="AH481" s="459"/>
      <c r="AI481" s="459"/>
      <c r="AJ481" s="459"/>
      <c r="AK481" s="459"/>
      <c r="AL481" s="459"/>
      <c r="AM481" s="459"/>
      <c r="AN481" s="459"/>
      <c r="AO481" s="459"/>
      <c r="AP481" s="459"/>
      <c r="AQ481" s="459"/>
      <c r="AR481" s="459"/>
      <c r="AS481" s="459"/>
      <c r="AT481" s="459"/>
      <c r="AU481" s="459"/>
      <c r="AV481" s="459"/>
      <c r="AW481" s="459"/>
      <c r="AX481" s="459"/>
      <c r="AY481" s="459"/>
      <c r="AZ481" s="459"/>
      <c r="BA481" s="459"/>
      <c r="BC481" s="459"/>
      <c r="BD481" s="459"/>
      <c r="BE481" s="459"/>
      <c r="BF481" s="459"/>
      <c r="BG481" s="459"/>
      <c r="BH481" s="459"/>
      <c r="BI481" s="459"/>
      <c r="BJ481" s="459"/>
      <c r="BK481" s="459"/>
      <c r="BL481" s="246"/>
      <c r="BM481" s="460"/>
      <c r="BN481" s="460"/>
      <c r="BO481" s="460"/>
      <c r="BP481" s="460"/>
      <c r="BQ481" s="460"/>
      <c r="BR481" s="460"/>
      <c r="BS481" s="460"/>
      <c r="BT481" s="460"/>
      <c r="BU481" s="460"/>
      <c r="BV481" s="259"/>
      <c r="BW481" s="246"/>
      <c r="BX481" s="246"/>
      <c r="BY481" s="445"/>
      <c r="BZ481" s="334"/>
      <c r="CA481" s="259"/>
      <c r="CB481" s="259"/>
      <c r="CC481" s="246"/>
      <c r="CD481" s="246"/>
      <c r="CE481" s="246"/>
      <c r="CF481" s="246"/>
      <c r="CG481" s="246"/>
      <c r="CH481" s="246"/>
      <c r="CI481" s="461"/>
    </row>
    <row r="482" spans="1:91" ht="15.05" hidden="1" customHeight="1">
      <c r="A482" s="108"/>
      <c r="B482" s="293" t="s">
        <v>263</v>
      </c>
      <c r="C482" s="1098">
        <f>C95</f>
        <v>5.3</v>
      </c>
      <c r="D482" s="1098">
        <f>C96</f>
        <v>5.6</v>
      </c>
      <c r="E482" s="392"/>
      <c r="I482" s="392"/>
      <c r="J482" s="392"/>
      <c r="K482" s="392"/>
      <c r="L482" s="392"/>
      <c r="M482" s="392"/>
      <c r="N482" s="392"/>
      <c r="O482" s="333"/>
      <c r="P482" s="333"/>
      <c r="Q482" s="333"/>
      <c r="R482" s="333"/>
      <c r="S482" s="333"/>
      <c r="T482" s="333"/>
      <c r="U482" s="333"/>
      <c r="V482" s="333"/>
      <c r="W482" s="333"/>
      <c r="X482" s="333"/>
      <c r="Y482" s="333"/>
      <c r="Z482" s="333"/>
      <c r="AA482" s="333"/>
      <c r="AB482" s="333"/>
      <c r="AC482" s="333"/>
      <c r="AD482" s="22"/>
      <c r="AE482" s="333"/>
      <c r="AF482" s="333"/>
      <c r="AG482" s="333"/>
      <c r="AH482" s="333"/>
      <c r="AI482" s="333"/>
      <c r="AJ482" s="333"/>
      <c r="AK482" s="333"/>
      <c r="AL482" s="333"/>
      <c r="AM482" s="333"/>
      <c r="AN482" s="333"/>
      <c r="AO482" s="333"/>
      <c r="AP482" s="333"/>
      <c r="AQ482" s="333"/>
      <c r="AR482" s="333"/>
      <c r="AS482" s="333"/>
      <c r="AT482" s="333"/>
      <c r="AU482" s="333"/>
      <c r="AV482" s="333"/>
      <c r="AW482" s="333"/>
      <c r="AX482" s="333"/>
      <c r="AY482" s="333"/>
      <c r="AZ482" s="333"/>
      <c r="BA482" s="333"/>
      <c r="BC482" s="333"/>
      <c r="BD482" s="333"/>
      <c r="BE482" s="333"/>
      <c r="BF482" s="333"/>
      <c r="BG482" s="333"/>
      <c r="BH482" s="333"/>
      <c r="BI482" s="333"/>
      <c r="BJ482" s="333"/>
      <c r="BK482" s="333"/>
      <c r="BL482" s="246"/>
      <c r="BM482" s="253">
        <v>6</v>
      </c>
      <c r="BN482" s="253">
        <v>6</v>
      </c>
      <c r="BO482" s="253">
        <v>8</v>
      </c>
      <c r="BP482" s="253">
        <v>8</v>
      </c>
      <c r="BQ482" s="253">
        <v>5</v>
      </c>
      <c r="BR482" s="253">
        <v>8</v>
      </c>
      <c r="BS482" s="253">
        <v>8</v>
      </c>
      <c r="BT482" s="253">
        <v>8.5</v>
      </c>
      <c r="BU482" s="253">
        <v>8.5</v>
      </c>
      <c r="BV482" s="259"/>
      <c r="BY482" s="445"/>
      <c r="BZ482" s="334"/>
      <c r="CA482" s="259"/>
      <c r="CB482" s="259"/>
      <c r="CC482" s="246"/>
      <c r="CD482" s="246"/>
      <c r="CE482" s="246"/>
      <c r="CF482" s="246"/>
      <c r="CG482" s="246"/>
      <c r="CH482" s="246"/>
      <c r="CI482" s="72"/>
    </row>
    <row r="483" spans="1:91" ht="15.05" hidden="1" customHeight="1">
      <c r="A483" s="108"/>
      <c r="B483" s="293" t="s">
        <v>264</v>
      </c>
      <c r="C483" s="1111">
        <f>D95</f>
        <v>0.01</v>
      </c>
      <c r="D483" s="1111">
        <f>D96</f>
        <v>0.01</v>
      </c>
      <c r="E483" s="392"/>
      <c r="I483" s="392"/>
      <c r="J483" s="392"/>
      <c r="K483" s="392"/>
      <c r="L483" s="392"/>
      <c r="M483" s="392"/>
      <c r="N483" s="392"/>
      <c r="O483" s="333"/>
      <c r="P483" s="333"/>
      <c r="Q483" s="333"/>
      <c r="R483" s="333"/>
      <c r="S483" s="333"/>
      <c r="T483" s="333"/>
      <c r="U483" s="333"/>
      <c r="V483" s="333"/>
      <c r="W483" s="333"/>
      <c r="X483" s="333"/>
      <c r="Y483" s="333"/>
      <c r="Z483" s="333"/>
      <c r="AA483" s="333"/>
      <c r="AB483" s="333"/>
      <c r="AC483" s="333"/>
      <c r="AD483" s="22"/>
      <c r="AE483" s="333"/>
      <c r="AF483" s="333"/>
      <c r="AG483" s="333"/>
      <c r="AH483" s="333"/>
      <c r="AI483" s="333"/>
      <c r="AJ483" s="333"/>
      <c r="AK483" s="333"/>
      <c r="AL483" s="333"/>
      <c r="AM483" s="333"/>
      <c r="AN483" s="333"/>
      <c r="AO483" s="333"/>
      <c r="AP483" s="333"/>
      <c r="AQ483" s="333"/>
      <c r="AR483" s="333"/>
      <c r="AS483" s="333"/>
      <c r="AT483" s="333"/>
      <c r="AU483" s="333"/>
      <c r="AV483" s="333"/>
      <c r="AW483" s="333"/>
      <c r="AX483" s="333"/>
      <c r="AY483" s="333"/>
      <c r="AZ483" s="333"/>
      <c r="BA483" s="333"/>
      <c r="BC483" s="333"/>
      <c r="BD483" s="333"/>
      <c r="BE483" s="333"/>
      <c r="BF483" s="333"/>
      <c r="BG483" s="333"/>
      <c r="BH483" s="333"/>
      <c r="BI483" s="333"/>
      <c r="BJ483" s="333"/>
      <c r="BK483" s="333"/>
      <c r="BL483" s="246"/>
      <c r="BM483" s="253">
        <v>12</v>
      </c>
      <c r="BN483" s="253">
        <v>12</v>
      </c>
      <c r="BO483" s="253">
        <v>10.8</v>
      </c>
      <c r="BP483" s="253">
        <v>10.8</v>
      </c>
      <c r="BQ483" s="253">
        <v>5</v>
      </c>
      <c r="BR483" s="253">
        <v>12</v>
      </c>
      <c r="BS483" s="253">
        <v>12</v>
      </c>
      <c r="BT483" s="253">
        <v>18</v>
      </c>
      <c r="BU483" s="253">
        <v>18</v>
      </c>
      <c r="BV483" s="259"/>
      <c r="BY483" s="445"/>
      <c r="BZ483" s="334"/>
      <c r="CA483" s="259"/>
      <c r="CB483" s="259"/>
      <c r="CC483" s="246"/>
      <c r="CD483" s="246"/>
      <c r="CE483" s="246"/>
      <c r="CF483" s="246"/>
      <c r="CG483" s="246"/>
      <c r="CH483" s="246"/>
    </row>
    <row r="484" spans="1:91" ht="15.05" hidden="1" customHeight="1" thickBot="1">
      <c r="A484" s="108"/>
      <c r="B484" s="268" t="s">
        <v>542</v>
      </c>
      <c r="C484" s="1112">
        <v>160</v>
      </c>
      <c r="D484" s="1112">
        <v>160</v>
      </c>
      <c r="E484" s="392" t="s">
        <v>179</v>
      </c>
      <c r="I484" s="392"/>
      <c r="J484" s="392"/>
      <c r="K484" s="392"/>
      <c r="L484" s="392"/>
      <c r="M484" s="392"/>
      <c r="N484" s="392"/>
      <c r="O484" s="333"/>
      <c r="P484" s="333"/>
      <c r="Q484" s="333"/>
      <c r="R484" s="333"/>
      <c r="S484" s="333"/>
      <c r="T484" s="333"/>
      <c r="U484" s="333"/>
      <c r="V484" s="333"/>
      <c r="W484" s="333"/>
      <c r="X484" s="333"/>
      <c r="Y484" s="333"/>
      <c r="Z484" s="333"/>
      <c r="AA484" s="333"/>
      <c r="AB484" s="333"/>
      <c r="AC484" s="333"/>
      <c r="AD484" s="22"/>
      <c r="AE484" s="333"/>
      <c r="AF484" s="333"/>
      <c r="AG484" s="333"/>
      <c r="AH484" s="333"/>
      <c r="AI484" s="333"/>
      <c r="AJ484" s="333"/>
      <c r="AK484" s="333"/>
      <c r="AL484" s="333"/>
      <c r="AM484" s="333"/>
      <c r="AN484" s="333"/>
      <c r="AO484" s="333"/>
      <c r="AP484" s="333"/>
      <c r="AQ484" s="333"/>
      <c r="AR484" s="333"/>
      <c r="AS484" s="333"/>
      <c r="AT484" s="333"/>
      <c r="AU484" s="333"/>
      <c r="AV484" s="333"/>
      <c r="AW484" s="333"/>
      <c r="AX484" s="333"/>
      <c r="AY484" s="333"/>
      <c r="AZ484" s="333"/>
      <c r="BA484" s="333"/>
      <c r="BC484" s="333"/>
      <c r="BD484" s="333"/>
      <c r="BE484" s="333"/>
      <c r="BF484" s="333"/>
      <c r="BG484" s="333"/>
      <c r="BH484" s="333"/>
      <c r="BI484" s="333"/>
      <c r="BJ484" s="333"/>
      <c r="BK484" s="333"/>
      <c r="BL484" s="246"/>
      <c r="BM484" s="253"/>
      <c r="BN484" s="253"/>
      <c r="BO484" s="253"/>
      <c r="BP484" s="253"/>
      <c r="BQ484" s="253"/>
      <c r="BR484" s="253"/>
      <c r="BS484" s="253"/>
      <c r="BT484" s="253"/>
      <c r="BU484" s="253"/>
      <c r="BV484" s="259"/>
      <c r="BY484" s="445"/>
      <c r="BZ484" s="334"/>
      <c r="CA484" s="259"/>
      <c r="CB484" s="259"/>
      <c r="CC484" s="246"/>
      <c r="CD484" s="246"/>
      <c r="CE484" s="246"/>
      <c r="CF484" s="246"/>
      <c r="CG484" s="246"/>
      <c r="CH484" s="246"/>
    </row>
    <row r="485" spans="1:91" ht="15.05" hidden="1" customHeight="1" thickBot="1">
      <c r="A485" s="108"/>
      <c r="B485" s="293" t="s">
        <v>265</v>
      </c>
      <c r="C485" s="1113">
        <f>E95</f>
        <v>4</v>
      </c>
      <c r="D485" s="1113">
        <f>E96</f>
        <v>4</v>
      </c>
      <c r="E485" s="392"/>
      <c r="I485" s="392"/>
      <c r="J485" s="392"/>
      <c r="K485" s="392"/>
      <c r="L485" s="392"/>
      <c r="M485" s="392"/>
      <c r="N485" s="392"/>
      <c r="O485" s="333"/>
      <c r="P485" s="333"/>
      <c r="Q485" s="333"/>
      <c r="R485" s="333"/>
      <c r="S485" s="333"/>
      <c r="T485" s="333"/>
      <c r="U485" s="333"/>
      <c r="V485" s="333"/>
      <c r="W485" s="333"/>
      <c r="X485" s="333"/>
      <c r="Y485" s="333"/>
      <c r="Z485" s="333"/>
      <c r="AA485" s="333"/>
      <c r="AB485" s="333"/>
      <c r="AC485" s="333"/>
      <c r="AD485" s="22"/>
      <c r="AE485" s="333"/>
      <c r="AF485" s="333"/>
      <c r="AG485" s="333"/>
      <c r="AH485" s="333"/>
      <c r="AI485" s="333"/>
      <c r="AJ485" s="333"/>
      <c r="AK485" s="333"/>
      <c r="AL485" s="333"/>
      <c r="AM485" s="333"/>
      <c r="AN485" s="333"/>
      <c r="AO485" s="333"/>
      <c r="AP485" s="333"/>
      <c r="AQ485" s="333"/>
      <c r="AR485" s="333"/>
      <c r="AS485" s="333"/>
      <c r="AT485" s="333"/>
      <c r="AU485" s="333"/>
      <c r="AV485" s="333"/>
      <c r="AW485" s="333"/>
      <c r="AX485" s="333"/>
      <c r="AY485" s="333"/>
      <c r="AZ485" s="333"/>
      <c r="BA485" s="333"/>
      <c r="BC485" s="333"/>
      <c r="BD485" s="333"/>
      <c r="BE485" s="333"/>
      <c r="BF485" s="333"/>
      <c r="BG485" s="333"/>
      <c r="BH485" s="333"/>
      <c r="BI485" s="333"/>
      <c r="BJ485" s="333"/>
      <c r="BK485" s="333"/>
      <c r="BL485" s="246"/>
      <c r="BM485" s="253">
        <v>19</v>
      </c>
      <c r="BN485" s="253">
        <v>19</v>
      </c>
      <c r="BO485" s="253">
        <v>15</v>
      </c>
      <c r="BP485" s="253">
        <v>15</v>
      </c>
      <c r="BQ485" s="253">
        <v>5</v>
      </c>
      <c r="BR485" s="253">
        <v>19</v>
      </c>
      <c r="BS485" s="253">
        <v>19</v>
      </c>
      <c r="BT485" s="253">
        <v>28</v>
      </c>
      <c r="BU485" s="253">
        <v>28</v>
      </c>
      <c r="BV485" s="259"/>
      <c r="BY485" s="445"/>
      <c r="BZ485" s="334"/>
      <c r="CA485" s="259"/>
      <c r="CB485" s="259"/>
      <c r="CC485" s="246"/>
      <c r="CD485" s="246"/>
      <c r="CE485" s="246"/>
      <c r="CF485" s="246"/>
      <c r="CG485" s="75" t="s">
        <v>935</v>
      </c>
      <c r="CH485" s="76"/>
    </row>
    <row r="486" spans="1:91" ht="15.05" hidden="1" customHeight="1" thickBot="1">
      <c r="A486" s="108"/>
      <c r="B486" s="314" t="s">
        <v>266</v>
      </c>
      <c r="C486" s="1114">
        <f>C485/C482</f>
        <v>0.75471698113207553</v>
      </c>
      <c r="D486" s="1114">
        <f>D485/D482</f>
        <v>0.7142857142857143</v>
      </c>
      <c r="E486" s="392"/>
      <c r="I486" s="392"/>
      <c r="J486" s="392"/>
      <c r="K486" s="392"/>
      <c r="L486" s="392"/>
      <c r="M486" s="392"/>
      <c r="N486" s="392"/>
      <c r="O486" s="333"/>
      <c r="P486" s="333"/>
      <c r="Q486" s="333"/>
      <c r="R486" s="333"/>
      <c r="S486" s="333"/>
      <c r="T486" s="333"/>
      <c r="U486" s="333"/>
      <c r="V486" s="333"/>
      <c r="W486" s="333"/>
      <c r="X486" s="333"/>
      <c r="Y486" s="333"/>
      <c r="Z486" s="333"/>
      <c r="AA486" s="333"/>
      <c r="AB486" s="333"/>
      <c r="AC486" s="333"/>
      <c r="AD486" s="22"/>
      <c r="AE486" s="333"/>
      <c r="AF486" s="333"/>
      <c r="AG486" s="333"/>
      <c r="AH486" s="333"/>
      <c r="AI486" s="333"/>
      <c r="AJ486" s="333"/>
      <c r="AK486" s="333"/>
      <c r="AL486" s="333"/>
      <c r="AM486" s="333"/>
      <c r="AN486" s="333"/>
      <c r="AO486" s="333"/>
      <c r="AP486" s="333"/>
      <c r="AQ486" s="333"/>
      <c r="AR486" s="333"/>
      <c r="AS486" s="333"/>
      <c r="AT486" s="333"/>
      <c r="AU486" s="333"/>
      <c r="AV486" s="333"/>
      <c r="AW486" s="333"/>
      <c r="AX486" s="333"/>
      <c r="AY486" s="333"/>
      <c r="AZ486" s="333"/>
      <c r="BA486" s="333"/>
      <c r="BC486" s="333"/>
      <c r="BD486" s="333"/>
      <c r="BE486" s="333"/>
      <c r="BF486" s="333"/>
      <c r="BG486" s="333"/>
      <c r="BH486" s="333"/>
      <c r="BI486" s="333"/>
      <c r="BJ486" s="333"/>
      <c r="BK486" s="333"/>
      <c r="BL486" s="246"/>
      <c r="BM486" s="408">
        <v>8</v>
      </c>
      <c r="BN486" s="408">
        <v>8</v>
      </c>
      <c r="BO486" s="408">
        <v>2.4</v>
      </c>
      <c r="BP486" s="408">
        <v>4</v>
      </c>
      <c r="BQ486" s="408">
        <v>10</v>
      </c>
      <c r="BR486" s="408">
        <v>6</v>
      </c>
      <c r="BS486" s="408">
        <v>6</v>
      </c>
      <c r="BT486" s="408">
        <v>2</v>
      </c>
      <c r="BU486" s="408">
        <v>2</v>
      </c>
      <c r="BV486" s="259"/>
      <c r="BW486" s="246"/>
      <c r="BX486" s="246"/>
      <c r="BY486" s="445"/>
      <c r="BZ486" s="334"/>
      <c r="CA486" s="259"/>
      <c r="CB486" s="259"/>
      <c r="CC486" s="246"/>
      <c r="CD486" s="246"/>
      <c r="CE486" s="246"/>
      <c r="CF486" s="246"/>
      <c r="CG486" s="246"/>
      <c r="CH486" s="463" t="s">
        <v>975</v>
      </c>
      <c r="CI486" s="464" t="s">
        <v>974</v>
      </c>
    </row>
    <row r="487" spans="1:91" ht="15.05" hidden="1" customHeight="1">
      <c r="A487" s="108"/>
      <c r="B487" s="293" t="s">
        <v>543</v>
      </c>
      <c r="C487" s="1103">
        <f>C106</f>
        <v>1</v>
      </c>
      <c r="D487" s="1103">
        <f>C107</f>
        <v>1</v>
      </c>
      <c r="E487" s="392"/>
      <c r="I487" s="392"/>
      <c r="J487" s="392"/>
      <c r="K487" s="392"/>
      <c r="L487" s="392"/>
      <c r="M487" s="392"/>
      <c r="N487" s="392"/>
      <c r="O487" s="333"/>
      <c r="P487" s="333"/>
      <c r="Q487" s="333"/>
      <c r="R487" s="333"/>
      <c r="S487" s="333"/>
      <c r="T487" s="333"/>
      <c r="U487" s="333"/>
      <c r="V487" s="333"/>
      <c r="W487" s="333"/>
      <c r="X487" s="333"/>
      <c r="Y487" s="333"/>
      <c r="Z487" s="333"/>
      <c r="AA487" s="333"/>
      <c r="AB487" s="333"/>
      <c r="AC487" s="333"/>
      <c r="AD487" s="22"/>
      <c r="AE487" s="333"/>
      <c r="AF487" s="333"/>
      <c r="AG487" s="333"/>
      <c r="AH487" s="333"/>
      <c r="AI487" s="333"/>
      <c r="AJ487" s="333"/>
      <c r="AK487" s="333"/>
      <c r="AL487" s="333"/>
      <c r="AM487" s="333"/>
      <c r="AN487" s="333"/>
      <c r="AO487" s="333"/>
      <c r="AP487" s="333"/>
      <c r="AQ487" s="333"/>
      <c r="AR487" s="333"/>
      <c r="AS487" s="333"/>
      <c r="AT487" s="333"/>
      <c r="AU487" s="333"/>
      <c r="AV487" s="333"/>
      <c r="AW487" s="333"/>
      <c r="AX487" s="333"/>
      <c r="AY487" s="333"/>
      <c r="AZ487" s="333"/>
      <c r="BA487" s="333"/>
      <c r="BC487" s="333"/>
      <c r="BD487" s="333"/>
      <c r="BE487" s="333"/>
      <c r="BF487" s="333"/>
      <c r="BG487" s="333"/>
      <c r="BH487" s="333"/>
      <c r="BI487" s="333"/>
      <c r="BJ487" s="333"/>
      <c r="BK487" s="333"/>
      <c r="BL487" s="246"/>
      <c r="BM487" s="465"/>
      <c r="BN487" s="465"/>
      <c r="BO487" s="465"/>
      <c r="BP487" s="465"/>
      <c r="BQ487" s="465"/>
      <c r="BR487" s="465"/>
      <c r="BS487" s="465"/>
      <c r="BT487" s="465"/>
      <c r="BU487" s="465"/>
      <c r="BV487" s="259"/>
      <c r="BW487" s="246"/>
      <c r="BX487" s="246"/>
      <c r="BY487" s="445"/>
      <c r="BZ487" s="334"/>
      <c r="CA487" s="259"/>
      <c r="CB487" s="259"/>
      <c r="CC487" s="246"/>
      <c r="CD487" s="246"/>
      <c r="CE487" s="246"/>
      <c r="CF487" s="246"/>
      <c r="CG487" s="246"/>
      <c r="CH487" s="466"/>
      <c r="CI487" s="467"/>
    </row>
    <row r="488" spans="1:91" ht="15.05" hidden="1" customHeight="1">
      <c r="A488" s="108"/>
      <c r="B488" s="314" t="s">
        <v>178</v>
      </c>
      <c r="C488" s="1022">
        <f>C486/C487</f>
        <v>0.75471698113207553</v>
      </c>
      <c r="D488" s="1022">
        <f>D486/D487</f>
        <v>0.7142857142857143</v>
      </c>
      <c r="E488" s="995"/>
      <c r="I488" s="995"/>
      <c r="J488" s="995"/>
      <c r="K488" s="995"/>
      <c r="L488" s="995"/>
      <c r="M488" s="995"/>
      <c r="N488" s="995"/>
      <c r="O488" s="334"/>
      <c r="P488" s="334"/>
      <c r="Q488" s="334"/>
      <c r="R488" s="334"/>
      <c r="S488" s="334"/>
      <c r="T488" s="334"/>
      <c r="U488" s="334"/>
      <c r="V488" s="334"/>
      <c r="W488" s="334"/>
      <c r="X488" s="334"/>
      <c r="Y488" s="334"/>
      <c r="Z488" s="334"/>
      <c r="AA488" s="334"/>
      <c r="AB488" s="334"/>
      <c r="AC488" s="334"/>
      <c r="AD488" s="22"/>
      <c r="AE488" s="334"/>
      <c r="AF488" s="334"/>
      <c r="AG488" s="334"/>
      <c r="AH488" s="334"/>
      <c r="AI488" s="334"/>
      <c r="AJ488" s="334"/>
      <c r="AK488" s="334"/>
      <c r="AL488" s="334"/>
      <c r="AM488" s="334"/>
      <c r="AN488" s="334"/>
      <c r="AO488" s="334"/>
      <c r="AP488" s="334"/>
      <c r="AQ488" s="334"/>
      <c r="AR488" s="334"/>
      <c r="AS488" s="334"/>
      <c r="AT488" s="334"/>
      <c r="AU488" s="334"/>
      <c r="AV488" s="334"/>
      <c r="AW488" s="334"/>
      <c r="AX488" s="334"/>
      <c r="AY488" s="334"/>
      <c r="AZ488" s="334"/>
      <c r="BA488" s="334"/>
      <c r="BC488" s="334"/>
      <c r="BD488" s="334"/>
      <c r="BE488" s="334"/>
      <c r="BF488" s="334"/>
      <c r="BG488" s="334"/>
      <c r="BH488" s="334"/>
      <c r="BI488" s="334"/>
      <c r="BJ488" s="334"/>
      <c r="BK488" s="334"/>
      <c r="BL488" s="246"/>
      <c r="BM488" s="246"/>
      <c r="BN488" s="246"/>
      <c r="BO488" s="246"/>
      <c r="BP488" s="246"/>
      <c r="BQ488" s="246"/>
      <c r="BR488" s="246"/>
      <c r="BS488" s="246"/>
      <c r="BT488" s="246"/>
      <c r="BU488" s="246"/>
      <c r="BV488" s="259"/>
      <c r="BW488" s="259"/>
      <c r="BX488" s="259"/>
      <c r="BY488" s="445"/>
      <c r="BZ488" s="334"/>
      <c r="CA488" s="259"/>
      <c r="CB488" s="259"/>
      <c r="CC488" s="246"/>
      <c r="CD488" s="246"/>
      <c r="CE488" s="246"/>
      <c r="CF488" s="246"/>
      <c r="CG488" s="468" t="s">
        <v>267</v>
      </c>
      <c r="CH488" s="469">
        <v>9.1999999999999993</v>
      </c>
      <c r="CI488" s="469">
        <v>9.1999999999999993</v>
      </c>
      <c r="CM488" s="16"/>
    </row>
    <row r="489" spans="1:91" ht="15.05" hidden="1" customHeight="1">
      <c r="A489" s="108"/>
      <c r="B489" s="314" t="s">
        <v>544</v>
      </c>
      <c r="C489" s="1044">
        <f>F106</f>
        <v>1</v>
      </c>
      <c r="D489" s="1044">
        <f>F107</f>
        <v>1</v>
      </c>
      <c r="E489" s="1115"/>
      <c r="I489" s="1116"/>
      <c r="J489" s="1116"/>
      <c r="K489" s="1116"/>
      <c r="L489" s="1116"/>
      <c r="M489" s="1116"/>
      <c r="N489" s="1116"/>
      <c r="O489" s="434"/>
      <c r="P489" s="434"/>
      <c r="Q489" s="434"/>
      <c r="R489" s="434"/>
      <c r="S489" s="434"/>
      <c r="T489" s="434"/>
      <c r="U489" s="434"/>
      <c r="V489" s="434"/>
      <c r="W489" s="434"/>
      <c r="X489" s="434"/>
      <c r="Y489" s="434"/>
      <c r="Z489" s="434"/>
      <c r="AA489" s="434"/>
      <c r="AB489" s="434"/>
      <c r="AC489" s="434"/>
      <c r="AD489" s="22"/>
      <c r="AE489" s="434"/>
      <c r="AF489" s="434"/>
      <c r="AG489" s="434"/>
      <c r="AH489" s="434"/>
      <c r="AI489" s="434"/>
      <c r="AJ489" s="434"/>
      <c r="AK489" s="434"/>
      <c r="AL489" s="434"/>
      <c r="AM489" s="434"/>
      <c r="AN489" s="434"/>
      <c r="AO489" s="434"/>
      <c r="AP489" s="434"/>
      <c r="AQ489" s="434"/>
      <c r="AR489" s="434"/>
      <c r="AS489" s="434"/>
      <c r="AT489" s="434"/>
      <c r="AU489" s="434"/>
      <c r="AV489" s="434"/>
      <c r="AW489" s="434"/>
      <c r="AX489" s="434"/>
      <c r="AY489" s="434"/>
      <c r="AZ489" s="434"/>
      <c r="BA489" s="434"/>
      <c r="BC489" s="434"/>
      <c r="BD489" s="434"/>
      <c r="BE489" s="434"/>
      <c r="BF489" s="434"/>
      <c r="BG489" s="434"/>
      <c r="BH489" s="434"/>
      <c r="BI489" s="434"/>
      <c r="BJ489" s="434"/>
      <c r="BK489" s="434"/>
      <c r="BL489" s="246"/>
      <c r="BM489" s="471" t="e">
        <f>(#REF!-BM$339)*BM$339/#REF!/(0.33*BM$486*BM$478*10)*10^4</f>
        <v>#REF!</v>
      </c>
      <c r="BN489" s="471" t="e">
        <f>(#REF!-BN$339)*BN$339/#REF!/(0.33*BN$486*BN$478*10)*10^4</f>
        <v>#REF!</v>
      </c>
      <c r="BO489" s="471" t="e">
        <f>(#REF!-BO$339)*BO$339/#REF!/(0.33*BO$486*BO$478*10)*10^4</f>
        <v>#REF!</v>
      </c>
      <c r="BP489" s="471" t="e">
        <f>(#REF!-BP$339)*BP$339/#REF!/(0.33*BP$486*BP$478*10)*10^4</f>
        <v>#REF!</v>
      </c>
      <c r="BQ489" s="471" t="e">
        <f>(#REF!-BQ$339)*BQ$339/#REF!/(0.33*BQ$486*BQ$478*10)*10^4</f>
        <v>#REF!</v>
      </c>
      <c r="BR489" s="471" t="e">
        <f>(#REF!-BR$339)*BR$339/#REF!/(0.33*BR$486*BR$478*10)*10^4</f>
        <v>#REF!</v>
      </c>
      <c r="BS489" s="471" t="e">
        <f>(#REF!-BS$339)*BS$339/#REF!/(0.33*BS$486*BS$478*10)*10^4</f>
        <v>#REF!</v>
      </c>
      <c r="BT489" s="471" t="e">
        <f>(#REF!-BT$339)*BT$339/#REF!/(0.33*BT$486*BT$478*10)*10^4</f>
        <v>#REF!</v>
      </c>
      <c r="BU489" s="471" t="e">
        <f>(#REF!-BU$339)*BU$339/#REF!/(0.33*BU$486*BU$478*10)*10^4</f>
        <v>#REF!</v>
      </c>
      <c r="BV489" s="259"/>
      <c r="BZ489" s="334"/>
      <c r="CA489" s="259"/>
      <c r="CB489" s="259"/>
      <c r="CC489" s="246"/>
      <c r="CD489" s="246"/>
      <c r="CE489" s="246"/>
      <c r="CF489" s="246"/>
      <c r="CG489" s="420" t="s">
        <v>268</v>
      </c>
      <c r="CH489" s="472">
        <v>7.8</v>
      </c>
      <c r="CI489" s="472">
        <v>7.8</v>
      </c>
    </row>
    <row r="490" spans="1:91" ht="15.05" hidden="1" customHeight="1">
      <c r="A490" s="108"/>
      <c r="B490" s="314" t="s">
        <v>738</v>
      </c>
      <c r="C490" s="314">
        <f>C487*C489</f>
        <v>1</v>
      </c>
      <c r="D490" s="314">
        <f>D487*D489</f>
        <v>1</v>
      </c>
      <c r="E490" s="1115"/>
      <c r="F490" s="1117"/>
      <c r="G490" s="1117"/>
      <c r="H490" s="1117"/>
      <c r="I490" s="1117"/>
      <c r="J490" s="1117"/>
      <c r="K490" s="1117"/>
      <c r="L490" s="1117"/>
      <c r="M490" s="1117"/>
      <c r="N490" s="1117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22"/>
      <c r="AE490" s="96"/>
      <c r="AF490" s="96"/>
      <c r="AG490" s="96"/>
      <c r="AH490" s="96"/>
      <c r="AI490" s="96"/>
      <c r="AJ490" s="96"/>
      <c r="AK490" s="96"/>
      <c r="AL490" s="96"/>
      <c r="AM490" s="96"/>
      <c r="AN490" s="96"/>
      <c r="AO490" s="96"/>
      <c r="AP490" s="96"/>
      <c r="AQ490" s="96"/>
      <c r="AR490" s="96"/>
      <c r="AS490" s="96"/>
      <c r="AT490" s="96"/>
      <c r="AU490" s="96"/>
      <c r="AV490" s="96"/>
      <c r="AW490" s="96"/>
      <c r="AX490" s="96"/>
      <c r="AY490" s="96"/>
      <c r="AZ490" s="96"/>
      <c r="BA490" s="96"/>
      <c r="BC490" s="96"/>
      <c r="BD490" s="96"/>
      <c r="BE490" s="96"/>
      <c r="BF490" s="96"/>
      <c r="BG490" s="434"/>
      <c r="BH490" s="434"/>
      <c r="BI490" s="434"/>
      <c r="BJ490" s="434"/>
      <c r="BK490" s="434"/>
      <c r="BL490" s="246"/>
      <c r="BM490" s="471" t="s">
        <v>833</v>
      </c>
      <c r="BN490" s="471" t="s">
        <v>833</v>
      </c>
      <c r="BO490" s="471"/>
      <c r="BP490" s="471"/>
      <c r="BQ490" s="471" t="s">
        <v>880</v>
      </c>
      <c r="BR490" s="471" t="s">
        <v>965</v>
      </c>
      <c r="BS490" s="471" t="s">
        <v>1027</v>
      </c>
      <c r="BT490" s="471" t="s">
        <v>973</v>
      </c>
      <c r="BU490" s="471" t="s">
        <v>973</v>
      </c>
      <c r="BV490" s="259"/>
      <c r="BZ490" s="334"/>
      <c r="CA490" s="259"/>
      <c r="CB490" s="259"/>
      <c r="CC490" s="246"/>
      <c r="CD490" s="246"/>
      <c r="CE490" s="246"/>
      <c r="CF490" s="246"/>
      <c r="CG490" s="420" t="s">
        <v>269</v>
      </c>
      <c r="CH490" s="472">
        <v>5.7</v>
      </c>
      <c r="CI490" s="472">
        <v>5.7</v>
      </c>
    </row>
    <row r="491" spans="1:91" ht="15.05" hidden="1" customHeight="1">
      <c r="A491" s="108"/>
      <c r="B491" s="314" t="s">
        <v>481</v>
      </c>
      <c r="C491" s="1113">
        <f>F95</f>
        <v>350</v>
      </c>
      <c r="D491" s="1113">
        <f>F96</f>
        <v>350</v>
      </c>
      <c r="E491" s="1115"/>
      <c r="F491" s="1117"/>
      <c r="G491" s="1117"/>
      <c r="H491" s="1117"/>
      <c r="I491" s="1117"/>
      <c r="J491" s="1117"/>
      <c r="K491" s="1117"/>
      <c r="L491" s="1117"/>
      <c r="M491" s="1117"/>
      <c r="N491" s="1117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22"/>
      <c r="AE491" s="96"/>
      <c r="AF491" s="96"/>
      <c r="AG491" s="96"/>
      <c r="AH491" s="96"/>
      <c r="AI491" s="96"/>
      <c r="AJ491" s="96"/>
      <c r="AK491" s="96"/>
      <c r="AL491" s="96"/>
      <c r="AM491" s="96"/>
      <c r="AN491" s="96"/>
      <c r="AO491" s="96"/>
      <c r="AP491" s="96"/>
      <c r="AQ491" s="96"/>
      <c r="AR491" s="96"/>
      <c r="AS491" s="96"/>
      <c r="AT491" s="96"/>
      <c r="AU491" s="96"/>
      <c r="AV491" s="96"/>
      <c r="AW491" s="96"/>
      <c r="AX491" s="96"/>
      <c r="AY491" s="96"/>
      <c r="AZ491" s="96"/>
      <c r="BA491" s="96"/>
      <c r="BC491" s="96"/>
      <c r="BD491" s="96"/>
      <c r="BE491" s="96"/>
      <c r="BF491" s="96"/>
      <c r="BG491" s="434"/>
      <c r="BH491" s="434"/>
      <c r="BI491" s="434"/>
      <c r="BJ491" s="434"/>
      <c r="BK491" s="434"/>
      <c r="BL491" s="246"/>
      <c r="BM491" s="471"/>
      <c r="BN491" s="708"/>
      <c r="BO491" s="708"/>
      <c r="BP491" s="708"/>
      <c r="BQ491" s="471"/>
      <c r="BR491" s="471"/>
      <c r="BS491" s="471"/>
      <c r="BT491" s="471"/>
      <c r="BU491" s="471"/>
      <c r="BV491" s="259"/>
      <c r="BZ491" s="334"/>
      <c r="CA491" s="259"/>
      <c r="CB491" s="259"/>
      <c r="CC491" s="246"/>
      <c r="CD491" s="246"/>
      <c r="CE491" s="246"/>
      <c r="CF491" s="246"/>
      <c r="CG491" s="420"/>
      <c r="CH491" s="472"/>
      <c r="CI491" s="472"/>
    </row>
    <row r="492" spans="1:91" ht="15.05" hidden="1" customHeight="1">
      <c r="A492" s="108"/>
      <c r="B492" s="314" t="s">
        <v>490</v>
      </c>
      <c r="C492" s="1022">
        <f>C482*(1+C491*10^-6*(C806+H95-25))</f>
        <v>5.3148399999999993</v>
      </c>
      <c r="D492" s="1022">
        <f>D482*(1+D491*10^-6*(D806+H96-25))</f>
        <v>5.6156799999999993</v>
      </c>
      <c r="E492" s="1115"/>
      <c r="F492" s="1117"/>
      <c r="G492" s="1117"/>
      <c r="H492" s="1117"/>
      <c r="I492" s="1117"/>
      <c r="J492" s="1117"/>
      <c r="K492" s="1117"/>
      <c r="L492" s="1117"/>
      <c r="M492" s="1117"/>
      <c r="N492" s="1117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22"/>
      <c r="AE492" s="96"/>
      <c r="AF492" s="96"/>
      <c r="AG492" s="96"/>
      <c r="AH492" s="96"/>
      <c r="AI492" s="96"/>
      <c r="AJ492" s="96"/>
      <c r="AK492" s="96"/>
      <c r="AL492" s="96"/>
      <c r="AM492" s="96"/>
      <c r="AN492" s="96"/>
      <c r="AO492" s="96"/>
      <c r="AP492" s="96"/>
      <c r="AQ492" s="96"/>
      <c r="AR492" s="96"/>
      <c r="AS492" s="96"/>
      <c r="AT492" s="96"/>
      <c r="AU492" s="96"/>
      <c r="AV492" s="96"/>
      <c r="AW492" s="96"/>
      <c r="AX492" s="96"/>
      <c r="AY492" s="96"/>
      <c r="AZ492" s="96"/>
      <c r="BA492" s="96"/>
      <c r="BC492" s="96"/>
      <c r="BD492" s="96"/>
      <c r="BE492" s="96"/>
      <c r="BF492" s="96"/>
      <c r="BG492" s="434"/>
      <c r="BH492" s="434"/>
      <c r="BI492" s="434"/>
      <c r="BJ492" s="434"/>
      <c r="BK492" s="434"/>
      <c r="BL492" s="246"/>
      <c r="BM492" s="471"/>
      <c r="BN492" s="708"/>
      <c r="BO492" s="708"/>
      <c r="BP492" s="708"/>
      <c r="BQ492" s="471"/>
      <c r="BR492" s="471"/>
      <c r="BS492" s="471"/>
      <c r="BT492" s="471"/>
      <c r="BU492" s="471"/>
      <c r="BV492" s="259"/>
      <c r="BZ492" s="334"/>
      <c r="CA492" s="259"/>
      <c r="CB492" s="259"/>
      <c r="CC492" s="246"/>
      <c r="CD492" s="246"/>
      <c r="CE492" s="246"/>
      <c r="CF492" s="246"/>
      <c r="CG492" s="420"/>
      <c r="CH492" s="472"/>
      <c r="CI492" s="472"/>
    </row>
    <row r="493" spans="1:91" ht="15.05" hidden="1" customHeight="1">
      <c r="A493" s="108"/>
      <c r="B493" s="314" t="s">
        <v>491</v>
      </c>
      <c r="C493" s="1022">
        <f>C482*(1+C491*10^-6*(C805+H95-25))</f>
        <v>5.2499149999999997</v>
      </c>
      <c r="D493" s="1022">
        <f>D482*(1+D491*10^-6*(D805+H96-25))</f>
        <v>5.5470800000000002</v>
      </c>
      <c r="E493" s="1115"/>
      <c r="F493" s="1117"/>
      <c r="G493" s="1117"/>
      <c r="H493" s="1117"/>
      <c r="I493" s="1117"/>
      <c r="J493" s="1117"/>
      <c r="K493" s="1117"/>
      <c r="L493" s="1117"/>
      <c r="M493" s="1117"/>
      <c r="N493" s="1117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22"/>
      <c r="AE493" s="96"/>
      <c r="AF493" s="96"/>
      <c r="AG493" s="96"/>
      <c r="AH493" s="96"/>
      <c r="AI493" s="96"/>
      <c r="AJ493" s="96"/>
      <c r="AK493" s="96"/>
      <c r="AL493" s="96"/>
      <c r="AM493" s="96"/>
      <c r="AN493" s="96"/>
      <c r="AO493" s="96"/>
      <c r="AP493" s="96"/>
      <c r="AQ493" s="96"/>
      <c r="AR493" s="96"/>
      <c r="AS493" s="96"/>
      <c r="AT493" s="96"/>
      <c r="AU493" s="96"/>
      <c r="AV493" s="96"/>
      <c r="AW493" s="96"/>
      <c r="AX493" s="96"/>
      <c r="AY493" s="96"/>
      <c r="AZ493" s="96"/>
      <c r="BA493" s="96"/>
      <c r="BC493" s="96"/>
      <c r="BD493" s="96"/>
      <c r="BE493" s="96"/>
      <c r="BF493" s="96"/>
      <c r="BG493" s="434"/>
      <c r="BH493" s="434"/>
      <c r="BI493" s="434"/>
      <c r="BJ493" s="434"/>
      <c r="BK493" s="434"/>
      <c r="BL493" s="246"/>
      <c r="BM493" s="471"/>
      <c r="BN493" s="708"/>
      <c r="BO493" s="708"/>
      <c r="BP493" s="708"/>
      <c r="BQ493" s="471"/>
      <c r="BR493" s="471"/>
      <c r="BS493" s="471"/>
      <c r="BT493" s="471"/>
      <c r="BU493" s="471"/>
      <c r="BV493" s="259"/>
      <c r="BZ493" s="334"/>
      <c r="CA493" s="259"/>
      <c r="CB493" s="259"/>
      <c r="CC493" s="246"/>
      <c r="CD493" s="246"/>
      <c r="CE493" s="246"/>
      <c r="CF493" s="246"/>
      <c r="CG493" s="420"/>
      <c r="CH493" s="472"/>
      <c r="CI493" s="472"/>
    </row>
    <row r="494" spans="1:91" ht="15.05" hidden="1" customHeight="1">
      <c r="A494" s="108"/>
      <c r="B494" s="314" t="s">
        <v>492</v>
      </c>
      <c r="C494" s="1022">
        <f>C482*(1+C491*10^-6*(C807+H95-25))</f>
        <v>5.3983150000000002</v>
      </c>
      <c r="D494" s="1022">
        <f>D482*(1+D491*10^-6*(D807+H96-25))</f>
        <v>5.7038799999999998</v>
      </c>
      <c r="E494" s="1115"/>
      <c r="F494" s="1117"/>
      <c r="G494" s="1117"/>
      <c r="H494" s="1117"/>
      <c r="I494" s="1117"/>
      <c r="J494" s="1117"/>
      <c r="K494" s="1117"/>
      <c r="L494" s="1117"/>
      <c r="M494" s="1117"/>
      <c r="N494" s="1117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22"/>
      <c r="AE494" s="96"/>
      <c r="AF494" s="96"/>
      <c r="AG494" s="96"/>
      <c r="AH494" s="96"/>
      <c r="AI494" s="96"/>
      <c r="AJ494" s="96"/>
      <c r="AK494" s="96"/>
      <c r="AL494" s="96"/>
      <c r="AM494" s="96"/>
      <c r="AN494" s="96"/>
      <c r="AO494" s="96"/>
      <c r="AP494" s="96"/>
      <c r="AQ494" s="96"/>
      <c r="AR494" s="96"/>
      <c r="AS494" s="96"/>
      <c r="AT494" s="96"/>
      <c r="AU494" s="96"/>
      <c r="AV494" s="96"/>
      <c r="AW494" s="96"/>
      <c r="AX494" s="96"/>
      <c r="AY494" s="96"/>
      <c r="AZ494" s="96"/>
      <c r="BA494" s="96"/>
      <c r="BC494" s="96"/>
      <c r="BD494" s="96"/>
      <c r="BE494" s="96"/>
      <c r="BF494" s="96"/>
      <c r="BG494" s="434"/>
      <c r="BH494" s="434"/>
      <c r="BI494" s="434"/>
      <c r="BJ494" s="434"/>
      <c r="BK494" s="434"/>
      <c r="BL494" s="246"/>
      <c r="BM494" s="471"/>
      <c r="BN494" s="708"/>
      <c r="BO494" s="708"/>
      <c r="BP494" s="708"/>
      <c r="BQ494" s="471"/>
      <c r="BR494" s="471"/>
      <c r="BS494" s="471"/>
      <c r="BT494" s="471"/>
      <c r="BU494" s="471"/>
      <c r="BV494" s="259"/>
      <c r="BZ494" s="334"/>
      <c r="CA494" s="259"/>
      <c r="CB494" s="259"/>
      <c r="CC494" s="246"/>
      <c r="CD494" s="246"/>
      <c r="CE494" s="246"/>
      <c r="CF494" s="246"/>
      <c r="CG494" s="420"/>
      <c r="CH494" s="472"/>
      <c r="CI494" s="472"/>
    </row>
    <row r="495" spans="1:91" ht="15.05" hidden="1" customHeight="1">
      <c r="A495" s="108"/>
      <c r="B495" s="314" t="s">
        <v>480</v>
      </c>
      <c r="C495" s="1022">
        <f>C332^2*C492*10^-3</f>
        <v>0.87078338560000013</v>
      </c>
      <c r="D495" s="1022">
        <f>D332^2*D492*10^-3</f>
        <v>5.6156799999999996E-3</v>
      </c>
      <c r="E495" s="1115"/>
      <c r="F495" s="1117"/>
      <c r="G495" s="1117"/>
      <c r="H495" s="1117"/>
      <c r="I495" s="1117"/>
      <c r="J495" s="1117"/>
      <c r="K495" s="1117"/>
      <c r="L495" s="1117"/>
      <c r="M495" s="1117"/>
      <c r="N495" s="1117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22"/>
      <c r="AE495" s="96"/>
      <c r="AF495" s="96"/>
      <c r="AG495" s="96"/>
      <c r="AH495" s="96"/>
      <c r="AI495" s="96"/>
      <c r="AJ495" s="96"/>
      <c r="AK495" s="96"/>
      <c r="AL495" s="96"/>
      <c r="AM495" s="96"/>
      <c r="AN495" s="96"/>
      <c r="AO495" s="96"/>
      <c r="AP495" s="96"/>
      <c r="AQ495" s="96"/>
      <c r="AR495" s="96"/>
      <c r="AS495" s="96"/>
      <c r="AT495" s="96"/>
      <c r="AU495" s="96"/>
      <c r="AV495" s="96"/>
      <c r="AW495" s="96"/>
      <c r="AX495" s="96"/>
      <c r="AY495" s="96"/>
      <c r="AZ495" s="96"/>
      <c r="BA495" s="96"/>
      <c r="BC495" s="96"/>
      <c r="BD495" s="96"/>
      <c r="BE495" s="96"/>
      <c r="BF495" s="96"/>
      <c r="BG495" s="434"/>
      <c r="BH495" s="434"/>
      <c r="BI495" s="434"/>
      <c r="BJ495" s="434"/>
      <c r="BK495" s="434"/>
      <c r="BL495" s="246"/>
      <c r="BM495" s="471"/>
      <c r="BN495" s="708"/>
      <c r="BO495" s="708"/>
      <c r="BP495" s="708"/>
      <c r="BQ495" s="471"/>
      <c r="BR495" s="471"/>
      <c r="BS495" s="471"/>
      <c r="BT495" s="471"/>
      <c r="BU495" s="471"/>
      <c r="BV495" s="259"/>
      <c r="BZ495" s="334"/>
      <c r="CA495" s="259"/>
      <c r="CB495" s="259"/>
      <c r="CC495" s="246"/>
      <c r="CD495" s="246"/>
      <c r="CE495" s="246"/>
      <c r="CF495" s="246"/>
      <c r="CG495" s="420"/>
      <c r="CH495" s="472"/>
      <c r="CI495" s="472"/>
    </row>
    <row r="496" spans="1:91" ht="15.05" hidden="1" customHeight="1">
      <c r="A496" s="108"/>
      <c r="B496" s="314" t="s">
        <v>493</v>
      </c>
      <c r="C496" s="1022">
        <f>C482*(1+C491*10^-6*(C806+J95-25))</f>
        <v>5.32226</v>
      </c>
      <c r="D496" s="1022">
        <f>D482*(1+D491*10^-6*(D806+J96-25))</f>
        <v>5.6235199999999992</v>
      </c>
      <c r="E496" s="1115"/>
      <c r="F496" s="1117"/>
      <c r="G496" s="1117"/>
      <c r="H496" s="1117"/>
      <c r="I496" s="1117"/>
      <c r="J496" s="1117"/>
      <c r="K496" s="1117"/>
      <c r="L496" s="1117"/>
      <c r="M496" s="1117"/>
      <c r="N496" s="1117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22"/>
      <c r="AE496" s="96"/>
      <c r="AF496" s="96"/>
      <c r="AG496" s="96"/>
      <c r="AH496" s="96"/>
      <c r="AI496" s="96"/>
      <c r="AJ496" s="96"/>
      <c r="AK496" s="96"/>
      <c r="AL496" s="96"/>
      <c r="AM496" s="96"/>
      <c r="AN496" s="96"/>
      <c r="AO496" s="96"/>
      <c r="AP496" s="96"/>
      <c r="AQ496" s="96"/>
      <c r="AR496" s="96"/>
      <c r="AS496" s="96"/>
      <c r="AT496" s="96"/>
      <c r="AU496" s="96"/>
      <c r="AV496" s="96"/>
      <c r="AW496" s="96"/>
      <c r="AX496" s="96"/>
      <c r="AY496" s="96"/>
      <c r="AZ496" s="96"/>
      <c r="BA496" s="96"/>
      <c r="BC496" s="96"/>
      <c r="BD496" s="96"/>
      <c r="BE496" s="96"/>
      <c r="BF496" s="96"/>
      <c r="BG496" s="434"/>
      <c r="BH496" s="434"/>
      <c r="BI496" s="434"/>
      <c r="BJ496" s="434"/>
      <c r="BK496" s="434"/>
      <c r="BL496" s="246"/>
      <c r="BM496" s="471"/>
      <c r="BN496" s="708"/>
      <c r="BO496" s="708"/>
      <c r="BP496" s="708"/>
      <c r="BQ496" s="471"/>
      <c r="BR496" s="471"/>
      <c r="BS496" s="471"/>
      <c r="BT496" s="471"/>
      <c r="BU496" s="471"/>
      <c r="BV496" s="259"/>
      <c r="BZ496" s="334"/>
      <c r="CA496" s="259"/>
      <c r="CB496" s="259"/>
      <c r="CC496" s="246"/>
      <c r="CD496" s="246"/>
      <c r="CE496" s="246"/>
      <c r="CF496" s="246"/>
      <c r="CG496" s="420"/>
      <c r="CH496" s="472"/>
      <c r="CI496" s="472"/>
    </row>
    <row r="497" spans="1:91" ht="15.05" hidden="1" customHeight="1">
      <c r="A497" s="108"/>
      <c r="B497" s="314" t="s">
        <v>494</v>
      </c>
      <c r="C497" s="1022">
        <f>C482*(1+C491*10^-6*(C805+J95-25))</f>
        <v>5.2573349999999994</v>
      </c>
      <c r="D497" s="1022">
        <f>D482*(1+D491*10^-6*(D805+J96-25))</f>
        <v>5.5549200000000001</v>
      </c>
      <c r="E497" s="1115"/>
      <c r="F497" s="1117"/>
      <c r="G497" s="1117"/>
      <c r="H497" s="1117"/>
      <c r="I497" s="1117"/>
      <c r="J497" s="1117"/>
      <c r="K497" s="1117"/>
      <c r="L497" s="1117"/>
      <c r="M497" s="1117"/>
      <c r="N497" s="1117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22"/>
      <c r="AE497" s="96"/>
      <c r="AF497" s="96"/>
      <c r="AG497" s="96"/>
      <c r="AH497" s="96"/>
      <c r="AI497" s="96"/>
      <c r="AJ497" s="96"/>
      <c r="AK497" s="96"/>
      <c r="AL497" s="96"/>
      <c r="AM497" s="96"/>
      <c r="AN497" s="96"/>
      <c r="AO497" s="96"/>
      <c r="AP497" s="96"/>
      <c r="AQ497" s="96"/>
      <c r="AR497" s="96"/>
      <c r="AS497" s="96"/>
      <c r="AT497" s="96"/>
      <c r="AU497" s="96"/>
      <c r="AV497" s="96"/>
      <c r="AW497" s="96"/>
      <c r="AX497" s="96"/>
      <c r="AY497" s="96"/>
      <c r="AZ497" s="96"/>
      <c r="BA497" s="96"/>
      <c r="BC497" s="96"/>
      <c r="BD497" s="96"/>
      <c r="BE497" s="96"/>
      <c r="BF497" s="96"/>
      <c r="BG497" s="434"/>
      <c r="BH497" s="434"/>
      <c r="BI497" s="434"/>
      <c r="BJ497" s="434"/>
      <c r="BK497" s="434"/>
      <c r="BL497" s="246"/>
      <c r="BM497" s="471"/>
      <c r="BN497" s="708"/>
      <c r="BO497" s="708"/>
      <c r="BP497" s="708"/>
      <c r="BQ497" s="471"/>
      <c r="BR497" s="471"/>
      <c r="BS497" s="471"/>
      <c r="BT497" s="471"/>
      <c r="BU497" s="471"/>
      <c r="BV497" s="259"/>
      <c r="BZ497" s="334"/>
      <c r="CA497" s="259"/>
      <c r="CB497" s="259"/>
      <c r="CC497" s="246"/>
      <c r="CD497" s="246"/>
      <c r="CE497" s="246"/>
      <c r="CF497" s="246"/>
      <c r="CG497" s="420"/>
      <c r="CH497" s="472"/>
      <c r="CI497" s="472"/>
    </row>
    <row r="498" spans="1:91" ht="15.05" hidden="1" customHeight="1">
      <c r="A498" s="108"/>
      <c r="B498" s="314" t="s">
        <v>495</v>
      </c>
      <c r="C498" s="1022">
        <f>C482*(1+C491*10^-6*(C807+J95-25))</f>
        <v>5.4057349999999991</v>
      </c>
      <c r="D498" s="1022">
        <f>D482*(1+D491*10^-6*(D807+J96-25))</f>
        <v>5.7117199999999988</v>
      </c>
      <c r="E498" s="1115"/>
      <c r="F498" s="1117"/>
      <c r="G498" s="1117"/>
      <c r="H498" s="1117"/>
      <c r="I498" s="1117"/>
      <c r="J498" s="1117"/>
      <c r="K498" s="1117"/>
      <c r="L498" s="1117"/>
      <c r="M498" s="1117"/>
      <c r="N498" s="1117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22"/>
      <c r="AE498" s="96"/>
      <c r="AF498" s="96"/>
      <c r="AG498" s="96"/>
      <c r="AH498" s="96"/>
      <c r="AI498" s="96"/>
      <c r="AJ498" s="96"/>
      <c r="AK498" s="96"/>
      <c r="AL498" s="96"/>
      <c r="AM498" s="96"/>
      <c r="AN498" s="96"/>
      <c r="AO498" s="96"/>
      <c r="AP498" s="96"/>
      <c r="AQ498" s="96"/>
      <c r="AR498" s="96"/>
      <c r="AS498" s="96"/>
      <c r="AT498" s="96"/>
      <c r="AU498" s="96"/>
      <c r="AV498" s="96"/>
      <c r="AW498" s="96"/>
      <c r="AX498" s="96"/>
      <c r="AY498" s="96"/>
      <c r="AZ498" s="96"/>
      <c r="BA498" s="96"/>
      <c r="BC498" s="96"/>
      <c r="BD498" s="96"/>
      <c r="BE498" s="96"/>
      <c r="BF498" s="96"/>
      <c r="BG498" s="434"/>
      <c r="BH498" s="434"/>
      <c r="BI498" s="434"/>
      <c r="BJ498" s="434"/>
      <c r="BK498" s="434"/>
      <c r="BL498" s="246"/>
      <c r="BM498" s="471"/>
      <c r="BN498" s="708"/>
      <c r="BO498" s="708"/>
      <c r="BP498" s="708"/>
      <c r="BQ498" s="471"/>
      <c r="BR498" s="471"/>
      <c r="BS498" s="471"/>
      <c r="BT498" s="471"/>
      <c r="BU498" s="471"/>
      <c r="BV498" s="259"/>
      <c r="BZ498" s="334"/>
      <c r="CA498" s="259"/>
      <c r="CB498" s="259"/>
      <c r="CC498" s="246"/>
      <c r="CD498" s="246"/>
      <c r="CE498" s="246"/>
      <c r="CF498" s="246"/>
      <c r="CG498" s="420"/>
      <c r="CH498" s="472"/>
      <c r="CI498" s="472"/>
    </row>
    <row r="499" spans="1:91" ht="15.05" hidden="1" customHeight="1">
      <c r="A499" s="108"/>
      <c r="B499" s="314" t="s">
        <v>489</v>
      </c>
      <c r="C499" s="1022">
        <f>C517^2*C496*10^-3</f>
        <v>0.4631937935541503</v>
      </c>
      <c r="D499" s="1022" t="e">
        <f>D517^2*D496*10^-3</f>
        <v>#DIV/0!</v>
      </c>
      <c r="E499" s="1115"/>
      <c r="F499" s="1117"/>
      <c r="G499" s="1117"/>
      <c r="H499" s="1117"/>
      <c r="I499" s="1117"/>
      <c r="J499" s="1117"/>
      <c r="K499" s="1117"/>
      <c r="L499" s="1117"/>
      <c r="M499" s="1117"/>
      <c r="N499" s="1117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22"/>
      <c r="AE499" s="96"/>
      <c r="AF499" s="96"/>
      <c r="AG499" s="96"/>
      <c r="AH499" s="96"/>
      <c r="AI499" s="96"/>
      <c r="AJ499" s="96"/>
      <c r="AK499" s="96"/>
      <c r="AL499" s="96"/>
      <c r="AM499" s="96"/>
      <c r="AN499" s="96"/>
      <c r="AO499" s="96"/>
      <c r="AP499" s="96"/>
      <c r="AQ499" s="96"/>
      <c r="AR499" s="96"/>
      <c r="AS499" s="96"/>
      <c r="AT499" s="96"/>
      <c r="AU499" s="96"/>
      <c r="AV499" s="96"/>
      <c r="AW499" s="96"/>
      <c r="AX499" s="96"/>
      <c r="AY499" s="96"/>
      <c r="AZ499" s="96"/>
      <c r="BA499" s="96"/>
      <c r="BC499" s="96"/>
      <c r="BD499" s="96"/>
      <c r="BE499" s="96"/>
      <c r="BF499" s="96"/>
      <c r="BG499" s="434"/>
      <c r="BH499" s="434"/>
      <c r="BI499" s="434"/>
      <c r="BJ499" s="434"/>
      <c r="BK499" s="434"/>
      <c r="BL499" s="246"/>
      <c r="BM499" s="471"/>
      <c r="BN499" s="708"/>
      <c r="BO499" s="708"/>
      <c r="BP499" s="708"/>
      <c r="BQ499" s="471"/>
      <c r="BR499" s="471"/>
      <c r="BS499" s="471"/>
      <c r="BT499" s="471"/>
      <c r="BU499" s="471"/>
      <c r="BV499" s="259"/>
      <c r="BZ499" s="334"/>
      <c r="CA499" s="259"/>
      <c r="CB499" s="259"/>
      <c r="CC499" s="246"/>
      <c r="CD499" s="246"/>
      <c r="CE499" s="246"/>
      <c r="CF499" s="246"/>
      <c r="CG499" s="420"/>
      <c r="CH499" s="472"/>
      <c r="CI499" s="472"/>
    </row>
    <row r="500" spans="1:91" ht="15.05" hidden="1" customHeight="1">
      <c r="A500" s="108"/>
      <c r="B500" s="1118" t="s">
        <v>511</v>
      </c>
      <c r="C500" s="1119">
        <f>MIN(C501:C503)</f>
        <v>7.2607260726072376E-2</v>
      </c>
      <c r="D500" s="1119">
        <f>MIN(D501:D503)</f>
        <v>7.2607260726072598E-2</v>
      </c>
      <c r="I500" s="995"/>
      <c r="J500" s="995"/>
      <c r="K500" s="995"/>
      <c r="L500" s="995"/>
      <c r="M500" s="995"/>
      <c r="N500" s="995"/>
      <c r="O500" s="334"/>
      <c r="P500" s="334"/>
      <c r="Q500" s="334"/>
      <c r="R500" s="334"/>
      <c r="S500" s="334"/>
      <c r="T500" s="334"/>
      <c r="U500" s="334"/>
      <c r="V500" s="334"/>
      <c r="W500" s="334"/>
      <c r="X500" s="334"/>
      <c r="Y500" s="334"/>
      <c r="Z500" s="334"/>
      <c r="AA500" s="334"/>
      <c r="AB500" s="334"/>
      <c r="AC500" s="334"/>
      <c r="AD500" s="22"/>
      <c r="AE500" s="334"/>
      <c r="AF500" s="334"/>
      <c r="AG500" s="334"/>
      <c r="AH500" s="334"/>
      <c r="AI500" s="334"/>
      <c r="AJ500" s="334"/>
      <c r="AK500" s="334"/>
      <c r="AL500" s="334"/>
      <c r="AM500" s="334"/>
      <c r="AN500" s="334"/>
      <c r="AO500" s="334"/>
      <c r="AP500" s="334"/>
      <c r="AQ500" s="334"/>
      <c r="AR500" s="334"/>
      <c r="AS500" s="334"/>
      <c r="AT500" s="334"/>
      <c r="AU500" s="334"/>
      <c r="AV500" s="334"/>
      <c r="AW500" s="334"/>
      <c r="AX500" s="334"/>
      <c r="AY500" s="334"/>
      <c r="AZ500" s="334"/>
      <c r="BA500" s="334"/>
      <c r="BC500" s="334"/>
      <c r="BD500" s="334"/>
      <c r="BE500" s="334"/>
      <c r="BF500" s="334"/>
      <c r="BG500" s="334"/>
      <c r="BH500" s="334"/>
      <c r="BI500" s="334"/>
      <c r="BJ500" s="334"/>
      <c r="BK500" s="334"/>
      <c r="BL500" s="246"/>
      <c r="BM500" s="514"/>
      <c r="BN500" s="282"/>
      <c r="BO500" s="282"/>
      <c r="BP500" s="282"/>
      <c r="BQ500" s="514"/>
      <c r="BR500" s="514"/>
      <c r="BS500" s="514"/>
      <c r="BT500" s="514"/>
      <c r="BU500" s="514"/>
      <c r="BV500" s="409"/>
      <c r="BW500" s="77"/>
      <c r="BX500" s="334"/>
      <c r="BY500" s="400"/>
      <c r="BZ500" s="334"/>
      <c r="CA500" s="282"/>
      <c r="CB500" s="259"/>
      <c r="CC500" s="410"/>
      <c r="CD500" s="410"/>
      <c r="CE500" s="505"/>
      <c r="CF500" s="506"/>
      <c r="CG500" s="505"/>
      <c r="CH500" s="506"/>
      <c r="CI500" s="27"/>
      <c r="CM500" s="15"/>
    </row>
    <row r="501" spans="1:91" ht="15.05" hidden="1" customHeight="1">
      <c r="A501" s="108"/>
      <c r="B501" s="1120" t="s">
        <v>499</v>
      </c>
      <c r="C501" s="1030">
        <f>SQRT(C483^2+C785^2)</f>
        <v>8.3931188746761143E-2</v>
      </c>
      <c r="D501" s="1030">
        <f>SQRT(D483^2+D785^2)</f>
        <v>8.3931188746761143E-2</v>
      </c>
      <c r="I501" s="995"/>
      <c r="J501" s="995"/>
      <c r="K501" s="995"/>
      <c r="L501" s="995"/>
      <c r="M501" s="995"/>
      <c r="N501" s="995"/>
      <c r="O501" s="334"/>
      <c r="P501" s="334"/>
      <c r="Q501" s="334"/>
      <c r="R501" s="334"/>
      <c r="S501" s="334"/>
      <c r="T501" s="334"/>
      <c r="U501" s="334"/>
      <c r="V501" s="334"/>
      <c r="W501" s="334"/>
      <c r="X501" s="334"/>
      <c r="Y501" s="334"/>
      <c r="Z501" s="334"/>
      <c r="AA501" s="334"/>
      <c r="AB501" s="334"/>
      <c r="AC501" s="334"/>
      <c r="AD501" s="22"/>
      <c r="AE501" s="334"/>
      <c r="AF501" s="334"/>
      <c r="AG501" s="334"/>
      <c r="AH501" s="334"/>
      <c r="AI501" s="334"/>
      <c r="AJ501" s="334"/>
      <c r="AK501" s="334"/>
      <c r="AL501" s="334"/>
      <c r="AM501" s="334"/>
      <c r="AN501" s="334"/>
      <c r="AO501" s="334"/>
      <c r="AP501" s="334"/>
      <c r="AQ501" s="334"/>
      <c r="AR501" s="334"/>
      <c r="AS501" s="334"/>
      <c r="AT501" s="334"/>
      <c r="AU501" s="334"/>
      <c r="AV501" s="334"/>
      <c r="AW501" s="334"/>
      <c r="AX501" s="334"/>
      <c r="AY501" s="334"/>
      <c r="AZ501" s="334"/>
      <c r="BA501" s="334"/>
      <c r="BC501" s="334"/>
      <c r="BD501" s="334"/>
      <c r="BE501" s="334"/>
      <c r="BF501" s="334"/>
      <c r="BG501" s="334"/>
      <c r="BH501" s="334"/>
      <c r="BI501" s="334"/>
      <c r="BJ501" s="334"/>
      <c r="BK501" s="334"/>
      <c r="BL501" s="246"/>
      <c r="BM501" s="514"/>
      <c r="BN501" s="514"/>
      <c r="BO501" s="514"/>
      <c r="BP501" s="514"/>
      <c r="BQ501" s="514"/>
      <c r="BR501" s="514"/>
      <c r="BS501" s="514"/>
      <c r="BT501" s="514"/>
      <c r="BU501" s="514"/>
      <c r="BV501" s="409"/>
      <c r="BW501" s="77"/>
      <c r="BX501" s="334"/>
      <c r="BY501" s="400"/>
      <c r="BZ501" s="334"/>
      <c r="CA501" s="282"/>
      <c r="CB501" s="259"/>
      <c r="CC501" s="410"/>
      <c r="CD501" s="410"/>
      <c r="CE501" s="505"/>
      <c r="CF501" s="506"/>
      <c r="CG501" s="505"/>
      <c r="CH501" s="506"/>
      <c r="CI501" s="27"/>
      <c r="CM501" s="15"/>
    </row>
    <row r="502" spans="1:91" ht="15.05" hidden="1" customHeight="1">
      <c r="A502" s="108"/>
      <c r="B502" s="1120" t="s">
        <v>501</v>
      </c>
      <c r="C502" s="1030">
        <f>(C791)/(C492*(1+C483))/(C465/C492)-1</f>
        <v>7.2607260726072376E-2</v>
      </c>
      <c r="D502" s="1030">
        <f>(D791)/(D492*(1+D483))/(D465/D492)-1</f>
        <v>7.2607260726072598E-2</v>
      </c>
      <c r="I502" s="995"/>
      <c r="J502" s="995"/>
      <c r="K502" s="995"/>
      <c r="L502" s="995"/>
      <c r="M502" s="995"/>
      <c r="N502" s="995"/>
      <c r="O502" s="334"/>
      <c r="P502" s="334"/>
      <c r="Q502" s="334"/>
      <c r="R502" s="334"/>
      <c r="S502" s="334"/>
      <c r="T502" s="334"/>
      <c r="U502" s="334"/>
      <c r="V502" s="334"/>
      <c r="W502" s="334"/>
      <c r="X502" s="334"/>
      <c r="Y502" s="334"/>
      <c r="Z502" s="334"/>
      <c r="AA502" s="334"/>
      <c r="AB502" s="334"/>
      <c r="AC502" s="334"/>
      <c r="AD502" s="22"/>
      <c r="AE502" s="334"/>
      <c r="AF502" s="334"/>
      <c r="AG502" s="334"/>
      <c r="AH502" s="334"/>
      <c r="AI502" s="334"/>
      <c r="AJ502" s="334"/>
      <c r="AK502" s="334"/>
      <c r="AL502" s="334"/>
      <c r="AM502" s="334"/>
      <c r="AN502" s="334"/>
      <c r="AO502" s="334"/>
      <c r="AP502" s="334"/>
      <c r="AQ502" s="334"/>
      <c r="AR502" s="334"/>
      <c r="AS502" s="334"/>
      <c r="AT502" s="334"/>
      <c r="AU502" s="334"/>
      <c r="AV502" s="334"/>
      <c r="AW502" s="334"/>
      <c r="AX502" s="334"/>
      <c r="AY502" s="334"/>
      <c r="AZ502" s="334"/>
      <c r="BA502" s="334"/>
      <c r="BC502" s="334"/>
      <c r="BD502" s="334"/>
      <c r="BE502" s="334"/>
      <c r="BF502" s="334"/>
      <c r="BG502" s="334"/>
      <c r="BH502" s="334"/>
      <c r="BI502" s="334"/>
      <c r="BJ502" s="334"/>
      <c r="BK502" s="334"/>
      <c r="BL502" s="246"/>
      <c r="BM502" s="514"/>
      <c r="BN502" s="282"/>
      <c r="BO502" s="282"/>
      <c r="BP502" s="282"/>
      <c r="BQ502" s="514"/>
      <c r="BR502" s="514"/>
      <c r="BS502" s="514"/>
      <c r="BT502" s="514"/>
      <c r="BU502" s="514"/>
      <c r="BV502" s="409"/>
      <c r="BW502" s="77"/>
      <c r="BX502" s="334"/>
      <c r="BY502" s="400"/>
      <c r="BZ502" s="334"/>
      <c r="CA502" s="282"/>
      <c r="CB502" s="259"/>
      <c r="CC502" s="410"/>
      <c r="CD502" s="410"/>
      <c r="CE502" s="505"/>
      <c r="CF502" s="506"/>
      <c r="CG502" s="505"/>
      <c r="CH502" s="506"/>
      <c r="CI502" s="27"/>
      <c r="CM502" s="15"/>
    </row>
    <row r="503" spans="1:91" ht="15.05" hidden="1" customHeight="1">
      <c r="A503" s="108"/>
      <c r="B503" s="1120" t="s">
        <v>1144</v>
      </c>
      <c r="C503" s="1030">
        <f>2*(C483+C785)/(C483+C785+MAX(C483,C785))*SQRT(C483^2+C785^2)</f>
        <v>8.8682010751294796E-2</v>
      </c>
      <c r="D503" s="1030">
        <f>2*(D483+D785)/(D483+D785+MAX(D483,D785))*SQRT(D483^2+D785^2)</f>
        <v>8.8682010751294796E-2</v>
      </c>
      <c r="I503" s="995"/>
      <c r="J503" s="995"/>
      <c r="K503" s="995"/>
      <c r="L503" s="995"/>
      <c r="M503" s="995"/>
      <c r="N503" s="995"/>
      <c r="O503" s="334"/>
      <c r="P503" s="334"/>
      <c r="Q503" s="334"/>
      <c r="R503" s="334"/>
      <c r="S503" s="334"/>
      <c r="T503" s="334"/>
      <c r="U503" s="334"/>
      <c r="V503" s="334"/>
      <c r="W503" s="334"/>
      <c r="X503" s="334"/>
      <c r="Y503" s="334"/>
      <c r="Z503" s="334"/>
      <c r="AA503" s="334"/>
      <c r="AB503" s="334"/>
      <c r="AC503" s="334"/>
      <c r="AD503" s="22"/>
      <c r="AE503" s="334"/>
      <c r="AF503" s="334"/>
      <c r="AG503" s="334"/>
      <c r="AH503" s="334"/>
      <c r="AI503" s="334"/>
      <c r="AJ503" s="334"/>
      <c r="AK503" s="334"/>
      <c r="AL503" s="334"/>
      <c r="AM503" s="334"/>
      <c r="AN503" s="334"/>
      <c r="AO503" s="334"/>
      <c r="AP503" s="334"/>
      <c r="AQ503" s="334"/>
      <c r="AR503" s="334"/>
      <c r="AS503" s="334"/>
      <c r="AT503" s="334"/>
      <c r="AU503" s="334"/>
      <c r="AV503" s="334"/>
      <c r="AW503" s="334"/>
      <c r="AX503" s="334"/>
      <c r="AY503" s="334"/>
      <c r="AZ503" s="334"/>
      <c r="BA503" s="334"/>
      <c r="BC503" s="334"/>
      <c r="BD503" s="334"/>
      <c r="BE503" s="334"/>
      <c r="BF503" s="334"/>
      <c r="BG503" s="334"/>
      <c r="BH503" s="334"/>
      <c r="BI503" s="334"/>
      <c r="BJ503" s="334"/>
      <c r="BK503" s="334"/>
      <c r="BL503" s="246"/>
      <c r="BM503" s="514"/>
      <c r="BN503" s="282"/>
      <c r="BO503" s="282"/>
      <c r="BP503" s="282"/>
      <c r="BQ503" s="514"/>
      <c r="BR503" s="514"/>
      <c r="BS503" s="514"/>
      <c r="BT503" s="514"/>
      <c r="BU503" s="514"/>
      <c r="BV503" s="409"/>
      <c r="BW503" s="77"/>
      <c r="BX503" s="334"/>
      <c r="BY503" s="400"/>
      <c r="BZ503" s="334"/>
      <c r="CA503" s="282"/>
      <c r="CB503" s="259"/>
      <c r="CC503" s="410"/>
      <c r="CD503" s="410"/>
      <c r="CE503" s="505"/>
      <c r="CF503" s="506"/>
      <c r="CG503" s="505"/>
      <c r="CH503" s="506"/>
      <c r="CI503" s="27"/>
      <c r="CM503" s="15"/>
    </row>
    <row r="504" spans="1:91" ht="15.05" hidden="1" customHeight="1">
      <c r="A504" s="108"/>
      <c r="B504" s="1118" t="s">
        <v>545</v>
      </c>
      <c r="C504" s="1119">
        <f>MIN(C505:C507)</f>
        <v>5.7239057239057312E-2</v>
      </c>
      <c r="D504" s="1119">
        <f>MIN(D505:D507)</f>
        <v>5.7239057239057201E-2</v>
      </c>
      <c r="I504" s="995"/>
      <c r="J504" s="995"/>
      <c r="K504" s="995"/>
      <c r="L504" s="995"/>
      <c r="M504" s="995"/>
      <c r="N504" s="995"/>
      <c r="O504" s="334"/>
      <c r="P504" s="334"/>
      <c r="Q504" s="334"/>
      <c r="R504" s="334"/>
      <c r="S504" s="334"/>
      <c r="T504" s="334"/>
      <c r="U504" s="334"/>
      <c r="V504" s="334"/>
      <c r="W504" s="334"/>
      <c r="X504" s="334"/>
      <c r="Y504" s="334"/>
      <c r="Z504" s="334"/>
      <c r="AA504" s="334"/>
      <c r="AB504" s="334"/>
      <c r="AC504" s="334"/>
      <c r="AD504" s="22"/>
      <c r="AE504" s="334"/>
      <c r="AF504" s="334"/>
      <c r="AG504" s="334"/>
      <c r="AH504" s="334"/>
      <c r="AI504" s="334"/>
      <c r="AJ504" s="334"/>
      <c r="AK504" s="334"/>
      <c r="AL504" s="334"/>
      <c r="AM504" s="334"/>
      <c r="AN504" s="334"/>
      <c r="AO504" s="334"/>
      <c r="AP504" s="334"/>
      <c r="AQ504" s="334"/>
      <c r="AR504" s="334"/>
      <c r="AS504" s="334"/>
      <c r="AT504" s="334"/>
      <c r="AU504" s="334"/>
      <c r="AV504" s="334"/>
      <c r="AW504" s="334"/>
      <c r="AX504" s="334"/>
      <c r="AY504" s="334"/>
      <c r="AZ504" s="334"/>
      <c r="BA504" s="334"/>
      <c r="BC504" s="334"/>
      <c r="BD504" s="334"/>
      <c r="BE504" s="334"/>
      <c r="BF504" s="334"/>
      <c r="BG504" s="334"/>
      <c r="BH504" s="334"/>
      <c r="BI504" s="334"/>
      <c r="BJ504" s="334"/>
      <c r="BK504" s="334"/>
      <c r="BL504" s="246"/>
      <c r="BM504" s="514"/>
      <c r="BN504" s="282"/>
      <c r="BO504" s="282"/>
      <c r="BP504" s="282"/>
      <c r="BQ504" s="514"/>
      <c r="BR504" s="514"/>
      <c r="BS504" s="514"/>
      <c r="BT504" s="514"/>
      <c r="BU504" s="514"/>
      <c r="BV504" s="409"/>
      <c r="BW504" s="77"/>
      <c r="BX504" s="334"/>
      <c r="BY504" s="400"/>
      <c r="BZ504" s="334"/>
      <c r="CA504" s="282"/>
      <c r="CB504" s="259"/>
      <c r="CC504" s="410"/>
      <c r="CD504" s="410"/>
      <c r="CE504" s="505"/>
      <c r="CF504" s="506"/>
      <c r="CG504" s="505"/>
      <c r="CH504" s="506"/>
      <c r="CI504" s="27"/>
      <c r="CM504" s="15"/>
    </row>
    <row r="505" spans="1:91" ht="15.05" hidden="1" customHeight="1">
      <c r="A505" s="108"/>
      <c r="B505" s="1120" t="s">
        <v>500</v>
      </c>
      <c r="C505" s="1030">
        <f>SQRT(C483^2+C786^2)</f>
        <v>6.7412494720522284E-2</v>
      </c>
      <c r="D505" s="1030">
        <f>SQRT(D483^2+D786^2)</f>
        <v>6.7412494720522284E-2</v>
      </c>
      <c r="I505" s="995"/>
      <c r="J505" s="995"/>
      <c r="K505" s="995"/>
      <c r="L505" s="995"/>
      <c r="M505" s="995"/>
      <c r="N505" s="995"/>
      <c r="O505" s="334"/>
      <c r="P505" s="334"/>
      <c r="Q505" s="334"/>
      <c r="R505" s="334"/>
      <c r="S505" s="334"/>
      <c r="T505" s="334"/>
      <c r="U505" s="334"/>
      <c r="V505" s="334"/>
      <c r="W505" s="334"/>
      <c r="X505" s="334"/>
      <c r="Y505" s="334"/>
      <c r="Z505" s="334"/>
      <c r="AA505" s="334"/>
      <c r="AB505" s="334"/>
      <c r="AC505" s="334"/>
      <c r="AD505" s="22"/>
      <c r="AE505" s="334"/>
      <c r="AF505" s="334"/>
      <c r="AG505" s="334"/>
      <c r="AH505" s="334"/>
      <c r="AI505" s="334"/>
      <c r="AJ505" s="334"/>
      <c r="AK505" s="334"/>
      <c r="AL505" s="334"/>
      <c r="AM505" s="334"/>
      <c r="AN505" s="334"/>
      <c r="AO505" s="334"/>
      <c r="AP505" s="334"/>
      <c r="AQ505" s="334"/>
      <c r="AR505" s="334"/>
      <c r="AS505" s="334"/>
      <c r="AT505" s="334"/>
      <c r="AU505" s="334"/>
      <c r="AV505" s="334"/>
      <c r="AW505" s="334"/>
      <c r="AX505" s="334"/>
      <c r="AY505" s="334"/>
      <c r="AZ505" s="334"/>
      <c r="BA505" s="334"/>
      <c r="BC505" s="334"/>
      <c r="BD505" s="334"/>
      <c r="BE505" s="334"/>
      <c r="BF505" s="334"/>
      <c r="BG505" s="334"/>
      <c r="BH505" s="334"/>
      <c r="BI505" s="334"/>
      <c r="BJ505" s="334"/>
      <c r="BK505" s="334"/>
      <c r="BL505" s="246"/>
      <c r="BM505" s="514"/>
      <c r="BN505" s="514"/>
      <c r="BO505" s="514"/>
      <c r="BP505" s="514"/>
      <c r="BQ505" s="514"/>
      <c r="BR505" s="514"/>
      <c r="BS505" s="514"/>
      <c r="BT505" s="514"/>
      <c r="BU505" s="514"/>
      <c r="BV505" s="409"/>
      <c r="BW505" s="77"/>
      <c r="BX505" s="334"/>
      <c r="BY505" s="400"/>
      <c r="BZ505" s="334"/>
      <c r="CA505" s="282"/>
      <c r="CB505" s="259"/>
      <c r="CC505" s="410"/>
      <c r="CD505" s="410"/>
      <c r="CE505" s="505"/>
      <c r="CF505" s="506"/>
      <c r="CG505" s="505"/>
      <c r="CH505" s="506"/>
      <c r="CI505" s="27"/>
      <c r="CM505" s="15"/>
    </row>
    <row r="506" spans="1:91" ht="15.05" hidden="1" customHeight="1">
      <c r="A506" s="108"/>
      <c r="B506" s="1120" t="s">
        <v>508</v>
      </c>
      <c r="C506" s="1030">
        <f>-((C792)/(C492*(1-C483))/(C465/C492)-1)</f>
        <v>5.7239057239057312E-2</v>
      </c>
      <c r="D506" s="1030">
        <f>-((D792)/(D492*(1-D483))/(D465/D492)-1)</f>
        <v>5.7239057239057201E-2</v>
      </c>
      <c r="I506" s="995"/>
      <c r="J506" s="995"/>
      <c r="K506" s="995"/>
      <c r="L506" s="995"/>
      <c r="M506" s="995"/>
      <c r="N506" s="995"/>
      <c r="O506" s="334"/>
      <c r="P506" s="334"/>
      <c r="Q506" s="334"/>
      <c r="R506" s="334"/>
      <c r="S506" s="334"/>
      <c r="T506" s="334"/>
      <c r="U506" s="334"/>
      <c r="V506" s="334"/>
      <c r="W506" s="334"/>
      <c r="X506" s="334"/>
      <c r="Y506" s="334"/>
      <c r="Z506" s="334"/>
      <c r="AA506" s="334"/>
      <c r="AB506" s="334"/>
      <c r="AC506" s="334"/>
      <c r="AD506" s="22"/>
      <c r="AE506" s="334"/>
      <c r="AF506" s="334"/>
      <c r="AG506" s="334"/>
      <c r="AH506" s="334"/>
      <c r="AI506" s="334"/>
      <c r="AJ506" s="334"/>
      <c r="AK506" s="334"/>
      <c r="AL506" s="334"/>
      <c r="AM506" s="334"/>
      <c r="AN506" s="334"/>
      <c r="AO506" s="334"/>
      <c r="AP506" s="334"/>
      <c r="AQ506" s="334"/>
      <c r="AR506" s="334"/>
      <c r="AS506" s="334"/>
      <c r="AT506" s="334"/>
      <c r="AU506" s="334"/>
      <c r="AV506" s="334"/>
      <c r="AW506" s="334"/>
      <c r="AX506" s="334"/>
      <c r="AY506" s="334"/>
      <c r="AZ506" s="334"/>
      <c r="BA506" s="334"/>
      <c r="BC506" s="334"/>
      <c r="BD506" s="334"/>
      <c r="BE506" s="334"/>
      <c r="BF506" s="334"/>
      <c r="BG506" s="334"/>
      <c r="BH506" s="334"/>
      <c r="BI506" s="334"/>
      <c r="BJ506" s="334"/>
      <c r="BK506" s="334"/>
      <c r="BL506" s="246"/>
      <c r="BM506" s="514"/>
      <c r="BN506" s="282"/>
      <c r="BO506" s="282"/>
      <c r="BP506" s="282"/>
      <c r="BQ506" s="514"/>
      <c r="BR506" s="514"/>
      <c r="BS506" s="514"/>
      <c r="BT506" s="514"/>
      <c r="BU506" s="514"/>
      <c r="BV506" s="409"/>
      <c r="BW506" s="77"/>
      <c r="BX506" s="334"/>
      <c r="BY506" s="400"/>
      <c r="BZ506" s="334"/>
      <c r="CA506" s="282"/>
      <c r="CB506" s="259"/>
      <c r="CC506" s="410"/>
      <c r="CD506" s="410"/>
      <c r="CE506" s="505"/>
      <c r="CF506" s="506"/>
      <c r="CG506" s="505"/>
      <c r="CH506" s="506"/>
      <c r="CI506" s="27"/>
      <c r="CM506" s="15"/>
    </row>
    <row r="507" spans="1:91" ht="15.05" hidden="1" customHeight="1">
      <c r="A507" s="108"/>
      <c r="B507" s="1120" t="s">
        <v>1145</v>
      </c>
      <c r="C507" s="1030">
        <f>2*(C483+C786)/(C483+C786+MAX(C483,C786))*SQRT(C483^2+C786^2)</f>
        <v>7.2115692026605241E-2</v>
      </c>
      <c r="D507" s="1030">
        <f>2*(D483+D786)/(D483+D786+MAX(D483,D786))*SQRT(D483^2+D786^2)</f>
        <v>7.2115692026605241E-2</v>
      </c>
      <c r="I507" s="995"/>
      <c r="J507" s="995"/>
      <c r="K507" s="995"/>
      <c r="L507" s="995"/>
      <c r="M507" s="995"/>
      <c r="N507" s="995"/>
      <c r="O507" s="334"/>
      <c r="P507" s="334"/>
      <c r="Q507" s="334"/>
      <c r="R507" s="334"/>
      <c r="S507" s="334"/>
      <c r="T507" s="334"/>
      <c r="U507" s="334"/>
      <c r="V507" s="334"/>
      <c r="W507" s="334"/>
      <c r="X507" s="334"/>
      <c r="Y507" s="334"/>
      <c r="Z507" s="334"/>
      <c r="AA507" s="334"/>
      <c r="AB507" s="334"/>
      <c r="AC507" s="334"/>
      <c r="AD507" s="22"/>
      <c r="AE507" s="334"/>
      <c r="AF507" s="334"/>
      <c r="AG507" s="334"/>
      <c r="AH507" s="334"/>
      <c r="AI507" s="334"/>
      <c r="AJ507" s="334"/>
      <c r="AK507" s="334"/>
      <c r="AL507" s="334"/>
      <c r="AM507" s="334"/>
      <c r="AN507" s="334"/>
      <c r="AO507" s="334"/>
      <c r="AP507" s="334"/>
      <c r="AQ507" s="334"/>
      <c r="AR507" s="334"/>
      <c r="AS507" s="334"/>
      <c r="AT507" s="334"/>
      <c r="AU507" s="334"/>
      <c r="AV507" s="334"/>
      <c r="AW507" s="334"/>
      <c r="AX507" s="334"/>
      <c r="AY507" s="334"/>
      <c r="AZ507" s="334"/>
      <c r="BA507" s="334"/>
      <c r="BC507" s="334"/>
      <c r="BD507" s="334"/>
      <c r="BE507" s="334"/>
      <c r="BF507" s="334"/>
      <c r="BG507" s="334"/>
      <c r="BH507" s="334"/>
      <c r="BI507" s="334"/>
      <c r="BJ507" s="334"/>
      <c r="BK507" s="334"/>
      <c r="BL507" s="246"/>
      <c r="BM507" s="514"/>
      <c r="BN507" s="282"/>
      <c r="BO507" s="282"/>
      <c r="BP507" s="282"/>
      <c r="BQ507" s="514"/>
      <c r="BR507" s="514"/>
      <c r="BS507" s="514"/>
      <c r="BT507" s="514"/>
      <c r="BU507" s="514"/>
      <c r="BV507" s="409"/>
      <c r="BW507" s="77"/>
      <c r="BX507" s="334"/>
      <c r="BY507" s="400"/>
      <c r="BZ507" s="334"/>
      <c r="CA507" s="282"/>
      <c r="CB507" s="259"/>
      <c r="CC507" s="410"/>
      <c r="CD507" s="410"/>
      <c r="CE507" s="505"/>
      <c r="CF507" s="506"/>
      <c r="CG507" s="505"/>
      <c r="CH507" s="506"/>
      <c r="CI507" s="27"/>
      <c r="CM507" s="15"/>
    </row>
    <row r="508" spans="1:91" ht="15.05" hidden="1" customHeight="1">
      <c r="A508" s="108"/>
      <c r="B508" s="1118" t="s">
        <v>510</v>
      </c>
      <c r="C508" s="1119">
        <f>MIN(C509:C511)</f>
        <v>0.22360679774997899</v>
      </c>
      <c r="D508" s="1119">
        <f>MIN(D509:D511)</f>
        <v>0.22360679774997899</v>
      </c>
      <c r="I508" s="995"/>
      <c r="J508" s="995"/>
      <c r="K508" s="995"/>
      <c r="L508" s="995"/>
      <c r="M508" s="995"/>
      <c r="N508" s="995"/>
      <c r="O508" s="334"/>
      <c r="P508" s="334"/>
      <c r="Q508" s="334"/>
      <c r="R508" s="334"/>
      <c r="S508" s="334"/>
      <c r="T508" s="334"/>
      <c r="U508" s="334"/>
      <c r="V508" s="334"/>
      <c r="W508" s="334"/>
      <c r="X508" s="334"/>
      <c r="Y508" s="334"/>
      <c r="Z508" s="334"/>
      <c r="AA508" s="334"/>
      <c r="AB508" s="334"/>
      <c r="AC508" s="334"/>
      <c r="AD508" s="22"/>
      <c r="AE508" s="334"/>
      <c r="AF508" s="334"/>
      <c r="AG508" s="334"/>
      <c r="AH508" s="334"/>
      <c r="AI508" s="334"/>
      <c r="AJ508" s="334"/>
      <c r="AK508" s="334"/>
      <c r="AL508" s="334"/>
      <c r="AM508" s="334"/>
      <c r="AN508" s="334"/>
      <c r="AO508" s="334"/>
      <c r="AP508" s="334"/>
      <c r="AQ508" s="334"/>
      <c r="AR508" s="334"/>
      <c r="AS508" s="334"/>
      <c r="AT508" s="334"/>
      <c r="AU508" s="334"/>
      <c r="AV508" s="334"/>
      <c r="AW508" s="334"/>
      <c r="AX508" s="334"/>
      <c r="AY508" s="334"/>
      <c r="AZ508" s="334"/>
      <c r="BA508" s="334"/>
      <c r="BC508" s="334"/>
      <c r="BD508" s="334"/>
      <c r="BE508" s="334"/>
      <c r="BF508" s="334"/>
      <c r="BG508" s="334"/>
      <c r="BH508" s="334"/>
      <c r="BI508" s="334"/>
      <c r="BJ508" s="334"/>
      <c r="BK508" s="334"/>
      <c r="BL508" s="246"/>
      <c r="BM508" s="514"/>
      <c r="BN508" s="282"/>
      <c r="BO508" s="282"/>
      <c r="BP508" s="282"/>
      <c r="BQ508" s="514"/>
      <c r="BR508" s="514"/>
      <c r="BS508" s="514"/>
      <c r="BT508" s="514"/>
      <c r="BU508" s="514"/>
      <c r="BV508" s="409"/>
      <c r="BW508" s="77"/>
      <c r="BX508" s="334"/>
      <c r="BY508" s="400"/>
      <c r="BZ508" s="334"/>
      <c r="CA508" s="282"/>
      <c r="CB508" s="259"/>
      <c r="CC508" s="410"/>
      <c r="CD508" s="410"/>
      <c r="CE508" s="505"/>
      <c r="CF508" s="506"/>
      <c r="CG508" s="505"/>
      <c r="CH508" s="506"/>
      <c r="CI508" s="27"/>
      <c r="CM508" s="15"/>
    </row>
    <row r="509" spans="1:91" hidden="1">
      <c r="A509" s="120"/>
      <c r="B509" s="1120" t="s">
        <v>841</v>
      </c>
      <c r="C509" s="1032">
        <f>SQRT(C339^2+C784^2)</f>
        <v>0.22360679774997899</v>
      </c>
      <c r="D509" s="1032">
        <f>SQRT(D339^2+D784^2)</f>
        <v>0.22360679774997899</v>
      </c>
      <c r="E509" s="1121"/>
      <c r="I509" s="1122"/>
      <c r="J509" s="1122"/>
      <c r="K509" s="1122"/>
      <c r="L509" s="1122"/>
      <c r="M509" s="1122"/>
      <c r="N509" s="1122"/>
      <c r="O509" s="517"/>
      <c r="P509" s="517"/>
      <c r="Q509" s="517"/>
      <c r="R509" s="517"/>
      <c r="S509" s="517"/>
      <c r="T509" s="517"/>
      <c r="U509" s="517"/>
      <c r="V509" s="517"/>
      <c r="W509" s="517"/>
      <c r="X509" s="517"/>
      <c r="Y509" s="517"/>
      <c r="Z509" s="517"/>
      <c r="AA509" s="517"/>
      <c r="AB509" s="517"/>
      <c r="AC509" s="517"/>
      <c r="AD509" s="22"/>
      <c r="AE509" s="517"/>
      <c r="AF509" s="517"/>
      <c r="AG509" s="517"/>
      <c r="AH509" s="517"/>
      <c r="AI509" s="517"/>
      <c r="AJ509" s="517"/>
      <c r="AK509" s="517"/>
      <c r="AL509" s="517"/>
      <c r="AM509" s="517"/>
      <c r="AN509" s="517"/>
      <c r="AO509" s="517"/>
      <c r="AP509" s="517"/>
      <c r="AQ509" s="517"/>
      <c r="AR509" s="517"/>
      <c r="AS509" s="517"/>
      <c r="AT509" s="517"/>
      <c r="AU509" s="517"/>
      <c r="AV509" s="517"/>
      <c r="AW509" s="517"/>
      <c r="AX509" s="517"/>
      <c r="AY509" s="517"/>
      <c r="AZ509" s="517"/>
      <c r="BA509" s="517"/>
      <c r="BC509" s="517"/>
      <c r="BD509" s="517"/>
      <c r="BE509" s="517"/>
      <c r="BF509" s="517"/>
      <c r="BG509" s="517"/>
      <c r="BH509" s="517"/>
      <c r="BI509" s="517"/>
      <c r="BJ509" s="517"/>
      <c r="BK509" s="517"/>
      <c r="BL509" s="246"/>
      <c r="BM509" s="518"/>
      <c r="BN509" s="518"/>
      <c r="BO509" s="518"/>
      <c r="BP509" s="518"/>
      <c r="BQ509" s="518"/>
      <c r="BR509" s="518"/>
      <c r="BS509" s="518"/>
      <c r="BT509" s="518"/>
      <c r="BU509" s="518"/>
      <c r="BV509" s="77"/>
      <c r="BW509" s="77"/>
      <c r="BX509" s="519"/>
      <c r="BY509" s="334"/>
      <c r="BZ509" s="334"/>
      <c r="CA509" s="282"/>
      <c r="CB509" s="247"/>
      <c r="CC509" s="410"/>
      <c r="CD509" s="410"/>
      <c r="CE509" s="410"/>
      <c r="CF509" s="410"/>
      <c r="CG509" s="410"/>
      <c r="CH509" s="410"/>
      <c r="CI509" s="27"/>
      <c r="CJ509" s="27"/>
    </row>
    <row r="510" spans="1:91" ht="15.05" hidden="1" customHeight="1">
      <c r="A510" s="108"/>
      <c r="B510" s="1120" t="s">
        <v>509</v>
      </c>
      <c r="C510" s="1030">
        <f>C324*(C784+1)*C337*(1+C339)/(C337*C324)-1</f>
        <v>0.32000000000000006</v>
      </c>
      <c r="D510" s="1030">
        <f>D324*(D784+1)*D337*(1+D339)/(D337*D324)-1</f>
        <v>0.32000000000000006</v>
      </c>
      <c r="I510" s="995"/>
      <c r="J510" s="995"/>
      <c r="K510" s="995"/>
      <c r="L510" s="995"/>
      <c r="M510" s="995"/>
      <c r="N510" s="995"/>
      <c r="O510" s="334"/>
      <c r="P510" s="334"/>
      <c r="Q510" s="334"/>
      <c r="R510" s="334"/>
      <c r="S510" s="334"/>
      <c r="T510" s="334"/>
      <c r="U510" s="334"/>
      <c r="V510" s="334"/>
      <c r="W510" s="334"/>
      <c r="X510" s="334"/>
      <c r="Y510" s="334"/>
      <c r="Z510" s="334"/>
      <c r="AA510" s="334"/>
      <c r="AB510" s="334"/>
      <c r="AC510" s="334"/>
      <c r="AD510" s="22"/>
      <c r="AE510" s="334"/>
      <c r="AF510" s="334"/>
      <c r="AG510" s="334"/>
      <c r="AH510" s="334"/>
      <c r="AI510" s="334"/>
      <c r="AJ510" s="334"/>
      <c r="AK510" s="334"/>
      <c r="AL510" s="334"/>
      <c r="AM510" s="334"/>
      <c r="AN510" s="334"/>
      <c r="AO510" s="334"/>
      <c r="AP510" s="334"/>
      <c r="AQ510" s="334"/>
      <c r="AR510" s="334"/>
      <c r="AS510" s="334"/>
      <c r="AT510" s="334"/>
      <c r="AU510" s="334"/>
      <c r="AV510" s="334"/>
      <c r="AW510" s="334"/>
      <c r="AX510" s="334"/>
      <c r="AY510" s="334"/>
      <c r="AZ510" s="334"/>
      <c r="BA510" s="334"/>
      <c r="BC510" s="334"/>
      <c r="BD510" s="334"/>
      <c r="BE510" s="334"/>
      <c r="BF510" s="334"/>
      <c r="BG510" s="334"/>
      <c r="BH510" s="334"/>
      <c r="BI510" s="334"/>
      <c r="BJ510" s="334"/>
      <c r="BK510" s="334"/>
      <c r="BL510" s="246"/>
      <c r="BM510" s="514"/>
      <c r="BN510" s="282"/>
      <c r="BO510" s="282"/>
      <c r="BP510" s="282"/>
      <c r="BQ510" s="514"/>
      <c r="BR510" s="514"/>
      <c r="BS510" s="514"/>
      <c r="BT510" s="514"/>
      <c r="BU510" s="514"/>
      <c r="BV510" s="409"/>
      <c r="BW510" s="77"/>
      <c r="BX510" s="334"/>
      <c r="BY510" s="400"/>
      <c r="BZ510" s="334"/>
      <c r="CA510" s="282"/>
      <c r="CB510" s="259"/>
      <c r="CC510" s="410"/>
      <c r="CD510" s="410"/>
      <c r="CE510" s="505"/>
      <c r="CF510" s="506"/>
      <c r="CG510" s="505"/>
      <c r="CH510" s="506"/>
      <c r="CI510" s="27"/>
      <c r="CM510" s="15"/>
    </row>
    <row r="511" spans="1:91" ht="15.05" hidden="1" customHeight="1">
      <c r="A511" s="108"/>
      <c r="B511" s="1120" t="s">
        <v>1146</v>
      </c>
      <c r="C511" s="1030">
        <f>2*(C339+C784)/(C339+C784+MAX(C339,C784))*SQRT(C339^2+C784^2)</f>
        <v>0.26832815729997483</v>
      </c>
      <c r="D511" s="1030">
        <f>2*(D339+D784)/(D339+D784+MAX(D339,D784))*SQRT(D339^2+D784^2)</f>
        <v>0.26832815729997483</v>
      </c>
      <c r="I511" s="995"/>
      <c r="J511" s="995"/>
      <c r="K511" s="995"/>
      <c r="L511" s="995"/>
      <c r="M511" s="995"/>
      <c r="N511" s="995"/>
      <c r="O511" s="334"/>
      <c r="P511" s="334"/>
      <c r="Q511" s="334"/>
      <c r="R511" s="334"/>
      <c r="S511" s="334"/>
      <c r="T511" s="334"/>
      <c r="U511" s="334"/>
      <c r="V511" s="334"/>
      <c r="W511" s="334"/>
      <c r="X511" s="334"/>
      <c r="Y511" s="334"/>
      <c r="Z511" s="334"/>
      <c r="AA511" s="334"/>
      <c r="AB511" s="334"/>
      <c r="AC511" s="334"/>
      <c r="AD511" s="22"/>
      <c r="AE511" s="334"/>
      <c r="AF511" s="334"/>
      <c r="AG511" s="334"/>
      <c r="AH511" s="334"/>
      <c r="AI511" s="334"/>
      <c r="AJ511" s="334"/>
      <c r="AK511" s="334"/>
      <c r="AL511" s="334"/>
      <c r="AM511" s="334"/>
      <c r="AN511" s="334"/>
      <c r="AO511" s="334"/>
      <c r="AP511" s="334"/>
      <c r="AQ511" s="334"/>
      <c r="AR511" s="334"/>
      <c r="AS511" s="334"/>
      <c r="AT511" s="334"/>
      <c r="AU511" s="334"/>
      <c r="AV511" s="334"/>
      <c r="AW511" s="334"/>
      <c r="AX511" s="334"/>
      <c r="AY511" s="334"/>
      <c r="AZ511" s="334"/>
      <c r="BA511" s="334"/>
      <c r="BC511" s="334"/>
      <c r="BD511" s="334"/>
      <c r="BE511" s="334"/>
      <c r="BF511" s="334"/>
      <c r="BG511" s="334"/>
      <c r="BH511" s="334"/>
      <c r="BI511" s="334"/>
      <c r="BJ511" s="334"/>
      <c r="BK511" s="334"/>
      <c r="BL511" s="246"/>
      <c r="BM511" s="514"/>
      <c r="BN511" s="282"/>
      <c r="BO511" s="282"/>
      <c r="BP511" s="282"/>
      <c r="BQ511" s="514"/>
      <c r="BR511" s="514"/>
      <c r="BS511" s="514"/>
      <c r="BT511" s="514"/>
      <c r="BU511" s="514"/>
      <c r="BV511" s="409"/>
      <c r="BW511" s="77"/>
      <c r="BX511" s="334"/>
      <c r="BY511" s="400"/>
      <c r="BZ511" s="334"/>
      <c r="CA511" s="282"/>
      <c r="CB511" s="259"/>
      <c r="CC511" s="410"/>
      <c r="CD511" s="410"/>
      <c r="CE511" s="505"/>
      <c r="CF511" s="506"/>
      <c r="CG511" s="505"/>
      <c r="CH511" s="506"/>
      <c r="CI511" s="27"/>
      <c r="CM511" s="15"/>
    </row>
    <row r="512" spans="1:91" ht="15.05" hidden="1" customHeight="1">
      <c r="A512" s="108"/>
      <c r="B512" s="1120" t="s">
        <v>497</v>
      </c>
      <c r="C512" s="1030">
        <f>SQRT(C483^2+C339^2+C784^2+C785^2)</f>
        <v>0.23883978823563809</v>
      </c>
      <c r="D512" s="1030">
        <f>SQRT(D483^2+D339^2+D784^2+D785^2)</f>
        <v>0.23883978823563809</v>
      </c>
      <c r="I512" s="995"/>
      <c r="J512" s="995"/>
      <c r="K512" s="995"/>
      <c r="L512" s="995"/>
      <c r="M512" s="995"/>
      <c r="N512" s="995"/>
      <c r="O512" s="334"/>
      <c r="P512" s="334"/>
      <c r="Q512" s="334"/>
      <c r="R512" s="334"/>
      <c r="S512" s="334"/>
      <c r="T512" s="334"/>
      <c r="U512" s="334"/>
      <c r="V512" s="334"/>
      <c r="W512" s="334"/>
      <c r="X512" s="334"/>
      <c r="Y512" s="334"/>
      <c r="Z512" s="334"/>
      <c r="AA512" s="334"/>
      <c r="AB512" s="334"/>
      <c r="AC512" s="334"/>
      <c r="AD512" s="22"/>
      <c r="AE512" s="334"/>
      <c r="AF512" s="334"/>
      <c r="AG512" s="334"/>
      <c r="AH512" s="334"/>
      <c r="AI512" s="334"/>
      <c r="AJ512" s="334"/>
      <c r="AK512" s="334"/>
      <c r="AL512" s="334"/>
      <c r="AM512" s="334"/>
      <c r="AN512" s="334"/>
      <c r="AO512" s="334"/>
      <c r="AP512" s="334"/>
      <c r="AQ512" s="334"/>
      <c r="AR512" s="334"/>
      <c r="AS512" s="334"/>
      <c r="AT512" s="334"/>
      <c r="AU512" s="334"/>
      <c r="AV512" s="334"/>
      <c r="AW512" s="334"/>
      <c r="AX512" s="334"/>
      <c r="AY512" s="334"/>
      <c r="AZ512" s="334"/>
      <c r="BA512" s="334"/>
      <c r="BC512" s="334"/>
      <c r="BD512" s="334"/>
      <c r="BE512" s="334"/>
      <c r="BF512" s="334"/>
      <c r="BG512" s="334"/>
      <c r="BH512" s="334"/>
      <c r="BI512" s="334"/>
      <c r="BJ512" s="334"/>
      <c r="BK512" s="334"/>
      <c r="BL512" s="246"/>
      <c r="BM512" s="514"/>
      <c r="BN512" s="514"/>
      <c r="BO512" s="514"/>
      <c r="BP512" s="514"/>
      <c r="BQ512" s="514"/>
      <c r="BR512" s="514"/>
      <c r="BS512" s="514"/>
      <c r="BT512" s="514"/>
      <c r="BU512" s="514"/>
      <c r="BV512" s="409"/>
      <c r="BW512" s="77"/>
      <c r="BX512" s="334"/>
      <c r="BY512" s="400"/>
      <c r="BZ512" s="334"/>
      <c r="CA512" s="282"/>
      <c r="CB512" s="259"/>
      <c r="CC512" s="410"/>
      <c r="CD512" s="410"/>
      <c r="CE512" s="505"/>
      <c r="CF512" s="506"/>
      <c r="CG512" s="505"/>
      <c r="CH512" s="506"/>
      <c r="CI512" s="27"/>
      <c r="CM512" s="15"/>
    </row>
    <row r="513" spans="1:91" ht="15.05" hidden="1" customHeight="1">
      <c r="A513" s="108"/>
      <c r="B513" s="1120" t="s">
        <v>498</v>
      </c>
      <c r="C513" s="1030">
        <f>SQRT(C483^2+C339^2+C784^2+C786^2)</f>
        <v>0.23354752074137816</v>
      </c>
      <c r="D513" s="1030">
        <f>SQRT(D483^2+D339^2+D784^2+D786^2)</f>
        <v>0.23354752074137816</v>
      </c>
      <c r="I513" s="995"/>
      <c r="J513" s="995"/>
      <c r="K513" s="995"/>
      <c r="L513" s="995"/>
      <c r="M513" s="995"/>
      <c r="N513" s="995"/>
      <c r="O513" s="334"/>
      <c r="P513" s="334"/>
      <c r="Q513" s="334"/>
      <c r="R513" s="334"/>
      <c r="S513" s="334"/>
      <c r="T513" s="334"/>
      <c r="U513" s="334"/>
      <c r="V513" s="334"/>
      <c r="W513" s="334"/>
      <c r="X513" s="334"/>
      <c r="Y513" s="334"/>
      <c r="Z513" s="334"/>
      <c r="AA513" s="334"/>
      <c r="AB513" s="334"/>
      <c r="AC513" s="334"/>
      <c r="AD513" s="22"/>
      <c r="AE513" s="334"/>
      <c r="AF513" s="334"/>
      <c r="AG513" s="334"/>
      <c r="AH513" s="334"/>
      <c r="AI513" s="334"/>
      <c r="AJ513" s="334"/>
      <c r="AK513" s="334"/>
      <c r="AL513" s="334"/>
      <c r="AM513" s="334"/>
      <c r="AN513" s="334"/>
      <c r="AO513" s="334"/>
      <c r="AP513" s="334"/>
      <c r="AQ513" s="334"/>
      <c r="AR513" s="334"/>
      <c r="AS513" s="334"/>
      <c r="AT513" s="334"/>
      <c r="AU513" s="334"/>
      <c r="AV513" s="334"/>
      <c r="AW513" s="334"/>
      <c r="AX513" s="334"/>
      <c r="AY513" s="334"/>
      <c r="AZ513" s="334"/>
      <c r="BA513" s="334"/>
      <c r="BC513" s="334"/>
      <c r="BD513" s="334"/>
      <c r="BE513" s="334"/>
      <c r="BF513" s="334"/>
      <c r="BG513" s="334"/>
      <c r="BH513" s="334"/>
      <c r="BI513" s="334"/>
      <c r="BJ513" s="334"/>
      <c r="BK513" s="334"/>
      <c r="BL513" s="246"/>
      <c r="BM513" s="514"/>
      <c r="BN513" s="514"/>
      <c r="BO513" s="514"/>
      <c r="BP513" s="514"/>
      <c r="BQ513" s="514"/>
      <c r="BR513" s="514"/>
      <c r="BS513" s="514"/>
      <c r="BT513" s="514"/>
      <c r="BU513" s="514"/>
      <c r="BV513" s="409"/>
      <c r="BW513" s="77"/>
      <c r="BX513" s="334"/>
      <c r="BY513" s="400"/>
      <c r="BZ513" s="334"/>
      <c r="CA513" s="282"/>
      <c r="CB513" s="259"/>
      <c r="CC513" s="410"/>
      <c r="CD513" s="410"/>
      <c r="CE513" s="505"/>
      <c r="CF513" s="506"/>
      <c r="CG513" s="505"/>
      <c r="CH513" s="506"/>
      <c r="CI513" s="27"/>
      <c r="CM513" s="15"/>
    </row>
    <row r="514" spans="1:91" ht="15.05" hidden="1" customHeight="1">
      <c r="A514" s="108"/>
      <c r="E514" s="1115"/>
      <c r="J514" s="1058"/>
      <c r="K514" s="995"/>
      <c r="L514" s="1058"/>
      <c r="M514" s="1058"/>
      <c r="N514" s="1058"/>
      <c r="O514" s="409"/>
      <c r="P514" s="409"/>
      <c r="Q514" s="409"/>
      <c r="R514" s="409"/>
      <c r="S514" s="409"/>
      <c r="T514" s="409"/>
      <c r="U514" s="409"/>
      <c r="V514" s="409"/>
      <c r="W514" s="409"/>
      <c r="X514" s="409"/>
      <c r="Y514" s="409"/>
      <c r="Z514" s="409"/>
      <c r="AA514" s="409"/>
      <c r="AB514" s="409"/>
      <c r="AC514" s="409"/>
      <c r="AD514" s="22"/>
      <c r="AE514" s="409"/>
      <c r="AF514" s="409"/>
      <c r="AG514" s="409"/>
      <c r="AH514" s="409"/>
      <c r="AI514" s="409"/>
      <c r="AJ514" s="409"/>
      <c r="AK514" s="409"/>
      <c r="AL514" s="409"/>
      <c r="AM514" s="409"/>
      <c r="AN514" s="409"/>
      <c r="AO514" s="409"/>
      <c r="AP514" s="409"/>
      <c r="AQ514" s="409"/>
      <c r="AR514" s="409"/>
      <c r="AS514" s="409"/>
      <c r="AT514" s="409"/>
      <c r="AU514" s="409"/>
      <c r="AV514" s="409"/>
      <c r="AW514" s="409"/>
      <c r="AX514" s="409"/>
      <c r="AY514" s="409"/>
      <c r="AZ514" s="409"/>
      <c r="BA514" s="409"/>
      <c r="BC514" s="409"/>
      <c r="BD514" s="409"/>
      <c r="BE514" s="409"/>
      <c r="BF514" s="409"/>
      <c r="BG514" s="334"/>
      <c r="BH514" s="334"/>
      <c r="BI514" s="334"/>
      <c r="BJ514" s="334"/>
      <c r="BK514" s="334"/>
      <c r="BL514" s="246"/>
      <c r="BM514" s="473">
        <v>3.45</v>
      </c>
      <c r="BN514" s="2">
        <v>3.45</v>
      </c>
      <c r="BO514" s="474">
        <v>4.5999999999999996</v>
      </c>
      <c r="BP514" s="474">
        <v>4.5999999999999996</v>
      </c>
      <c r="BQ514" s="473">
        <v>0.42</v>
      </c>
      <c r="BR514" s="418">
        <v>3.45</v>
      </c>
      <c r="BS514" s="418">
        <v>1.45</v>
      </c>
      <c r="BT514" s="473">
        <v>10</v>
      </c>
      <c r="BU514" s="473">
        <v>10</v>
      </c>
      <c r="BV514" s="259"/>
      <c r="BZ514" s="334"/>
      <c r="CA514" s="259"/>
      <c r="CB514" s="259"/>
      <c r="CC514" s="246"/>
      <c r="CD514" s="246"/>
      <c r="CE514" s="246"/>
      <c r="CF514" s="246"/>
      <c r="CG514" s="420" t="s">
        <v>942</v>
      </c>
      <c r="CH514" s="475">
        <v>2</v>
      </c>
      <c r="CI514" s="475">
        <v>2</v>
      </c>
    </row>
    <row r="515" spans="1:91" ht="15.05" hidden="1" customHeight="1">
      <c r="A515" s="108"/>
      <c r="B515" s="1010" t="s">
        <v>2</v>
      </c>
      <c r="C515" s="1038"/>
      <c r="D515" s="1038"/>
      <c r="E515" s="1115"/>
      <c r="J515" s="1058"/>
      <c r="K515" s="995"/>
      <c r="L515" s="1058"/>
      <c r="M515" s="1058"/>
      <c r="N515" s="1058"/>
      <c r="O515" s="409"/>
      <c r="P515" s="409"/>
      <c r="Q515" s="409"/>
      <c r="R515" s="409"/>
      <c r="S515" s="409"/>
      <c r="T515" s="409"/>
      <c r="U515" s="409"/>
      <c r="V515" s="409"/>
      <c r="W515" s="409"/>
      <c r="X515" s="409"/>
      <c r="Y515" s="409"/>
      <c r="Z515" s="409"/>
      <c r="AA515" s="409"/>
      <c r="AB515" s="409"/>
      <c r="AC515" s="409"/>
      <c r="AD515" s="22"/>
      <c r="AE515" s="409"/>
      <c r="AF515" s="409"/>
      <c r="AG515" s="409"/>
      <c r="AH515" s="409"/>
      <c r="AI515" s="409"/>
      <c r="AJ515" s="409"/>
      <c r="AK515" s="409"/>
      <c r="AL515" s="409"/>
      <c r="AM515" s="409"/>
      <c r="AN515" s="409"/>
      <c r="AO515" s="409"/>
      <c r="AP515" s="409"/>
      <c r="AQ515" s="409"/>
      <c r="AR515" s="409"/>
      <c r="AS515" s="409"/>
      <c r="AT515" s="409"/>
      <c r="AU515" s="409"/>
      <c r="AV515" s="409"/>
      <c r="AW515" s="409"/>
      <c r="AX515" s="409"/>
      <c r="AY515" s="409"/>
      <c r="AZ515" s="409"/>
      <c r="BA515" s="409"/>
      <c r="BC515" s="409"/>
      <c r="BD515" s="409"/>
      <c r="BE515" s="409"/>
      <c r="BF515" s="409"/>
      <c r="BG515" s="334"/>
      <c r="BH515" s="334"/>
      <c r="BI515" s="334"/>
      <c r="BJ515" s="334"/>
      <c r="BK515" s="334"/>
      <c r="BL515" s="246"/>
      <c r="BM515" s="476">
        <v>3.15</v>
      </c>
      <c r="BN515" s="2">
        <v>3.15</v>
      </c>
      <c r="BO515" s="246">
        <v>4.5999999999999996</v>
      </c>
      <c r="BP515" s="246">
        <v>4.5999999999999996</v>
      </c>
      <c r="BQ515" s="476">
        <v>0.39</v>
      </c>
      <c r="BR515" s="418">
        <v>3.15</v>
      </c>
      <c r="BS515" s="418">
        <v>1.42</v>
      </c>
      <c r="BT515" s="476">
        <v>10</v>
      </c>
      <c r="BU515" s="476">
        <v>10</v>
      </c>
      <c r="BV515" s="259"/>
      <c r="BZ515" s="334"/>
      <c r="CA515" s="259"/>
      <c r="CB515" s="259"/>
      <c r="CC515" s="246"/>
      <c r="CD515" s="246"/>
      <c r="CE515" s="246"/>
      <c r="CF515" s="246"/>
      <c r="CG515" s="246"/>
      <c r="CH515" s="246"/>
    </row>
    <row r="516" spans="1:91" ht="14.25" hidden="1" customHeight="1">
      <c r="A516" s="108"/>
      <c r="B516" s="314" t="s">
        <v>546</v>
      </c>
      <c r="C516" s="1044">
        <f>C465/C496-0.5*(C328-C226)/C338/C324*C226/C328*1000</f>
        <v>9.3548017588960928</v>
      </c>
      <c r="D516" s="1044" t="e">
        <f>D465/D496-0.5*(D328-D226)/D338/D324*D226/D328*1000</f>
        <v>#DIV/0!</v>
      </c>
      <c r="E516" s="1115"/>
      <c r="I516" s="1123"/>
      <c r="J516" s="1058"/>
      <c r="K516" s="1123"/>
      <c r="L516" s="1058"/>
      <c r="M516" s="1058"/>
      <c r="N516" s="1058"/>
      <c r="O516" s="409"/>
      <c r="P516" s="409"/>
      <c r="Q516" s="409"/>
      <c r="R516" s="409"/>
      <c r="S516" s="409"/>
      <c r="T516" s="409"/>
      <c r="U516" s="409"/>
      <c r="V516" s="409"/>
      <c r="W516" s="409"/>
      <c r="X516" s="409"/>
      <c r="Y516" s="409"/>
      <c r="Z516" s="409"/>
      <c r="AA516" s="409"/>
      <c r="AB516" s="409"/>
      <c r="AC516" s="409"/>
      <c r="AD516" s="22"/>
      <c r="AE516" s="409"/>
      <c r="AF516" s="409"/>
      <c r="AG516" s="409"/>
      <c r="AH516" s="409"/>
      <c r="AI516" s="409"/>
      <c r="AJ516" s="409"/>
      <c r="AK516" s="409"/>
      <c r="AL516" s="409"/>
      <c r="AM516" s="409"/>
      <c r="AN516" s="409"/>
      <c r="AO516" s="409"/>
      <c r="AP516" s="409"/>
      <c r="AQ516" s="409"/>
      <c r="AR516" s="409"/>
      <c r="AS516" s="409"/>
      <c r="AT516" s="409"/>
      <c r="AU516" s="409"/>
      <c r="AV516" s="409"/>
      <c r="AW516" s="409"/>
      <c r="AX516" s="409"/>
      <c r="AY516" s="409"/>
      <c r="AZ516" s="409"/>
      <c r="BA516" s="409"/>
      <c r="BC516" s="409"/>
      <c r="BD516" s="409"/>
      <c r="BE516" s="409"/>
      <c r="BF516" s="409"/>
      <c r="BG516" s="334"/>
      <c r="BH516" s="334"/>
      <c r="BI516" s="334"/>
      <c r="BJ516" s="334"/>
      <c r="BK516" s="334"/>
      <c r="BL516" s="246"/>
      <c r="BM516" s="476">
        <v>3.08</v>
      </c>
      <c r="BN516" s="2">
        <v>3.08</v>
      </c>
      <c r="BO516" s="246">
        <v>4.5999999999999996</v>
      </c>
      <c r="BP516" s="246">
        <v>4.5999999999999996</v>
      </c>
      <c r="BQ516" s="476">
        <v>0.39</v>
      </c>
      <c r="BR516" s="418">
        <v>3.05</v>
      </c>
      <c r="BS516" s="418">
        <v>1.35</v>
      </c>
      <c r="BT516" s="476">
        <v>10</v>
      </c>
      <c r="BU516" s="476">
        <v>10</v>
      </c>
      <c r="BV516" s="259"/>
      <c r="BW516" s="246"/>
      <c r="BX516" s="246"/>
      <c r="BY516" s="246"/>
      <c r="BZ516" s="334"/>
      <c r="CA516" s="259"/>
      <c r="CB516" s="259"/>
      <c r="CC516" s="246"/>
      <c r="CD516" s="246"/>
      <c r="CE516" s="246"/>
      <c r="CF516" s="246"/>
      <c r="CG516" s="246"/>
      <c r="CH516" s="246"/>
    </row>
    <row r="517" spans="1:91" ht="14.25" hidden="1" customHeight="1">
      <c r="A517" s="108"/>
      <c r="B517" s="314" t="s">
        <v>547</v>
      </c>
      <c r="C517" s="1044">
        <f>C465/C496-0.5*(C329-C226)/C338/C324*C226/C329*1000</f>
        <v>9.3289619656144396</v>
      </c>
      <c r="D517" s="1044" t="e">
        <f>D465/D496-0.5*(D329-D226)/D338/D324*D226/D329*1000</f>
        <v>#DIV/0!</v>
      </c>
      <c r="E517" s="1116"/>
      <c r="F517" s="1124"/>
      <c r="G517" s="1124"/>
      <c r="H517" s="1124"/>
      <c r="I517" s="1124"/>
      <c r="J517" s="1124"/>
      <c r="K517" s="1124"/>
      <c r="L517" s="1124"/>
      <c r="M517" s="1124"/>
      <c r="N517" s="1124"/>
      <c r="O517" s="477"/>
      <c r="P517" s="477"/>
      <c r="Q517" s="477"/>
      <c r="R517" s="477"/>
      <c r="S517" s="477"/>
      <c r="T517" s="477"/>
      <c r="U517" s="477"/>
      <c r="V517" s="477"/>
      <c r="W517" s="477"/>
      <c r="X517" s="477"/>
      <c r="Y517" s="477"/>
      <c r="Z517" s="477"/>
      <c r="AA517" s="477"/>
      <c r="AB517" s="477"/>
      <c r="AC517" s="477"/>
      <c r="AD517" s="22"/>
      <c r="AE517" s="477"/>
      <c r="AF517" s="477"/>
      <c r="AG517" s="477"/>
      <c r="AH517" s="477"/>
      <c r="AI517" s="477"/>
      <c r="AJ517" s="477"/>
      <c r="AK517" s="477"/>
      <c r="AL517" s="477"/>
      <c r="AM517" s="477"/>
      <c r="AN517" s="477"/>
      <c r="AO517" s="477"/>
      <c r="AP517" s="477"/>
      <c r="AQ517" s="477"/>
      <c r="AR517" s="477"/>
      <c r="AS517" s="477"/>
      <c r="AT517" s="477"/>
      <c r="AU517" s="477"/>
      <c r="AV517" s="477"/>
      <c r="AW517" s="477"/>
      <c r="AX517" s="477"/>
      <c r="AY517" s="477"/>
      <c r="AZ517" s="477"/>
      <c r="BA517" s="477"/>
      <c r="BC517" s="477"/>
      <c r="BD517" s="477"/>
      <c r="BE517" s="477"/>
      <c r="BF517" s="477"/>
      <c r="BG517" s="477"/>
      <c r="BH517" s="477"/>
      <c r="BI517" s="477"/>
      <c r="BJ517" s="477"/>
      <c r="BK517" s="477"/>
      <c r="BL517" s="246"/>
      <c r="BM517" s="478">
        <v>0.2</v>
      </c>
      <c r="BN517" s="478">
        <v>0.2</v>
      </c>
      <c r="BO517" s="478">
        <v>0.2</v>
      </c>
      <c r="BP517" s="478">
        <v>0.2</v>
      </c>
      <c r="BQ517" s="478">
        <v>0.2</v>
      </c>
      <c r="BR517" s="478">
        <v>0.2</v>
      </c>
      <c r="BS517" s="478">
        <v>0.2</v>
      </c>
      <c r="BT517" s="478">
        <v>0.2</v>
      </c>
      <c r="BU517" s="478">
        <v>0.2</v>
      </c>
      <c r="BV517" s="259"/>
      <c r="BZ517" s="334"/>
      <c r="CA517" s="259"/>
      <c r="CB517" s="259"/>
      <c r="CC517" s="246"/>
      <c r="CD517" s="246"/>
      <c r="CE517" s="246"/>
      <c r="CF517" s="246"/>
      <c r="CG517" s="399"/>
      <c r="CH517" s="333"/>
    </row>
    <row r="518" spans="1:91" s="15" customFormat="1" ht="14.25" hidden="1" customHeight="1">
      <c r="A518" s="108"/>
      <c r="B518" s="314" t="s">
        <v>512</v>
      </c>
      <c r="C518" s="1044">
        <f>C465/C496-0.5*(C330-C226)/C338/C324*C226/C330*1000</f>
        <v>9.305321303675905</v>
      </c>
      <c r="D518" s="1044" t="e">
        <f>D465/D496-0.5*(D330-D226)/D338/D324*D226/D330*1000</f>
        <v>#DIV/0!</v>
      </c>
      <c r="E518" s="1116"/>
      <c r="F518" s="1058"/>
      <c r="G518" s="1058"/>
      <c r="H518" s="1115"/>
      <c r="I518" s="1115"/>
      <c r="J518" s="1115"/>
      <c r="K518" s="1115"/>
      <c r="L518" s="1115"/>
      <c r="M518" s="1115"/>
      <c r="N518" s="1115"/>
      <c r="O518" s="470"/>
      <c r="P518" s="470"/>
      <c r="Q518" s="470"/>
      <c r="R518" s="470"/>
      <c r="S518" s="470"/>
      <c r="T518" s="470"/>
      <c r="U518" s="470"/>
      <c r="V518" s="470"/>
      <c r="W518" s="470"/>
      <c r="X518" s="470"/>
      <c r="Y518" s="470"/>
      <c r="Z518" s="470"/>
      <c r="AA518" s="470"/>
      <c r="AB518" s="470"/>
      <c r="AC518" s="470"/>
      <c r="AD518" s="22"/>
      <c r="AE518" s="470"/>
      <c r="AF518" s="470"/>
      <c r="AG518" s="470"/>
      <c r="AH518" s="470"/>
      <c r="AI518" s="470"/>
      <c r="AJ518" s="470"/>
      <c r="AK518" s="470"/>
      <c r="AL518" s="470"/>
      <c r="AM518" s="470"/>
      <c r="AN518" s="470"/>
      <c r="AO518" s="470"/>
      <c r="AP518" s="470"/>
      <c r="AQ518" s="470"/>
      <c r="AR518" s="470"/>
      <c r="AS518" s="470"/>
      <c r="AT518" s="470"/>
      <c r="AU518" s="470"/>
      <c r="AV518" s="470"/>
      <c r="AW518" s="470"/>
      <c r="AX518" s="470"/>
      <c r="AY518" s="470"/>
      <c r="AZ518" s="470"/>
      <c r="BA518" s="470"/>
      <c r="BC518" s="470"/>
      <c r="BD518" s="470"/>
      <c r="BE518" s="470"/>
      <c r="BF518" s="470"/>
      <c r="BG518" s="470"/>
      <c r="BH518" s="470"/>
      <c r="BI518" s="470"/>
      <c r="BJ518" s="470"/>
      <c r="BK518" s="470"/>
      <c r="BL518" s="246"/>
      <c r="BM518" s="431">
        <f t="shared" ref="BM518:BU518" si="83">(BM$482-BM$339)/(BM$515*10^-6)*(BM$339/BM$482*100)/(BM$478*10^5)</f>
        <v>0.79365079365079383</v>
      </c>
      <c r="BN518" s="431">
        <f t="shared" si="83"/>
        <v>1.4146362706033491</v>
      </c>
      <c r="BO518" s="431">
        <f t="shared" si="83"/>
        <v>1.095570652173913</v>
      </c>
      <c r="BP518" s="431">
        <f t="shared" si="83"/>
        <v>1.1383413848631241</v>
      </c>
      <c r="BQ518" s="431">
        <f t="shared" si="83"/>
        <v>2.692307692307693</v>
      </c>
      <c r="BR518" s="431">
        <f t="shared" si="83"/>
        <v>2.214971585341956</v>
      </c>
      <c r="BS518" s="431">
        <f t="shared" si="83"/>
        <v>2.4052816901408458</v>
      </c>
      <c r="BT518" s="431">
        <f t="shared" si="83"/>
        <v>0.12705882352941178</v>
      </c>
      <c r="BU518" s="431">
        <f t="shared" si="83"/>
        <v>0.12705882352941178</v>
      </c>
      <c r="BV518" s="259"/>
      <c r="CB518" s="259"/>
      <c r="CC518" s="15" t="s">
        <v>1047</v>
      </c>
      <c r="CD518" s="15">
        <v>8</v>
      </c>
      <c r="CE518" s="15">
        <v>20</v>
      </c>
      <c r="CF518" s="246">
        <v>370</v>
      </c>
      <c r="CG518" s="2"/>
      <c r="CH518" s="246"/>
      <c r="CI518" s="2"/>
      <c r="CJ518" s="2"/>
      <c r="CK518" s="2"/>
      <c r="CL518" s="2"/>
      <c r="CM518" s="2"/>
    </row>
    <row r="519" spans="1:91" ht="14.25" hidden="1" customHeight="1">
      <c r="A519" s="108"/>
      <c r="B519" s="1125" t="s">
        <v>270</v>
      </c>
      <c r="C519" s="1044">
        <f>C465*(1-C786)/C496*(1+C483)-0.5*(C330-C226)/C338*(1+C339)/C324*(1+C784)*C226/C330*1000</f>
        <v>8.0291921021233108</v>
      </c>
      <c r="D519" s="1044" t="e">
        <f>D465*(1-D786)/D496*(1+D483)-0.5*(D330-D226)/D338*(1+D339)/D324*(1+D784)*D226/D330*1000</f>
        <v>#DIV/0!</v>
      </c>
      <c r="E519" s="1116"/>
      <c r="H519" s="1115"/>
      <c r="I519" s="1115"/>
      <c r="J519" s="1115"/>
      <c r="K519" s="1115"/>
      <c r="L519" s="1115"/>
      <c r="M519" s="1115"/>
      <c r="N519" s="1115"/>
      <c r="O519" s="470"/>
      <c r="P519" s="470"/>
      <c r="Q519" s="470"/>
      <c r="R519" s="470"/>
      <c r="S519" s="470"/>
      <c r="T519" s="470"/>
      <c r="U519" s="470"/>
      <c r="V519" s="470"/>
      <c r="W519" s="470"/>
      <c r="X519" s="470"/>
      <c r="Y519" s="470"/>
      <c r="Z519" s="470"/>
      <c r="AA519" s="470"/>
      <c r="AB519" s="470"/>
      <c r="AC519" s="470"/>
      <c r="AD519" s="22"/>
      <c r="AE519" s="470"/>
      <c r="AF519" s="470"/>
      <c r="AG519" s="470"/>
      <c r="AH519" s="470"/>
      <c r="AI519" s="470"/>
      <c r="AJ519" s="470"/>
      <c r="AK519" s="470"/>
      <c r="AL519" s="470"/>
      <c r="AM519" s="470"/>
      <c r="AN519" s="470"/>
      <c r="AO519" s="470"/>
      <c r="AP519" s="470"/>
      <c r="AQ519" s="470"/>
      <c r="AR519" s="470"/>
      <c r="AS519" s="470"/>
      <c r="AT519" s="470"/>
      <c r="AU519" s="470"/>
      <c r="AV519" s="470"/>
      <c r="AW519" s="470"/>
      <c r="AX519" s="470"/>
      <c r="AY519" s="470"/>
      <c r="AZ519" s="470"/>
      <c r="BA519" s="470"/>
      <c r="BC519" s="470"/>
      <c r="BD519" s="470"/>
      <c r="BE519" s="470"/>
      <c r="BF519" s="470"/>
      <c r="BG519" s="470"/>
      <c r="BH519" s="470"/>
      <c r="BI519" s="470"/>
      <c r="BJ519" s="470"/>
      <c r="BK519" s="470"/>
      <c r="BL519" s="246"/>
      <c r="BM519" s="431">
        <f t="shared" ref="BM519:BU519" si="84">(BM$483-BM$339)/(BM$515*10^-6)*(BM$339/BM$483*100)/(BM$478*10^5)</f>
        <v>2.7777777777777786</v>
      </c>
      <c r="BN519" s="431">
        <f t="shared" si="84"/>
        <v>2.2769830382999112</v>
      </c>
      <c r="BO519" s="431">
        <f t="shared" si="84"/>
        <v>1.5774758454106286</v>
      </c>
      <c r="BP519" s="431">
        <f t="shared" si="84"/>
        <v>1.345953360768176</v>
      </c>
      <c r="BQ519" s="431">
        <f t="shared" si="84"/>
        <v>2.692307692307693</v>
      </c>
      <c r="BR519" s="431">
        <f t="shared" si="84"/>
        <v>2.7323796459598935</v>
      </c>
      <c r="BS519" s="431">
        <f t="shared" si="84"/>
        <v>2.5330985915492961</v>
      </c>
      <c r="BT519" s="431">
        <f t="shared" si="84"/>
        <v>1.2000000000000002</v>
      </c>
      <c r="BU519" s="431">
        <f t="shared" si="84"/>
        <v>1.2000000000000002</v>
      </c>
      <c r="BV519" s="259"/>
      <c r="BZ519" s="334"/>
      <c r="CA519" s="259"/>
      <c r="CB519" s="259"/>
      <c r="CC519" s="246"/>
      <c r="CD519" s="15" t="s">
        <v>968</v>
      </c>
      <c r="CE519" s="15" t="s">
        <v>969</v>
      </c>
      <c r="CF519" s="246"/>
      <c r="CH519" s="246"/>
    </row>
    <row r="520" spans="1:91" ht="14.25" hidden="1" customHeight="1">
      <c r="A520" s="108"/>
      <c r="B520" s="1126" t="s">
        <v>1165</v>
      </c>
      <c r="C520" s="1127">
        <f>C465/C496</f>
        <v>11.273406410058884</v>
      </c>
      <c r="D520" s="1127">
        <f>D465/D496</f>
        <v>10.669473923805732</v>
      </c>
      <c r="E520" s="1116"/>
      <c r="H520" s="1115"/>
      <c r="I520" s="1115"/>
      <c r="J520" s="1115"/>
      <c r="K520" s="1115"/>
      <c r="L520" s="1115"/>
      <c r="M520" s="1115"/>
      <c r="N520" s="1115"/>
      <c r="O520" s="470"/>
      <c r="P520" s="470"/>
      <c r="Q520" s="470"/>
      <c r="R520" s="470"/>
      <c r="S520" s="470"/>
      <c r="T520" s="470"/>
      <c r="U520" s="470"/>
      <c r="V520" s="470"/>
      <c r="W520" s="470"/>
      <c r="X520" s="470"/>
      <c r="Y520" s="470"/>
      <c r="Z520" s="470"/>
      <c r="AA520" s="470"/>
      <c r="AB520" s="470"/>
      <c r="AC520" s="470"/>
      <c r="AD520" s="22"/>
      <c r="AE520" s="470"/>
      <c r="AF520" s="470"/>
      <c r="AG520" s="470"/>
      <c r="AH520" s="470"/>
      <c r="AI520" s="470"/>
      <c r="AJ520" s="470"/>
      <c r="AK520" s="470"/>
      <c r="AL520" s="470"/>
      <c r="AM520" s="470"/>
      <c r="AN520" s="470"/>
      <c r="AO520" s="470"/>
      <c r="AP520" s="470"/>
      <c r="AQ520" s="470"/>
      <c r="AR520" s="470"/>
      <c r="AS520" s="470"/>
      <c r="AT520" s="470"/>
      <c r="AU520" s="470"/>
      <c r="AV520" s="470"/>
      <c r="AW520" s="470"/>
      <c r="AX520" s="470"/>
      <c r="AY520" s="470"/>
      <c r="AZ520" s="470"/>
      <c r="BA520" s="470"/>
      <c r="BC520" s="470"/>
      <c r="BD520" s="470"/>
      <c r="BE520" s="470"/>
      <c r="BF520" s="470"/>
      <c r="BG520" s="470"/>
      <c r="BH520" s="470"/>
      <c r="BI520" s="470"/>
      <c r="BJ520" s="470"/>
      <c r="BK520" s="470"/>
      <c r="BL520" s="246"/>
      <c r="BM520" s="431"/>
      <c r="BN520" s="431"/>
      <c r="BO520" s="431"/>
      <c r="BP520" s="431"/>
      <c r="BQ520" s="431"/>
      <c r="BR520" s="431"/>
      <c r="BS520" s="431"/>
      <c r="BT520" s="431"/>
      <c r="BU520" s="431"/>
      <c r="BV520" s="259"/>
      <c r="BZ520" s="334"/>
      <c r="CA520" s="259"/>
      <c r="CB520" s="259"/>
      <c r="CC520" s="246"/>
      <c r="CD520" s="15"/>
      <c r="CE520" s="15"/>
      <c r="CF520" s="246"/>
      <c r="CH520" s="246"/>
    </row>
    <row r="521" spans="1:91" ht="14.25" hidden="1" customHeight="1">
      <c r="A521" s="108"/>
      <c r="B521" s="1126" t="s">
        <v>1147</v>
      </c>
      <c r="C521" s="1127">
        <f>0.5*(C329-C226)/C338/C324*C226/C329*1000</f>
        <v>1.9444444444444446</v>
      </c>
      <c r="D521" s="1127" t="e">
        <f>0.5*(D329-D226)/D338/D324*D226/D329*1000</f>
        <v>#DIV/0!</v>
      </c>
      <c r="E521" s="1116"/>
      <c r="H521" s="1115"/>
      <c r="I521" s="1115"/>
      <c r="J521" s="1115"/>
      <c r="K521" s="1115"/>
      <c r="L521" s="1115"/>
      <c r="M521" s="1115"/>
      <c r="N521" s="1115"/>
      <c r="O521" s="470"/>
      <c r="P521" s="470"/>
      <c r="Q521" s="470"/>
      <c r="R521" s="470"/>
      <c r="S521" s="470"/>
      <c r="T521" s="470"/>
      <c r="U521" s="470"/>
      <c r="V521" s="470"/>
      <c r="W521" s="470"/>
      <c r="X521" s="470"/>
      <c r="Y521" s="470"/>
      <c r="Z521" s="470"/>
      <c r="AA521" s="470"/>
      <c r="AB521" s="470"/>
      <c r="AC521" s="470"/>
      <c r="AD521" s="22"/>
      <c r="AE521" s="470"/>
      <c r="AF521" s="470"/>
      <c r="AG521" s="470"/>
      <c r="AH521" s="470"/>
      <c r="AI521" s="470"/>
      <c r="AJ521" s="470"/>
      <c r="AK521" s="470"/>
      <c r="AL521" s="470"/>
      <c r="AM521" s="470"/>
      <c r="AN521" s="470"/>
      <c r="AO521" s="470"/>
      <c r="AP521" s="470"/>
      <c r="AQ521" s="470"/>
      <c r="AR521" s="470"/>
      <c r="AS521" s="470"/>
      <c r="AT521" s="470"/>
      <c r="AU521" s="470"/>
      <c r="AV521" s="470"/>
      <c r="AW521" s="470"/>
      <c r="AX521" s="470"/>
      <c r="AY521" s="470"/>
      <c r="AZ521" s="470"/>
      <c r="BA521" s="470"/>
      <c r="BC521" s="470"/>
      <c r="BD521" s="470"/>
      <c r="BE521" s="470"/>
      <c r="BF521" s="470"/>
      <c r="BG521" s="470"/>
      <c r="BH521" s="470"/>
      <c r="BI521" s="470"/>
      <c r="BJ521" s="470"/>
      <c r="BK521" s="470"/>
      <c r="BL521" s="246"/>
      <c r="BM521" s="431"/>
      <c r="BN521" s="431"/>
      <c r="BO521" s="431"/>
      <c r="BP521" s="431"/>
      <c r="BQ521" s="431"/>
      <c r="BR521" s="431"/>
      <c r="BS521" s="431"/>
      <c r="BT521" s="431"/>
      <c r="BU521" s="431"/>
      <c r="BV521" s="259"/>
      <c r="BZ521" s="334"/>
      <c r="CA521" s="259"/>
      <c r="CB521" s="259"/>
      <c r="CC521" s="246"/>
      <c r="CD521" s="15"/>
      <c r="CE521" s="15"/>
      <c r="CF521" s="246"/>
      <c r="CH521" s="246"/>
    </row>
    <row r="522" spans="1:91" ht="14.25" hidden="1" customHeight="1">
      <c r="A522" s="108"/>
      <c r="B522" s="1128" t="s">
        <v>732</v>
      </c>
      <c r="C522" s="1129">
        <f>C521/C520</f>
        <v>0.17248064814814817</v>
      </c>
      <c r="D522" s="1129" t="e">
        <f>D521/D520</f>
        <v>#DIV/0!</v>
      </c>
      <c r="E522" s="1116"/>
      <c r="H522" s="1115"/>
      <c r="I522" s="1115"/>
      <c r="J522" s="1115"/>
      <c r="K522" s="1115"/>
      <c r="L522" s="1115"/>
      <c r="M522" s="1115"/>
      <c r="N522" s="1115"/>
      <c r="O522" s="470"/>
      <c r="P522" s="470"/>
      <c r="Q522" s="470"/>
      <c r="R522" s="470"/>
      <c r="S522" s="470"/>
      <c r="T522" s="470"/>
      <c r="U522" s="470"/>
      <c r="V522" s="470"/>
      <c r="W522" s="470"/>
      <c r="X522" s="470"/>
      <c r="Y522" s="470"/>
      <c r="Z522" s="470"/>
      <c r="AA522" s="470"/>
      <c r="AB522" s="470"/>
      <c r="AC522" s="470"/>
      <c r="AD522" s="22"/>
      <c r="AE522" s="470"/>
      <c r="AF522" s="470"/>
      <c r="AG522" s="470"/>
      <c r="AH522" s="470"/>
      <c r="AI522" s="470"/>
      <c r="AJ522" s="470"/>
      <c r="AK522" s="470"/>
      <c r="AL522" s="470"/>
      <c r="AM522" s="470"/>
      <c r="AN522" s="470"/>
      <c r="AO522" s="470"/>
      <c r="AP522" s="470"/>
      <c r="AQ522" s="470"/>
      <c r="AR522" s="470"/>
      <c r="AS522" s="470"/>
      <c r="AT522" s="470"/>
      <c r="AU522" s="470"/>
      <c r="AV522" s="470"/>
      <c r="AW522" s="470"/>
      <c r="AX522" s="470"/>
      <c r="AY522" s="470"/>
      <c r="AZ522" s="470"/>
      <c r="BA522" s="470"/>
      <c r="BC522" s="470"/>
      <c r="BD522" s="470"/>
      <c r="BE522" s="470"/>
      <c r="BF522" s="470"/>
      <c r="BG522" s="470"/>
      <c r="BH522" s="470"/>
      <c r="BI522" s="470"/>
      <c r="BJ522" s="470"/>
      <c r="BK522" s="470"/>
      <c r="BL522" s="246"/>
      <c r="BM522" s="431"/>
      <c r="BN522" s="431"/>
      <c r="BO522" s="431"/>
      <c r="BP522" s="431"/>
      <c r="BQ522" s="431"/>
      <c r="BR522" s="431"/>
      <c r="BS522" s="431"/>
      <c r="BT522" s="431"/>
      <c r="BU522" s="431"/>
      <c r="BV522" s="259"/>
      <c r="BZ522" s="334"/>
      <c r="CA522" s="259"/>
      <c r="CB522" s="259"/>
      <c r="CC522" s="246"/>
      <c r="CD522" s="15"/>
      <c r="CE522" s="15"/>
      <c r="CF522" s="246"/>
      <c r="CH522" s="246"/>
    </row>
    <row r="523" spans="1:91" ht="14.25" hidden="1" customHeight="1">
      <c r="A523" s="108"/>
      <c r="B523" s="314" t="s">
        <v>513</v>
      </c>
      <c r="C523" s="1127">
        <f>C465/C497-0.5*(C328-C226)/C338/C324*C226/C328*1000</f>
        <v>9.4940217080096811</v>
      </c>
      <c r="D523" s="1127" t="e">
        <f>D465/D497-0.5*(D328-D226)/D338/D324*D226/D328*1000</f>
        <v>#DIV/0!</v>
      </c>
      <c r="E523" s="1116"/>
      <c r="H523" s="1115"/>
      <c r="I523" s="1115"/>
      <c r="J523" s="1115"/>
      <c r="K523" s="1115"/>
      <c r="L523" s="1115"/>
      <c r="M523" s="1115"/>
      <c r="N523" s="1115"/>
      <c r="O523" s="470"/>
      <c r="P523" s="470"/>
      <c r="Q523" s="470"/>
      <c r="R523" s="470"/>
      <c r="S523" s="470"/>
      <c r="T523" s="470"/>
      <c r="U523" s="470"/>
      <c r="V523" s="470"/>
      <c r="W523" s="470"/>
      <c r="X523" s="470"/>
      <c r="Y523" s="470"/>
      <c r="Z523" s="470"/>
      <c r="AA523" s="470"/>
      <c r="AB523" s="470"/>
      <c r="AC523" s="470"/>
      <c r="AD523" s="22"/>
      <c r="AE523" s="470"/>
      <c r="AF523" s="470"/>
      <c r="AG523" s="470"/>
      <c r="AH523" s="470"/>
      <c r="AI523" s="470"/>
      <c r="AJ523" s="470"/>
      <c r="AK523" s="470"/>
      <c r="AL523" s="470"/>
      <c r="AM523" s="470"/>
      <c r="AN523" s="470"/>
      <c r="AO523" s="470"/>
      <c r="AP523" s="470"/>
      <c r="AQ523" s="470"/>
      <c r="AR523" s="470"/>
      <c r="AS523" s="470"/>
      <c r="AT523" s="470"/>
      <c r="AU523" s="470"/>
      <c r="AV523" s="470"/>
      <c r="AW523" s="470"/>
      <c r="AX523" s="470"/>
      <c r="AY523" s="470"/>
      <c r="AZ523" s="470"/>
      <c r="BA523" s="470"/>
      <c r="BC523" s="470"/>
      <c r="BD523" s="470"/>
      <c r="BE523" s="470"/>
      <c r="BF523" s="470"/>
      <c r="BG523" s="470"/>
      <c r="BH523" s="470"/>
      <c r="BI523" s="470"/>
      <c r="BJ523" s="470"/>
      <c r="BK523" s="470"/>
      <c r="BL523" s="246"/>
      <c r="BM523" s="431"/>
      <c r="BN523" s="431"/>
      <c r="BO523" s="431"/>
      <c r="BP523" s="431"/>
      <c r="BQ523" s="431"/>
      <c r="BR523" s="431"/>
      <c r="BS523" s="431"/>
      <c r="BT523" s="431"/>
      <c r="BU523" s="431"/>
      <c r="BV523" s="259"/>
      <c r="BZ523" s="334"/>
      <c r="CA523" s="259"/>
      <c r="CB523" s="259"/>
      <c r="CC523" s="246"/>
      <c r="CD523" s="15"/>
      <c r="CE523" s="15"/>
      <c r="CF523" s="246"/>
      <c r="CH523" s="246"/>
    </row>
    <row r="524" spans="1:91" ht="14.25" hidden="1" customHeight="1">
      <c r="A524" s="108"/>
      <c r="B524" s="314" t="s">
        <v>514</v>
      </c>
      <c r="C524" s="1127">
        <f>C465/C497-0.5*(C329-C226)/C338/C324*C226/C329*1000</f>
        <v>9.4681819147280279</v>
      </c>
      <c r="D524" s="1127" t="e">
        <f>D465/D497-0.5*(D329-D226)/D338/D324*D226/D329*1000</f>
        <v>#DIV/0!</v>
      </c>
      <c r="E524" s="1116"/>
      <c r="H524" s="1115"/>
      <c r="I524" s="1115"/>
      <c r="J524" s="1115"/>
      <c r="K524" s="1115"/>
      <c r="L524" s="1115"/>
      <c r="M524" s="1115"/>
      <c r="N524" s="1115"/>
      <c r="O524" s="470"/>
      <c r="P524" s="470"/>
      <c r="Q524" s="470"/>
      <c r="R524" s="470"/>
      <c r="S524" s="470"/>
      <c r="T524" s="470"/>
      <c r="U524" s="470"/>
      <c r="V524" s="470"/>
      <c r="W524" s="470"/>
      <c r="X524" s="470"/>
      <c r="Y524" s="470"/>
      <c r="Z524" s="470"/>
      <c r="AA524" s="470"/>
      <c r="AB524" s="470"/>
      <c r="AC524" s="470"/>
      <c r="AD524" s="22"/>
      <c r="AE524" s="470"/>
      <c r="AF524" s="470"/>
      <c r="AG524" s="470"/>
      <c r="AH524" s="470"/>
      <c r="AI524" s="470"/>
      <c r="AJ524" s="470"/>
      <c r="AK524" s="470"/>
      <c r="AL524" s="470"/>
      <c r="AM524" s="470"/>
      <c r="AN524" s="470"/>
      <c r="AO524" s="470"/>
      <c r="AP524" s="470"/>
      <c r="AQ524" s="470"/>
      <c r="AR524" s="470"/>
      <c r="AS524" s="470"/>
      <c r="AT524" s="470"/>
      <c r="AU524" s="470"/>
      <c r="AV524" s="470"/>
      <c r="AW524" s="470"/>
      <c r="AX524" s="470"/>
      <c r="AY524" s="470"/>
      <c r="AZ524" s="470"/>
      <c r="BA524" s="470"/>
      <c r="BC524" s="470"/>
      <c r="BD524" s="470"/>
      <c r="BE524" s="470"/>
      <c r="BF524" s="470"/>
      <c r="BG524" s="470"/>
      <c r="BH524" s="470"/>
      <c r="BI524" s="470"/>
      <c r="BJ524" s="470"/>
      <c r="BK524" s="470"/>
      <c r="BL524" s="246"/>
      <c r="BM524" s="431"/>
      <c r="BN524" s="431"/>
      <c r="BO524" s="431"/>
      <c r="BP524" s="431"/>
      <c r="BQ524" s="431"/>
      <c r="BR524" s="431"/>
      <c r="BS524" s="431"/>
      <c r="BT524" s="431"/>
      <c r="BU524" s="431"/>
      <c r="BV524" s="259"/>
      <c r="BZ524" s="334"/>
      <c r="CA524" s="259"/>
      <c r="CB524" s="259"/>
      <c r="CC524" s="246"/>
      <c r="CD524" s="15"/>
      <c r="CE524" s="15"/>
      <c r="CF524" s="246"/>
      <c r="CH524" s="246"/>
    </row>
    <row r="525" spans="1:91" ht="14.25" hidden="1" customHeight="1">
      <c r="A525" s="108"/>
      <c r="B525" s="314" t="s">
        <v>548</v>
      </c>
      <c r="C525" s="1127">
        <f>C465/C497-0.5*(C330-C226)/C338/C324*C226/C330*1000</f>
        <v>9.4445412527894934</v>
      </c>
      <c r="D525" s="1127" t="e">
        <f>D465/D497-0.5*(D330-D226)/D338/D324*D226/D330*1000</f>
        <v>#DIV/0!</v>
      </c>
      <c r="E525" s="1116"/>
      <c r="H525" s="1115"/>
      <c r="I525" s="1115"/>
      <c r="J525" s="1115"/>
      <c r="K525" s="1115"/>
      <c r="L525" s="1115"/>
      <c r="M525" s="1115"/>
      <c r="N525" s="1115"/>
      <c r="O525" s="470"/>
      <c r="P525" s="470"/>
      <c r="Q525" s="470"/>
      <c r="R525" s="470"/>
      <c r="S525" s="470"/>
      <c r="T525" s="470"/>
      <c r="U525" s="470"/>
      <c r="V525" s="470"/>
      <c r="W525" s="470"/>
      <c r="X525" s="470"/>
      <c r="Y525" s="470"/>
      <c r="Z525" s="470"/>
      <c r="AA525" s="470"/>
      <c r="AB525" s="470"/>
      <c r="AC525" s="470"/>
      <c r="AD525" s="22"/>
      <c r="AE525" s="470"/>
      <c r="AF525" s="470"/>
      <c r="AG525" s="470"/>
      <c r="AH525" s="470"/>
      <c r="AI525" s="470"/>
      <c r="AJ525" s="470"/>
      <c r="AK525" s="470"/>
      <c r="AL525" s="470"/>
      <c r="AM525" s="470"/>
      <c r="AN525" s="470"/>
      <c r="AO525" s="470"/>
      <c r="AP525" s="470"/>
      <c r="AQ525" s="470"/>
      <c r="AR525" s="470"/>
      <c r="AS525" s="470"/>
      <c r="AT525" s="470"/>
      <c r="AU525" s="470"/>
      <c r="AV525" s="470"/>
      <c r="AW525" s="470"/>
      <c r="AX525" s="470"/>
      <c r="AY525" s="470"/>
      <c r="AZ525" s="470"/>
      <c r="BA525" s="470"/>
      <c r="BC525" s="470"/>
      <c r="BD525" s="470"/>
      <c r="BE525" s="470"/>
      <c r="BF525" s="470"/>
      <c r="BG525" s="470"/>
      <c r="BH525" s="470"/>
      <c r="BI525" s="470"/>
      <c r="BJ525" s="470"/>
      <c r="BK525" s="470"/>
      <c r="BL525" s="246"/>
      <c r="BM525" s="431"/>
      <c r="BN525" s="431"/>
      <c r="BO525" s="431"/>
      <c r="BP525" s="431"/>
      <c r="BQ525" s="431"/>
      <c r="BR525" s="431"/>
      <c r="BS525" s="431"/>
      <c r="BT525" s="431"/>
      <c r="BU525" s="431"/>
      <c r="BV525" s="259"/>
      <c r="BZ525" s="334"/>
      <c r="CA525" s="259"/>
      <c r="CB525" s="259"/>
      <c r="CC525" s="246"/>
      <c r="CD525" s="15"/>
      <c r="CE525" s="15"/>
      <c r="CF525" s="246"/>
      <c r="CH525" s="246"/>
    </row>
    <row r="526" spans="1:91" ht="14.25" hidden="1" customHeight="1">
      <c r="A526" s="108"/>
      <c r="B526" s="314" t="s">
        <v>549</v>
      </c>
      <c r="C526" s="1127">
        <f>C465/C498-0.5*(C328-C226)/C338/C324*C226/C328*1000</f>
        <v>9.1807185676039467</v>
      </c>
      <c r="D526" s="1127" t="e">
        <f>D465/D498-0.5*(D328-D226)/D338/D324*D226/D328*1000</f>
        <v>#DIV/0!</v>
      </c>
      <c r="E526" s="1116"/>
      <c r="H526" s="1115"/>
      <c r="I526" s="1115"/>
      <c r="J526" s="1115"/>
      <c r="K526" s="1115"/>
      <c r="L526" s="1115"/>
      <c r="M526" s="1115"/>
      <c r="N526" s="1115"/>
      <c r="O526" s="470"/>
      <c r="P526" s="470"/>
      <c r="Q526" s="470"/>
      <c r="R526" s="470"/>
      <c r="S526" s="470"/>
      <c r="T526" s="470"/>
      <c r="U526" s="470"/>
      <c r="V526" s="470"/>
      <c r="W526" s="470"/>
      <c r="X526" s="470"/>
      <c r="Y526" s="470"/>
      <c r="Z526" s="470"/>
      <c r="AA526" s="470"/>
      <c r="AB526" s="470"/>
      <c r="AC526" s="470"/>
      <c r="AD526" s="22"/>
      <c r="AE526" s="470"/>
      <c r="AF526" s="470"/>
      <c r="AG526" s="470"/>
      <c r="AH526" s="470"/>
      <c r="AI526" s="470"/>
      <c r="AJ526" s="470"/>
      <c r="AK526" s="470"/>
      <c r="AL526" s="470"/>
      <c r="AM526" s="470"/>
      <c r="AN526" s="470"/>
      <c r="AO526" s="470"/>
      <c r="AP526" s="470"/>
      <c r="AQ526" s="470"/>
      <c r="AR526" s="470"/>
      <c r="AS526" s="470"/>
      <c r="AT526" s="470"/>
      <c r="AU526" s="470"/>
      <c r="AV526" s="470"/>
      <c r="AW526" s="470"/>
      <c r="AX526" s="470"/>
      <c r="AY526" s="470"/>
      <c r="AZ526" s="470"/>
      <c r="BA526" s="470"/>
      <c r="BC526" s="470"/>
      <c r="BD526" s="470"/>
      <c r="BE526" s="470"/>
      <c r="BF526" s="470"/>
      <c r="BG526" s="470"/>
      <c r="BH526" s="470"/>
      <c r="BI526" s="470"/>
      <c r="BJ526" s="470"/>
      <c r="BK526" s="470"/>
      <c r="BL526" s="246"/>
      <c r="BM526" s="431"/>
      <c r="BN526" s="431"/>
      <c r="BO526" s="431"/>
      <c r="BP526" s="431"/>
      <c r="BQ526" s="431"/>
      <c r="BR526" s="431"/>
      <c r="BS526" s="431"/>
      <c r="BT526" s="431"/>
      <c r="BU526" s="431"/>
      <c r="BV526" s="259"/>
      <c r="BZ526" s="334"/>
      <c r="CA526" s="259"/>
      <c r="CB526" s="259"/>
      <c r="CC526" s="246"/>
      <c r="CD526" s="15"/>
      <c r="CE526" s="15"/>
      <c r="CF526" s="246"/>
      <c r="CH526" s="246"/>
    </row>
    <row r="527" spans="1:91" ht="14.25" hidden="1" customHeight="1">
      <c r="A527" s="108"/>
      <c r="B527" s="314" t="s">
        <v>515</v>
      </c>
      <c r="C527" s="1127">
        <f>C465/C498-0.5*(C329-C226)/C338/C324*C226/C329*1000</f>
        <v>9.1548787743222935</v>
      </c>
      <c r="D527" s="1127" t="e">
        <f>D465/D498-0.5*(D329-D226)/D338/D324*D226/D329*1000</f>
        <v>#DIV/0!</v>
      </c>
      <c r="E527" s="1116"/>
      <c r="H527" s="1115"/>
      <c r="I527" s="1115"/>
      <c r="J527" s="1115"/>
      <c r="K527" s="1115"/>
      <c r="L527" s="1115"/>
      <c r="M527" s="1115"/>
      <c r="N527" s="1115"/>
      <c r="O527" s="470"/>
      <c r="P527" s="470"/>
      <c r="Q527" s="470"/>
      <c r="R527" s="470"/>
      <c r="S527" s="470"/>
      <c r="T527" s="470"/>
      <c r="U527" s="470"/>
      <c r="V527" s="470"/>
      <c r="W527" s="470"/>
      <c r="X527" s="470"/>
      <c r="Y527" s="470"/>
      <c r="Z527" s="470"/>
      <c r="AA527" s="470"/>
      <c r="AB527" s="470"/>
      <c r="AC527" s="470"/>
      <c r="AD527" s="22"/>
      <c r="AE527" s="470"/>
      <c r="AF527" s="470"/>
      <c r="AG527" s="470"/>
      <c r="AH527" s="470"/>
      <c r="AI527" s="470"/>
      <c r="AJ527" s="470"/>
      <c r="AK527" s="470"/>
      <c r="AL527" s="470"/>
      <c r="AM527" s="470"/>
      <c r="AN527" s="470"/>
      <c r="AO527" s="470"/>
      <c r="AP527" s="470"/>
      <c r="AQ527" s="470"/>
      <c r="AR527" s="470"/>
      <c r="AS527" s="470"/>
      <c r="AT527" s="470"/>
      <c r="AU527" s="470"/>
      <c r="AV527" s="470"/>
      <c r="AW527" s="470"/>
      <c r="AX527" s="470"/>
      <c r="AY527" s="470"/>
      <c r="AZ527" s="470"/>
      <c r="BA527" s="470"/>
      <c r="BC527" s="470"/>
      <c r="BD527" s="470"/>
      <c r="BE527" s="470"/>
      <c r="BF527" s="470"/>
      <c r="BG527" s="470"/>
      <c r="BH527" s="470"/>
      <c r="BI527" s="470"/>
      <c r="BJ527" s="470"/>
      <c r="BK527" s="470"/>
      <c r="BL527" s="246"/>
      <c r="BM527" s="431"/>
      <c r="BN527" s="431"/>
      <c r="BO527" s="431"/>
      <c r="BP527" s="431"/>
      <c r="BQ527" s="431"/>
      <c r="BR527" s="431"/>
      <c r="BS527" s="431"/>
      <c r="BT527" s="431"/>
      <c r="BU527" s="431"/>
      <c r="BV527" s="259"/>
      <c r="BZ527" s="334"/>
      <c r="CA527" s="259"/>
      <c r="CB527" s="259"/>
      <c r="CC527" s="246"/>
      <c r="CD527" s="15"/>
      <c r="CE527" s="15"/>
      <c r="CF527" s="246"/>
      <c r="CH527" s="246"/>
    </row>
    <row r="528" spans="1:91" ht="14.25" hidden="1" customHeight="1">
      <c r="A528" s="108"/>
      <c r="B528" s="314" t="s">
        <v>550</v>
      </c>
      <c r="C528" s="1127">
        <f>C465/C498-0.5*(C330-C226)/C338/C324*C226/C330*1000</f>
        <v>9.1312381123837589</v>
      </c>
      <c r="D528" s="1127" t="e">
        <f>D465/D498-0.5*(D330-D226)/D338/D324*D226/D330*1000</f>
        <v>#DIV/0!</v>
      </c>
      <c r="E528" s="1116"/>
      <c r="H528" s="1115"/>
      <c r="I528" s="1115"/>
      <c r="J528" s="1115"/>
      <c r="K528" s="1115"/>
      <c r="L528" s="1115"/>
      <c r="M528" s="1115"/>
      <c r="N528" s="1115"/>
      <c r="O528" s="470"/>
      <c r="P528" s="470"/>
      <c r="Q528" s="470"/>
      <c r="R528" s="470"/>
      <c r="S528" s="470"/>
      <c r="T528" s="470"/>
      <c r="U528" s="470"/>
      <c r="V528" s="470"/>
      <c r="W528" s="470"/>
      <c r="X528" s="470"/>
      <c r="Y528" s="470"/>
      <c r="Z528" s="470"/>
      <c r="AA528" s="470"/>
      <c r="AB528" s="470"/>
      <c r="AC528" s="470"/>
      <c r="AD528" s="22"/>
      <c r="AE528" s="470"/>
      <c r="AF528" s="470"/>
      <c r="AG528" s="470"/>
      <c r="AH528" s="470"/>
      <c r="AI528" s="470"/>
      <c r="AJ528" s="470"/>
      <c r="AK528" s="470"/>
      <c r="AL528" s="470"/>
      <c r="AM528" s="470"/>
      <c r="AN528" s="470"/>
      <c r="AO528" s="470"/>
      <c r="AP528" s="470"/>
      <c r="AQ528" s="470"/>
      <c r="AR528" s="470"/>
      <c r="AS528" s="470"/>
      <c r="AT528" s="470"/>
      <c r="AU528" s="470"/>
      <c r="AV528" s="470"/>
      <c r="AW528" s="470"/>
      <c r="AX528" s="470"/>
      <c r="AY528" s="470"/>
      <c r="AZ528" s="470"/>
      <c r="BA528" s="470"/>
      <c r="BC528" s="470"/>
      <c r="BD528" s="470"/>
      <c r="BE528" s="470"/>
      <c r="BF528" s="470"/>
      <c r="BG528" s="470"/>
      <c r="BH528" s="470"/>
      <c r="BI528" s="470"/>
      <c r="BJ528" s="470"/>
      <c r="BK528" s="470"/>
      <c r="BL528" s="246"/>
      <c r="BM528" s="431"/>
      <c r="BN528" s="431"/>
      <c r="BO528" s="431"/>
      <c r="BP528" s="431"/>
      <c r="BQ528" s="431"/>
      <c r="BR528" s="431"/>
      <c r="BS528" s="431"/>
      <c r="BT528" s="431"/>
      <c r="BU528" s="431"/>
      <c r="BV528" s="259"/>
      <c r="BZ528" s="334"/>
      <c r="CA528" s="259"/>
      <c r="CB528" s="259"/>
      <c r="CC528" s="246"/>
      <c r="CD528" s="15"/>
      <c r="CE528" s="15"/>
      <c r="CF528" s="246"/>
      <c r="CH528" s="246"/>
    </row>
    <row r="529" spans="1:100" ht="14.25" hidden="1" customHeight="1">
      <c r="A529" s="108"/>
      <c r="B529" s="314" t="s">
        <v>551</v>
      </c>
      <c r="C529" s="1127">
        <f>C465/C497*(1+C500)-0.5*(C328-C226)/C338/C324*C226/C328*1000*(1-C508)</f>
        <v>10.75167428783409</v>
      </c>
      <c r="D529" s="1127" t="e">
        <f>D465/D497*(1+D500)-0.5*(D328-D226)/D338/D324*D226/D328*1000*(1-D508)</f>
        <v>#DIV/0!</v>
      </c>
      <c r="E529" s="1116"/>
      <c r="H529" s="1115"/>
      <c r="I529" s="1115"/>
      <c r="J529" s="1115"/>
      <c r="K529" s="1115"/>
      <c r="L529" s="1115"/>
      <c r="M529" s="1115"/>
      <c r="N529" s="1115"/>
      <c r="O529" s="470"/>
      <c r="P529" s="470"/>
      <c r="Q529" s="470"/>
      <c r="R529" s="470"/>
      <c r="S529" s="470"/>
      <c r="T529" s="470"/>
      <c r="U529" s="470"/>
      <c r="V529" s="470"/>
      <c r="W529" s="470"/>
      <c r="X529" s="470"/>
      <c r="Y529" s="470"/>
      <c r="Z529" s="470"/>
      <c r="AA529" s="470"/>
      <c r="AB529" s="470"/>
      <c r="AC529" s="470"/>
      <c r="AD529" s="22"/>
      <c r="AE529" s="470"/>
      <c r="AF529" s="470"/>
      <c r="AG529" s="470"/>
      <c r="AH529" s="470"/>
      <c r="AI529" s="470"/>
      <c r="AJ529" s="470"/>
      <c r="AK529" s="470"/>
      <c r="AL529" s="470"/>
      <c r="AM529" s="470"/>
      <c r="AN529" s="470"/>
      <c r="AO529" s="470"/>
      <c r="AP529" s="470"/>
      <c r="AQ529" s="470"/>
      <c r="AR529" s="470"/>
      <c r="AS529" s="470"/>
      <c r="AT529" s="470"/>
      <c r="AU529" s="470"/>
      <c r="AV529" s="470"/>
      <c r="AW529" s="470"/>
      <c r="AX529" s="470"/>
      <c r="AY529" s="470"/>
      <c r="AZ529" s="470"/>
      <c r="BA529" s="470"/>
      <c r="BC529" s="470"/>
      <c r="BD529" s="470"/>
      <c r="BE529" s="470"/>
      <c r="BF529" s="470"/>
      <c r="BG529" s="470"/>
      <c r="BH529" s="470"/>
      <c r="BI529" s="470"/>
      <c r="BJ529" s="470"/>
      <c r="BK529" s="470"/>
      <c r="BL529" s="246"/>
      <c r="BM529" s="431"/>
      <c r="BN529" s="431"/>
      <c r="BO529" s="431"/>
      <c r="BP529" s="431"/>
      <c r="BQ529" s="431"/>
      <c r="BR529" s="431"/>
      <c r="BS529" s="431"/>
      <c r="BT529" s="431"/>
      <c r="BU529" s="431"/>
      <c r="BV529" s="259"/>
      <c r="BZ529" s="334"/>
      <c r="CA529" s="259"/>
      <c r="CB529" s="259"/>
      <c r="CC529" s="246"/>
      <c r="CD529" s="15"/>
      <c r="CE529" s="15"/>
      <c r="CF529" s="246"/>
      <c r="CH529" s="246"/>
    </row>
    <row r="530" spans="1:100" ht="14.25" hidden="1" customHeight="1">
      <c r="A530" s="108"/>
      <c r="B530" s="314" t="s">
        <v>552</v>
      </c>
      <c r="C530" s="1127">
        <f>C465/C498*(1-C504)-0.5*(C330-C226)/C338/C324*C226/C330*1000*(1+C508)</f>
        <v>8.0558461070122469</v>
      </c>
      <c r="D530" s="1127" t="e">
        <f>D465/D498*(1-D504)-0.5*(D330-D226)/D338/D324*D226/D330*1000*(1+D508)</f>
        <v>#DIV/0!</v>
      </c>
      <c r="E530" s="1116"/>
      <c r="H530" s="1115"/>
      <c r="I530" s="1115"/>
      <c r="J530" s="1115"/>
      <c r="K530" s="1115"/>
      <c r="L530" s="1115"/>
      <c r="M530" s="1115"/>
      <c r="N530" s="1115"/>
      <c r="O530" s="470"/>
      <c r="P530" s="470"/>
      <c r="Q530" s="470"/>
      <c r="R530" s="470"/>
      <c r="S530" s="470"/>
      <c r="T530" s="470"/>
      <c r="U530" s="470"/>
      <c r="V530" s="470"/>
      <c r="W530" s="470"/>
      <c r="X530" s="470"/>
      <c r="Y530" s="470"/>
      <c r="Z530" s="470"/>
      <c r="AA530" s="470"/>
      <c r="AB530" s="470"/>
      <c r="AC530" s="470"/>
      <c r="AD530" s="22"/>
      <c r="AE530" s="470"/>
      <c r="AF530" s="470"/>
      <c r="AG530" s="470"/>
      <c r="AH530" s="470"/>
      <c r="AI530" s="470"/>
      <c r="AJ530" s="470"/>
      <c r="AK530" s="470"/>
      <c r="AL530" s="470"/>
      <c r="AM530" s="470"/>
      <c r="AN530" s="470"/>
      <c r="AO530" s="470"/>
      <c r="AP530" s="470"/>
      <c r="AQ530" s="470"/>
      <c r="AR530" s="470"/>
      <c r="AS530" s="470"/>
      <c r="AT530" s="470"/>
      <c r="AU530" s="470"/>
      <c r="AV530" s="470"/>
      <c r="AW530" s="470"/>
      <c r="AX530" s="470"/>
      <c r="AY530" s="470"/>
      <c r="AZ530" s="470"/>
      <c r="BA530" s="470"/>
      <c r="BC530" s="470"/>
      <c r="BD530" s="470"/>
      <c r="BE530" s="470"/>
      <c r="BF530" s="470"/>
      <c r="BG530" s="470"/>
      <c r="BH530" s="470"/>
      <c r="BI530" s="470"/>
      <c r="BJ530" s="470"/>
      <c r="BK530" s="470"/>
      <c r="BL530" s="246"/>
      <c r="BM530" s="431"/>
      <c r="BN530" s="431"/>
      <c r="BO530" s="431"/>
      <c r="BP530" s="431"/>
      <c r="BQ530" s="431"/>
      <c r="BR530" s="431"/>
      <c r="BS530" s="431"/>
      <c r="BT530" s="431"/>
      <c r="BU530" s="431"/>
      <c r="BV530" s="259"/>
      <c r="BZ530" s="334"/>
      <c r="CA530" s="259"/>
      <c r="CB530" s="259"/>
      <c r="CC530" s="246"/>
      <c r="CD530" s="15"/>
      <c r="CE530" s="15"/>
      <c r="CF530" s="246"/>
      <c r="CH530" s="246"/>
    </row>
    <row r="531" spans="1:100" ht="14.25" hidden="1" customHeight="1">
      <c r="A531" s="108"/>
      <c r="B531" s="314" t="s">
        <v>516</v>
      </c>
      <c r="C531" s="1129">
        <f>(C529-C517)/C517</f>
        <v>0.15250489041156098</v>
      </c>
      <c r="D531" s="1129" t="e">
        <f>(D529-D517)/D517</f>
        <v>#DIV/0!</v>
      </c>
      <c r="E531" s="1116"/>
      <c r="H531" s="1115"/>
      <c r="I531" s="1115"/>
      <c r="J531" s="1115"/>
      <c r="K531" s="1115"/>
      <c r="L531" s="1115"/>
      <c r="M531" s="1115"/>
      <c r="N531" s="1115"/>
      <c r="O531" s="470"/>
      <c r="P531" s="470"/>
      <c r="Q531" s="470"/>
      <c r="R531" s="470"/>
      <c r="S531" s="470"/>
      <c r="T531" s="470"/>
      <c r="U531" s="470"/>
      <c r="V531" s="470"/>
      <c r="W531" s="470"/>
      <c r="X531" s="470"/>
      <c r="Y531" s="470"/>
      <c r="Z531" s="470"/>
      <c r="AA531" s="470"/>
      <c r="AB531" s="470"/>
      <c r="AC531" s="470"/>
      <c r="AD531" s="22"/>
      <c r="AE531" s="470"/>
      <c r="AF531" s="470"/>
      <c r="AG531" s="470"/>
      <c r="AH531" s="470"/>
      <c r="AI531" s="470"/>
      <c r="AJ531" s="470"/>
      <c r="AK531" s="470"/>
      <c r="AL531" s="470"/>
      <c r="AM531" s="470"/>
      <c r="AN531" s="470"/>
      <c r="AO531" s="470"/>
      <c r="AP531" s="470"/>
      <c r="AQ531" s="470"/>
      <c r="AR531" s="470"/>
      <c r="AS531" s="470"/>
      <c r="AT531" s="470"/>
      <c r="AU531" s="470"/>
      <c r="AV531" s="470"/>
      <c r="AW531" s="470"/>
      <c r="AX531" s="470"/>
      <c r="AY531" s="470"/>
      <c r="AZ531" s="470"/>
      <c r="BA531" s="470"/>
      <c r="BC531" s="470"/>
      <c r="BD531" s="470"/>
      <c r="BE531" s="470"/>
      <c r="BF531" s="470"/>
      <c r="BG531" s="470"/>
      <c r="BH531" s="470"/>
      <c r="BI531" s="470"/>
      <c r="BJ531" s="470"/>
      <c r="BK531" s="470"/>
      <c r="BL531" s="246"/>
      <c r="BM531" s="431"/>
      <c r="BN531" s="431"/>
      <c r="BO531" s="431"/>
      <c r="BP531" s="431"/>
      <c r="BQ531" s="431"/>
      <c r="BR531" s="431"/>
      <c r="BS531" s="431"/>
      <c r="BT531" s="431"/>
      <c r="BU531" s="431"/>
      <c r="BV531" s="259"/>
      <c r="BZ531" s="334"/>
      <c r="CA531" s="259"/>
      <c r="CB531" s="259"/>
      <c r="CC531" s="246"/>
      <c r="CD531" s="15"/>
      <c r="CE531" s="15"/>
      <c r="CF531" s="246"/>
      <c r="CH531" s="246"/>
    </row>
    <row r="532" spans="1:100" ht="14.25" hidden="1" customHeight="1">
      <c r="A532" s="108"/>
      <c r="B532" s="314" t="s">
        <v>517</v>
      </c>
      <c r="C532" s="1129">
        <f>(C530-C517)/C517</f>
        <v>-0.13646918738598809</v>
      </c>
      <c r="D532" s="1129" t="e">
        <f>(D530-D517)/D517</f>
        <v>#DIV/0!</v>
      </c>
      <c r="E532" s="1116"/>
      <c r="H532" s="1115"/>
      <c r="I532" s="1115"/>
      <c r="J532" s="1115"/>
      <c r="K532" s="1115"/>
      <c r="L532" s="1115"/>
      <c r="M532" s="1115"/>
      <c r="N532" s="1115"/>
      <c r="O532" s="470"/>
      <c r="P532" s="470"/>
      <c r="Q532" s="470"/>
      <c r="R532" s="470"/>
      <c r="S532" s="470"/>
      <c r="T532" s="470"/>
      <c r="U532" s="470"/>
      <c r="V532" s="470"/>
      <c r="W532" s="470"/>
      <c r="X532" s="470"/>
      <c r="Y532" s="470"/>
      <c r="Z532" s="470"/>
      <c r="AA532" s="470"/>
      <c r="AB532" s="470"/>
      <c r="AC532" s="470"/>
      <c r="AD532" s="22"/>
      <c r="AE532" s="470"/>
      <c r="AF532" s="470"/>
      <c r="AG532" s="470"/>
      <c r="AH532" s="470"/>
      <c r="AI532" s="470"/>
      <c r="AJ532" s="470"/>
      <c r="AK532" s="470"/>
      <c r="AL532" s="470"/>
      <c r="AM532" s="470"/>
      <c r="AN532" s="470"/>
      <c r="AO532" s="470"/>
      <c r="AP532" s="470"/>
      <c r="AQ532" s="470"/>
      <c r="AR532" s="470"/>
      <c r="AS532" s="470"/>
      <c r="AT532" s="470"/>
      <c r="AU532" s="470"/>
      <c r="AV532" s="470"/>
      <c r="AW532" s="470"/>
      <c r="AX532" s="470"/>
      <c r="AY532" s="470"/>
      <c r="AZ532" s="470"/>
      <c r="BA532" s="470"/>
      <c r="BC532" s="470"/>
      <c r="BD532" s="470"/>
      <c r="BE532" s="470"/>
      <c r="BF532" s="470"/>
      <c r="BG532" s="470"/>
      <c r="BH532" s="470"/>
      <c r="BI532" s="470"/>
      <c r="BJ532" s="470"/>
      <c r="BK532" s="470"/>
      <c r="BL532" s="246"/>
      <c r="BM532" s="431"/>
      <c r="BN532" s="431"/>
      <c r="BO532" s="431"/>
      <c r="BP532" s="431"/>
      <c r="BQ532" s="431"/>
      <c r="BR532" s="431"/>
      <c r="BS532" s="431"/>
      <c r="BT532" s="431"/>
      <c r="BU532" s="431"/>
      <c r="BV532" s="259"/>
      <c r="BZ532" s="334"/>
      <c r="CA532" s="259"/>
      <c r="CB532" s="259"/>
      <c r="CC532" s="246"/>
      <c r="CD532" s="15"/>
      <c r="CE532" s="15"/>
      <c r="CF532" s="246"/>
      <c r="CH532" s="246"/>
    </row>
    <row r="533" spans="1:100" ht="14.25" hidden="1" customHeight="1">
      <c r="A533" s="108"/>
      <c r="B533" s="954" t="s">
        <v>1032</v>
      </c>
      <c r="C533" s="1130"/>
      <c r="D533" s="1017"/>
      <c r="E533" s="1116"/>
      <c r="H533" s="1115"/>
      <c r="I533" s="1115"/>
      <c r="J533" s="1115"/>
      <c r="K533" s="1115"/>
      <c r="L533" s="1115"/>
      <c r="M533" s="1115"/>
      <c r="N533" s="1115"/>
      <c r="O533" s="470"/>
      <c r="P533" s="470"/>
      <c r="Q533" s="470"/>
      <c r="R533" s="470"/>
      <c r="S533" s="470"/>
      <c r="T533" s="470"/>
      <c r="U533" s="470"/>
      <c r="V533" s="470"/>
      <c r="W533" s="470"/>
      <c r="X533" s="470"/>
      <c r="Y533" s="470"/>
      <c r="Z533" s="470"/>
      <c r="AA533" s="470"/>
      <c r="AB533" s="470"/>
      <c r="AC533" s="470"/>
      <c r="AD533" s="22"/>
      <c r="AE533" s="470"/>
      <c r="AF533" s="470"/>
      <c r="AG533" s="470"/>
      <c r="AH533" s="470"/>
      <c r="AI533" s="470"/>
      <c r="AJ533" s="470"/>
      <c r="AK533" s="470"/>
      <c r="AL533" s="470"/>
      <c r="AM533" s="470"/>
      <c r="AN533" s="470"/>
      <c r="AO533" s="470"/>
      <c r="AP533" s="470"/>
      <c r="AQ533" s="470"/>
      <c r="AR533" s="470"/>
      <c r="AS533" s="470"/>
      <c r="AT533" s="470"/>
      <c r="AU533" s="470"/>
      <c r="AV533" s="470"/>
      <c r="AW533" s="470"/>
      <c r="AX533" s="470"/>
      <c r="AY533" s="470"/>
      <c r="AZ533" s="470"/>
      <c r="BA533" s="470"/>
      <c r="BC533" s="470"/>
      <c r="BD533" s="470"/>
      <c r="BE533" s="470"/>
      <c r="BF533" s="470"/>
      <c r="BG533" s="470"/>
      <c r="BH533" s="470"/>
      <c r="BI533" s="470"/>
      <c r="BJ533" s="470"/>
      <c r="BK533" s="470"/>
      <c r="BL533" s="246"/>
      <c r="BM533" s="431"/>
      <c r="BN533" s="431"/>
      <c r="BO533" s="431"/>
      <c r="BP533" s="431"/>
      <c r="BQ533" s="431"/>
      <c r="BR533" s="431"/>
      <c r="BS533" s="431"/>
      <c r="BT533" s="431"/>
      <c r="BU533" s="431"/>
      <c r="BV533" s="259"/>
      <c r="BZ533" s="334"/>
      <c r="CA533" s="259"/>
      <c r="CB533" s="259"/>
      <c r="CC533" s="246"/>
      <c r="CD533" s="15"/>
      <c r="CE533" s="15"/>
      <c r="CF533" s="246"/>
      <c r="CH533" s="246"/>
    </row>
    <row r="534" spans="1:100" s="15" customFormat="1" ht="14.25" hidden="1" customHeight="1">
      <c r="A534" s="108"/>
      <c r="B534" s="1131" t="s">
        <v>271</v>
      </c>
      <c r="C534" s="1132">
        <f>0.5*(C$328-C$226)/C$338*(1-C$339)/C$324*C$226/C$328*1000/C$516</f>
        <v>0.16407442514435022</v>
      </c>
      <c r="D534" s="1132" t="e">
        <f>0.5*(D$328-D$226)/D$338*(1-D$339)/D$324*D$226/D$328*1000/D$516</f>
        <v>#DIV/0!</v>
      </c>
      <c r="E534" s="1116"/>
      <c r="F534" s="1115"/>
      <c r="G534" s="1115"/>
      <c r="H534" s="1115"/>
      <c r="I534" s="1115"/>
      <c r="J534" s="1115"/>
      <c r="K534" s="1115"/>
      <c r="L534" s="1115"/>
      <c r="M534" s="1115"/>
      <c r="N534" s="1115"/>
      <c r="O534" s="470"/>
      <c r="P534" s="470"/>
      <c r="Q534" s="470"/>
      <c r="R534" s="470"/>
      <c r="S534" s="470"/>
      <c r="T534" s="470"/>
      <c r="U534" s="470"/>
      <c r="V534" s="470"/>
      <c r="W534" s="470"/>
      <c r="X534" s="470"/>
      <c r="Y534" s="470"/>
      <c r="Z534" s="470"/>
      <c r="AA534" s="470"/>
      <c r="AB534" s="470"/>
      <c r="AC534" s="470"/>
      <c r="AD534" s="22"/>
      <c r="AE534" s="470"/>
      <c r="AF534" s="470"/>
      <c r="AG534" s="470"/>
      <c r="AH534" s="470"/>
      <c r="AI534" s="470"/>
      <c r="AJ534" s="470"/>
      <c r="AK534" s="470"/>
      <c r="AL534" s="470"/>
      <c r="AM534" s="470"/>
      <c r="AN534" s="470"/>
      <c r="AO534" s="470"/>
      <c r="AP534" s="470"/>
      <c r="AQ534" s="470"/>
      <c r="AR534" s="470"/>
      <c r="AS534" s="470"/>
      <c r="AT534" s="470"/>
      <c r="AU534" s="470"/>
      <c r="AV534" s="470"/>
      <c r="AW534" s="470"/>
      <c r="AX534" s="470"/>
      <c r="AY534" s="470"/>
      <c r="AZ534" s="470"/>
      <c r="BA534" s="470"/>
      <c r="BC534" s="470"/>
      <c r="BD534" s="470"/>
      <c r="BE534" s="470"/>
      <c r="BF534" s="470"/>
      <c r="BG534" s="470"/>
      <c r="BH534" s="470"/>
      <c r="BI534" s="470"/>
      <c r="BJ534" s="470"/>
      <c r="BK534" s="470"/>
      <c r="BL534" s="246"/>
      <c r="BM534" s="431">
        <f t="shared" ref="BM534:BU534" si="85">(BM$485-BM$339)/(BM$515*10^-6)*(BM$339/BM$485*100)/(BM$478*10^5)</f>
        <v>3.5087719298245617</v>
      </c>
      <c r="BN534" s="431">
        <f t="shared" si="85"/>
        <v>2.5946897421881179</v>
      </c>
      <c r="BO534" s="431">
        <f t="shared" si="85"/>
        <v>1.9630000000000003</v>
      </c>
      <c r="BP534" s="431">
        <f t="shared" si="85"/>
        <v>1.5120429414922172</v>
      </c>
      <c r="BQ534" s="431">
        <f t="shared" si="85"/>
        <v>2.692307692307693</v>
      </c>
      <c r="BR534" s="431">
        <f t="shared" si="85"/>
        <v>3.1136276906257416</v>
      </c>
      <c r="BS534" s="431">
        <f t="shared" si="85"/>
        <v>2.6272794662713124</v>
      </c>
      <c r="BT534" s="431">
        <f t="shared" si="85"/>
        <v>1.5428571428571429</v>
      </c>
      <c r="BU534" s="431">
        <f t="shared" si="85"/>
        <v>1.5428571428571429</v>
      </c>
      <c r="BV534" s="259"/>
      <c r="BW534" s="246"/>
      <c r="BY534" s="259"/>
      <c r="BZ534" s="246"/>
      <c r="CA534" s="259"/>
      <c r="CB534" s="259"/>
      <c r="CD534" s="15">
        <v>5</v>
      </c>
      <c r="CE534" s="15">
        <v>3.3</v>
      </c>
      <c r="CF534" s="246"/>
      <c r="CG534" s="2"/>
      <c r="CH534" s="246"/>
      <c r="CI534" s="2"/>
      <c r="CJ534" s="2"/>
      <c r="CK534" s="2"/>
      <c r="CL534" s="2"/>
      <c r="CM534" s="2"/>
    </row>
    <row r="535" spans="1:100" s="15" customFormat="1" ht="14.25" hidden="1" customHeight="1" thickBot="1">
      <c r="A535" s="108"/>
      <c r="B535" s="1133" t="s">
        <v>799</v>
      </c>
      <c r="C535" s="1033">
        <f>(C$465/C$482-0.5*(C$328-C$226)/C$338*(1-C$339)/C$324*C$226/C$328*1000-C$516)/C$516</f>
        <v>4.6079997018095536E-2</v>
      </c>
      <c r="D535" s="1033" t="e">
        <f>(D$465/D$482-0.5*(D$328-D$226)/D$338*(1-D$339)/D$324*D$226/D$328*1000-D$516)/D$516</f>
        <v>#DIV/0!</v>
      </c>
      <c r="E535" s="995"/>
      <c r="F535" s="1121"/>
      <c r="G535" s="1121"/>
      <c r="H535" s="1121"/>
      <c r="I535" s="1121"/>
      <c r="J535" s="1121"/>
      <c r="K535" s="1121"/>
      <c r="L535" s="1121"/>
      <c r="M535" s="1121"/>
      <c r="N535" s="1121"/>
      <c r="O535" s="479"/>
      <c r="P535" s="479"/>
      <c r="Q535" s="479"/>
      <c r="R535" s="479"/>
      <c r="S535" s="479"/>
      <c r="T535" s="479"/>
      <c r="U535" s="479"/>
      <c r="V535" s="479"/>
      <c r="W535" s="479"/>
      <c r="X535" s="479"/>
      <c r="Y535" s="479"/>
      <c r="Z535" s="479"/>
      <c r="AA535" s="479"/>
      <c r="AB535" s="479"/>
      <c r="AC535" s="479"/>
      <c r="AD535" s="22"/>
      <c r="AE535" s="479"/>
      <c r="AF535" s="479"/>
      <c r="AG535" s="479"/>
      <c r="AH535" s="479"/>
      <c r="AI535" s="479"/>
      <c r="AJ535" s="479"/>
      <c r="AK535" s="479"/>
      <c r="AL535" s="479"/>
      <c r="AM535" s="479"/>
      <c r="AN535" s="479"/>
      <c r="AO535" s="479"/>
      <c r="AP535" s="479"/>
      <c r="AQ535" s="479"/>
      <c r="AR535" s="479"/>
      <c r="AS535" s="479"/>
      <c r="AT535" s="479"/>
      <c r="AU535" s="479"/>
      <c r="AV535" s="479"/>
      <c r="AW535" s="479"/>
      <c r="AX535" s="479"/>
      <c r="AY535" s="479"/>
      <c r="AZ535" s="479"/>
      <c r="BA535" s="479"/>
      <c r="BC535" s="479"/>
      <c r="BD535" s="479"/>
      <c r="BE535" s="479"/>
      <c r="BF535" s="479"/>
      <c r="BG535" s="479"/>
      <c r="BH535" s="479"/>
      <c r="BI535" s="479"/>
      <c r="BJ535" s="479"/>
      <c r="BK535" s="479"/>
      <c r="BL535" s="246"/>
      <c r="BM535" s="438">
        <f t="shared" ref="BM535:BU535" si="86">BM534/BM486</f>
        <v>0.43859649122807021</v>
      </c>
      <c r="BN535" s="438">
        <f t="shared" si="86"/>
        <v>0.32433621777351473</v>
      </c>
      <c r="BO535" s="438">
        <f t="shared" si="86"/>
        <v>0.81791666666666685</v>
      </c>
      <c r="BP535" s="438">
        <f t="shared" si="86"/>
        <v>0.3780107353730543</v>
      </c>
      <c r="BQ535" s="438">
        <f t="shared" si="86"/>
        <v>0.26923076923076927</v>
      </c>
      <c r="BR535" s="438">
        <f t="shared" si="86"/>
        <v>0.51893794843762364</v>
      </c>
      <c r="BS535" s="438">
        <f t="shared" si="86"/>
        <v>0.43787991104521873</v>
      </c>
      <c r="BT535" s="438">
        <f t="shared" si="86"/>
        <v>0.77142857142857146</v>
      </c>
      <c r="BU535" s="438">
        <f t="shared" si="86"/>
        <v>0.77142857142857146</v>
      </c>
      <c r="BV535" s="259"/>
      <c r="BW535" s="259"/>
      <c r="BX535" s="259"/>
      <c r="BY535" s="259"/>
      <c r="BZ535" s="259"/>
      <c r="CA535" s="259"/>
      <c r="CB535" s="259"/>
      <c r="CD535" s="15">
        <v>6</v>
      </c>
      <c r="CE535" s="15">
        <v>6</v>
      </c>
      <c r="CF535" s="246"/>
      <c r="CG535" s="480" t="s">
        <v>946</v>
      </c>
      <c r="CH535" s="481">
        <v>0.5</v>
      </c>
      <c r="CI535" s="481">
        <v>0.5</v>
      </c>
      <c r="CJ535" s="2"/>
      <c r="CK535" s="2"/>
      <c r="CL535" s="2"/>
      <c r="CM535" s="2"/>
    </row>
    <row r="536" spans="1:100" ht="14.25" hidden="1" customHeight="1" thickBot="1">
      <c r="A536" s="108"/>
      <c r="B536" s="1131" t="s">
        <v>800</v>
      </c>
      <c r="C536" s="1033">
        <f>(C$465/C$482-0.5*(C$328-C$226)/C$338/C$324*C$226/C$328*(1-C$784)*1000-C$516)/C$516</f>
        <v>2.5570693875051866E-2</v>
      </c>
      <c r="D536" s="1033" t="e">
        <f>(D$465/D$482-0.5*(D$328-D$226)/D$338/D$324*D$226/D$328*(1-D$784)*1000-D$516)/D$516</f>
        <v>#DIV/0!</v>
      </c>
      <c r="E536" s="1107"/>
      <c r="F536" s="1115"/>
      <c r="G536" s="1115"/>
      <c r="H536" s="1115"/>
      <c r="I536" s="1115"/>
      <c r="J536" s="1115"/>
      <c r="K536" s="1115"/>
      <c r="L536" s="1115"/>
      <c r="M536" s="1115"/>
      <c r="N536" s="1115"/>
      <c r="O536" s="470"/>
      <c r="P536" s="470"/>
      <c r="Q536" s="470"/>
      <c r="R536" s="470"/>
      <c r="S536" s="470"/>
      <c r="T536" s="470"/>
      <c r="U536" s="470"/>
      <c r="V536" s="470"/>
      <c r="W536" s="470"/>
      <c r="X536" s="470"/>
      <c r="Y536" s="470"/>
      <c r="Z536" s="470"/>
      <c r="AA536" s="470"/>
      <c r="AB536" s="470"/>
      <c r="AC536" s="470"/>
      <c r="AD536" s="22"/>
      <c r="AE536" s="470"/>
      <c r="AF536" s="470"/>
      <c r="AG536" s="470"/>
      <c r="AH536" s="470"/>
      <c r="AI536" s="470"/>
      <c r="AJ536" s="470"/>
      <c r="AK536" s="470"/>
      <c r="AL536" s="470"/>
      <c r="AM536" s="470"/>
      <c r="AN536" s="470"/>
      <c r="AO536" s="470"/>
      <c r="AP536" s="470"/>
      <c r="AQ536" s="470"/>
      <c r="AR536" s="470"/>
      <c r="AS536" s="470"/>
      <c r="AT536" s="470"/>
      <c r="AU536" s="470"/>
      <c r="AV536" s="470"/>
      <c r="AW536" s="470"/>
      <c r="AX536" s="470"/>
      <c r="AY536" s="470"/>
      <c r="AZ536" s="470"/>
      <c r="BA536" s="470"/>
      <c r="BC536" s="470"/>
      <c r="BD536" s="470"/>
      <c r="BE536" s="470"/>
      <c r="BF536" s="470"/>
      <c r="BG536" s="470"/>
      <c r="BH536" s="470"/>
      <c r="BI536" s="470"/>
      <c r="BJ536" s="470"/>
      <c r="BK536" s="470"/>
      <c r="BL536" s="246"/>
      <c r="BM536" s="431">
        <f t="shared" ref="BM536:BU536" si="87">(BM$482-BM$339)/(BM$516*10^-6)*(BM$339/BM$482*100)/(BM$478*10^5)</f>
        <v>0.8116883116883119</v>
      </c>
      <c r="BN536" s="431">
        <f t="shared" si="87"/>
        <v>1.4467870949352433</v>
      </c>
      <c r="BO536" s="431">
        <f t="shared" si="87"/>
        <v>1.095570652173913</v>
      </c>
      <c r="BP536" s="431">
        <f t="shared" si="87"/>
        <v>1.1383413848631241</v>
      </c>
      <c r="BQ536" s="431">
        <f t="shared" si="87"/>
        <v>2.692307692307693</v>
      </c>
      <c r="BR536" s="431">
        <f t="shared" si="87"/>
        <v>2.2875936045334959</v>
      </c>
      <c r="BS536" s="431">
        <f t="shared" si="87"/>
        <v>2.5300000000000007</v>
      </c>
      <c r="BT536" s="431">
        <f t="shared" si="87"/>
        <v>0.12705882352941178</v>
      </c>
      <c r="BU536" s="431">
        <f t="shared" si="87"/>
        <v>0.12705882352941178</v>
      </c>
      <c r="BV536" s="259"/>
      <c r="BW536" s="246">
        <v>25</v>
      </c>
      <c r="BX536" s="246"/>
      <c r="BY536" s="246"/>
      <c r="BZ536" s="259"/>
      <c r="CA536" s="259"/>
      <c r="CB536" s="259"/>
      <c r="CC536" s="246" t="s">
        <v>1049</v>
      </c>
      <c r="CD536" s="246"/>
      <c r="CE536" s="246"/>
      <c r="CF536" s="246"/>
      <c r="CG536" s="480" t="s">
        <v>976</v>
      </c>
      <c r="CH536" s="482">
        <v>0</v>
      </c>
      <c r="CI536" s="481">
        <v>0</v>
      </c>
    </row>
    <row r="537" spans="1:100" ht="14.25" hidden="1" customHeight="1">
      <c r="A537" s="108"/>
      <c r="B537" s="1131" t="s">
        <v>801</v>
      </c>
      <c r="C537" s="1033">
        <f>(C$465/C$482*(1+C$483)-0.5*(C$328-C$226)/C$338/C$324*C$226/C$328*1000-C$516)/C$516</f>
        <v>1.7162934953632414E-2</v>
      </c>
      <c r="D537" s="1033" t="e">
        <f>(D$465/D$482*(1+D$483)-0.5*(D$328-D$226)/D$338/D$324*D$226/D$328*1000-D$516)/D$516</f>
        <v>#DIV/0!</v>
      </c>
      <c r="E537" s="995"/>
      <c r="F537" s="1115"/>
      <c r="G537" s="1115"/>
      <c r="H537" s="1115"/>
      <c r="I537" s="1115"/>
      <c r="J537" s="1115"/>
      <c r="K537" s="1115"/>
      <c r="L537" s="1115"/>
      <c r="M537" s="1115"/>
      <c r="N537" s="1115"/>
      <c r="O537" s="470"/>
      <c r="P537" s="470"/>
      <c r="Q537" s="470"/>
      <c r="R537" s="470"/>
      <c r="S537" s="470"/>
      <c r="T537" s="470"/>
      <c r="U537" s="470"/>
      <c r="V537" s="470"/>
      <c r="W537" s="470"/>
      <c r="X537" s="470"/>
      <c r="Y537" s="470"/>
      <c r="Z537" s="470"/>
      <c r="AA537" s="470"/>
      <c r="AB537" s="470"/>
      <c r="AC537" s="470"/>
      <c r="AD537" s="22"/>
      <c r="AE537" s="470"/>
      <c r="AF537" s="470"/>
      <c r="AG537" s="470"/>
      <c r="AH537" s="470"/>
      <c r="AI537" s="470"/>
      <c r="AJ537" s="470"/>
      <c r="AK537" s="470"/>
      <c r="AL537" s="470"/>
      <c r="AM537" s="470"/>
      <c r="AN537" s="470"/>
      <c r="AO537" s="470"/>
      <c r="AP537" s="470"/>
      <c r="AQ537" s="470"/>
      <c r="AR537" s="470"/>
      <c r="AS537" s="470"/>
      <c r="AT537" s="470"/>
      <c r="AU537" s="470"/>
      <c r="AV537" s="470"/>
      <c r="AW537" s="470"/>
      <c r="AX537" s="470"/>
      <c r="AY537" s="470"/>
      <c r="AZ537" s="470"/>
      <c r="BA537" s="470"/>
      <c r="BC537" s="470"/>
      <c r="BD537" s="470"/>
      <c r="BE537" s="470"/>
      <c r="BF537" s="470"/>
      <c r="BG537" s="470"/>
      <c r="BH537" s="470"/>
      <c r="BI537" s="470"/>
      <c r="BJ537" s="470"/>
      <c r="BK537" s="470"/>
      <c r="BL537" s="246"/>
      <c r="BM537" s="431">
        <f t="shared" ref="BM537:BU537" si="88">(BM$483-BM$339)/(BM$516*10^-6)*(BM$339/BM$483*100)/(BM$478*10^5)</f>
        <v>2.8409090909090917</v>
      </c>
      <c r="BN537" s="431">
        <f t="shared" si="88"/>
        <v>2.3287326528067274</v>
      </c>
      <c r="BO537" s="431">
        <f t="shared" si="88"/>
        <v>1.5774758454106286</v>
      </c>
      <c r="BP537" s="431">
        <f t="shared" si="88"/>
        <v>1.345953360768176</v>
      </c>
      <c r="BQ537" s="431">
        <f t="shared" si="88"/>
        <v>2.692307692307693</v>
      </c>
      <c r="BR537" s="431">
        <f t="shared" si="88"/>
        <v>2.8219658638602176</v>
      </c>
      <c r="BS537" s="431">
        <f t="shared" si="88"/>
        <v>2.6644444444444448</v>
      </c>
      <c r="BT537" s="431">
        <f t="shared" si="88"/>
        <v>1.2000000000000002</v>
      </c>
      <c r="BU537" s="431">
        <f t="shared" si="88"/>
        <v>1.2000000000000002</v>
      </c>
      <c r="BV537" s="259"/>
      <c r="BW537" s="246">
        <v>30</v>
      </c>
      <c r="BX537" s="246">
        <f>$H$552*(1+0.00393*(BW537+$H$561-20))</f>
        <v>0</v>
      </c>
      <c r="BY537" s="483" t="e">
        <f>BX537/#REF!-1</f>
        <v>#REF!</v>
      </c>
      <c r="BZ537" s="484"/>
      <c r="CA537" s="259"/>
      <c r="CB537" s="259"/>
      <c r="CC537" s="430" t="s">
        <v>1047</v>
      </c>
      <c r="CD537" s="430" t="s">
        <v>943</v>
      </c>
      <c r="CE537" s="430" t="s">
        <v>944</v>
      </c>
      <c r="CF537" s="430" t="s">
        <v>977</v>
      </c>
      <c r="CG537" s="430" t="s">
        <v>971</v>
      </c>
      <c r="CH537" s="4" t="s">
        <v>972</v>
      </c>
      <c r="CI537" s="430" t="s">
        <v>1055</v>
      </c>
      <c r="CJ537" s="430" t="s">
        <v>1056</v>
      </c>
      <c r="CK537" s="430" t="s">
        <v>945</v>
      </c>
      <c r="CL537" s="430" t="s">
        <v>272</v>
      </c>
      <c r="CM537" s="430" t="s">
        <v>273</v>
      </c>
      <c r="CN537" s="430" t="s">
        <v>274</v>
      </c>
      <c r="CO537" s="430" t="s">
        <v>1026</v>
      </c>
      <c r="CP537" s="430" t="s">
        <v>970</v>
      </c>
    </row>
    <row r="538" spans="1:100" ht="14.25" hidden="1" customHeight="1">
      <c r="A538" s="108"/>
      <c r="B538" s="1131" t="s">
        <v>803</v>
      </c>
      <c r="C538" s="1033">
        <f>(C$465*(1+C$785)/C$482-0.5*(C$328-C$226)/C$338/C$324*C$226/C$328*1000-C$516)/C$516</f>
        <v>0.10590759257887851</v>
      </c>
      <c r="D538" s="1033" t="e">
        <f>(D$465*(1+D$785)/D$482-0.5*(D$328-D$226)/D$338/D$324*D$226/D$328*1000-D$516)/D$516</f>
        <v>#DIV/0!</v>
      </c>
      <c r="E538" s="1068"/>
      <c r="F538" s="1115"/>
      <c r="G538" s="1115"/>
      <c r="H538" s="1115"/>
      <c r="I538" s="1115"/>
      <c r="J538" s="1115"/>
      <c r="K538" s="1115"/>
      <c r="L538" s="1115"/>
      <c r="M538" s="1115"/>
      <c r="N538" s="1115"/>
      <c r="O538" s="470"/>
      <c r="P538" s="470"/>
      <c r="Q538" s="470"/>
      <c r="R538" s="470"/>
      <c r="S538" s="470"/>
      <c r="T538" s="470"/>
      <c r="U538" s="470"/>
      <c r="V538" s="470"/>
      <c r="W538" s="470"/>
      <c r="X538" s="470"/>
      <c r="Y538" s="470"/>
      <c r="Z538" s="470"/>
      <c r="AA538" s="470"/>
      <c r="AB538" s="470"/>
      <c r="AC538" s="470"/>
      <c r="AD538" s="22"/>
      <c r="AE538" s="470"/>
      <c r="AF538" s="470"/>
      <c r="AG538" s="470"/>
      <c r="AH538" s="470"/>
      <c r="AI538" s="470"/>
      <c r="AJ538" s="470"/>
      <c r="AK538" s="470"/>
      <c r="AL538" s="470"/>
      <c r="AM538" s="470"/>
      <c r="AN538" s="470"/>
      <c r="AO538" s="470"/>
      <c r="AP538" s="470"/>
      <c r="AQ538" s="470"/>
      <c r="AR538" s="470"/>
      <c r="AS538" s="470"/>
      <c r="AT538" s="470"/>
      <c r="AU538" s="470"/>
      <c r="AV538" s="470"/>
      <c r="AW538" s="470"/>
      <c r="AX538" s="470"/>
      <c r="AY538" s="470"/>
      <c r="AZ538" s="470"/>
      <c r="BA538" s="470"/>
      <c r="BC538" s="470"/>
      <c r="BD538" s="470"/>
      <c r="BE538" s="470"/>
      <c r="BF538" s="470"/>
      <c r="BG538" s="470"/>
      <c r="BH538" s="470"/>
      <c r="BI538" s="470"/>
      <c r="BJ538" s="470"/>
      <c r="BK538" s="470"/>
      <c r="BL538" s="246"/>
      <c r="BM538" s="431">
        <f t="shared" ref="BM538:BU538" si="89">(BM$485-BM$339)/(BM$516*10^-6)*(BM$339/BM$485*100)/(BM$478*10^5)</f>
        <v>3.5885167464114835</v>
      </c>
      <c r="BN538" s="431">
        <f t="shared" si="89"/>
        <v>2.6536599636014846</v>
      </c>
      <c r="BO538" s="431">
        <f t="shared" si="89"/>
        <v>1.9630000000000003</v>
      </c>
      <c r="BP538" s="431">
        <f t="shared" si="89"/>
        <v>1.5120429414922172</v>
      </c>
      <c r="BQ538" s="431">
        <f t="shared" si="89"/>
        <v>2.692307692307693</v>
      </c>
      <c r="BR538" s="431">
        <f t="shared" si="89"/>
        <v>3.2157138444167499</v>
      </c>
      <c r="BS538" s="431">
        <f t="shared" si="89"/>
        <v>2.7635087719298244</v>
      </c>
      <c r="BT538" s="431">
        <f t="shared" si="89"/>
        <v>1.5428571428571429</v>
      </c>
      <c r="BU538" s="431">
        <f t="shared" si="89"/>
        <v>1.5428571428571429</v>
      </c>
      <c r="BV538" s="259"/>
      <c r="BW538" s="246">
        <v>40</v>
      </c>
      <c r="BX538" s="246">
        <f>$H$552*(1+0.00393*(BW538+$H$561-20))</f>
        <v>0</v>
      </c>
      <c r="BY538" s="483" t="e">
        <f>BX538/BX537-1</f>
        <v>#DIV/0!</v>
      </c>
      <c r="BZ538" s="484" t="e">
        <f>BX538/#REF!-1</f>
        <v>#REF!</v>
      </c>
      <c r="CA538" s="259"/>
      <c r="CB538" s="259"/>
      <c r="CC538" s="446">
        <f>C328-1</f>
        <v>20.5</v>
      </c>
      <c r="CD538" s="396">
        <f t="shared" ref="CD538:CD550" si="90">SQRT($CD$534/CC538*(1-$CD$534/CC538))*$CD$535</f>
        <v>2.5766073456086351</v>
      </c>
      <c r="CE538" s="396">
        <f t="shared" ref="CE538:CE550" si="91">SQRT($CE$534/CC538*(1-$CE$534/CC538))*$CE$535</f>
        <v>2.2050507163126669</v>
      </c>
      <c r="CF538" s="396">
        <f t="shared" ref="CF538:CF550" si="92">($CD$534*$CD$535+$CE$534*$CE$535)/CC538</f>
        <v>2.4292682926829268</v>
      </c>
      <c r="CG538" s="396">
        <f t="shared" ref="CG538:CG550" si="93">SQRT(($CD$535-CF538)^2*(CI538-CK538)+($CE$535-CF538)^2*(CJ538-CK538)+($CD$535+$CE$535-CF538)^2*CK538+CF538^2*(1-CI538-CJ538+CK538))</f>
        <v>2.9452105728220759</v>
      </c>
      <c r="CH538" s="33">
        <f t="shared" ref="CH538:CH550" si="94">CD538+CE538</f>
        <v>4.781658061921302</v>
      </c>
      <c r="CI538" s="485">
        <f t="shared" ref="CI538:CI550" si="95">$CD$534/CC538</f>
        <v>0.24390243902439024</v>
      </c>
      <c r="CJ538" s="485">
        <f t="shared" ref="CJ538:CJ550" si="96">$CE$534/CC538</f>
        <v>0.16097560975609757</v>
      </c>
      <c r="CK538" s="486">
        <f t="shared" ref="CK538:CK550" si="97">IF(MIN($CI538-$CH$535,$CJ538)&gt;0,MIN($CI538-$CH$535,$CJ538),0)</f>
        <v>0</v>
      </c>
      <c r="CL538" s="383">
        <f t="shared" ref="CL538:CL550" si="98">$CD$535/($CF$518*$CH$488*$CH$514)*CI538*10^3</f>
        <v>0.21495514602619589</v>
      </c>
      <c r="CM538" s="383">
        <f t="shared" ref="CM538:CM550" si="99">$CE$535/($CF$518*$CI$488*$CI$514)*CJ538*10^3</f>
        <v>0.14187039637728929</v>
      </c>
      <c r="CN538" s="384">
        <f t="shared" ref="CN538:CN550" si="100">($CD$535+$CE$535)/($CF$518*($CH$488*$CH$514+$CI$488*$CI$514))*CK538*10^3+$CD$535/($CF$518*($CH$488*$CH$514+$CI$488*$CI$514))*(CI538-CK538)*10^3</f>
        <v>0.10747757301309795</v>
      </c>
      <c r="CO538" s="486">
        <f t="shared" ref="CO538:CO550" si="101">IF(MIN($CI538-$CH$536,$CJ538)&gt;0,MIN($CI538-$CH$536,$CJ538),0)</f>
        <v>0.16097560975609757</v>
      </c>
      <c r="CP538" s="396">
        <f>SQRT(($CD$535-CF538)^2*(CI538-CO538)+($CE$535-CF538)^2*(CJ538-CO538)+($CD$535+$CE$535-CF538)^2*CO538+CF538^2*(1-CI538-CJ538+CO538))</f>
        <v>4.5016118469612589</v>
      </c>
    </row>
    <row r="539" spans="1:100" ht="14.25" hidden="1" customHeight="1">
      <c r="A539" s="108"/>
      <c r="B539" s="1131" t="s">
        <v>802</v>
      </c>
      <c r="C539" s="1033">
        <f>(C$465*(1-C$786)/C$482-0.5*(C$328-C$226)/C$338/C$324*C$226/C$328*1000-C$516)/C$516</f>
        <v>-7.5615570745488359E-2</v>
      </c>
      <c r="D539" s="1033" t="e">
        <f>(D$465*(1-D$786)/D$482-0.5*(D$328-D$226)/D$338/D$324*D$226/D$328*1000-D$516)/D$516</f>
        <v>#DIV/0!</v>
      </c>
      <c r="E539" s="1124"/>
      <c r="F539" s="1115"/>
      <c r="G539" s="1115"/>
      <c r="H539" s="1115"/>
      <c r="I539" s="1115"/>
      <c r="J539" s="1115"/>
      <c r="K539" s="1115"/>
      <c r="L539" s="1115"/>
      <c r="M539" s="1115"/>
      <c r="N539" s="1115"/>
      <c r="O539" s="470"/>
      <c r="P539" s="470"/>
      <c r="Q539" s="470"/>
      <c r="R539" s="470"/>
      <c r="S539" s="470"/>
      <c r="T539" s="470"/>
      <c r="U539" s="470"/>
      <c r="V539" s="470"/>
      <c r="W539" s="470"/>
      <c r="X539" s="470"/>
      <c r="Y539" s="470"/>
      <c r="Z539" s="470"/>
      <c r="AA539" s="470"/>
      <c r="AB539" s="470"/>
      <c r="AC539" s="470"/>
      <c r="AD539" s="22"/>
      <c r="AE539" s="470"/>
      <c r="AF539" s="470"/>
      <c r="AG539" s="470"/>
      <c r="AH539" s="470"/>
      <c r="AI539" s="470"/>
      <c r="AJ539" s="470"/>
      <c r="AK539" s="470"/>
      <c r="AL539" s="470"/>
      <c r="AM539" s="470"/>
      <c r="AN539" s="470"/>
      <c r="AO539" s="470"/>
      <c r="AP539" s="470"/>
      <c r="AQ539" s="470"/>
      <c r="AR539" s="470"/>
      <c r="AS539" s="470"/>
      <c r="AT539" s="470"/>
      <c r="AU539" s="470"/>
      <c r="AV539" s="470"/>
      <c r="AW539" s="470"/>
      <c r="AX539" s="470"/>
      <c r="AY539" s="470"/>
      <c r="AZ539" s="470"/>
      <c r="BA539" s="470"/>
      <c r="BC539" s="470"/>
      <c r="BD539" s="470"/>
      <c r="BE539" s="470"/>
      <c r="BF539" s="470"/>
      <c r="BG539" s="470"/>
      <c r="BH539" s="470"/>
      <c r="BI539" s="470"/>
      <c r="BJ539" s="470"/>
      <c r="BK539" s="470"/>
      <c r="BL539" s="246"/>
      <c r="BM539" s="487">
        <f t="shared" ref="BM539:BU539" si="102">BM$486+0.5*BM$536*(1+BM$612)</f>
        <v>8.514743570332783</v>
      </c>
      <c r="BN539" s="487">
        <f t="shared" si="102"/>
        <v>8.9175004050623006</v>
      </c>
      <c r="BO539" s="487">
        <f t="shared" si="102"/>
        <v>3.0947715532318352</v>
      </c>
      <c r="BP539" s="487">
        <f t="shared" si="102"/>
        <v>4.721895215520874</v>
      </c>
      <c r="BQ539" s="487">
        <f t="shared" si="102"/>
        <v>11.707364827134581</v>
      </c>
      <c r="BR539" s="487">
        <f t="shared" si="102"/>
        <v>7.4507096905445884</v>
      </c>
      <c r="BS539" s="487">
        <f t="shared" si="102"/>
        <v>7.604435118984469</v>
      </c>
      <c r="BT539" s="487">
        <f t="shared" si="102"/>
        <v>2.0805761417578807</v>
      </c>
      <c r="BU539" s="487">
        <f t="shared" si="102"/>
        <v>2.0805761417578807</v>
      </c>
      <c r="BV539" s="259"/>
      <c r="BW539" s="246">
        <v>50</v>
      </c>
      <c r="BX539" s="246">
        <f>$H$552*(1+0.00393*(BW539+$H$561-20))</f>
        <v>0</v>
      </c>
      <c r="BY539" s="483" t="e">
        <f>BX539/BX538-1</f>
        <v>#DIV/0!</v>
      </c>
      <c r="BZ539" s="484" t="e">
        <f>BX539/#REF!-1</f>
        <v>#REF!</v>
      </c>
      <c r="CA539" s="259"/>
      <c r="CB539" s="259"/>
      <c r="CC539" s="446">
        <f>CD518</f>
        <v>8</v>
      </c>
      <c r="CD539" s="396">
        <f t="shared" si="90"/>
        <v>2.904737509655563</v>
      </c>
      <c r="CE539" s="396">
        <f t="shared" si="91"/>
        <v>2.9537053001272824</v>
      </c>
      <c r="CF539" s="396">
        <f t="shared" si="92"/>
        <v>6.2249999999999996</v>
      </c>
      <c r="CG539" s="396">
        <f t="shared" si="93"/>
        <v>2.7566963924233661</v>
      </c>
      <c r="CH539" s="33">
        <f t="shared" si="94"/>
        <v>5.8584428097828454</v>
      </c>
      <c r="CI539" s="485">
        <f t="shared" si="95"/>
        <v>0.625</v>
      </c>
      <c r="CJ539" s="485">
        <f t="shared" si="96"/>
        <v>0.41249999999999998</v>
      </c>
      <c r="CK539" s="486">
        <f t="shared" si="97"/>
        <v>0.125</v>
      </c>
      <c r="CL539" s="383">
        <f t="shared" si="98"/>
        <v>0.55082256169212707</v>
      </c>
      <c r="CM539" s="383">
        <f t="shared" si="99"/>
        <v>0.36354289071680379</v>
      </c>
      <c r="CN539" s="384">
        <f t="shared" si="100"/>
        <v>0.33049353701527623</v>
      </c>
      <c r="CO539" s="486">
        <f t="shared" si="101"/>
        <v>0.41249999999999998</v>
      </c>
      <c r="CP539" s="396" t="e">
        <f>SQRT((#REF!-CF539)^2*(CI539-CO539)+($I$486-CF539)^2*(CJ539-CO539)+(#REF!+$I$486-CF539)^2*CO539+CF539^2*(1-CI539-CJ539+CO539))</f>
        <v>#REF!</v>
      </c>
    </row>
    <row r="540" spans="1:100" ht="14.25" hidden="1" customHeight="1">
      <c r="A540" s="108"/>
      <c r="B540" s="1029" t="s">
        <v>1243</v>
      </c>
      <c r="C540" s="1134">
        <f>0.5*(C$329-C$226)/C$338*(1-C$339)/C$324*C$226/C$329*1000/C$517</f>
        <v>0.16674476338194621</v>
      </c>
      <c r="D540" s="1134" t="e">
        <f>0.5*(D$329-D$226)/D$338*(1-D$339)/D$324*D$226/D$329*1000/D$517</f>
        <v>#DIV/0!</v>
      </c>
      <c r="E540" s="1135"/>
      <c r="F540" s="1115"/>
      <c r="G540" s="1115"/>
      <c r="H540" s="1115"/>
      <c r="I540" s="1115"/>
      <c r="J540" s="1115"/>
      <c r="K540" s="1115"/>
      <c r="L540" s="1115"/>
      <c r="M540" s="1115"/>
      <c r="N540" s="1115"/>
      <c r="O540" s="470"/>
      <c r="P540" s="470"/>
      <c r="Q540" s="470"/>
      <c r="R540" s="470"/>
      <c r="S540" s="470"/>
      <c r="T540" s="470"/>
      <c r="U540" s="470"/>
      <c r="V540" s="470"/>
      <c r="W540" s="470"/>
      <c r="X540" s="470"/>
      <c r="Y540" s="470"/>
      <c r="Z540" s="470"/>
      <c r="AA540" s="470"/>
      <c r="AB540" s="470"/>
      <c r="AC540" s="470"/>
      <c r="AD540" s="22"/>
      <c r="AE540" s="470"/>
      <c r="AF540" s="470"/>
      <c r="AG540" s="470"/>
      <c r="AH540" s="470"/>
      <c r="AI540" s="470"/>
      <c r="AJ540" s="470"/>
      <c r="AK540" s="470"/>
      <c r="AL540" s="470"/>
      <c r="AM540" s="470"/>
      <c r="AN540" s="470"/>
      <c r="AO540" s="470"/>
      <c r="AP540" s="470"/>
      <c r="AQ540" s="470"/>
      <c r="AR540" s="470"/>
      <c r="AS540" s="470"/>
      <c r="AT540" s="470"/>
      <c r="AU540" s="470"/>
      <c r="AV540" s="470"/>
      <c r="AW540" s="470"/>
      <c r="AX540" s="470"/>
      <c r="AY540" s="470"/>
      <c r="AZ540" s="470"/>
      <c r="BA540" s="470"/>
      <c r="BC540" s="470"/>
      <c r="BD540" s="470"/>
      <c r="BE540" s="470"/>
      <c r="BF540" s="470"/>
      <c r="BG540" s="470"/>
      <c r="BH540" s="470"/>
      <c r="BI540" s="470"/>
      <c r="BJ540" s="470"/>
      <c r="BK540" s="470"/>
      <c r="BL540" s="246"/>
      <c r="BM540" s="487">
        <f t="shared" ref="BM540:BU540" si="103">BM$486+0.5*BM$537*(1+BM$612)</f>
        <v>9.8016024961647368</v>
      </c>
      <c r="BN540" s="487">
        <f t="shared" si="103"/>
        <v>9.4767985971893189</v>
      </c>
      <c r="BO540" s="487">
        <f t="shared" si="103"/>
        <v>3.4003785160974411</v>
      </c>
      <c r="BP540" s="487">
        <f t="shared" si="103"/>
        <v>4.8535552729374043</v>
      </c>
      <c r="BQ540" s="487">
        <f t="shared" si="103"/>
        <v>11.707364827134581</v>
      </c>
      <c r="BR540" s="487">
        <f t="shared" si="103"/>
        <v>7.7895893820366311</v>
      </c>
      <c r="BS540" s="487">
        <f t="shared" si="103"/>
        <v>7.6896949562251891</v>
      </c>
      <c r="BT540" s="487">
        <f t="shared" si="103"/>
        <v>2.7609968943799847</v>
      </c>
      <c r="BU540" s="487">
        <f t="shared" si="103"/>
        <v>2.7609968943799847</v>
      </c>
      <c r="BV540" s="259"/>
      <c r="BW540" s="246">
        <v>60</v>
      </c>
      <c r="BX540" s="246">
        <f>$H$552*(1+0.00393*(BW540+$H$561-20))</f>
        <v>0</v>
      </c>
      <c r="BY540" s="483" t="e">
        <f>BX540/BX539-1</f>
        <v>#DIV/0!</v>
      </c>
      <c r="BZ540" s="484" t="e">
        <f>BX540/#REF!-1</f>
        <v>#REF!</v>
      </c>
      <c r="CA540" s="259"/>
      <c r="CB540" s="259"/>
      <c r="CC540" s="446">
        <f t="shared" ref="CC540:CC548" si="104">($CE$518-$CD$518)/10+CC539</f>
        <v>9.1999999999999993</v>
      </c>
      <c r="CD540" s="396">
        <f t="shared" si="90"/>
        <v>2.9886363227972867</v>
      </c>
      <c r="CE540" s="396">
        <f t="shared" si="91"/>
        <v>2.8777058442926355</v>
      </c>
      <c r="CF540" s="396">
        <f t="shared" si="92"/>
        <v>5.4130434782608701</v>
      </c>
      <c r="CG540" s="396">
        <f t="shared" si="93"/>
        <v>2.5115047192134408</v>
      </c>
      <c r="CH540" s="33">
        <f t="shared" si="94"/>
        <v>5.8663421670899218</v>
      </c>
      <c r="CI540" s="485">
        <f t="shared" si="95"/>
        <v>0.5434782608695653</v>
      </c>
      <c r="CJ540" s="485">
        <f t="shared" si="96"/>
        <v>0.35869565217391303</v>
      </c>
      <c r="CK540" s="486">
        <f t="shared" si="97"/>
        <v>4.3478260869565299E-2</v>
      </c>
      <c r="CL540" s="383">
        <f t="shared" si="98"/>
        <v>0.47897614060184968</v>
      </c>
      <c r="CM540" s="383">
        <f t="shared" si="99"/>
        <v>0.31612425279722067</v>
      </c>
      <c r="CN540" s="384">
        <f t="shared" si="100"/>
        <v>0.25864711592499884</v>
      </c>
      <c r="CO540" s="486">
        <f t="shared" si="101"/>
        <v>0.35869565217391303</v>
      </c>
      <c r="CP540" s="396" t="e">
        <f>SQRT((#REF!-CF540)^2*(CI540-CO540)+($I$486-CF540)^2*(CJ540-CO540)+(#REF!+$I$486-CF540)^2*CO540+CF540^2*(1-CI540-CJ540+CO540))</f>
        <v>#REF!</v>
      </c>
    </row>
    <row r="541" spans="1:100" ht="14.25" hidden="1" customHeight="1">
      <c r="A541" s="108"/>
      <c r="B541" s="1019" t="s">
        <v>1244</v>
      </c>
      <c r="C541" s="1136">
        <f>(C$465/C$482-0.5*(C$329-C$226)/C$338*(1-C$339)/C$324*C$226/C$329*1000-C$517)/C$517</f>
        <v>4.6761600853241984E-2</v>
      </c>
      <c r="D541" s="1136" t="e">
        <f>(D$465/D$482-0.5*(D$329-D$226)/D$338*(1-D$339)/D$324*D$226/D$329*1000-D$517)/D$517</f>
        <v>#DIV/0!</v>
      </c>
      <c r="E541" s="1137"/>
      <c r="F541" s="1115"/>
      <c r="G541" s="1115"/>
      <c r="H541" s="1115"/>
      <c r="I541" s="1115"/>
      <c r="J541" s="1115"/>
      <c r="K541" s="1115"/>
      <c r="L541" s="1115"/>
      <c r="M541" s="1115"/>
      <c r="N541" s="1115"/>
      <c r="O541" s="470"/>
      <c r="P541" s="470"/>
      <c r="Q541" s="470"/>
      <c r="R541" s="470"/>
      <c r="S541" s="470"/>
      <c r="T541" s="470"/>
      <c r="U541" s="470"/>
      <c r="V541" s="470"/>
      <c r="W541" s="470"/>
      <c r="X541" s="470"/>
      <c r="Y541" s="470"/>
      <c r="Z541" s="470"/>
      <c r="AA541" s="470"/>
      <c r="AB541" s="470"/>
      <c r="AC541" s="470"/>
      <c r="AD541" s="22"/>
      <c r="AE541" s="470"/>
      <c r="AF541" s="470"/>
      <c r="AG541" s="470"/>
      <c r="AH541" s="470"/>
      <c r="AI541" s="470"/>
      <c r="AJ541" s="470"/>
      <c r="AK541" s="470"/>
      <c r="AL541" s="470"/>
      <c r="AM541" s="470"/>
      <c r="AN541" s="470"/>
      <c r="AO541" s="470"/>
      <c r="AP541" s="470"/>
      <c r="AQ541" s="470"/>
      <c r="AR541" s="470"/>
      <c r="AS541" s="470"/>
      <c r="AT541" s="470"/>
      <c r="AU541" s="470"/>
      <c r="AV541" s="470"/>
      <c r="AW541" s="470"/>
      <c r="AX541" s="470"/>
      <c r="AY541" s="470"/>
      <c r="AZ541" s="470"/>
      <c r="BA541" s="470"/>
      <c r="BC541" s="470"/>
      <c r="BD541" s="470"/>
      <c r="BE541" s="470"/>
      <c r="BF541" s="470"/>
      <c r="BG541" s="470"/>
      <c r="BH541" s="470"/>
      <c r="BI541" s="470"/>
      <c r="BJ541" s="470"/>
      <c r="BK541" s="470"/>
      <c r="BL541" s="246"/>
      <c r="BM541" s="431">
        <f t="shared" ref="BM541:BU541" si="105">BM$486+0.5*BM$538*(1+BM$612)</f>
        <v>10.275708416208088</v>
      </c>
      <c r="BN541" s="431">
        <f t="shared" si="105"/>
        <v>9.6828558258676942</v>
      </c>
      <c r="BO541" s="431">
        <f t="shared" si="105"/>
        <v>3.6448640863899255</v>
      </c>
      <c r="BP541" s="431">
        <f t="shared" si="105"/>
        <v>4.9588833188706287</v>
      </c>
      <c r="BQ541" s="431">
        <f t="shared" si="105"/>
        <v>11.707364827134581</v>
      </c>
      <c r="BR541" s="431">
        <f t="shared" si="105"/>
        <v>8.0392902073465571</v>
      </c>
      <c r="BS541" s="431">
        <f t="shared" si="105"/>
        <v>7.7525179941920346</v>
      </c>
      <c r="BT541" s="431">
        <f t="shared" si="105"/>
        <v>2.9784245784885521</v>
      </c>
      <c r="BU541" s="431">
        <f t="shared" si="105"/>
        <v>2.9784245784885521</v>
      </c>
      <c r="BV541" s="259"/>
      <c r="BW541" s="247"/>
      <c r="BX541" s="246"/>
      <c r="BY541" s="246"/>
      <c r="BZ541" s="246"/>
      <c r="CA541" s="259"/>
      <c r="CB541" s="259"/>
      <c r="CC541" s="446">
        <f t="shared" si="104"/>
        <v>10.399999999999999</v>
      </c>
      <c r="CD541" s="396">
        <f t="shared" si="90"/>
        <v>2.9977802438692107</v>
      </c>
      <c r="CE541" s="396">
        <f t="shared" si="91"/>
        <v>2.7925699177571421</v>
      </c>
      <c r="CF541" s="396">
        <f t="shared" si="92"/>
        <v>4.7884615384615392</v>
      </c>
      <c r="CG541" s="396">
        <f t="shared" si="93"/>
        <v>2.4086106629017037</v>
      </c>
      <c r="CH541" s="33">
        <f t="shared" si="94"/>
        <v>5.7903501616263533</v>
      </c>
      <c r="CI541" s="485">
        <f t="shared" si="95"/>
        <v>0.48076923076923084</v>
      </c>
      <c r="CJ541" s="485">
        <f t="shared" si="96"/>
        <v>0.31730769230769235</v>
      </c>
      <c r="CK541" s="486">
        <f t="shared" si="97"/>
        <v>0</v>
      </c>
      <c r="CL541" s="383">
        <f t="shared" si="98"/>
        <v>0.42370966284009776</v>
      </c>
      <c r="CM541" s="383">
        <f t="shared" si="99"/>
        <v>0.27964837747446453</v>
      </c>
      <c r="CN541" s="384">
        <f t="shared" si="100"/>
        <v>0.21185483142004888</v>
      </c>
      <c r="CO541" s="486">
        <f t="shared" si="101"/>
        <v>0.31730769230769235</v>
      </c>
      <c r="CP541" s="396" t="e">
        <f>SQRT((#REF!-CF541)^2*(CI541-CO541)+($I$486-CF541)^2*(CJ541-CO541)+(#REF!+$I$486-CF541)^2*CO541+CF541^2*(1-CI541-CJ541+CO541))</f>
        <v>#REF!</v>
      </c>
    </row>
    <row r="542" spans="1:100" ht="14.25" hidden="1" customHeight="1">
      <c r="B542" s="1029" t="s">
        <v>0</v>
      </c>
      <c r="C542" s="1136">
        <f>(C$465/C$482-0.5*(C$329-C$226)/C$338/C$324*C$226/C$329*(1-C$785)*1000-C$517)/C$517</f>
        <v>2.2444656193374896E-2</v>
      </c>
      <c r="D542" s="1136" t="e">
        <f>(D$465/D$482-0.5*(D$329-D$226)/D$338/D$324*D$226/D$329*(1-D$785)*1000-D$517)/D$517</f>
        <v>#DIV/0!</v>
      </c>
      <c r="E542" s="1122"/>
      <c r="F542" s="1115"/>
      <c r="G542" s="1115"/>
      <c r="H542" s="1115"/>
      <c r="I542" s="1115"/>
      <c r="J542" s="1115"/>
      <c r="K542" s="1115"/>
      <c r="L542" s="1115"/>
      <c r="M542" s="1115"/>
      <c r="N542" s="1115"/>
      <c r="O542" s="470"/>
      <c r="P542" s="470"/>
      <c r="Q542" s="470"/>
      <c r="R542" s="470"/>
      <c r="S542" s="470"/>
      <c r="T542" s="470"/>
      <c r="U542" s="470"/>
      <c r="V542" s="470"/>
      <c r="W542" s="470"/>
      <c r="X542" s="470"/>
      <c r="Y542" s="470"/>
      <c r="Z542" s="470"/>
      <c r="AA542" s="470"/>
      <c r="AB542" s="470"/>
      <c r="AC542" s="470"/>
      <c r="AD542" s="22"/>
      <c r="AE542" s="470"/>
      <c r="AF542" s="470"/>
      <c r="AG542" s="470"/>
      <c r="AH542" s="470"/>
      <c r="AI542" s="470"/>
      <c r="AJ542" s="470"/>
      <c r="AK542" s="470"/>
      <c r="AL542" s="470"/>
      <c r="AM542" s="470"/>
      <c r="AN542" s="470"/>
      <c r="AO542" s="470"/>
      <c r="AP542" s="470"/>
      <c r="AQ542" s="470"/>
      <c r="AR542" s="470"/>
      <c r="AS542" s="470"/>
      <c r="AT542" s="470"/>
      <c r="AU542" s="470"/>
      <c r="AV542" s="470"/>
      <c r="AW542" s="470"/>
      <c r="AX542" s="470"/>
      <c r="AY542" s="470"/>
      <c r="AZ542" s="470"/>
      <c r="BA542" s="470"/>
      <c r="BC542" s="470"/>
      <c r="BD542" s="470"/>
      <c r="BE542" s="470"/>
      <c r="BF542" s="470"/>
      <c r="BG542" s="470"/>
      <c r="BH542" s="470"/>
      <c r="BI542" s="470"/>
      <c r="BJ542" s="470"/>
      <c r="BK542" s="470"/>
      <c r="BL542" s="15"/>
      <c r="BM542" s="491">
        <f t="shared" ref="BM542:BU542" si="106">BM551/BM548*(1-BM614)-0.5*BM536*(1+BM612)</f>
        <v>9.7609648458753071</v>
      </c>
      <c r="BN542" s="491">
        <f t="shared" si="106"/>
        <v>8.7653554208053954</v>
      </c>
      <c r="BO542" s="491">
        <f t="shared" si="106"/>
        <v>2.9500925331580907</v>
      </c>
      <c r="BP542" s="491">
        <f t="shared" si="106"/>
        <v>4.2369881033497547</v>
      </c>
      <c r="BQ542" s="491">
        <f t="shared" si="106"/>
        <v>10.000000000000002</v>
      </c>
      <c r="BR542" s="491">
        <f t="shared" si="106"/>
        <v>6.5885805168019687</v>
      </c>
      <c r="BS542" s="491">
        <f t="shared" si="106"/>
        <v>6.1480828752075656</v>
      </c>
      <c r="BT542" s="491">
        <f t="shared" si="106"/>
        <v>2.8978484367306714</v>
      </c>
      <c r="BU542" s="491">
        <f t="shared" si="106"/>
        <v>2.8978484367306714</v>
      </c>
      <c r="BV542" s="259"/>
      <c r="BW542" s="247"/>
      <c r="BX542" s="246"/>
      <c r="BY542" s="246"/>
      <c r="BZ542" s="246"/>
      <c r="CA542" s="259"/>
      <c r="CB542" s="259"/>
      <c r="CC542" s="446">
        <f t="shared" si="104"/>
        <v>11.599999999999998</v>
      </c>
      <c r="CD542" s="396">
        <f t="shared" si="90"/>
        <v>2.9713255068300151</v>
      </c>
      <c r="CE542" s="396">
        <f t="shared" si="91"/>
        <v>2.7070063671992117</v>
      </c>
      <c r="CF542" s="396">
        <f t="shared" si="92"/>
        <v>4.293103448275863</v>
      </c>
      <c r="CG542" s="396">
        <f t="shared" si="93"/>
        <v>2.7070063671992117</v>
      </c>
      <c r="CH542" s="33">
        <f t="shared" si="94"/>
        <v>5.6783318740292268</v>
      </c>
      <c r="CI542" s="485">
        <f t="shared" si="95"/>
        <v>0.43103448275862077</v>
      </c>
      <c r="CJ542" s="485">
        <f t="shared" si="96"/>
        <v>0.28448275862068967</v>
      </c>
      <c r="CK542" s="486">
        <f t="shared" si="97"/>
        <v>0</v>
      </c>
      <c r="CL542" s="383">
        <f t="shared" si="98"/>
        <v>0.37987762875319109</v>
      </c>
      <c r="CM542" s="383">
        <f t="shared" si="99"/>
        <v>0.25071923497710608</v>
      </c>
      <c r="CN542" s="384">
        <f t="shared" si="100"/>
        <v>0.18993881437659554</v>
      </c>
      <c r="CO542" s="486">
        <f t="shared" si="101"/>
        <v>0.28448275862068967</v>
      </c>
      <c r="CP542" s="396" t="e">
        <f>SQRT((#REF!-CF542)^2*(CI542-CO542)+($I$486-CF542)^2*(CJ542-CO542)+(#REF!+$I$486-CF542)^2*CO542+CF542^2*(1-CI542-CJ542+CO542))</f>
        <v>#REF!</v>
      </c>
      <c r="CT542" s="2" t="s">
        <v>1052</v>
      </c>
      <c r="CU542" s="2">
        <v>4</v>
      </c>
      <c r="CV542" s="2">
        <v>1.5</v>
      </c>
    </row>
    <row r="543" spans="1:100" ht="14.25" hidden="1" customHeight="1">
      <c r="A543" s="108"/>
      <c r="B543" s="1029" t="s">
        <v>1</v>
      </c>
      <c r="C543" s="1136">
        <f>(C$465/C$482*(1+C$483)-0.5*(C$329-C$226)/C$338/C$324*C$226/C$329*1000-C$517)/C$517</f>
        <v>1.7210473650107218E-2</v>
      </c>
      <c r="D543" s="1136" t="e">
        <f>(D$465/D$482*(1+D$483)-0.5*(D$329-D$226)/D$338/D$324*D$226/D$329*1000-D$517)/D$517</f>
        <v>#DIV/0!</v>
      </c>
      <c r="E543" s="1115"/>
      <c r="F543" s="1115"/>
      <c r="G543" s="1115"/>
      <c r="H543" s="1115"/>
      <c r="I543" s="1115"/>
      <c r="J543" s="1115"/>
      <c r="K543" s="1115"/>
      <c r="L543" s="1115"/>
      <c r="M543" s="1115"/>
      <c r="N543" s="1115"/>
      <c r="O543" s="470"/>
      <c r="P543" s="470"/>
      <c r="Q543" s="470"/>
      <c r="R543" s="470"/>
      <c r="S543" s="470"/>
      <c r="T543" s="470"/>
      <c r="U543" s="470"/>
      <c r="V543" s="470"/>
      <c r="W543" s="470"/>
      <c r="X543" s="470"/>
      <c r="Y543" s="470"/>
      <c r="Z543" s="470"/>
      <c r="AA543" s="470"/>
      <c r="AB543" s="470"/>
      <c r="AC543" s="470"/>
      <c r="AD543" s="22"/>
      <c r="AE543" s="470"/>
      <c r="AF543" s="470"/>
      <c r="AG543" s="470"/>
      <c r="AH543" s="470"/>
      <c r="AI543" s="470"/>
      <c r="AJ543" s="470"/>
      <c r="AK543" s="470"/>
      <c r="AL543" s="470"/>
      <c r="AM543" s="470"/>
      <c r="AN543" s="470"/>
      <c r="AO543" s="470"/>
      <c r="AP543" s="470"/>
      <c r="AQ543" s="470"/>
      <c r="AR543" s="470"/>
      <c r="AS543" s="470"/>
      <c r="AT543" s="470"/>
      <c r="AU543" s="470"/>
      <c r="AV543" s="470"/>
      <c r="AW543" s="470"/>
      <c r="AX543" s="470"/>
      <c r="AY543" s="470"/>
      <c r="AZ543" s="470"/>
      <c r="BA543" s="470"/>
      <c r="BC543" s="470"/>
      <c r="BD543" s="470"/>
      <c r="BE543" s="470"/>
      <c r="BF543" s="470"/>
      <c r="BG543" s="470"/>
      <c r="BH543" s="470"/>
      <c r="BI543" s="470"/>
      <c r="BJ543" s="470"/>
      <c r="BK543" s="470"/>
      <c r="BL543" s="246"/>
      <c r="BM543" s="492">
        <f t="shared" ref="BM543:BU543" si="107">BM551/BM548*(1-BM614)-0.5*BM537*(1+BM612)</f>
        <v>8.4741059200433515</v>
      </c>
      <c r="BN543" s="492">
        <f t="shared" si="107"/>
        <v>8.2060572286783771</v>
      </c>
      <c r="BO543" s="492">
        <f t="shared" si="107"/>
        <v>2.6444855702924848</v>
      </c>
      <c r="BP543" s="492">
        <f t="shared" si="107"/>
        <v>4.1053280459332244</v>
      </c>
      <c r="BQ543" s="492">
        <f t="shared" si="107"/>
        <v>10.000000000000002</v>
      </c>
      <c r="BR543" s="492">
        <f t="shared" si="107"/>
        <v>6.249700825309926</v>
      </c>
      <c r="BS543" s="492">
        <f t="shared" si="107"/>
        <v>6.0628230379668446</v>
      </c>
      <c r="BT543" s="492">
        <f t="shared" si="107"/>
        <v>2.2174276841085669</v>
      </c>
      <c r="BU543" s="492">
        <f t="shared" si="107"/>
        <v>2.2174276841085669</v>
      </c>
      <c r="BV543" s="15"/>
      <c r="BW543" s="247"/>
      <c r="BX543" s="493">
        <v>4.55</v>
      </c>
      <c r="BY543" s="493">
        <v>3.45</v>
      </c>
      <c r="BZ543" s="493">
        <v>2.1</v>
      </c>
      <c r="CA543" s="259"/>
      <c r="CB543" s="259"/>
      <c r="CC543" s="446">
        <f t="shared" si="104"/>
        <v>12.799999999999997</v>
      </c>
      <c r="CD543" s="396">
        <f t="shared" si="90"/>
        <v>2.9273428117492495</v>
      </c>
      <c r="CE543" s="396">
        <f t="shared" si="91"/>
        <v>2.624581439844266</v>
      </c>
      <c r="CF543" s="396">
        <f t="shared" si="92"/>
        <v>3.8906250000000004</v>
      </c>
      <c r="CG543" s="396">
        <f t="shared" si="93"/>
        <v>2.864749048237035</v>
      </c>
      <c r="CH543" s="33">
        <f t="shared" si="94"/>
        <v>5.5519242515935154</v>
      </c>
      <c r="CI543" s="485">
        <f t="shared" si="95"/>
        <v>0.39062500000000011</v>
      </c>
      <c r="CJ543" s="485">
        <f t="shared" si="96"/>
        <v>0.25781250000000006</v>
      </c>
      <c r="CK543" s="486">
        <f t="shared" si="97"/>
        <v>0</v>
      </c>
      <c r="CL543" s="383">
        <f t="shared" si="98"/>
        <v>0.34426410105757943</v>
      </c>
      <c r="CM543" s="383">
        <f t="shared" si="99"/>
        <v>0.22721430669800244</v>
      </c>
      <c r="CN543" s="384">
        <f t="shared" si="100"/>
        <v>0.17213205052878972</v>
      </c>
      <c r="CO543" s="486">
        <f t="shared" si="101"/>
        <v>0.25781250000000006</v>
      </c>
      <c r="CP543" s="396" t="e">
        <f>SQRT((#REF!-CF543)^2*(CI543-CO543)+($I$486-CF543)^2*(CJ543-CO543)+(#REF!+$I$486-CF543)^2*CO543+CF543^2*(1-CI543-CJ543+CO543))</f>
        <v>#REF!</v>
      </c>
      <c r="CT543" s="2" t="s">
        <v>1053</v>
      </c>
      <c r="CU543" s="2">
        <v>5</v>
      </c>
      <c r="CV543" s="2">
        <v>1.1000000000000001</v>
      </c>
    </row>
    <row r="544" spans="1:100" s="15" customFormat="1" hidden="1">
      <c r="A544" s="108"/>
      <c r="B544" s="1029" t="s">
        <v>1241</v>
      </c>
      <c r="C544" s="1136">
        <f>(C$465*(1+C$785)/C$482-0.5*(C$329-C$226)/C$338/C$324*C$226/C$329*1000-C$517)/C$517</f>
        <v>0.10620094036068775</v>
      </c>
      <c r="D544" s="1136" t="e">
        <f>(D$465*(1+D$785)/D$482-0.5*(D$329-D$226)/D$338/D$324*D$226/D$329*1000-D$517)/D$517</f>
        <v>#DIV/0!</v>
      </c>
      <c r="E544" s="1115"/>
      <c r="F544" s="1115"/>
      <c r="G544" s="1115"/>
      <c r="H544" s="1115"/>
      <c r="I544" s="1115"/>
      <c r="J544" s="1115"/>
      <c r="K544" s="1115"/>
      <c r="L544" s="1115"/>
      <c r="M544" s="1115"/>
      <c r="N544" s="1115"/>
      <c r="O544" s="470"/>
      <c r="P544" s="470"/>
      <c r="Q544" s="470"/>
      <c r="R544" s="470"/>
      <c r="S544" s="470"/>
      <c r="T544" s="470"/>
      <c r="U544" s="470"/>
      <c r="V544" s="470"/>
      <c r="W544" s="470"/>
      <c r="X544" s="470"/>
      <c r="Y544" s="470"/>
      <c r="Z544" s="470"/>
      <c r="AA544" s="470"/>
      <c r="AB544" s="470"/>
      <c r="AC544" s="470"/>
      <c r="AD544" s="22"/>
      <c r="AE544" s="470"/>
      <c r="AF544" s="470"/>
      <c r="AG544" s="470"/>
      <c r="AH544" s="470"/>
      <c r="AI544" s="470"/>
      <c r="AJ544" s="470"/>
      <c r="AK544" s="470"/>
      <c r="AL544" s="470"/>
      <c r="AM544" s="470"/>
      <c r="AN544" s="470"/>
      <c r="AO544" s="470"/>
      <c r="AP544" s="470"/>
      <c r="AQ544" s="470"/>
      <c r="AR544" s="470"/>
      <c r="AS544" s="470"/>
      <c r="AT544" s="470"/>
      <c r="AU544" s="470"/>
      <c r="AV544" s="470"/>
      <c r="AW544" s="470"/>
      <c r="AX544" s="470"/>
      <c r="AY544" s="470"/>
      <c r="AZ544" s="470"/>
      <c r="BA544" s="470"/>
      <c r="BC544" s="470"/>
      <c r="BD544" s="470"/>
      <c r="BE544" s="470"/>
      <c r="BF544" s="470"/>
      <c r="BG544" s="470"/>
      <c r="BH544" s="470"/>
      <c r="BI544" s="470"/>
      <c r="BJ544" s="470"/>
      <c r="BK544" s="470"/>
      <c r="BM544" s="491">
        <f t="shared" ref="BM544:BU544" si="108">BM551/BM548*(1-BM614)-0.5*BM538*(1+BM612)</f>
        <v>8</v>
      </c>
      <c r="BN544" s="491">
        <f t="shared" si="108"/>
        <v>8.0000000000000018</v>
      </c>
      <c r="BO544" s="491">
        <f t="shared" si="108"/>
        <v>2.4000000000000004</v>
      </c>
      <c r="BP544" s="491">
        <f t="shared" si="108"/>
        <v>4</v>
      </c>
      <c r="BQ544" s="491">
        <f t="shared" si="108"/>
        <v>10.000000000000002</v>
      </c>
      <c r="BR544" s="491">
        <f t="shared" si="108"/>
        <v>6</v>
      </c>
      <c r="BS544" s="491">
        <f t="shared" si="108"/>
        <v>5.9999999999999982</v>
      </c>
      <c r="BT544" s="491">
        <f t="shared" si="108"/>
        <v>2</v>
      </c>
      <c r="BU544" s="491">
        <f t="shared" si="108"/>
        <v>2</v>
      </c>
      <c r="BV544" s="259"/>
      <c r="BW544" s="247"/>
      <c r="BX544" s="493">
        <v>4.26</v>
      </c>
      <c r="BY544" s="493">
        <v>3.25</v>
      </c>
      <c r="BZ544" s="493">
        <v>2.02</v>
      </c>
      <c r="CA544" s="259"/>
      <c r="CB544" s="259"/>
      <c r="CC544" s="446">
        <f t="shared" si="104"/>
        <v>13.999999999999996</v>
      </c>
      <c r="CD544" s="396">
        <f t="shared" si="90"/>
        <v>2.8749445424997297</v>
      </c>
      <c r="CE544" s="396">
        <f t="shared" si="91"/>
        <v>2.5466664885849566</v>
      </c>
      <c r="CF544" s="396">
        <f t="shared" si="92"/>
        <v>3.5571428571428578</v>
      </c>
      <c r="CG544" s="396">
        <f t="shared" si="93"/>
        <v>2.9478113638315961</v>
      </c>
      <c r="CH544" s="33">
        <f t="shared" si="94"/>
        <v>5.4216110310846863</v>
      </c>
      <c r="CI544" s="485">
        <f t="shared" si="95"/>
        <v>0.35714285714285721</v>
      </c>
      <c r="CJ544" s="485">
        <f t="shared" si="96"/>
        <v>0.23571428571428577</v>
      </c>
      <c r="CK544" s="486">
        <f t="shared" si="97"/>
        <v>0</v>
      </c>
      <c r="CL544" s="383">
        <f t="shared" si="98"/>
        <v>0.31475574953835839</v>
      </c>
      <c r="CM544" s="383">
        <f t="shared" si="99"/>
        <v>0.2077387946953165</v>
      </c>
      <c r="CN544" s="384">
        <f t="shared" si="100"/>
        <v>0.15737787476917919</v>
      </c>
      <c r="CO544" s="486">
        <f t="shared" si="101"/>
        <v>0.23571428571428577</v>
      </c>
      <c r="CP544" s="396" t="e">
        <f>SQRT((#REF!-CF544)^2*(CI544-CO544)+($I$486-CF544)^2*(CJ544-CO544)+(#REF!+$I$486-CF544)^2*CO544+CF544^2*(1-CI544-CJ544+CO544))</f>
        <v>#REF!</v>
      </c>
      <c r="CT544" s="15" t="s">
        <v>1051</v>
      </c>
      <c r="CU544" s="15" t="s">
        <v>1054</v>
      </c>
    </row>
    <row r="545" spans="1:100" ht="14.25" hidden="1" customHeight="1">
      <c r="A545" s="108"/>
      <c r="B545" s="1029" t="s">
        <v>1242</v>
      </c>
      <c r="C545" s="1136">
        <f>(C$465*(1-C$786)/C$482-0.5*(C$329-C$226)/C$338/C$324*C$226/C$329*1000-C$517)/C$517</f>
        <v>-7.5825014274590471E-2</v>
      </c>
      <c r="D545" s="1136" t="e">
        <f>(D$465*(1-D$786)/D$482-0.5*(D$329-D$226)/D$338/D$324*D$226/D$329*1000-D$517)/D$517</f>
        <v>#DIV/0!</v>
      </c>
      <c r="E545" s="1115"/>
      <c r="F545" s="1116"/>
      <c r="G545" s="1116"/>
      <c r="H545" s="1116"/>
      <c r="I545" s="1116"/>
      <c r="J545" s="1116"/>
      <c r="K545" s="1116"/>
      <c r="L545" s="1116"/>
      <c r="M545" s="1116"/>
      <c r="N545" s="1116"/>
      <c r="O545" s="434"/>
      <c r="P545" s="434"/>
      <c r="Q545" s="434"/>
      <c r="R545" s="434"/>
      <c r="S545" s="434"/>
      <c r="T545" s="434"/>
      <c r="U545" s="434"/>
      <c r="V545" s="434"/>
      <c r="W545" s="434"/>
      <c r="X545" s="434"/>
      <c r="Y545" s="434"/>
      <c r="Z545" s="434"/>
      <c r="AA545" s="434"/>
      <c r="AB545" s="434"/>
      <c r="AC545" s="434"/>
      <c r="AD545" s="22"/>
      <c r="AE545" s="434"/>
      <c r="AF545" s="434"/>
      <c r="AG545" s="434"/>
      <c r="AH545" s="434"/>
      <c r="AI545" s="434"/>
      <c r="AJ545" s="434"/>
      <c r="AK545" s="434"/>
      <c r="AL545" s="434"/>
      <c r="AM545" s="434"/>
      <c r="AN545" s="434"/>
      <c r="AO545" s="434"/>
      <c r="AP545" s="434"/>
      <c r="AQ545" s="434"/>
      <c r="AR545" s="434"/>
      <c r="AS545" s="434"/>
      <c r="AT545" s="434"/>
      <c r="AU545" s="434"/>
      <c r="AV545" s="434"/>
      <c r="AW545" s="434"/>
      <c r="AX545" s="434"/>
      <c r="AY545" s="434"/>
      <c r="AZ545" s="434"/>
      <c r="BA545" s="434"/>
      <c r="BC545" s="434"/>
      <c r="BD545" s="434"/>
      <c r="BE545" s="434"/>
      <c r="BF545" s="434"/>
      <c r="BG545" s="434"/>
      <c r="BH545" s="434"/>
      <c r="BI545" s="434"/>
      <c r="BJ545" s="434"/>
      <c r="BK545" s="434"/>
      <c r="BL545" s="15"/>
      <c r="BM545" s="396">
        <f t="shared" ref="BM545:BU545" si="109">BM551/BM608*(1-BM614)-0.5*BM536*(1+BM612)</f>
        <v>9.9601758463190038</v>
      </c>
      <c r="BN545" s="396">
        <f t="shared" si="109"/>
        <v>8.9523695145987663</v>
      </c>
      <c r="BO545" s="396">
        <f t="shared" si="109"/>
        <v>3.5113114740698808</v>
      </c>
      <c r="BP545" s="396">
        <f t="shared" si="109"/>
        <v>4.7460127199713575</v>
      </c>
      <c r="BQ545" s="396">
        <f t="shared" si="109"/>
        <v>31.605657874855552</v>
      </c>
      <c r="BR545" s="396">
        <f t="shared" si="109"/>
        <v>7.9546063728588212</v>
      </c>
      <c r="BS545" s="396">
        <f t="shared" si="109"/>
        <v>7.8008809444189406</v>
      </c>
      <c r="BT545" s="396">
        <f t="shared" si="109"/>
        <v>0.85821956476585604</v>
      </c>
      <c r="BU545" s="396">
        <f t="shared" si="109"/>
        <v>0.85821956476585604</v>
      </c>
      <c r="BV545" s="259"/>
      <c r="BW545" s="247"/>
      <c r="BX545" s="493">
        <v>3.9</v>
      </c>
      <c r="BY545" s="493">
        <v>3.05</v>
      </c>
      <c r="BZ545" s="493">
        <v>1.9</v>
      </c>
      <c r="CA545" s="259"/>
      <c r="CB545" s="259"/>
      <c r="CC545" s="446">
        <f t="shared" si="104"/>
        <v>15.199999999999996</v>
      </c>
      <c r="CD545" s="396">
        <f t="shared" si="90"/>
        <v>2.8189849060037568</v>
      </c>
      <c r="CE545" s="396">
        <f t="shared" si="91"/>
        <v>2.4736492158778893</v>
      </c>
      <c r="CF545" s="396">
        <f t="shared" si="92"/>
        <v>3.276315789473685</v>
      </c>
      <c r="CG545" s="396">
        <f t="shared" si="93"/>
        <v>2.9872478277651378</v>
      </c>
      <c r="CH545" s="33">
        <f t="shared" si="94"/>
        <v>5.2926341218816457</v>
      </c>
      <c r="CI545" s="485">
        <f t="shared" si="95"/>
        <v>0.32894736842105271</v>
      </c>
      <c r="CJ545" s="485">
        <f t="shared" si="96"/>
        <v>0.21710526315789477</v>
      </c>
      <c r="CK545" s="486">
        <f t="shared" si="97"/>
        <v>0</v>
      </c>
      <c r="CL545" s="383">
        <f t="shared" si="98"/>
        <v>0.28990661141690899</v>
      </c>
      <c r="CM545" s="383">
        <f t="shared" si="99"/>
        <v>0.19133836353515996</v>
      </c>
      <c r="CN545" s="384">
        <f t="shared" si="100"/>
        <v>0.14495330570845449</v>
      </c>
      <c r="CO545" s="486">
        <f t="shared" si="101"/>
        <v>0.21710526315789477</v>
      </c>
      <c r="CP545" s="396" t="e">
        <f>SQRT((#REF!-CF545)^2*(CI545-CO545)+($I$486-CF545)^2*(CJ545-CO545)+(#REF!+$I$486-CF545)^2*CO545+CF545^2*(1-CI545-CJ545+CO545))</f>
        <v>#REF!</v>
      </c>
      <c r="CT545" s="2">
        <v>0</v>
      </c>
      <c r="CU545" s="28">
        <f t="shared" ref="CU545:CV551" si="110">4-CU$543/CU$542*$CT545</f>
        <v>4</v>
      </c>
      <c r="CV545" s="28">
        <f t="shared" si="110"/>
        <v>4</v>
      </c>
    </row>
    <row r="546" spans="1:100" hidden="1">
      <c r="A546" s="108"/>
      <c r="B546" s="1131" t="s">
        <v>804</v>
      </c>
      <c r="C546" s="1132">
        <f>0.5*(C$330-C$226)/C$338*(1-C$339)/C$324*C$226/C$330*1000/C$518</f>
        <v>0.16920082968918193</v>
      </c>
      <c r="D546" s="1132" t="e">
        <f>0.5*(D$329-D$226)/D$338*(1-D$339)/D$324*D$226/D$329*1000/D$517</f>
        <v>#DIV/0!</v>
      </c>
      <c r="E546" s="1115"/>
      <c r="F546" s="1116"/>
      <c r="G546" s="1116"/>
      <c r="H546" s="1116"/>
      <c r="I546" s="1116"/>
      <c r="J546" s="1116"/>
      <c r="K546" s="1116"/>
      <c r="L546" s="1116"/>
      <c r="M546" s="1116"/>
      <c r="N546" s="1116"/>
      <c r="O546" s="434"/>
      <c r="P546" s="434"/>
      <c r="Q546" s="434"/>
      <c r="R546" s="434"/>
      <c r="S546" s="434"/>
      <c r="T546" s="434"/>
      <c r="U546" s="434"/>
      <c r="V546" s="434"/>
      <c r="W546" s="434"/>
      <c r="X546" s="434"/>
      <c r="Y546" s="434"/>
      <c r="Z546" s="434"/>
      <c r="AA546" s="434"/>
      <c r="AB546" s="434"/>
      <c r="AC546" s="434"/>
      <c r="AD546" s="22"/>
      <c r="AE546" s="434"/>
      <c r="AF546" s="434"/>
      <c r="AG546" s="434"/>
      <c r="AH546" s="434"/>
      <c r="AI546" s="434"/>
      <c r="AJ546" s="434"/>
      <c r="AK546" s="434"/>
      <c r="AL546" s="434"/>
      <c r="AM546" s="434"/>
      <c r="AN546" s="434"/>
      <c r="AO546" s="434"/>
      <c r="AP546" s="434"/>
      <c r="AQ546" s="434"/>
      <c r="AR546" s="434"/>
      <c r="AS546" s="434"/>
      <c r="AT546" s="434"/>
      <c r="AU546" s="434"/>
      <c r="AV546" s="434"/>
      <c r="AW546" s="434"/>
      <c r="AX546" s="434"/>
      <c r="AY546" s="434"/>
      <c r="AZ546" s="434"/>
      <c r="BA546" s="434"/>
      <c r="BC546" s="434"/>
      <c r="BD546" s="434"/>
      <c r="BE546" s="434"/>
      <c r="BF546" s="434"/>
      <c r="BG546" s="434"/>
      <c r="BH546" s="434"/>
      <c r="BI546" s="434"/>
      <c r="BJ546" s="434"/>
      <c r="BK546" s="434"/>
      <c r="BL546" s="246"/>
      <c r="BM546" s="449">
        <f t="shared" ref="BM546:BU546" si="111">BM551/BM608*(1-BM614)-0.5*BM537*(1+BM612)</f>
        <v>8.6733169204870482</v>
      </c>
      <c r="BN546" s="449">
        <f t="shared" si="111"/>
        <v>8.3930713224717479</v>
      </c>
      <c r="BO546" s="449">
        <f t="shared" si="111"/>
        <v>3.2057045112042748</v>
      </c>
      <c r="BP546" s="449">
        <f t="shared" si="111"/>
        <v>4.6143526625548272</v>
      </c>
      <c r="BQ546" s="449">
        <f t="shared" si="111"/>
        <v>31.605657874855552</v>
      </c>
      <c r="BR546" s="449">
        <f t="shared" si="111"/>
        <v>7.6157266813667785</v>
      </c>
      <c r="BS546" s="449">
        <f t="shared" si="111"/>
        <v>7.7156211071782206</v>
      </c>
      <c r="BT546" s="449">
        <f t="shared" si="111"/>
        <v>0.17779881214375182</v>
      </c>
      <c r="BU546" s="449">
        <f t="shared" si="111"/>
        <v>0.17779881214375182</v>
      </c>
      <c r="BV546" s="259"/>
      <c r="BW546" s="247"/>
      <c r="BX546" s="409"/>
      <c r="BY546" s="409"/>
      <c r="BZ546" s="409"/>
      <c r="CA546" s="259"/>
      <c r="CB546" s="259"/>
      <c r="CC546" s="446">
        <f t="shared" si="104"/>
        <v>16.399999999999995</v>
      </c>
      <c r="CD546" s="396">
        <f t="shared" si="90"/>
        <v>2.762134549489299</v>
      </c>
      <c r="CE546" s="396">
        <f t="shared" si="91"/>
        <v>2.4054704163333311</v>
      </c>
      <c r="CF546" s="396">
        <f t="shared" si="92"/>
        <v>3.0365853658536595</v>
      </c>
      <c r="CG546" s="396">
        <f t="shared" si="93"/>
        <v>2.9997769102060494</v>
      </c>
      <c r="CH546" s="33">
        <f t="shared" si="94"/>
        <v>5.1676049658226297</v>
      </c>
      <c r="CI546" s="485">
        <f t="shared" si="95"/>
        <v>0.30487804878048791</v>
      </c>
      <c r="CJ546" s="485">
        <f t="shared" si="96"/>
        <v>0.20121951219512199</v>
      </c>
      <c r="CK546" s="486">
        <f t="shared" si="97"/>
        <v>0</v>
      </c>
      <c r="CL546" s="383">
        <f t="shared" si="98"/>
        <v>0.26869393253274493</v>
      </c>
      <c r="CM546" s="383">
        <f t="shared" si="99"/>
        <v>0.17733799547161164</v>
      </c>
      <c r="CN546" s="384">
        <f t="shared" si="100"/>
        <v>0.13434696626637246</v>
      </c>
      <c r="CO546" s="486">
        <f t="shared" si="101"/>
        <v>0.20121951219512199</v>
      </c>
      <c r="CP546" s="396" t="e">
        <f>SQRT((#REF!-CF546)^2*(CI546-CO546)+($I$486-CF546)^2*(CJ546-CO546)+(#REF!+$I$486-CF546)^2*CO546+CF546^2*(1-CI546-CJ546+CO546))</f>
        <v>#REF!</v>
      </c>
      <c r="CT546" s="2">
        <v>1</v>
      </c>
      <c r="CU546" s="28">
        <f t="shared" si="110"/>
        <v>2.75</v>
      </c>
      <c r="CV546" s="28">
        <f t="shared" si="110"/>
        <v>3.2666666666666666</v>
      </c>
    </row>
    <row r="547" spans="1:100" ht="15.05" hidden="1" customHeight="1">
      <c r="A547" s="108"/>
      <c r="B547" s="1133" t="s">
        <v>805</v>
      </c>
      <c r="C547" s="1033">
        <f>(C$465/C$482-0.5*(C$330-C$226)/C$338*(1-C$339)/C$324*C$226/C$330*1000-C$518)/C$518</f>
        <v>4.7388511778163826E-2</v>
      </c>
      <c r="D547" s="1033" t="e">
        <f>(D$465/D$482-0.5*(D$329-D$226)/D$338*(1-D$339)/D$324*D$226/D$329*1000-D$517)/D$517</f>
        <v>#DIV/0!</v>
      </c>
      <c r="E547" s="995"/>
      <c r="F547" s="1116"/>
      <c r="G547" s="1116"/>
      <c r="H547" s="1116"/>
      <c r="I547" s="1116"/>
      <c r="J547" s="1116"/>
      <c r="K547" s="1116"/>
      <c r="L547" s="1116"/>
      <c r="M547" s="1116"/>
      <c r="N547" s="1116"/>
      <c r="O547" s="434"/>
      <c r="P547" s="434"/>
      <c r="Q547" s="434"/>
      <c r="R547" s="434"/>
      <c r="S547" s="434"/>
      <c r="T547" s="434"/>
      <c r="U547" s="434"/>
      <c r="V547" s="434"/>
      <c r="W547" s="434"/>
      <c r="X547" s="434"/>
      <c r="Y547" s="434"/>
      <c r="Z547" s="434"/>
      <c r="AA547" s="434"/>
      <c r="AB547" s="434"/>
      <c r="AC547" s="434"/>
      <c r="AD547" s="22"/>
      <c r="AE547" s="434"/>
      <c r="AF547" s="434"/>
      <c r="AG547" s="434"/>
      <c r="AH547" s="434"/>
      <c r="AI547" s="434"/>
      <c r="AJ547" s="434"/>
      <c r="AK547" s="434"/>
      <c r="AL547" s="434"/>
      <c r="AM547" s="434"/>
      <c r="AN547" s="434"/>
      <c r="AO547" s="434"/>
      <c r="AP547" s="434"/>
      <c r="AQ547" s="434"/>
      <c r="AR547" s="434"/>
      <c r="AS547" s="434"/>
      <c r="AT547" s="434"/>
      <c r="AU547" s="434"/>
      <c r="AV547" s="434"/>
      <c r="AW547" s="434"/>
      <c r="AX547" s="434"/>
      <c r="AY547" s="434"/>
      <c r="AZ547" s="434"/>
      <c r="BA547" s="434"/>
      <c r="BC547" s="434"/>
      <c r="BD547" s="434"/>
      <c r="BE547" s="434"/>
      <c r="BF547" s="434"/>
      <c r="BG547" s="434"/>
      <c r="BH547" s="434"/>
      <c r="BI547" s="434"/>
      <c r="BJ547" s="434"/>
      <c r="BK547" s="434"/>
      <c r="BL547" s="246"/>
      <c r="BM547" s="449">
        <f t="shared" ref="BM547:BU547" si="112">BM551/BM608*(1-BM614)-0.5*BM538*(1+BM612)</f>
        <v>8.1992110004436967</v>
      </c>
      <c r="BN547" s="449">
        <f t="shared" si="112"/>
        <v>8.1870140937933726</v>
      </c>
      <c r="BO547" s="449">
        <f t="shared" si="112"/>
        <v>2.9612189409117908</v>
      </c>
      <c r="BP547" s="449">
        <f t="shared" si="112"/>
        <v>4.5090246166216028</v>
      </c>
      <c r="BQ547" s="449">
        <f t="shared" si="112"/>
        <v>31.605657874855552</v>
      </c>
      <c r="BR547" s="449">
        <f t="shared" si="112"/>
        <v>7.3660258560568526</v>
      </c>
      <c r="BS547" s="449">
        <f t="shared" si="112"/>
        <v>7.6527980692113751</v>
      </c>
      <c r="BT547" s="449">
        <f t="shared" si="112"/>
        <v>-3.9628871964815238E-2</v>
      </c>
      <c r="BU547" s="449">
        <f t="shared" si="112"/>
        <v>-3.9628871964815238E-2</v>
      </c>
      <c r="BV547" s="259"/>
      <c r="BW547" s="247"/>
      <c r="BX547" s="409"/>
      <c r="BY547" s="409"/>
      <c r="BZ547" s="409"/>
      <c r="CA547" s="259"/>
      <c r="CB547" s="259"/>
      <c r="CC547" s="446">
        <f t="shared" si="104"/>
        <v>17.599999999999994</v>
      </c>
      <c r="CD547" s="396">
        <f t="shared" si="90"/>
        <v>2.7058820226796954</v>
      </c>
      <c r="CE547" s="396">
        <f t="shared" si="91"/>
        <v>2.3418742493993996</v>
      </c>
      <c r="CF547" s="396">
        <f t="shared" si="92"/>
        <v>2.8295454545454555</v>
      </c>
      <c r="CG547" s="396">
        <f t="shared" si="93"/>
        <v>2.995153626766728</v>
      </c>
      <c r="CH547" s="33">
        <f t="shared" si="94"/>
        <v>5.0477562720790949</v>
      </c>
      <c r="CI547" s="485">
        <f t="shared" si="95"/>
        <v>0.28409090909090917</v>
      </c>
      <c r="CJ547" s="485">
        <f t="shared" si="96"/>
        <v>0.18750000000000006</v>
      </c>
      <c r="CK547" s="486">
        <f t="shared" si="97"/>
        <v>0</v>
      </c>
      <c r="CL547" s="383">
        <f t="shared" si="98"/>
        <v>0.25037389167823965</v>
      </c>
      <c r="CM547" s="383">
        <f t="shared" si="99"/>
        <v>0.16524676850763814</v>
      </c>
      <c r="CN547" s="384">
        <f t="shared" si="100"/>
        <v>0.12518694583911982</v>
      </c>
      <c r="CO547" s="486">
        <f t="shared" si="101"/>
        <v>0.18750000000000006</v>
      </c>
      <c r="CP547" s="396" t="e">
        <f>SQRT((#REF!-CF547)^2*(CI547-CO547)+($I$486-CF547)^2*(CJ547-CO547)+(#REF!+$I$486-CF547)^2*CO547+CF547^2*(1-CI547-CJ547+CO547))</f>
        <v>#REF!</v>
      </c>
      <c r="CT547" s="2">
        <v>2.5</v>
      </c>
      <c r="CU547" s="28">
        <f t="shared" si="110"/>
        <v>0.875</v>
      </c>
      <c r="CV547" s="28">
        <f t="shared" si="110"/>
        <v>2.1666666666666665</v>
      </c>
    </row>
    <row r="548" spans="1:100" ht="15.05" hidden="1" customHeight="1">
      <c r="A548" s="108"/>
      <c r="B548" s="1131" t="s">
        <v>806</v>
      </c>
      <c r="C548" s="1033">
        <f>(C$465/C$482-0.5*(C$330-C$226)/C$338/C$324*C$226/C$330*(1-C$785)*1000-C$518)/C$518</f>
        <v>2.2713390781824955E-2</v>
      </c>
      <c r="D548" s="1033" t="e">
        <f>(D$465/D$482-0.5*(D$329-D$226)/D$338/D$324*D$226/D$329*(1-D$785)*1000-D$517)/D$517</f>
        <v>#DIV/0!</v>
      </c>
      <c r="E548" s="995"/>
      <c r="F548" s="1116"/>
      <c r="G548" s="1116"/>
      <c r="H548" s="1116"/>
      <c r="I548" s="1116"/>
      <c r="J548" s="1116"/>
      <c r="K548" s="1116"/>
      <c r="L548" s="1116"/>
      <c r="M548" s="1116"/>
      <c r="N548" s="1116"/>
      <c r="O548" s="434"/>
      <c r="P548" s="434"/>
      <c r="Q548" s="434"/>
      <c r="R548" s="434"/>
      <c r="S548" s="434"/>
      <c r="T548" s="434"/>
      <c r="U548" s="434"/>
      <c r="V548" s="434"/>
      <c r="W548" s="434"/>
      <c r="X548" s="434"/>
      <c r="Y548" s="434"/>
      <c r="Z548" s="434"/>
      <c r="AA548" s="434"/>
      <c r="AB548" s="434"/>
      <c r="AC548" s="434"/>
      <c r="AD548" s="22"/>
      <c r="AE548" s="434"/>
      <c r="AF548" s="434"/>
      <c r="AG548" s="434"/>
      <c r="AH548" s="434"/>
      <c r="AI548" s="434"/>
      <c r="AJ548" s="434"/>
      <c r="AK548" s="434"/>
      <c r="AL548" s="434"/>
      <c r="AM548" s="434"/>
      <c r="AN548" s="434"/>
      <c r="AO548" s="434"/>
      <c r="AP548" s="434"/>
      <c r="AQ548" s="434"/>
      <c r="AR548" s="434"/>
      <c r="AS548" s="434"/>
      <c r="AT548" s="434"/>
      <c r="AU548" s="434"/>
      <c r="AV548" s="434"/>
      <c r="AW548" s="434"/>
      <c r="AX548" s="434"/>
      <c r="AY548" s="434"/>
      <c r="AZ548" s="434"/>
      <c r="BA548" s="434"/>
      <c r="BC548" s="434"/>
      <c r="BD548" s="434"/>
      <c r="BE548" s="434"/>
      <c r="BF548" s="434"/>
      <c r="BG548" s="434"/>
      <c r="BH548" s="434"/>
      <c r="BI548" s="434"/>
      <c r="BJ548" s="434"/>
      <c r="BK548" s="434"/>
      <c r="BL548" s="246"/>
      <c r="BM548" s="398">
        <f t="shared" ref="BM548:BU548" si="113">BM$551/BM541*(1-BM614)</f>
        <v>5.3211980274445958</v>
      </c>
      <c r="BN548" s="398">
        <f t="shared" si="113"/>
        <v>5.6469992260803323</v>
      </c>
      <c r="BO548" s="398">
        <f t="shared" si="113"/>
        <v>15.001678542444497</v>
      </c>
      <c r="BP548" s="398">
        <f t="shared" si="113"/>
        <v>11.026490409009122</v>
      </c>
      <c r="BQ548" s="398">
        <f t="shared" si="113"/>
        <v>4.6704856440614746</v>
      </c>
      <c r="BR548" s="398">
        <f t="shared" si="113"/>
        <v>6.8014809696700391</v>
      </c>
      <c r="BS548" s="398">
        <f t="shared" si="113"/>
        <v>7.0530735170026464</v>
      </c>
      <c r="BT548" s="398">
        <f t="shared" si="113"/>
        <v>9.3458320807903252</v>
      </c>
      <c r="BU548" s="398">
        <f t="shared" si="113"/>
        <v>9.3458320807903252</v>
      </c>
      <c r="BV548" s="259"/>
      <c r="BW548" s="247"/>
      <c r="BX548" s="409"/>
      <c r="BY548" s="409"/>
      <c r="BZ548" s="409"/>
      <c r="CA548" s="259"/>
      <c r="CB548" s="259"/>
      <c r="CC548" s="446">
        <f t="shared" si="104"/>
        <v>18.799999999999994</v>
      </c>
      <c r="CD548" s="396">
        <f t="shared" si="90"/>
        <v>2.6510501690164072</v>
      </c>
      <c r="CE548" s="396">
        <f t="shared" si="91"/>
        <v>2.2825285590560074</v>
      </c>
      <c r="CF548" s="396">
        <f t="shared" si="92"/>
        <v>2.6489361702127665</v>
      </c>
      <c r="CG548" s="396">
        <f t="shared" si="93"/>
        <v>2.9793882236820233</v>
      </c>
      <c r="CH548" s="33">
        <f t="shared" si="94"/>
        <v>4.9335787280724146</v>
      </c>
      <c r="CI548" s="485">
        <f t="shared" si="95"/>
        <v>0.26595744680851074</v>
      </c>
      <c r="CJ548" s="485">
        <f t="shared" si="96"/>
        <v>0.17553191489361708</v>
      </c>
      <c r="CK548" s="486">
        <f t="shared" si="97"/>
        <v>0</v>
      </c>
      <c r="CL548" s="383">
        <f t="shared" si="98"/>
        <v>0.2343925794434584</v>
      </c>
      <c r="CM548" s="383">
        <f t="shared" si="99"/>
        <v>0.15469910243268253</v>
      </c>
      <c r="CN548" s="384">
        <f t="shared" si="100"/>
        <v>0.1171962897217292</v>
      </c>
      <c r="CO548" s="486">
        <f t="shared" si="101"/>
        <v>0.17553191489361708</v>
      </c>
      <c r="CP548" s="396" t="e">
        <f>SQRT((#REF!-CF548)^2*(CI548-CO548)+($I$486-CF548)^2*(CJ548-CO548)+(#REF!+$I$486-CF548)^2*CO548+CF548^2*(1-CI548-CJ548+CO548))</f>
        <v>#REF!</v>
      </c>
      <c r="CT548" s="2">
        <v>2.6</v>
      </c>
      <c r="CU548" s="28">
        <f t="shared" si="110"/>
        <v>0.75</v>
      </c>
      <c r="CV548" s="28">
        <f t="shared" si="110"/>
        <v>2.0933333333333328</v>
      </c>
    </row>
    <row r="549" spans="1:100" ht="15.05" hidden="1" customHeight="1">
      <c r="A549" s="108"/>
      <c r="B549" s="1131" t="s">
        <v>809</v>
      </c>
      <c r="C549" s="1033">
        <f>(C$465/C$482*(1+C$483)-0.5*(C$330-C$226)/C$338/C$324*C$226/C$330*1000-C$518)/C$518</f>
        <v>1.7254197770541782E-2</v>
      </c>
      <c r="D549" s="1033" t="e">
        <f>(D$465/D$482*(1+D$483)-0.5*(D$329-D$226)/D$338/D$324*D$226/D$329*1000-D$517)/D$517</f>
        <v>#DIV/0!</v>
      </c>
      <c r="E549" s="1068"/>
      <c r="F549" s="995"/>
      <c r="G549" s="995"/>
      <c r="H549" s="995"/>
      <c r="I549" s="995"/>
      <c r="J549" s="995"/>
      <c r="K549" s="995"/>
      <c r="L549" s="995"/>
      <c r="M549" s="995"/>
      <c r="N549" s="995"/>
      <c r="O549" s="334"/>
      <c r="P549" s="334"/>
      <c r="Q549" s="334"/>
      <c r="R549" s="334"/>
      <c r="S549" s="334"/>
      <c r="T549" s="334"/>
      <c r="U549" s="334"/>
      <c r="V549" s="334"/>
      <c r="W549" s="334"/>
      <c r="X549" s="334"/>
      <c r="Y549" s="334"/>
      <c r="Z549" s="334"/>
      <c r="AA549" s="334"/>
      <c r="AB549" s="334"/>
      <c r="AC549" s="334"/>
      <c r="AD549" s="22"/>
      <c r="AE549" s="334"/>
      <c r="AF549" s="334"/>
      <c r="AG549" s="334"/>
      <c r="AH549" s="334"/>
      <c r="AI549" s="334"/>
      <c r="AJ549" s="334"/>
      <c r="AK549" s="334"/>
      <c r="AL549" s="334"/>
      <c r="AM549" s="334"/>
      <c r="AN549" s="334"/>
      <c r="AO549" s="334"/>
      <c r="AP549" s="334"/>
      <c r="AQ549" s="334"/>
      <c r="AR549" s="334"/>
      <c r="AS549" s="334"/>
      <c r="AT549" s="334"/>
      <c r="AU549" s="334"/>
      <c r="AV549" s="334"/>
      <c r="AW549" s="334"/>
      <c r="AX549" s="334"/>
      <c r="AY549" s="334"/>
      <c r="AZ549" s="334"/>
      <c r="BA549" s="334"/>
      <c r="BC549" s="334"/>
      <c r="BD549" s="334"/>
      <c r="BE549" s="334"/>
      <c r="BF549" s="334"/>
      <c r="BG549" s="334"/>
      <c r="BH549" s="334"/>
      <c r="BI549" s="334"/>
      <c r="BJ549" s="334"/>
      <c r="BK549" s="334"/>
      <c r="BL549" s="246"/>
      <c r="BM549" s="246"/>
      <c r="BN549" s="246"/>
      <c r="BO549" s="246"/>
      <c r="BP549" s="246"/>
      <c r="BQ549" s="246"/>
      <c r="BR549" s="246"/>
      <c r="BS549" s="246"/>
      <c r="BT549" s="246"/>
      <c r="BU549" s="246"/>
      <c r="BV549" s="259"/>
      <c r="BW549" s="247"/>
      <c r="BX549" s="409"/>
      <c r="BY549" s="409"/>
      <c r="BZ549" s="409"/>
      <c r="CA549" s="259"/>
      <c r="CB549" s="259"/>
      <c r="CC549" s="446">
        <f>CE518</f>
        <v>20</v>
      </c>
      <c r="CD549" s="396">
        <f t="shared" si="90"/>
        <v>2.598076211353316</v>
      </c>
      <c r="CE549" s="396">
        <f t="shared" si="91"/>
        <v>2.2270832943560954</v>
      </c>
      <c r="CF549" s="396">
        <f t="shared" si="92"/>
        <v>2.4899999999999998</v>
      </c>
      <c r="CG549" s="396">
        <f t="shared" si="93"/>
        <v>2.9563321870182313</v>
      </c>
      <c r="CH549" s="33">
        <f t="shared" si="94"/>
        <v>4.8251595057094114</v>
      </c>
      <c r="CI549" s="485">
        <f t="shared" si="95"/>
        <v>0.25</v>
      </c>
      <c r="CJ549" s="485">
        <f t="shared" si="96"/>
        <v>0.16499999999999998</v>
      </c>
      <c r="CK549" s="486">
        <f t="shared" si="97"/>
        <v>0</v>
      </c>
      <c r="CL549" s="383">
        <f t="shared" si="98"/>
        <v>0.22032902467685081</v>
      </c>
      <c r="CM549" s="383">
        <f t="shared" si="99"/>
        <v>0.1454171562867215</v>
      </c>
      <c r="CN549" s="384">
        <f t="shared" si="100"/>
        <v>0.1101645123384254</v>
      </c>
      <c r="CO549" s="486">
        <f t="shared" si="101"/>
        <v>0.16499999999999998</v>
      </c>
      <c r="CP549" s="396" t="e">
        <f>SQRT((#REF!-CF549)^2*(CI549-CO549)+($I$486-CF549)^2*(CJ549-CO549)+(#REF!+$I$486-CF549)^2*CO549+CF549^2*(1-CI549-CJ549+CO549))</f>
        <v>#REF!</v>
      </c>
      <c r="CT549" s="2">
        <v>2.7</v>
      </c>
      <c r="CU549" s="28">
        <f t="shared" si="110"/>
        <v>0.625</v>
      </c>
      <c r="CV549" s="28">
        <f t="shared" si="110"/>
        <v>2.0199999999999996</v>
      </c>
    </row>
    <row r="550" spans="1:100" ht="15.05" hidden="1" customHeight="1">
      <c r="A550" s="108"/>
      <c r="B550" s="1131" t="s">
        <v>810</v>
      </c>
      <c r="C550" s="1033">
        <f>(C$465*(1+C$785)/C$482-0.5*(C$330-C$226)/C$338/C$324*C$226/C$330*1000-C$518)/C$518</f>
        <v>0.10647074947814721</v>
      </c>
      <c r="D550" s="1033" t="e">
        <f>(D$465*(1+D$785)/D$482-0.5*(D$330-D$226)/D$338/D$324*D$226/D$330*1000-D$518)/D$518</f>
        <v>#DIV/0!</v>
      </c>
      <c r="E550" s="1068"/>
      <c r="F550" s="995"/>
      <c r="G550" s="1116"/>
      <c r="H550" s="1107"/>
      <c r="I550" s="1107"/>
      <c r="J550" s="1107"/>
      <c r="K550" s="1107"/>
      <c r="L550" s="1107"/>
      <c r="M550" s="1107"/>
      <c r="N550" s="1107"/>
      <c r="O550" s="456"/>
      <c r="P550" s="456"/>
      <c r="Q550" s="456"/>
      <c r="R550" s="456"/>
      <c r="S550" s="456"/>
      <c r="T550" s="456"/>
      <c r="U550" s="456"/>
      <c r="V550" s="456"/>
      <c r="W550" s="456"/>
      <c r="X550" s="456"/>
      <c r="Y550" s="456"/>
      <c r="Z550" s="456"/>
      <c r="AA550" s="456"/>
      <c r="AB550" s="456"/>
      <c r="AC550" s="456"/>
      <c r="AD550" s="22"/>
      <c r="AE550" s="456"/>
      <c r="AF550" s="456"/>
      <c r="AG550" s="456"/>
      <c r="AH550" s="456"/>
      <c r="AI550" s="456"/>
      <c r="AJ550" s="456"/>
      <c r="AK550" s="456"/>
      <c r="AL550" s="456"/>
      <c r="AM550" s="456"/>
      <c r="AN550" s="456"/>
      <c r="AO550" s="456"/>
      <c r="AP550" s="456"/>
      <c r="AQ550" s="456"/>
      <c r="AR550" s="456"/>
      <c r="AS550" s="456"/>
      <c r="AT550" s="456"/>
      <c r="AU550" s="456"/>
      <c r="AV550" s="456"/>
      <c r="AW550" s="456"/>
      <c r="AX550" s="456"/>
      <c r="AY550" s="456"/>
      <c r="AZ550" s="456"/>
      <c r="BA550" s="456"/>
      <c r="BC550" s="456"/>
      <c r="BD550" s="456"/>
      <c r="BE550" s="456"/>
      <c r="BF550" s="456"/>
      <c r="BG550" s="456"/>
      <c r="BH550" s="456"/>
      <c r="BI550" s="456"/>
      <c r="BJ550" s="456"/>
      <c r="BK550" s="456"/>
      <c r="BL550" s="246"/>
      <c r="BM550" s="405" t="s">
        <v>967</v>
      </c>
      <c r="BN550" s="405" t="s">
        <v>967</v>
      </c>
      <c r="BO550" s="405" t="s">
        <v>967</v>
      </c>
      <c r="BP550" s="405" t="s">
        <v>967</v>
      </c>
      <c r="BQ550" s="405" t="s">
        <v>966</v>
      </c>
      <c r="BR550" s="405" t="s">
        <v>966</v>
      </c>
      <c r="BS550" s="405" t="s">
        <v>966</v>
      </c>
      <c r="BT550" s="405" t="s">
        <v>966</v>
      </c>
      <c r="BU550" s="405" t="s">
        <v>966</v>
      </c>
      <c r="BV550" s="259"/>
      <c r="BW550" s="246"/>
      <c r="BX550" s="409"/>
      <c r="BY550" s="409"/>
      <c r="BZ550" s="409"/>
      <c r="CA550" s="259"/>
      <c r="CB550" s="259"/>
      <c r="CC550" s="446">
        <f>CE518+1</f>
        <v>21</v>
      </c>
      <c r="CD550" s="396">
        <f t="shared" si="90"/>
        <v>2.5555062599997598</v>
      </c>
      <c r="CE550" s="396">
        <f t="shared" si="91"/>
        <v>2.1836124347754851</v>
      </c>
      <c r="CF550" s="396">
        <f t="shared" si="92"/>
        <v>2.3714285714285714</v>
      </c>
      <c r="CG550" s="396">
        <f t="shared" si="93"/>
        <v>2.9334106359634808</v>
      </c>
      <c r="CH550" s="33">
        <f t="shared" si="94"/>
        <v>4.7391186947752448</v>
      </c>
      <c r="CI550" s="485">
        <f t="shared" si="95"/>
        <v>0.23809523809523808</v>
      </c>
      <c r="CJ550" s="485">
        <f t="shared" si="96"/>
        <v>0.15714285714285714</v>
      </c>
      <c r="CK550" s="486">
        <f t="shared" si="97"/>
        <v>0</v>
      </c>
      <c r="CL550" s="383">
        <f t="shared" si="98"/>
        <v>0.20983716635890551</v>
      </c>
      <c r="CM550" s="383">
        <f t="shared" si="99"/>
        <v>0.13849252979687762</v>
      </c>
      <c r="CN550" s="384">
        <f t="shared" si="100"/>
        <v>0.10491858317945275</v>
      </c>
      <c r="CO550" s="486">
        <f t="shared" si="101"/>
        <v>0.15714285714285714</v>
      </c>
      <c r="CP550" s="396" t="e">
        <f>SQRT((#REF!-CF550)^2*(CI550-CO550)+($I$486-CF550)^2*(CJ550-CO550)+(#REF!+$I$486-CF550)^2*CO550+CF550^2*(1-CI550-CJ550+CO550))</f>
        <v>#REF!</v>
      </c>
      <c r="CT550" s="2">
        <v>2.8</v>
      </c>
      <c r="CU550" s="28">
        <f t="shared" si="110"/>
        <v>0.5</v>
      </c>
      <c r="CV550" s="28">
        <f t="shared" si="110"/>
        <v>1.9466666666666668</v>
      </c>
    </row>
    <row r="551" spans="1:100" ht="15.05" hidden="1" customHeight="1">
      <c r="A551" s="108"/>
      <c r="B551" s="1131" t="s">
        <v>1240</v>
      </c>
      <c r="C551" s="1033">
        <f>(C$465*(1-C$786)/C$482-0.5*(C$330-C$226)/C$338/C$324*C$226/C$330*1000-C$518)/C$518</f>
        <v>-7.6017651741954656E-2</v>
      </c>
      <c r="D551" s="1033" t="e">
        <f>(D$465*(1-D$786)/D$482-0.5*(D$330-D$226)/D$338/D$324*D$226/D$330*1000-D$518)/D$518</f>
        <v>#DIV/0!</v>
      </c>
      <c r="E551" s="1116"/>
      <c r="F551" s="995"/>
      <c r="G551" s="995"/>
      <c r="H551" s="995"/>
      <c r="I551" s="995"/>
      <c r="J551" s="932"/>
      <c r="K551" s="932"/>
      <c r="L551" s="932"/>
      <c r="M551" s="932"/>
      <c r="N551" s="932"/>
      <c r="O551" s="494"/>
      <c r="P551" s="494"/>
      <c r="Q551" s="494"/>
      <c r="R551" s="494"/>
      <c r="S551" s="494"/>
      <c r="T551" s="494"/>
      <c r="U551" s="494"/>
      <c r="V551" s="494"/>
      <c r="W551" s="494"/>
      <c r="X551" s="494"/>
      <c r="Y551" s="494"/>
      <c r="Z551" s="494"/>
      <c r="AA551" s="494"/>
      <c r="AB551" s="494"/>
      <c r="AC551" s="494"/>
      <c r="AD551" s="22"/>
      <c r="AE551" s="494"/>
      <c r="AF551" s="494"/>
      <c r="AG551" s="494"/>
      <c r="AH551" s="494"/>
      <c r="AI551" s="494"/>
      <c r="AJ551" s="494"/>
      <c r="AK551" s="494"/>
      <c r="AL551" s="494"/>
      <c r="AM551" s="494"/>
      <c r="AN551" s="494"/>
      <c r="AO551" s="494"/>
      <c r="AP551" s="494"/>
      <c r="AQ551" s="494"/>
      <c r="AR551" s="494"/>
      <c r="AS551" s="494"/>
      <c r="AT551" s="494"/>
      <c r="AU551" s="494"/>
      <c r="AV551" s="494"/>
      <c r="AW551" s="494"/>
      <c r="AX551" s="494"/>
      <c r="AY551" s="494"/>
      <c r="AZ551" s="494"/>
      <c r="BA551" s="494"/>
      <c r="BC551" s="494"/>
      <c r="BD551" s="494"/>
      <c r="BE551" s="494"/>
      <c r="BF551" s="494"/>
      <c r="BG551" s="494"/>
      <c r="BH551" s="494"/>
      <c r="BI551" s="494"/>
      <c r="BJ551" s="494"/>
      <c r="BK551" s="494"/>
      <c r="BL551" s="246"/>
      <c r="BM551" s="308">
        <v>60</v>
      </c>
      <c r="BN551" s="308">
        <v>60</v>
      </c>
      <c r="BO551" s="308">
        <v>60</v>
      </c>
      <c r="BP551" s="308">
        <v>60</v>
      </c>
      <c r="BQ551" s="308">
        <v>60</v>
      </c>
      <c r="BR551" s="308">
        <v>60</v>
      </c>
      <c r="BS551" s="308">
        <v>60</v>
      </c>
      <c r="BT551" s="308">
        <v>31</v>
      </c>
      <c r="BU551" s="308">
        <v>31</v>
      </c>
      <c r="BV551" s="259"/>
      <c r="BW551" s="247"/>
      <c r="BX551" s="409"/>
      <c r="BY551" s="409"/>
      <c r="BZ551" s="409"/>
      <c r="CA551" s="259"/>
      <c r="CB551" s="259"/>
      <c r="CC551" s="395" t="s">
        <v>978</v>
      </c>
      <c r="CD551" s="449">
        <f>MAX(CD539:CD549)</f>
        <v>2.9977802438692107</v>
      </c>
      <c r="CE551" s="449">
        <f>MAX(CE539:CE549)</f>
        <v>2.9537053001272824</v>
      </c>
      <c r="CF551" s="430"/>
      <c r="CG551" s="449">
        <f>MAX(CG539:CG549)</f>
        <v>2.9997769102060494</v>
      </c>
      <c r="CH551" s="449">
        <f>MAX(CH539:CH549)</f>
        <v>5.8663421670899218</v>
      </c>
      <c r="CI551" s="430"/>
      <c r="CJ551" s="430"/>
      <c r="CK551" s="430"/>
      <c r="CL551" s="495">
        <f>MAX(CL539:CL549)</f>
        <v>0.55082256169212707</v>
      </c>
      <c r="CM551" s="495">
        <f>MAX(CM539:CM549)</f>
        <v>0.36354289071680379</v>
      </c>
      <c r="CN551" s="495">
        <f>MAX(CN539:CN549)</f>
        <v>0.33049353701527623</v>
      </c>
      <c r="CO551" s="430"/>
      <c r="CP551" s="449" t="e">
        <f>MAX(CP539:CP549)</f>
        <v>#REF!</v>
      </c>
      <c r="CT551" s="2">
        <v>2.9</v>
      </c>
      <c r="CU551" s="28">
        <f t="shared" si="110"/>
        <v>0.375</v>
      </c>
      <c r="CV551" s="28">
        <f t="shared" si="110"/>
        <v>1.8733333333333331</v>
      </c>
    </row>
    <row r="552" spans="1:100" ht="15.05" hidden="1" customHeight="1">
      <c r="A552" s="108"/>
      <c r="B552" s="314" t="s">
        <v>956</v>
      </c>
      <c r="C552" s="1044">
        <f>C332/(1-C546)</f>
        <v>15.406852170075318</v>
      </c>
      <c r="D552" s="1044" t="e">
        <f>D332/(1-D546)</f>
        <v>#DIV/0!</v>
      </c>
      <c r="E552" s="1116"/>
      <c r="F552" s="1068"/>
      <c r="G552" s="1068"/>
      <c r="H552" s="1068"/>
      <c r="I552" s="1068"/>
      <c r="J552" s="1068"/>
      <c r="K552" s="1068"/>
      <c r="L552" s="1068"/>
      <c r="M552" s="1068"/>
      <c r="N552" s="1068"/>
      <c r="O552" s="425"/>
      <c r="P552" s="425"/>
      <c r="Q552" s="425"/>
      <c r="R552" s="425"/>
      <c r="S552" s="425"/>
      <c r="T552" s="425"/>
      <c r="U552" s="425"/>
      <c r="V552" s="425"/>
      <c r="W552" s="425"/>
      <c r="X552" s="425"/>
      <c r="Y552" s="425"/>
      <c r="Z552" s="425"/>
      <c r="AA552" s="425"/>
      <c r="AB552" s="425"/>
      <c r="AC552" s="425"/>
      <c r="AD552" s="22"/>
      <c r="AE552" s="425"/>
      <c r="AF552" s="425"/>
      <c r="AG552" s="425"/>
      <c r="AH552" s="425"/>
      <c r="AI552" s="425"/>
      <c r="AJ552" s="425"/>
      <c r="AK552" s="425"/>
      <c r="AL552" s="425"/>
      <c r="AM552" s="425"/>
      <c r="AN552" s="425"/>
      <c r="AO552" s="425"/>
      <c r="AP552" s="425"/>
      <c r="AQ552" s="425"/>
      <c r="AR552" s="425"/>
      <c r="AS552" s="425"/>
      <c r="AT552" s="425"/>
      <c r="AU552" s="425"/>
      <c r="AV552" s="425"/>
      <c r="AW552" s="425"/>
      <c r="AX552" s="425"/>
      <c r="AY552" s="425"/>
      <c r="AZ552" s="425"/>
      <c r="BA552" s="425"/>
      <c r="BC552" s="425"/>
      <c r="BD552" s="425"/>
      <c r="BE552" s="425"/>
      <c r="BF552" s="425"/>
      <c r="BG552" s="425"/>
      <c r="BH552" s="425"/>
      <c r="BI552" s="425"/>
      <c r="BJ552" s="425"/>
      <c r="BK552" s="425"/>
      <c r="BL552" s="246"/>
      <c r="BM552" s="301">
        <v>0</v>
      </c>
      <c r="BN552" s="301">
        <v>0</v>
      </c>
      <c r="BO552" s="301">
        <v>5.78</v>
      </c>
      <c r="BP552" s="301">
        <v>5.49</v>
      </c>
      <c r="BQ552" s="301">
        <v>1.55</v>
      </c>
      <c r="BR552" s="301">
        <v>5.49</v>
      </c>
      <c r="BS552" s="301">
        <v>5.49</v>
      </c>
      <c r="BT552" s="301">
        <v>28</v>
      </c>
      <c r="BU552" s="301">
        <v>28</v>
      </c>
      <c r="BV552" s="247"/>
      <c r="BW552" s="247">
        <v>15</v>
      </c>
      <c r="BX552" s="409" t="s">
        <v>1151</v>
      </c>
      <c r="BY552" s="409"/>
      <c r="BZ552" s="409"/>
      <c r="CA552" s="259"/>
      <c r="CB552" s="259"/>
      <c r="CC552" s="246"/>
      <c r="CD552" s="246"/>
      <c r="CE552" s="246"/>
      <c r="CF552" s="246"/>
      <c r="CG552" s="246"/>
      <c r="CH552" s="246"/>
      <c r="CL552" s="486"/>
      <c r="CS552" s="2">
        <v>3</v>
      </c>
      <c r="CT552" s="28">
        <f t="shared" ref="CT552:CU554" si="114">4-CU$543/CU$542*$CS552</f>
        <v>0.25</v>
      </c>
      <c r="CU552" s="28">
        <f t="shared" si="114"/>
        <v>1.7999999999999998</v>
      </c>
    </row>
    <row r="553" spans="1:100" ht="15.05" hidden="1" customHeight="1">
      <c r="A553" s="108"/>
      <c r="B553" s="314" t="s">
        <v>275</v>
      </c>
      <c r="C553" s="1044">
        <f>C465*(1-C562)/(C332+0.5*(C330-C226)/C338/C324*C226/C330*1000*(1+C563*C546))</f>
        <v>3.7471504442627031</v>
      </c>
      <c r="D553" s="1044" t="e">
        <f>D465*(1-D562)/(D332+0.5*(D330-D226)/D338/D324*D226/D330*1000*(1+D563*D546))</f>
        <v>#DIV/0!</v>
      </c>
      <c r="E553" s="1116"/>
      <c r="F553" s="1124"/>
      <c r="G553" s="1124"/>
      <c r="H553" s="1124"/>
      <c r="I553" s="1124"/>
      <c r="J553" s="1124"/>
      <c r="K553" s="1124"/>
      <c r="L553" s="1124"/>
      <c r="M553" s="1124"/>
      <c r="N553" s="1124"/>
      <c r="O553" s="477"/>
      <c r="P553" s="477"/>
      <c r="Q553" s="477"/>
      <c r="R553" s="477"/>
      <c r="S553" s="477"/>
      <c r="T553" s="477"/>
      <c r="U553" s="477"/>
      <c r="V553" s="477"/>
      <c r="W553" s="477"/>
      <c r="X553" s="477"/>
      <c r="Y553" s="477"/>
      <c r="Z553" s="477"/>
      <c r="AA553" s="477"/>
      <c r="AB553" s="477"/>
      <c r="AC553" s="477"/>
      <c r="AD553" s="22"/>
      <c r="AE553" s="477"/>
      <c r="AF553" s="477"/>
      <c r="AG553" s="477"/>
      <c r="AH553" s="477"/>
      <c r="AI553" s="477"/>
      <c r="AJ553" s="477"/>
      <c r="AK553" s="477"/>
      <c r="AL553" s="477"/>
      <c r="AM553" s="477"/>
      <c r="AN553" s="477"/>
      <c r="AO553" s="477"/>
      <c r="AP553" s="477"/>
      <c r="AQ553" s="477"/>
      <c r="AR553" s="477"/>
      <c r="AS553" s="477"/>
      <c r="AT553" s="477"/>
      <c r="AU553" s="477"/>
      <c r="AV553" s="477"/>
      <c r="AW553" s="477"/>
      <c r="AX553" s="477"/>
      <c r="AY553" s="477"/>
      <c r="AZ553" s="477"/>
      <c r="BA553" s="477"/>
      <c r="BC553" s="477"/>
      <c r="BD553" s="477"/>
      <c r="BE553" s="477"/>
      <c r="BF553" s="477"/>
      <c r="BG553" s="477"/>
      <c r="BH553" s="477"/>
      <c r="BI553" s="477"/>
      <c r="BJ553" s="477"/>
      <c r="BK553" s="477"/>
      <c r="BL553" s="246"/>
      <c r="BM553" s="478">
        <v>0.1</v>
      </c>
      <c r="BN553" s="478">
        <v>0.1</v>
      </c>
      <c r="BO553" s="478">
        <v>0.1</v>
      </c>
      <c r="BP553" s="478">
        <v>0.1</v>
      </c>
      <c r="BQ553" s="478">
        <v>0.1</v>
      </c>
      <c r="BR553" s="478">
        <v>0.1</v>
      </c>
      <c r="BS553" s="478">
        <v>0.1</v>
      </c>
      <c r="BT553" s="478">
        <v>0.2</v>
      </c>
      <c r="BU553" s="478">
        <v>0.2</v>
      </c>
      <c r="BV553" s="247"/>
      <c r="BW553" s="247">
        <v>12</v>
      </c>
      <c r="BX553" s="409" t="s">
        <v>1022</v>
      </c>
      <c r="BY553" s="409"/>
      <c r="BZ553" s="409"/>
      <c r="CA553" s="259"/>
      <c r="CB553" s="259"/>
      <c r="CC553" s="246" t="s">
        <v>936</v>
      </c>
      <c r="CD553" s="246" t="s">
        <v>937</v>
      </c>
      <c r="CE553" s="2" t="s">
        <v>938</v>
      </c>
      <c r="CF553" s="2" t="s">
        <v>939</v>
      </c>
      <c r="CG553" s="2" t="s">
        <v>940</v>
      </c>
      <c r="CH553" s="2" t="s">
        <v>941</v>
      </c>
      <c r="CL553" s="486"/>
      <c r="CS553" s="2">
        <v>3.1</v>
      </c>
      <c r="CT553" s="28">
        <f t="shared" si="114"/>
        <v>0.125</v>
      </c>
      <c r="CU553" s="28">
        <f t="shared" si="114"/>
        <v>1.7266666666666666</v>
      </c>
    </row>
    <row r="554" spans="1:100" ht="15.05" hidden="1" customHeight="1">
      <c r="A554" s="108"/>
      <c r="E554" s="1121"/>
      <c r="F554" s="1135"/>
      <c r="G554" s="1135"/>
      <c r="H554" s="1135"/>
      <c r="I554" s="1135"/>
      <c r="J554" s="1135"/>
      <c r="K554" s="1135"/>
      <c r="L554" s="1135"/>
      <c r="M554" s="1135"/>
      <c r="N554" s="1135"/>
      <c r="O554" s="488"/>
      <c r="P554" s="488"/>
      <c r="Q554" s="488"/>
      <c r="R554" s="488"/>
      <c r="S554" s="488"/>
      <c r="T554" s="488"/>
      <c r="U554" s="488"/>
      <c r="V554" s="488"/>
      <c r="W554" s="488"/>
      <c r="X554" s="488"/>
      <c r="Y554" s="488"/>
      <c r="Z554" s="488"/>
      <c r="AA554" s="488"/>
      <c r="AB554" s="488"/>
      <c r="AC554" s="488"/>
      <c r="AD554" s="22"/>
      <c r="AE554" s="488"/>
      <c r="AF554" s="488"/>
      <c r="AG554" s="488"/>
      <c r="AH554" s="488"/>
      <c r="AI554" s="488"/>
      <c r="AJ554" s="488"/>
      <c r="AK554" s="488"/>
      <c r="AL554" s="488"/>
      <c r="AM554" s="488"/>
      <c r="AN554" s="488"/>
      <c r="AO554" s="488"/>
      <c r="AP554" s="488"/>
      <c r="AQ554" s="488"/>
      <c r="AR554" s="488"/>
      <c r="AS554" s="488"/>
      <c r="AT554" s="488"/>
      <c r="AU554" s="488"/>
      <c r="AV554" s="488"/>
      <c r="AW554" s="488"/>
      <c r="AX554" s="488"/>
      <c r="AY554" s="488"/>
      <c r="AZ554" s="488"/>
      <c r="BA554" s="488"/>
      <c r="BC554" s="488"/>
      <c r="BD554" s="488"/>
      <c r="BE554" s="488"/>
      <c r="BF554" s="488"/>
      <c r="BG554" s="488"/>
      <c r="BH554" s="488"/>
      <c r="BI554" s="488"/>
      <c r="BJ554" s="488"/>
      <c r="BK554" s="488"/>
      <c r="BL554" s="246"/>
      <c r="BM554" s="443">
        <v>5.22</v>
      </c>
      <c r="BN554" s="443">
        <v>5.54</v>
      </c>
      <c r="BO554" s="443">
        <v>13</v>
      </c>
      <c r="BP554" s="443">
        <v>10</v>
      </c>
      <c r="BQ554" s="443">
        <v>1.55</v>
      </c>
      <c r="BR554" s="443">
        <v>6.67</v>
      </c>
      <c r="BS554" s="443">
        <v>6.67</v>
      </c>
      <c r="BT554" s="443">
        <v>0</v>
      </c>
      <c r="BU554" s="443">
        <v>0</v>
      </c>
      <c r="BV554" s="247"/>
      <c r="BW554" s="496">
        <f>BW552*BW553/(BW552+BW553)</f>
        <v>6.666666666666667</v>
      </c>
      <c r="BX554" s="409" t="s">
        <v>1023</v>
      </c>
      <c r="BY554" s="409"/>
      <c r="BZ554" s="409"/>
      <c r="CA554" s="259"/>
      <c r="CB554" s="259"/>
      <c r="CC554" s="246">
        <v>7</v>
      </c>
      <c r="CD554" s="71">
        <v>0.7142857142857143</v>
      </c>
      <c r="CE554" s="71">
        <v>0.47089947089947087</v>
      </c>
      <c r="CF554" s="71">
        <v>0.2142857142857143</v>
      </c>
      <c r="CG554" s="28">
        <v>-0.18971428571428572</v>
      </c>
      <c r="CH554" s="28">
        <v>-0.12507089947089947</v>
      </c>
      <c r="CS554" s="2">
        <v>3.2</v>
      </c>
      <c r="CT554" s="28">
        <f t="shared" si="114"/>
        <v>0</v>
      </c>
      <c r="CU554" s="28">
        <f t="shared" si="114"/>
        <v>1.6533333333333329</v>
      </c>
    </row>
    <row r="555" spans="1:100" ht="15.05" hidden="1" customHeight="1">
      <c r="A555" s="108"/>
      <c r="E555" s="1121"/>
      <c r="F555" s="1137"/>
      <c r="G555" s="1137"/>
      <c r="H555" s="1137"/>
      <c r="I555" s="1137"/>
      <c r="J555" s="1137"/>
      <c r="K555" s="1137"/>
      <c r="L555" s="1137"/>
      <c r="M555" s="1137"/>
      <c r="N555" s="1137"/>
      <c r="O555" s="489"/>
      <c r="P555" s="489"/>
      <c r="Q555" s="489"/>
      <c r="R555" s="489"/>
      <c r="S555" s="489"/>
      <c r="T555" s="489"/>
      <c r="U555" s="489"/>
      <c r="V555" s="489"/>
      <c r="W555" s="489"/>
      <c r="X555" s="489"/>
      <c r="Y555" s="489"/>
      <c r="Z555" s="489"/>
      <c r="AA555" s="489"/>
      <c r="AB555" s="489"/>
      <c r="AC555" s="489"/>
      <c r="AD555" s="22"/>
      <c r="AE555" s="489"/>
      <c r="AF555" s="489"/>
      <c r="AG555" s="489"/>
      <c r="AH555" s="489"/>
      <c r="AI555" s="489"/>
      <c r="AJ555" s="489"/>
      <c r="AK555" s="489"/>
      <c r="AL555" s="489"/>
      <c r="AM555" s="489"/>
      <c r="AN555" s="489"/>
      <c r="AO555" s="489"/>
      <c r="AP555" s="489"/>
      <c r="AQ555" s="489"/>
      <c r="AR555" s="489"/>
      <c r="AS555" s="489"/>
      <c r="AT555" s="489"/>
      <c r="AU555" s="489"/>
      <c r="AV555" s="489"/>
      <c r="AW555" s="489"/>
      <c r="AX555" s="489"/>
      <c r="AY555" s="489"/>
      <c r="AZ555" s="489"/>
      <c r="BA555" s="489"/>
      <c r="BC555" s="489"/>
      <c r="BD555" s="489"/>
      <c r="BE555" s="489"/>
      <c r="BF555" s="489"/>
      <c r="BG555" s="489"/>
      <c r="BH555" s="489"/>
      <c r="BI555" s="489"/>
      <c r="BJ555" s="489"/>
      <c r="BK555" s="489"/>
      <c r="BL555" s="15"/>
      <c r="BM555" s="266">
        <v>0.01</v>
      </c>
      <c r="BN555" s="266">
        <v>0.01</v>
      </c>
      <c r="BO555" s="266">
        <v>0.01</v>
      </c>
      <c r="BP555" s="266">
        <v>0.01</v>
      </c>
      <c r="BQ555" s="266">
        <v>0.01</v>
      </c>
      <c r="BR555" s="266">
        <v>0.01</v>
      </c>
      <c r="BS555" s="266">
        <v>0.01</v>
      </c>
      <c r="BT555" s="266">
        <v>0.01</v>
      </c>
      <c r="BU555" s="266">
        <v>0.01</v>
      </c>
      <c r="BV555" s="247"/>
      <c r="BW555" s="247"/>
      <c r="BX555" s="409"/>
      <c r="BY555" s="409"/>
      <c r="BZ555" s="409"/>
      <c r="CA555" s="259"/>
      <c r="CB555" s="259"/>
      <c r="CC555" s="246">
        <v>8</v>
      </c>
      <c r="CD555" s="71">
        <v>0.625</v>
      </c>
      <c r="CE555" s="71">
        <v>0.41203703703703703</v>
      </c>
      <c r="CF555" s="71">
        <v>0.125</v>
      </c>
      <c r="CG555" s="28">
        <v>-0.16600000000000001</v>
      </c>
      <c r="CH555" s="28">
        <v>-0.10943703703703704</v>
      </c>
    </row>
    <row r="556" spans="1:100" ht="15.05" hidden="1" customHeight="1">
      <c r="A556" s="108"/>
      <c r="B556" s="1138" t="s">
        <v>860</v>
      </c>
      <c r="E556" s="1116"/>
      <c r="F556" s="1122"/>
      <c r="G556" s="1122"/>
      <c r="H556" s="1122"/>
      <c r="I556" s="1122"/>
      <c r="J556" s="1122"/>
      <c r="K556" s="1122"/>
      <c r="L556" s="1122"/>
      <c r="M556" s="1122"/>
      <c r="N556" s="1122"/>
      <c r="O556" s="131"/>
      <c r="P556" s="490"/>
      <c r="Q556" s="490"/>
      <c r="R556" s="490"/>
      <c r="S556" s="490"/>
      <c r="T556" s="490"/>
      <c r="U556" s="490"/>
      <c r="V556" s="490"/>
      <c r="W556" s="490"/>
      <c r="X556" s="490"/>
      <c r="Y556" s="490"/>
      <c r="Z556" s="490"/>
      <c r="AA556" s="490"/>
      <c r="AB556" s="490"/>
      <c r="AC556" s="490"/>
      <c r="AD556" s="22"/>
      <c r="AE556" s="490"/>
      <c r="AF556" s="490"/>
      <c r="AG556" s="490"/>
      <c r="AH556" s="490"/>
      <c r="AI556" s="490"/>
      <c r="AJ556" s="490"/>
      <c r="AK556" s="490"/>
      <c r="AL556" s="490"/>
      <c r="AM556" s="490"/>
      <c r="AN556" s="490"/>
      <c r="AO556" s="490"/>
      <c r="AP556" s="490"/>
      <c r="AQ556" s="490"/>
      <c r="AR556" s="490"/>
      <c r="AS556" s="490"/>
      <c r="AT556" s="490"/>
      <c r="AU556" s="490"/>
      <c r="AV556" s="490"/>
      <c r="AW556" s="490"/>
      <c r="AX556" s="490"/>
      <c r="AY556" s="490"/>
      <c r="AZ556" s="490"/>
      <c r="BA556" s="490"/>
      <c r="BC556" s="490"/>
      <c r="BD556" s="490"/>
      <c r="BE556" s="490"/>
      <c r="BF556" s="490"/>
      <c r="BG556" s="490"/>
      <c r="BH556" s="490"/>
      <c r="BI556" s="490"/>
      <c r="BJ556" s="490"/>
      <c r="BK556" s="490"/>
      <c r="BL556" s="246"/>
      <c r="BM556" s="497">
        <v>100</v>
      </c>
      <c r="BN556" s="497">
        <v>100</v>
      </c>
      <c r="BO556" s="497">
        <v>100</v>
      </c>
      <c r="BP556" s="497">
        <v>100</v>
      </c>
      <c r="BQ556" s="497">
        <v>100</v>
      </c>
      <c r="BR556" s="497">
        <v>100</v>
      </c>
      <c r="BS556" s="497">
        <v>100</v>
      </c>
      <c r="BT556" s="497">
        <v>100</v>
      </c>
      <c r="BU556" s="497">
        <v>100</v>
      </c>
      <c r="BV556" s="247"/>
      <c r="BW556" s="247"/>
      <c r="BX556" s="409"/>
      <c r="BY556" s="409"/>
      <c r="BZ556" s="409"/>
      <c r="CA556" s="259"/>
      <c r="CB556" s="259"/>
      <c r="CC556" s="246">
        <v>9.1</v>
      </c>
      <c r="CD556" s="71">
        <v>0.5494505494505495</v>
      </c>
      <c r="CE556" s="71">
        <v>0.36223036223036226</v>
      </c>
      <c r="CF556" s="71">
        <v>4.9450549450549497E-2</v>
      </c>
      <c r="CG556" s="28">
        <v>-0.14593406593406597</v>
      </c>
      <c r="CH556" s="28">
        <v>-9.6208384208384234E-2</v>
      </c>
    </row>
    <row r="557" spans="1:100" ht="15.05" hidden="1" customHeight="1">
      <c r="A557" s="108"/>
      <c r="B557" s="314" t="s">
        <v>852</v>
      </c>
      <c r="C557" s="1032">
        <f>2*(C469+C339+C784+C785)/(C469+C339+C784+C785+MAX(C469,C339,C784,C785))*SQRT(C469^2+C339^2+C784^2+C785^2)</f>
        <v>0.3660171269849925</v>
      </c>
      <c r="D557" s="1032">
        <f>2*(D469+D339+D784+D785)/(D469+D339+D784+D785+MAX(D469,D339,D784,D785))*SQRT(D469^2+D339^2+D784^2+D785^2)</f>
        <v>0.3660171269849925</v>
      </c>
      <c r="E557" s="1116"/>
      <c r="F557" s="1115"/>
      <c r="G557" s="1115"/>
      <c r="H557" s="1115"/>
      <c r="I557" s="1115"/>
      <c r="J557" s="1115"/>
      <c r="K557" s="1115"/>
      <c r="L557" s="1115"/>
      <c r="M557" s="1115"/>
      <c r="N557" s="1115"/>
      <c r="O557" s="470"/>
      <c r="P557" s="470"/>
      <c r="Q557" s="470"/>
      <c r="R557" s="470"/>
      <c r="S557" s="470"/>
      <c r="T557" s="470"/>
      <c r="U557" s="470"/>
      <c r="V557" s="470"/>
      <c r="W557" s="470"/>
      <c r="X557" s="470"/>
      <c r="Y557" s="470"/>
      <c r="Z557" s="470"/>
      <c r="AA557" s="470"/>
      <c r="AB557" s="470"/>
      <c r="AC557" s="470"/>
      <c r="AD557" s="22"/>
      <c r="AE557" s="470"/>
      <c r="AF557" s="470"/>
      <c r="AG557" s="470"/>
      <c r="AH557" s="470"/>
      <c r="AI557" s="470"/>
      <c r="AJ557" s="470"/>
      <c r="AK557" s="470"/>
      <c r="AL557" s="470"/>
      <c r="AM557" s="470"/>
      <c r="AN557" s="470"/>
      <c r="AO557" s="470"/>
      <c r="AP557" s="470"/>
      <c r="AQ557" s="470"/>
      <c r="AR557" s="470"/>
      <c r="AS557" s="470"/>
      <c r="AT557" s="470"/>
      <c r="AU557" s="470"/>
      <c r="AV557" s="470"/>
      <c r="AW557" s="470"/>
      <c r="AX557" s="470"/>
      <c r="AY557" s="470"/>
      <c r="AZ557" s="470"/>
      <c r="BA557" s="470"/>
      <c r="BC557" s="470"/>
      <c r="BD557" s="470"/>
      <c r="BE557" s="470"/>
      <c r="BF557" s="470"/>
      <c r="BG557" s="470"/>
      <c r="BH557" s="470"/>
      <c r="BI557" s="470"/>
      <c r="BJ557" s="470"/>
      <c r="BK557" s="470"/>
      <c r="BL557" s="246"/>
      <c r="BM557" s="498"/>
      <c r="BN557" s="498"/>
      <c r="BO557" s="498"/>
      <c r="BP557" s="498"/>
      <c r="BQ557" s="492">
        <f>BQ$515/BQ$563/BQ556*1000</f>
        <v>2.376060278821535</v>
      </c>
      <c r="BR557" s="498"/>
      <c r="BS557" s="498"/>
      <c r="BT557" s="499">
        <f>BT$515/BT$556/(BT548/BT563)/BT563*1000</f>
        <v>10.699956850877165</v>
      </c>
      <c r="BU557" s="499">
        <f>BU$515/BU$556/(BU548/BU563)/BU563*1000</f>
        <v>10.699956850877165</v>
      </c>
      <c r="BV557" s="247"/>
      <c r="BW557" s="247"/>
      <c r="BX557" s="409"/>
      <c r="BY557" s="409"/>
      <c r="BZ557" s="409"/>
      <c r="CA557" s="259"/>
      <c r="CB557" s="259"/>
      <c r="CC557" s="246">
        <v>10.199999999999999</v>
      </c>
      <c r="CD557" s="71">
        <v>0.49019607843137258</v>
      </c>
      <c r="CE557" s="71">
        <v>0.32316630355846043</v>
      </c>
      <c r="CF557" s="71">
        <v>0</v>
      </c>
      <c r="CG557" s="28">
        <v>-0.13019607843137257</v>
      </c>
      <c r="CH557" s="28">
        <v>-8.5832970225127092E-2</v>
      </c>
    </row>
    <row r="558" spans="1:100" ht="15.05" hidden="1" customHeight="1">
      <c r="A558" s="108"/>
      <c r="B558" s="314" t="s">
        <v>853</v>
      </c>
      <c r="C558" s="1032">
        <f>2*(C469+C339+C784+C786)/(C469+C339+C784+C786+MAX(C469,C339,C784,C786))*SQRT(C469^2+C339^2+C784^2+C786^2)</f>
        <v>0.35540274494031576</v>
      </c>
      <c r="D558" s="1032">
        <f>2*(D469+D339+D784+D786)/(D469+D339+D784+D786+MAX(D469,D339,D784,D786))*SQRT(D469^2+D339^2+D784^2+D786^2)</f>
        <v>0.35540274494031576</v>
      </c>
      <c r="E558" s="1116"/>
      <c r="F558" s="1115"/>
      <c r="G558" s="1115"/>
      <c r="H558" s="1115"/>
      <c r="I558" s="1115"/>
      <c r="J558" s="1115"/>
      <c r="K558" s="1115"/>
      <c r="L558" s="1115"/>
      <c r="M558" s="1115"/>
      <c r="N558" s="1115"/>
      <c r="O558" s="470"/>
      <c r="P558" s="470"/>
      <c r="Q558" s="470"/>
      <c r="R558" s="470"/>
      <c r="S558" s="470"/>
      <c r="T558" s="470"/>
      <c r="U558" s="470"/>
      <c r="V558" s="470"/>
      <c r="W558" s="470"/>
      <c r="X558" s="470"/>
      <c r="Y558" s="470"/>
      <c r="Z558" s="470"/>
      <c r="AA558" s="470"/>
      <c r="AB558" s="470"/>
      <c r="AC558" s="470"/>
      <c r="AD558" s="22"/>
      <c r="AE558" s="470"/>
      <c r="AF558" s="470"/>
      <c r="AG558" s="470"/>
      <c r="AH558" s="470"/>
      <c r="AI558" s="470"/>
      <c r="AJ558" s="470"/>
      <c r="AK558" s="470"/>
      <c r="AL558" s="470"/>
      <c r="AM558" s="470"/>
      <c r="AN558" s="470"/>
      <c r="AO558" s="470"/>
      <c r="AP558" s="470"/>
      <c r="AQ558" s="470"/>
      <c r="AR558" s="470"/>
      <c r="AS558" s="470"/>
      <c r="AT558" s="470"/>
      <c r="AU558" s="470"/>
      <c r="AV558" s="470"/>
      <c r="AW558" s="470"/>
      <c r="AX558" s="470"/>
      <c r="AY558" s="470"/>
      <c r="AZ558" s="470"/>
      <c r="BA558" s="470"/>
      <c r="BC558" s="470"/>
      <c r="BD558" s="470"/>
      <c r="BE558" s="470"/>
      <c r="BF558" s="470"/>
      <c r="BG558" s="470"/>
      <c r="BH558" s="470"/>
      <c r="BI558" s="470"/>
      <c r="BJ558" s="470"/>
      <c r="BK558" s="470"/>
      <c r="BL558" s="246"/>
      <c r="BM558" s="498"/>
      <c r="BN558" s="498"/>
      <c r="BO558" s="498"/>
      <c r="BP558" s="498"/>
      <c r="BQ558" s="492">
        <v>2.4</v>
      </c>
      <c r="BR558" s="498"/>
      <c r="BS558" s="498"/>
      <c r="BT558" s="498"/>
      <c r="BU558" s="498"/>
      <c r="BV558" s="247"/>
      <c r="BW558" s="247"/>
      <c r="BX558" s="409"/>
      <c r="BY558" s="409"/>
      <c r="BZ558" s="409"/>
      <c r="CA558" s="259"/>
      <c r="CB558" s="259"/>
      <c r="CC558" s="246">
        <v>11.3</v>
      </c>
      <c r="CD558" s="71">
        <v>0.44247787610619471</v>
      </c>
      <c r="CE558" s="71">
        <v>0.2917076368403802</v>
      </c>
      <c r="CF558" s="71">
        <v>0</v>
      </c>
      <c r="CG558" s="28">
        <v>-0.11752212389380533</v>
      </c>
      <c r="CH558" s="28">
        <v>-7.7477548344804983E-2</v>
      </c>
    </row>
    <row r="559" spans="1:100" ht="15.05" hidden="1" customHeight="1">
      <c r="A559" s="108"/>
      <c r="B559" s="314" t="s">
        <v>857</v>
      </c>
      <c r="C559" s="1032">
        <f>2*(C469+C785)/(C469+C785+MAX(C469,C785))*SQRT(C469^2+C785^2)</f>
        <v>0.168456365558771</v>
      </c>
      <c r="D559" s="1032">
        <f>2*(D469+D785)/(D469+D785+MAX(D469,D785))*SQRT(D469^2+D785^2)</f>
        <v>0.168456365558771</v>
      </c>
      <c r="E559" s="1116"/>
      <c r="F559" s="1115"/>
      <c r="G559" s="1115"/>
      <c r="H559" s="1115"/>
      <c r="I559" s="1115"/>
      <c r="J559" s="1115"/>
      <c r="K559" s="1115"/>
      <c r="L559" s="1115"/>
      <c r="M559" s="1115"/>
      <c r="N559" s="1115"/>
      <c r="O559" s="470"/>
      <c r="P559" s="470"/>
      <c r="Q559" s="470"/>
      <c r="R559" s="470"/>
      <c r="S559" s="470"/>
      <c r="T559" s="470"/>
      <c r="U559" s="470"/>
      <c r="V559" s="470"/>
      <c r="W559" s="470"/>
      <c r="X559" s="470"/>
      <c r="Y559" s="470"/>
      <c r="Z559" s="470"/>
      <c r="AA559" s="470"/>
      <c r="AB559" s="470"/>
      <c r="AC559" s="470"/>
      <c r="AD559" s="22"/>
      <c r="AE559" s="470"/>
      <c r="AF559" s="470"/>
      <c r="AG559" s="470"/>
      <c r="AH559" s="470"/>
      <c r="AI559" s="470"/>
      <c r="AJ559" s="470"/>
      <c r="AK559" s="470"/>
      <c r="AL559" s="470"/>
      <c r="AM559" s="470"/>
      <c r="AN559" s="470"/>
      <c r="AO559" s="470"/>
      <c r="AP559" s="470"/>
      <c r="AQ559" s="470"/>
      <c r="AR559" s="470"/>
      <c r="AS559" s="470"/>
      <c r="AT559" s="470"/>
      <c r="AU559" s="470"/>
      <c r="AV559" s="470"/>
      <c r="AW559" s="470"/>
      <c r="AX559" s="470"/>
      <c r="AY559" s="470"/>
      <c r="AZ559" s="470"/>
      <c r="BA559" s="470"/>
      <c r="BC559" s="470"/>
      <c r="BD559" s="470"/>
      <c r="BE559" s="470"/>
      <c r="BF559" s="470"/>
      <c r="BG559" s="470"/>
      <c r="BH559" s="470"/>
      <c r="BI559" s="470"/>
      <c r="BJ559" s="470"/>
      <c r="BK559" s="470"/>
      <c r="BL559" s="246"/>
      <c r="BM559" s="498"/>
      <c r="BN559" s="498"/>
      <c r="BO559" s="498"/>
      <c r="BP559" s="498"/>
      <c r="BQ559" s="499">
        <f>BQ$558*(BQ548/BQ563)/(1-(BQ548/BQ563))</f>
        <v>-3.7004776687602177</v>
      </c>
      <c r="BR559" s="498"/>
      <c r="BS559" s="498"/>
      <c r="BT559" s="498"/>
      <c r="BU559" s="498"/>
      <c r="BV559" s="247"/>
      <c r="BW559" s="247"/>
      <c r="BX559" s="409"/>
      <c r="BY559" s="409"/>
      <c r="BZ559" s="409"/>
      <c r="CA559" s="259"/>
      <c r="CB559" s="259"/>
      <c r="CC559" s="246">
        <v>12.4</v>
      </c>
      <c r="CD559" s="71">
        <v>0.40322580645161293</v>
      </c>
      <c r="CE559" s="71">
        <v>0.26583034647550779</v>
      </c>
      <c r="CF559" s="71">
        <v>0</v>
      </c>
      <c r="CG559" s="28">
        <v>-0.10709677419354841</v>
      </c>
      <c r="CH559" s="28">
        <v>-7.0604540023894879E-2</v>
      </c>
    </row>
    <row r="560" spans="1:100" ht="15.05" hidden="1" customHeight="1">
      <c r="A560" s="108"/>
      <c r="B560" s="314" t="s">
        <v>858</v>
      </c>
      <c r="C560" s="1032">
        <f>2*(C469+C786)/(C469+C786+MAX(C469,C786))*SQRT(C469^2+C786^2)</f>
        <v>0.15023130314433292</v>
      </c>
      <c r="D560" s="1032">
        <f>2*(D469+D786)/(D469+D786+MAX(D469,D786))*SQRT(D469^2+D786^2)</f>
        <v>0.15023130314433292</v>
      </c>
      <c r="F560" s="1115"/>
      <c r="G560" s="1115"/>
      <c r="H560" s="1115"/>
      <c r="I560" s="1115"/>
      <c r="J560" s="1115"/>
      <c r="K560" s="1115"/>
      <c r="L560" s="1115"/>
      <c r="M560" s="1115"/>
      <c r="N560" s="1115"/>
      <c r="O560" s="470"/>
      <c r="P560" s="470"/>
      <c r="Q560" s="470"/>
      <c r="R560" s="470"/>
      <c r="S560" s="470"/>
      <c r="T560" s="470"/>
      <c r="U560" s="470"/>
      <c r="V560" s="470"/>
      <c r="W560" s="470"/>
      <c r="X560" s="470"/>
      <c r="Y560" s="470"/>
      <c r="Z560" s="470"/>
      <c r="AA560" s="470"/>
      <c r="AB560" s="470"/>
      <c r="AC560" s="470"/>
      <c r="AD560" s="22"/>
      <c r="AE560" s="470"/>
      <c r="AF560" s="470"/>
      <c r="AG560" s="470"/>
      <c r="AH560" s="470"/>
      <c r="AI560" s="470"/>
      <c r="AJ560" s="470"/>
      <c r="AK560" s="470"/>
      <c r="AL560" s="470"/>
      <c r="AM560" s="470"/>
      <c r="AN560" s="470"/>
      <c r="AO560" s="470"/>
      <c r="AP560" s="470"/>
      <c r="AQ560" s="470"/>
      <c r="AR560" s="470"/>
      <c r="AS560" s="470"/>
      <c r="AT560" s="470"/>
      <c r="AU560" s="470"/>
      <c r="AV560" s="470"/>
      <c r="AW560" s="470"/>
      <c r="AX560" s="470"/>
      <c r="AY560" s="470"/>
      <c r="AZ560" s="470"/>
      <c r="BA560" s="470"/>
      <c r="BC560" s="470"/>
      <c r="BD560" s="470"/>
      <c r="BE560" s="470"/>
      <c r="BF560" s="470"/>
      <c r="BG560" s="470"/>
      <c r="BH560" s="470"/>
      <c r="BI560" s="470"/>
      <c r="BJ560" s="470"/>
      <c r="BK560" s="470"/>
      <c r="BL560" s="246"/>
      <c r="BM560" s="498"/>
      <c r="BN560" s="498"/>
      <c r="BO560" s="498"/>
      <c r="BP560" s="498"/>
      <c r="BQ560" s="492"/>
      <c r="BR560" s="498"/>
      <c r="BS560" s="498"/>
      <c r="BT560" s="498"/>
      <c r="BU560" s="498"/>
      <c r="BV560" s="247"/>
      <c r="BW560" s="247"/>
      <c r="BX560" s="409"/>
      <c r="BY560" s="409"/>
      <c r="BZ560" s="409"/>
      <c r="CA560" s="259"/>
      <c r="CB560" s="259"/>
      <c r="CC560" s="246">
        <v>13.5</v>
      </c>
      <c r="CD560" s="71">
        <v>0.37037037037037041</v>
      </c>
      <c r="CE560" s="71">
        <v>0.24417009602194789</v>
      </c>
      <c r="CF560" s="71">
        <v>0</v>
      </c>
      <c r="CG560" s="28">
        <v>-9.8370370370370386E-2</v>
      </c>
      <c r="CH560" s="28">
        <v>-6.4851577503429361E-2</v>
      </c>
    </row>
    <row r="561" spans="1:94" ht="15.05" hidden="1" customHeight="1">
      <c r="A561" s="108"/>
      <c r="B561" s="314" t="s">
        <v>276</v>
      </c>
      <c r="C561" s="1032">
        <f>2*(C483+C785)/(C483+C785+MAX(C483,C785))*SQRT(C483^2+C785^2)</f>
        <v>8.8682010751294796E-2</v>
      </c>
      <c r="D561" s="1032">
        <f>2*(D483+D785)/(D483+D785+MAX(D483,D785))*SQRT(D483^2+D785^2)</f>
        <v>8.8682010751294796E-2</v>
      </c>
      <c r="F561" s="995"/>
      <c r="G561" s="995"/>
      <c r="H561" s="995"/>
      <c r="I561" s="995"/>
      <c r="J561" s="995"/>
      <c r="K561" s="995"/>
      <c r="L561" s="995"/>
      <c r="M561" s="995"/>
      <c r="N561" s="995"/>
      <c r="O561" s="334"/>
      <c r="P561" s="334"/>
      <c r="Q561" s="334"/>
      <c r="R561" s="334"/>
      <c r="S561" s="334"/>
      <c r="T561" s="334"/>
      <c r="U561" s="334"/>
      <c r="V561" s="334"/>
      <c r="W561" s="334"/>
      <c r="X561" s="334"/>
      <c r="Y561" s="334"/>
      <c r="Z561" s="334"/>
      <c r="AA561" s="334"/>
      <c r="AB561" s="334"/>
      <c r="AC561" s="334"/>
      <c r="AD561" s="22"/>
      <c r="AE561" s="334"/>
      <c r="AF561" s="334"/>
      <c r="AG561" s="334"/>
      <c r="AH561" s="334"/>
      <c r="AI561" s="334"/>
      <c r="AJ561" s="334"/>
      <c r="AK561" s="334"/>
      <c r="AL561" s="334"/>
      <c r="AM561" s="334"/>
      <c r="AN561" s="334"/>
      <c r="AO561" s="334"/>
      <c r="AP561" s="334"/>
      <c r="AQ561" s="334"/>
      <c r="AR561" s="334"/>
      <c r="AS561" s="334"/>
      <c r="AT561" s="334"/>
      <c r="AU561" s="334"/>
      <c r="AV561" s="334"/>
      <c r="AW561" s="334"/>
      <c r="AX561" s="334"/>
      <c r="AY561" s="334"/>
      <c r="AZ561" s="334"/>
      <c r="BA561" s="334"/>
      <c r="BC561" s="334"/>
      <c r="BD561" s="334"/>
      <c r="BE561" s="334"/>
      <c r="BF561" s="334"/>
      <c r="BG561" s="334"/>
      <c r="BH561" s="334"/>
      <c r="BI561" s="334"/>
      <c r="BJ561" s="334"/>
      <c r="BK561" s="334"/>
      <c r="BL561" s="246"/>
      <c r="BM561" s="473">
        <v>10</v>
      </c>
      <c r="BN561" s="473">
        <v>10</v>
      </c>
      <c r="BO561" s="473">
        <v>10</v>
      </c>
      <c r="BP561" s="473">
        <v>10</v>
      </c>
      <c r="BQ561" s="473">
        <v>10</v>
      </c>
      <c r="BR561" s="473">
        <v>10</v>
      </c>
      <c r="BS561" s="473">
        <v>10</v>
      </c>
      <c r="BT561" s="473">
        <v>10</v>
      </c>
      <c r="BU561" s="473">
        <v>10</v>
      </c>
      <c r="BV561" s="247"/>
      <c r="BW561" s="247"/>
      <c r="BX561" s="409"/>
      <c r="BY561" s="409"/>
      <c r="BZ561" s="409"/>
      <c r="CA561" s="259"/>
      <c r="CB561" s="259"/>
      <c r="CC561" s="246">
        <v>14.6</v>
      </c>
      <c r="CD561" s="71">
        <v>0.34246575342465757</v>
      </c>
      <c r="CE561" s="71">
        <v>0.2257737189244039</v>
      </c>
      <c r="CF561" s="71">
        <v>0</v>
      </c>
      <c r="CG561" s="28">
        <v>-9.0958904109589067E-2</v>
      </c>
      <c r="CH561" s="28">
        <v>-5.9965499746321677E-2</v>
      </c>
    </row>
    <row r="562" spans="1:94" ht="15.05" hidden="1" customHeight="1">
      <c r="A562" s="108"/>
      <c r="B562" s="314" t="s">
        <v>277</v>
      </c>
      <c r="C562" s="1032">
        <f>2*(C483+C786)/(C483+C786+MAX(C483,C786))*SQRT(C483^2+C786^2)</f>
        <v>7.2115692026605241E-2</v>
      </c>
      <c r="D562" s="1032">
        <f>2*(D483+D786)/(D483+D786+MAX(D483,D786))*SQRT(D483^2+D786^2)</f>
        <v>7.2115692026605241E-2</v>
      </c>
      <c r="F562" s="995"/>
      <c r="G562" s="995"/>
      <c r="H562" s="995"/>
      <c r="I562" s="995"/>
      <c r="J562" s="995"/>
      <c r="K562" s="995"/>
      <c r="L562" s="995"/>
      <c r="M562" s="995"/>
      <c r="N562" s="995"/>
      <c r="O562" s="334"/>
      <c r="P562" s="334"/>
      <c r="Q562" s="334"/>
      <c r="R562" s="334"/>
      <c r="S562" s="334"/>
      <c r="T562" s="334"/>
      <c r="U562" s="334"/>
      <c r="V562" s="334"/>
      <c r="W562" s="334"/>
      <c r="X562" s="334"/>
      <c r="Y562" s="334"/>
      <c r="Z562" s="334"/>
      <c r="AA562" s="334"/>
      <c r="AB562" s="334"/>
      <c r="AC562" s="334"/>
      <c r="AD562" s="22"/>
      <c r="AE562" s="334"/>
      <c r="AF562" s="334"/>
      <c r="AG562" s="334"/>
      <c r="AH562" s="334"/>
      <c r="AI562" s="334"/>
      <c r="AJ562" s="334"/>
      <c r="AK562" s="334"/>
      <c r="AL562" s="334"/>
      <c r="AM562" s="334"/>
      <c r="AN562" s="334"/>
      <c r="AO562" s="334"/>
      <c r="AP562" s="334"/>
      <c r="AQ562" s="334"/>
      <c r="AR562" s="334"/>
      <c r="AS562" s="334"/>
      <c r="AT562" s="334"/>
      <c r="AU562" s="334"/>
      <c r="AV562" s="334"/>
      <c r="AW562" s="334"/>
      <c r="AX562" s="334"/>
      <c r="AY562" s="334"/>
      <c r="AZ562" s="334"/>
      <c r="BA562" s="334"/>
      <c r="BC562" s="334"/>
      <c r="BD562" s="334"/>
      <c r="BE562" s="334"/>
      <c r="BF562" s="334"/>
      <c r="BG562" s="334"/>
      <c r="BH562" s="334"/>
      <c r="BI562" s="334"/>
      <c r="BJ562" s="334"/>
      <c r="BK562" s="334"/>
      <c r="BL562" s="246"/>
      <c r="BM562" s="473">
        <v>0</v>
      </c>
      <c r="BN562" s="473">
        <v>0</v>
      </c>
      <c r="BO562" s="473">
        <v>0</v>
      </c>
      <c r="BP562" s="473">
        <v>0</v>
      </c>
      <c r="BQ562" s="473">
        <v>0</v>
      </c>
      <c r="BR562" s="473">
        <v>0</v>
      </c>
      <c r="BS562" s="473">
        <v>0</v>
      </c>
      <c r="BT562" s="473">
        <v>0</v>
      </c>
      <c r="BU562" s="473">
        <v>0</v>
      </c>
      <c r="BV562" s="247"/>
      <c r="BW562" s="247"/>
      <c r="BX562" s="409"/>
      <c r="BY562" s="409"/>
      <c r="BZ562" s="409"/>
      <c r="CA562" s="259"/>
      <c r="CB562" s="259"/>
      <c r="CC562" s="246">
        <v>15.7</v>
      </c>
      <c r="CD562" s="71">
        <v>0.31847133757961787</v>
      </c>
      <c r="CE562" s="71">
        <v>0.20995517810804437</v>
      </c>
      <c r="CF562" s="71">
        <v>0</v>
      </c>
      <c r="CG562" s="28">
        <v>-8.4585987261146509E-2</v>
      </c>
      <c r="CH562" s="28">
        <v>-5.5764095305496586E-2</v>
      </c>
    </row>
    <row r="563" spans="1:94" ht="15.05" hidden="1" customHeight="1">
      <c r="A563" s="108"/>
      <c r="B563" s="314" t="s">
        <v>859</v>
      </c>
      <c r="C563" s="1032">
        <f>2*(C339+C784)/(C339+C784+MAX(C339,C784))*SQRT(C339^2+C784^2)</f>
        <v>0.26832815729997483</v>
      </c>
      <c r="D563" s="1032">
        <f>2*(D339+D784)/(D339+D784+MAX(D339,D784))*SQRT(D339^2+D784^2)</f>
        <v>0.26832815729997483</v>
      </c>
      <c r="F563" s="1068"/>
      <c r="G563" s="1068"/>
      <c r="H563" s="1068"/>
      <c r="I563" s="1068"/>
      <c r="J563" s="1068"/>
      <c r="K563" s="1068"/>
      <c r="L563" s="1068"/>
      <c r="M563" s="1068"/>
      <c r="N563" s="1068"/>
      <c r="O563" s="425"/>
      <c r="P563" s="425"/>
      <c r="Q563" s="425"/>
      <c r="R563" s="425"/>
      <c r="S563" s="425"/>
      <c r="T563" s="425"/>
      <c r="U563" s="425"/>
      <c r="V563" s="425"/>
      <c r="W563" s="425"/>
      <c r="X563" s="425"/>
      <c r="Y563" s="425"/>
      <c r="Z563" s="425"/>
      <c r="AA563" s="425"/>
      <c r="AB563" s="425"/>
      <c r="AC563" s="425"/>
      <c r="AD563" s="22"/>
      <c r="AE563" s="425"/>
      <c r="AF563" s="425"/>
      <c r="AG563" s="425"/>
      <c r="AH563" s="425"/>
      <c r="AI563" s="425"/>
      <c r="AJ563" s="425"/>
      <c r="AK563" s="425"/>
      <c r="AL563" s="425"/>
      <c r="AM563" s="425"/>
      <c r="AN563" s="425"/>
      <c r="AO563" s="425"/>
      <c r="AP563" s="425"/>
      <c r="AQ563" s="425"/>
      <c r="AR563" s="425"/>
      <c r="AS563" s="425"/>
      <c r="AT563" s="425"/>
      <c r="AU563" s="425"/>
      <c r="AV563" s="425"/>
      <c r="AW563" s="425"/>
      <c r="AX563" s="425"/>
      <c r="AY563" s="425"/>
      <c r="AZ563" s="425"/>
      <c r="BA563" s="425"/>
      <c r="BC563" s="425"/>
      <c r="BD563" s="425"/>
      <c r="BE563" s="425"/>
      <c r="BF563" s="425"/>
      <c r="BG563" s="425"/>
      <c r="BH563" s="425"/>
      <c r="BI563" s="425"/>
      <c r="BJ563" s="425"/>
      <c r="BK563" s="425"/>
      <c r="BL563" s="246"/>
      <c r="BM563" s="500">
        <f t="shared" ref="BM563:BU563" si="115">BM$552*(1+0.00393*($C$806+BM$561-20))</f>
        <v>0</v>
      </c>
      <c r="BN563" s="500">
        <f t="shared" si="115"/>
        <v>0</v>
      </c>
      <c r="BO563" s="500">
        <f t="shared" si="115"/>
        <v>6.120731000000001</v>
      </c>
      <c r="BP563" s="500">
        <f t="shared" si="115"/>
        <v>5.8136355000000002</v>
      </c>
      <c r="BQ563" s="500">
        <f t="shared" si="115"/>
        <v>1.6413725000000001</v>
      </c>
      <c r="BR563" s="500">
        <f t="shared" si="115"/>
        <v>5.8136355000000002</v>
      </c>
      <c r="BS563" s="500">
        <f t="shared" si="115"/>
        <v>5.8136355000000002</v>
      </c>
      <c r="BT563" s="500">
        <f t="shared" si="115"/>
        <v>29.650600000000001</v>
      </c>
      <c r="BU563" s="500">
        <f t="shared" si="115"/>
        <v>29.650600000000001</v>
      </c>
      <c r="BV563" s="247"/>
      <c r="BW563" s="247"/>
      <c r="BX563" s="409"/>
      <c r="BY563" s="409"/>
      <c r="BZ563" s="409"/>
      <c r="CA563" s="259"/>
      <c r="CB563" s="259"/>
      <c r="CC563" s="246">
        <v>16.8</v>
      </c>
      <c r="CD563" s="71">
        <v>0.29761904761904767</v>
      </c>
      <c r="CE563" s="71">
        <v>0.19620811287477957</v>
      </c>
      <c r="CF563" s="71">
        <v>0</v>
      </c>
      <c r="CG563" s="28">
        <v>-7.9047619047619075E-2</v>
      </c>
      <c r="CH563" s="28">
        <v>-5.2112874779541463E-2</v>
      </c>
    </row>
    <row r="564" spans="1:94" ht="15.05" hidden="1" customHeight="1">
      <c r="A564" s="108"/>
      <c r="B564" s="314" t="s">
        <v>956</v>
      </c>
      <c r="C564" s="1044">
        <f>C332/(1-C558)</f>
        <v>19.857360389806235</v>
      </c>
      <c r="D564" s="1044">
        <f>D332/(1-D558)</f>
        <v>1.5513562804536121</v>
      </c>
      <c r="F564" s="1068"/>
      <c r="G564" s="1068"/>
      <c r="H564" s="1068"/>
      <c r="I564" s="1068"/>
      <c r="J564" s="1068"/>
      <c r="K564" s="1068"/>
      <c r="L564" s="1068"/>
      <c r="M564" s="1068"/>
      <c r="N564" s="1068"/>
      <c r="O564" s="425"/>
      <c r="P564" s="425"/>
      <c r="Q564" s="425"/>
      <c r="R564" s="425"/>
      <c r="S564" s="425"/>
      <c r="T564" s="425"/>
      <c r="U564" s="425"/>
      <c r="V564" s="425"/>
      <c r="W564" s="425"/>
      <c r="X564" s="425"/>
      <c r="Y564" s="425"/>
      <c r="Z564" s="425"/>
      <c r="AA564" s="425"/>
      <c r="AB564" s="425"/>
      <c r="AC564" s="425"/>
      <c r="AD564" s="22"/>
      <c r="AE564" s="425"/>
      <c r="AF564" s="425"/>
      <c r="AG564" s="425"/>
      <c r="AH564" s="425"/>
      <c r="AI564" s="425"/>
      <c r="AJ564" s="425"/>
      <c r="AK564" s="425"/>
      <c r="AL564" s="425"/>
      <c r="AM564" s="425"/>
      <c r="AN564" s="425"/>
      <c r="AO564" s="425"/>
      <c r="AP564" s="425"/>
      <c r="AQ564" s="425"/>
      <c r="AR564" s="425"/>
      <c r="AS564" s="425"/>
      <c r="AT564" s="425"/>
      <c r="AU564" s="425"/>
      <c r="AV564" s="425"/>
      <c r="AW564" s="425"/>
      <c r="AX564" s="425"/>
      <c r="AY564" s="425"/>
      <c r="AZ564" s="425"/>
      <c r="BA564" s="425"/>
      <c r="BC564" s="425"/>
      <c r="BD564" s="425"/>
      <c r="BE564" s="425"/>
      <c r="BF564" s="425"/>
      <c r="BG564" s="425"/>
      <c r="BH564" s="425"/>
      <c r="BI564" s="425"/>
      <c r="BJ564" s="425"/>
      <c r="BK564" s="425"/>
      <c r="BL564" s="246"/>
      <c r="BM564" s="500"/>
      <c r="BN564" s="500"/>
      <c r="BO564" s="500"/>
      <c r="BP564" s="500"/>
      <c r="BQ564" s="500"/>
      <c r="BR564" s="500"/>
      <c r="BS564" s="500"/>
      <c r="BT564" s="500"/>
      <c r="BU564" s="500"/>
      <c r="BV564" s="247"/>
      <c r="BW564" s="247"/>
      <c r="BX564" s="409"/>
      <c r="BY564" s="409"/>
      <c r="BZ564" s="409"/>
      <c r="CA564" s="259"/>
      <c r="CB564" s="259"/>
      <c r="CC564" s="246"/>
      <c r="CD564" s="71"/>
      <c r="CE564" s="71"/>
      <c r="CF564" s="71"/>
      <c r="CG564" s="28"/>
      <c r="CH564" s="28"/>
    </row>
    <row r="565" spans="1:94" ht="15.05" hidden="1" customHeight="1">
      <c r="A565" s="108"/>
      <c r="B565" s="314" t="s">
        <v>863</v>
      </c>
      <c r="C565" s="1044">
        <f>C564+0.5*C355</f>
        <v>21.801804834250678</v>
      </c>
      <c r="D565" s="1044" t="e">
        <f>D564+0.5*D355</f>
        <v>#DIV/0!</v>
      </c>
      <c r="F565" s="1116"/>
      <c r="G565" s="1116"/>
      <c r="H565" s="1116"/>
      <c r="I565" s="1116"/>
      <c r="J565" s="1116"/>
      <c r="K565" s="1116"/>
      <c r="L565" s="1116"/>
      <c r="M565" s="1116"/>
      <c r="N565" s="1116"/>
      <c r="O565" s="434"/>
      <c r="P565" s="434"/>
      <c r="Q565" s="434"/>
      <c r="R565" s="434"/>
      <c r="S565" s="434"/>
      <c r="T565" s="434"/>
      <c r="U565" s="434"/>
      <c r="V565" s="434"/>
      <c r="W565" s="434"/>
      <c r="X565" s="434"/>
      <c r="Y565" s="434"/>
      <c r="Z565" s="434"/>
      <c r="AA565" s="434"/>
      <c r="AB565" s="434"/>
      <c r="AC565" s="434"/>
      <c r="AD565" s="22"/>
      <c r="AE565" s="434"/>
      <c r="AF565" s="434"/>
      <c r="AG565" s="434"/>
      <c r="AH565" s="434"/>
      <c r="AI565" s="434"/>
      <c r="AJ565" s="434"/>
      <c r="AK565" s="434"/>
      <c r="AL565" s="434"/>
      <c r="AM565" s="434"/>
      <c r="AN565" s="434"/>
      <c r="AO565" s="434"/>
      <c r="AP565" s="434"/>
      <c r="AQ565" s="434"/>
      <c r="AR565" s="434"/>
      <c r="AS565" s="434"/>
      <c r="AT565" s="434"/>
      <c r="AU565" s="434"/>
      <c r="AV565" s="434"/>
      <c r="AW565" s="434"/>
      <c r="AX565" s="434"/>
      <c r="AY565" s="434"/>
      <c r="AZ565" s="434"/>
      <c r="BA565" s="434"/>
      <c r="BC565" s="434"/>
      <c r="BD565" s="434"/>
      <c r="BE565" s="434"/>
      <c r="BF565" s="434"/>
      <c r="BG565" s="434"/>
      <c r="BH565" s="434"/>
      <c r="BI565" s="434"/>
      <c r="BJ565" s="434"/>
      <c r="BK565" s="434"/>
      <c r="BL565" s="246"/>
      <c r="BM565" s="396" t="e">
        <f>BM515/BM563/BM556*10^3</f>
        <v>#DIV/0!</v>
      </c>
      <c r="BN565" s="396" t="e">
        <f>BN515/BN563/BN556*10^3</f>
        <v>#DIV/0!</v>
      </c>
      <c r="BO565" s="396">
        <f>BO515/BO563/BO556*10^3</f>
        <v>7.5154421914637304</v>
      </c>
      <c r="BP565" s="396">
        <f>BP515/BP563/BP556*10^3</f>
        <v>7.9124327625975166</v>
      </c>
      <c r="BQ565" s="396">
        <f>BQ515/BQ563*10^3</f>
        <v>237.60602788215348</v>
      </c>
      <c r="BR565" s="396">
        <f>BR515/BR563/BR556*10^3</f>
        <v>5.4182963483004727</v>
      </c>
      <c r="BS565" s="396">
        <f>BS515/BS563/BS556*10^3</f>
        <v>2.442533591932277</v>
      </c>
      <c r="BT565" s="396">
        <f>BT515/BT563/BT556*10^3</f>
        <v>3.3726130331258055</v>
      </c>
      <c r="BU565" s="396">
        <f>BU515/BU563/BU556*10^3</f>
        <v>3.3726130331258055</v>
      </c>
      <c r="BV565" s="247"/>
      <c r="BW565" s="247"/>
      <c r="BX565" s="409"/>
      <c r="BY565" s="409"/>
      <c r="BZ565" s="409"/>
      <c r="CA565" s="259"/>
      <c r="CB565" s="259"/>
      <c r="CC565" s="246">
        <v>17.899999999999999</v>
      </c>
      <c r="CD565" s="71">
        <v>0.27932960893854752</v>
      </c>
      <c r="CE565" s="71">
        <v>0.18415063107800539</v>
      </c>
      <c r="CF565" s="71">
        <v>0</v>
      </c>
      <c r="CG565" s="28">
        <v>-7.4189944134078228E-2</v>
      </c>
      <c r="CH565" s="28">
        <v>-4.8910407614318231E-2</v>
      </c>
    </row>
    <row r="566" spans="1:94" ht="15.05" hidden="1" customHeight="1">
      <c r="A566" s="108"/>
      <c r="B566" s="314" t="s">
        <v>861</v>
      </c>
      <c r="C566" s="1022">
        <f>C465/C565</f>
        <v>2.7520657329130791</v>
      </c>
      <c r="D566" s="1022" t="e">
        <f>D465/D565</f>
        <v>#DIV/0!</v>
      </c>
      <c r="F566" s="1116"/>
      <c r="G566" s="1116"/>
      <c r="H566" s="1116"/>
      <c r="I566" s="1116"/>
      <c r="J566" s="1116"/>
      <c r="K566" s="1116"/>
      <c r="L566" s="1116"/>
      <c r="M566" s="1116"/>
      <c r="N566" s="1116"/>
      <c r="O566" s="434"/>
      <c r="P566" s="434"/>
      <c r="Q566" s="434"/>
      <c r="R566" s="434"/>
      <c r="S566" s="434"/>
      <c r="T566" s="434"/>
      <c r="U566" s="434"/>
      <c r="V566" s="434"/>
      <c r="W566" s="434"/>
      <c r="X566" s="434"/>
      <c r="Y566" s="434"/>
      <c r="Z566" s="434"/>
      <c r="AA566" s="434"/>
      <c r="AB566" s="434"/>
      <c r="AC566" s="434"/>
      <c r="AD566" s="22"/>
      <c r="AE566" s="434"/>
      <c r="AF566" s="434"/>
      <c r="AG566" s="434"/>
      <c r="AH566" s="434"/>
      <c r="AI566" s="434"/>
      <c r="AJ566" s="434"/>
      <c r="AK566" s="434"/>
      <c r="AL566" s="434"/>
      <c r="AM566" s="434"/>
      <c r="AN566" s="434"/>
      <c r="AO566" s="434"/>
      <c r="AP566" s="434"/>
      <c r="AQ566" s="434"/>
      <c r="AR566" s="434"/>
      <c r="AS566" s="434"/>
      <c r="AT566" s="434"/>
      <c r="AU566" s="434"/>
      <c r="AV566" s="434"/>
      <c r="AW566" s="434"/>
      <c r="AX566" s="434"/>
      <c r="AY566" s="434"/>
      <c r="AZ566" s="434"/>
      <c r="BA566" s="434"/>
      <c r="BC566" s="434"/>
      <c r="BD566" s="434"/>
      <c r="BE566" s="434"/>
      <c r="BF566" s="434"/>
      <c r="BG566" s="434"/>
      <c r="BH566" s="434"/>
      <c r="BI566" s="434"/>
      <c r="BJ566" s="434"/>
      <c r="BK566" s="434"/>
      <c r="BL566" s="246"/>
      <c r="BM566" s="396"/>
      <c r="BN566" s="396"/>
      <c r="BO566" s="396"/>
      <c r="BP566" s="396"/>
      <c r="BQ566" s="396"/>
      <c r="BR566" s="396"/>
      <c r="BS566" s="396"/>
      <c r="BT566" s="396"/>
      <c r="BU566" s="396"/>
      <c r="BV566" s="247"/>
      <c r="BW566" s="247"/>
      <c r="BX566" s="409"/>
      <c r="BY566" s="409"/>
      <c r="BZ566" s="409"/>
      <c r="CA566" s="259"/>
      <c r="CB566" s="259"/>
      <c r="CC566" s="246"/>
      <c r="CD566" s="71"/>
      <c r="CE566" s="71"/>
      <c r="CF566" s="71"/>
      <c r="CG566" s="28"/>
      <c r="CH566" s="28"/>
    </row>
    <row r="567" spans="1:94" ht="15.05" hidden="1" customHeight="1">
      <c r="A567" s="108"/>
      <c r="B567" s="314" t="s">
        <v>957</v>
      </c>
      <c r="C567" s="1044">
        <f>C564+0.5*C356</f>
        <v>21.825445496189214</v>
      </c>
      <c r="D567" s="1044" t="e">
        <f>D564+0.5*D356</f>
        <v>#DIV/0!</v>
      </c>
      <c r="F567" s="1116"/>
      <c r="G567" s="1116"/>
      <c r="H567" s="1116"/>
      <c r="I567" s="1116"/>
      <c r="J567" s="1116"/>
      <c r="K567" s="1116"/>
      <c r="L567" s="1116"/>
      <c r="M567" s="1116"/>
      <c r="N567" s="1116"/>
      <c r="O567" s="434"/>
      <c r="P567" s="434"/>
      <c r="Q567" s="434"/>
      <c r="R567" s="434"/>
      <c r="S567" s="434"/>
      <c r="T567" s="434"/>
      <c r="U567" s="434"/>
      <c r="V567" s="434"/>
      <c r="W567" s="434"/>
      <c r="X567" s="434"/>
      <c r="Y567" s="434"/>
      <c r="Z567" s="434"/>
      <c r="AA567" s="434"/>
      <c r="AB567" s="434"/>
      <c r="AC567" s="434"/>
      <c r="AD567" s="22"/>
      <c r="AE567" s="434"/>
      <c r="AF567" s="434"/>
      <c r="AG567" s="434"/>
      <c r="AH567" s="434"/>
      <c r="AI567" s="434"/>
      <c r="AJ567" s="434"/>
      <c r="AK567" s="434"/>
      <c r="AL567" s="434"/>
      <c r="AM567" s="434"/>
      <c r="AN567" s="434"/>
      <c r="AO567" s="434"/>
      <c r="AP567" s="434"/>
      <c r="AQ567" s="434"/>
      <c r="AR567" s="434"/>
      <c r="AS567" s="434"/>
      <c r="AT567" s="434"/>
      <c r="AU567" s="434"/>
      <c r="AV567" s="434"/>
      <c r="AW567" s="434"/>
      <c r="AX567" s="434"/>
      <c r="AY567" s="434"/>
      <c r="AZ567" s="434"/>
      <c r="BA567" s="434"/>
      <c r="BC567" s="434"/>
      <c r="BD567" s="434"/>
      <c r="BE567" s="434"/>
      <c r="BF567" s="434"/>
      <c r="BG567" s="434"/>
      <c r="BH567" s="434"/>
      <c r="BI567" s="434"/>
      <c r="BJ567" s="434"/>
      <c r="BK567" s="434"/>
      <c r="BL567" s="246"/>
      <c r="BM567" s="501"/>
      <c r="BN567" s="501"/>
      <c r="BO567" s="501"/>
      <c r="BP567" s="501"/>
      <c r="BQ567" s="398">
        <f>BQ558*BQ556</f>
        <v>240</v>
      </c>
      <c r="BR567" s="501"/>
      <c r="BS567" s="501"/>
      <c r="BT567" s="501"/>
      <c r="BU567" s="501"/>
      <c r="BV567" s="247"/>
      <c r="BW567" s="247"/>
      <c r="BX567" s="409"/>
      <c r="BY567" s="409"/>
      <c r="BZ567" s="409"/>
      <c r="CA567" s="259"/>
      <c r="CB567" s="259"/>
      <c r="CC567" s="246">
        <v>19</v>
      </c>
      <c r="CD567" s="71">
        <v>0.26315789473684209</v>
      </c>
      <c r="CE567" s="71">
        <v>0.17348927875243664</v>
      </c>
      <c r="CF567" s="71">
        <v>0</v>
      </c>
      <c r="CG567" s="28">
        <v>-6.989473684210526E-2</v>
      </c>
      <c r="CH567" s="28">
        <v>-4.6078752436647177E-2</v>
      </c>
    </row>
    <row r="568" spans="1:94" ht="15.05" hidden="1" customHeight="1">
      <c r="A568" s="108"/>
      <c r="B568" s="314" t="s">
        <v>862</v>
      </c>
      <c r="C568" s="1022">
        <f>C465/C567</f>
        <v>2.7490847786120183</v>
      </c>
      <c r="D568" s="1022" t="e">
        <f>D465/D567</f>
        <v>#DIV/0!</v>
      </c>
      <c r="F568" s="1121"/>
      <c r="G568" s="1121"/>
      <c r="H568" s="1121"/>
      <c r="I568" s="1121"/>
      <c r="J568" s="1121"/>
      <c r="K568" s="1121"/>
      <c r="L568" s="1121"/>
      <c r="M568" s="1121"/>
      <c r="N568" s="1121"/>
      <c r="O568" s="479"/>
      <c r="P568" s="479"/>
      <c r="Q568" s="479"/>
      <c r="R568" s="479"/>
      <c r="S568" s="479"/>
      <c r="T568" s="479"/>
      <c r="U568" s="479"/>
      <c r="V568" s="479"/>
      <c r="W568" s="479"/>
      <c r="X568" s="479"/>
      <c r="Y568" s="479"/>
      <c r="Z568" s="479"/>
      <c r="AA568" s="479"/>
      <c r="AB568" s="479"/>
      <c r="AC568" s="479"/>
      <c r="AD568" s="22"/>
      <c r="AE568" s="479"/>
      <c r="AF568" s="479"/>
      <c r="AG568" s="479"/>
      <c r="AH568" s="479"/>
      <c r="AI568" s="479"/>
      <c r="AJ568" s="479"/>
      <c r="AK568" s="479"/>
      <c r="AL568" s="479"/>
      <c r="AM568" s="479"/>
      <c r="AN568" s="479"/>
      <c r="AO568" s="479"/>
      <c r="AP568" s="479"/>
      <c r="AQ568" s="479"/>
      <c r="AR568" s="479"/>
      <c r="AS568" s="479"/>
      <c r="AT568" s="479"/>
      <c r="AU568" s="479"/>
      <c r="AV568" s="479"/>
      <c r="AW568" s="479"/>
      <c r="AX568" s="479"/>
      <c r="AY568" s="479"/>
      <c r="AZ568" s="479"/>
      <c r="BA568" s="479"/>
      <c r="BC568" s="479"/>
      <c r="BD568" s="479"/>
      <c r="BE568" s="479"/>
      <c r="BF568" s="479"/>
      <c r="BG568" s="479"/>
      <c r="BH568" s="479"/>
      <c r="BI568" s="479"/>
      <c r="BJ568" s="479"/>
      <c r="BK568" s="479"/>
      <c r="BL568" s="246"/>
      <c r="BM568" s="502"/>
      <c r="BN568" s="502"/>
      <c r="BO568" s="502"/>
      <c r="BP568" s="502"/>
      <c r="BQ568" s="503">
        <f>BQ565/BQ567</f>
        <v>0.99002511617563949</v>
      </c>
      <c r="BR568" s="94"/>
      <c r="BS568" s="94"/>
      <c r="BT568" s="502"/>
      <c r="BU568" s="502"/>
      <c r="BV568" s="247"/>
      <c r="BW568" s="247"/>
      <c r="BX568" s="409"/>
      <c r="BY568" s="409"/>
      <c r="BZ568" s="409"/>
      <c r="CA568" s="259"/>
      <c r="CB568" s="259"/>
      <c r="CC568" s="246">
        <v>20</v>
      </c>
      <c r="CD568" s="71">
        <v>0.25</v>
      </c>
      <c r="CE568" s="71">
        <v>0.1648148148148148</v>
      </c>
      <c r="CF568" s="71">
        <v>0</v>
      </c>
      <c r="CG568" s="28">
        <v>-6.6400000000000001E-2</v>
      </c>
      <c r="CH568" s="28">
        <v>-4.3774814814814815E-2</v>
      </c>
    </row>
    <row r="569" spans="1:94" ht="15.05" hidden="1" customHeight="1">
      <c r="A569" s="108"/>
      <c r="B569" s="314" t="s">
        <v>864</v>
      </c>
      <c r="C569" s="1022">
        <f>C568/C473</f>
        <v>0.3538269182821478</v>
      </c>
      <c r="D569" s="1022" t="e">
        <f>D568/D473</f>
        <v>#DIV/0!</v>
      </c>
      <c r="F569" s="1121"/>
      <c r="G569" s="1121"/>
      <c r="H569" s="1121"/>
      <c r="I569" s="1121"/>
      <c r="J569" s="1121"/>
      <c r="K569" s="1121"/>
      <c r="L569" s="1121"/>
      <c r="M569" s="1121"/>
      <c r="N569" s="1121"/>
      <c r="O569" s="479"/>
      <c r="P569" s="479"/>
      <c r="Q569" s="479"/>
      <c r="R569" s="479"/>
      <c r="S569" s="479"/>
      <c r="T569" s="479"/>
      <c r="U569" s="479"/>
      <c r="V569" s="479"/>
      <c r="W569" s="479"/>
      <c r="X569" s="479"/>
      <c r="Y569" s="479"/>
      <c r="Z569" s="479"/>
      <c r="AA569" s="479"/>
      <c r="AB569" s="479"/>
      <c r="AC569" s="479"/>
      <c r="AD569" s="22"/>
      <c r="AE569" s="479"/>
      <c r="AF569" s="479"/>
      <c r="AG569" s="479"/>
      <c r="AH569" s="479"/>
      <c r="AI569" s="479"/>
      <c r="AJ569" s="479"/>
      <c r="AK569" s="479"/>
      <c r="AL569" s="479"/>
      <c r="AM569" s="479"/>
      <c r="AN569" s="479"/>
      <c r="AO569" s="479"/>
      <c r="AP569" s="479"/>
      <c r="AQ569" s="479"/>
      <c r="AR569" s="479"/>
      <c r="AS569" s="479"/>
      <c r="AT569" s="479"/>
      <c r="AU569" s="479"/>
      <c r="AV569" s="479"/>
      <c r="AW569" s="479"/>
      <c r="AX569" s="479"/>
      <c r="AY569" s="479"/>
      <c r="AZ569" s="479"/>
      <c r="BA569" s="479"/>
      <c r="BC569" s="479"/>
      <c r="BD569" s="479"/>
      <c r="BE569" s="479"/>
      <c r="BF569" s="479"/>
      <c r="BG569" s="479"/>
      <c r="BH569" s="479"/>
      <c r="BI569" s="479"/>
      <c r="BJ569" s="479"/>
      <c r="BK569" s="479"/>
      <c r="BL569" s="246"/>
      <c r="BM569" s="502"/>
      <c r="BN569" s="502"/>
      <c r="BO569" s="502"/>
      <c r="BP569" s="502"/>
      <c r="BQ569" s="503">
        <f>BQ566/BQ567</f>
        <v>0</v>
      </c>
      <c r="BR569" s="94"/>
      <c r="BS569" s="94"/>
      <c r="BT569" s="502"/>
      <c r="BU569" s="502"/>
      <c r="BV569" s="247"/>
      <c r="BW569" s="247"/>
      <c r="BX569" s="409"/>
      <c r="BY569" s="409"/>
      <c r="BZ569" s="409"/>
      <c r="CA569" s="259"/>
      <c r="CB569" s="259"/>
      <c r="CC569" s="246"/>
      <c r="CD569" s="71"/>
      <c r="CE569" s="71"/>
      <c r="CF569" s="71"/>
      <c r="CG569" s="28"/>
      <c r="CH569" s="28"/>
    </row>
    <row r="570" spans="1:94" ht="15.05" hidden="1" customHeight="1">
      <c r="A570" s="108"/>
      <c r="B570" s="314" t="s">
        <v>1152</v>
      </c>
      <c r="C570" s="1022">
        <f>C477/C466/C569</f>
        <v>10.17446614146326</v>
      </c>
      <c r="D570" s="1022" t="e">
        <f>D477/D466/D569</f>
        <v>#DIV/0!</v>
      </c>
      <c r="F570" s="1116"/>
      <c r="G570" s="1116"/>
      <c r="H570" s="1116"/>
      <c r="I570" s="1116"/>
      <c r="J570" s="1116"/>
      <c r="K570" s="1116"/>
      <c r="L570" s="1116"/>
      <c r="M570" s="1116"/>
      <c r="N570" s="1116"/>
      <c r="O570" s="434"/>
      <c r="P570" s="434"/>
      <c r="Q570" s="434"/>
      <c r="R570" s="434"/>
      <c r="S570" s="434"/>
      <c r="T570" s="434"/>
      <c r="U570" s="434"/>
      <c r="V570" s="434"/>
      <c r="W570" s="434"/>
      <c r="X570" s="434"/>
      <c r="Y570" s="434"/>
      <c r="Z570" s="434"/>
      <c r="AA570" s="434"/>
      <c r="AB570" s="434"/>
      <c r="AC570" s="434"/>
      <c r="AD570" s="22"/>
      <c r="AE570" s="434"/>
      <c r="AF570" s="434"/>
      <c r="AG570" s="434"/>
      <c r="AH570" s="434"/>
      <c r="AI570" s="434"/>
      <c r="AJ570" s="434"/>
      <c r="AK570" s="434"/>
      <c r="AL570" s="434"/>
      <c r="AM570" s="434"/>
      <c r="AN570" s="434"/>
      <c r="AO570" s="434"/>
      <c r="AP570" s="434"/>
      <c r="AQ570" s="434"/>
      <c r="AR570" s="434"/>
      <c r="AS570" s="434"/>
      <c r="AT570" s="434"/>
      <c r="AU570" s="434"/>
      <c r="AV570" s="434"/>
      <c r="AW570" s="434"/>
      <c r="AX570" s="434"/>
      <c r="AY570" s="434"/>
      <c r="AZ570" s="434"/>
      <c r="BA570" s="434"/>
      <c r="BC570" s="434"/>
      <c r="BD570" s="434"/>
      <c r="BE570" s="434"/>
      <c r="BF570" s="434"/>
      <c r="BG570" s="434"/>
      <c r="BH570" s="434"/>
      <c r="BI570" s="434"/>
      <c r="BJ570" s="434"/>
      <c r="BK570" s="434"/>
      <c r="BL570" s="246"/>
      <c r="BM570" s="398">
        <f t="shared" ref="BM570:BU570" si="116">BM$551/BM608*(1-BM614)-0.5*BM$538*(1+BM$612)</f>
        <v>8.1992110004436967</v>
      </c>
      <c r="BN570" s="398">
        <f t="shared" si="116"/>
        <v>8.1870140937933726</v>
      </c>
      <c r="BO570" s="398">
        <f t="shared" si="116"/>
        <v>2.9612189409117908</v>
      </c>
      <c r="BP570" s="398">
        <f t="shared" si="116"/>
        <v>4.5090246166216028</v>
      </c>
      <c r="BQ570" s="398">
        <f t="shared" si="116"/>
        <v>31.605657874855552</v>
      </c>
      <c r="BR570" s="398">
        <f t="shared" si="116"/>
        <v>7.3660258560568526</v>
      </c>
      <c r="BS570" s="398">
        <f t="shared" si="116"/>
        <v>7.6527980692113751</v>
      </c>
      <c r="BT570" s="398">
        <f t="shared" si="116"/>
        <v>-3.9628871964815238E-2</v>
      </c>
      <c r="BU570" s="398">
        <f t="shared" si="116"/>
        <v>-3.9628871964815238E-2</v>
      </c>
      <c r="BV570" s="247"/>
      <c r="BW570" s="247"/>
      <c r="BX570" s="409"/>
      <c r="BY570" s="409"/>
      <c r="BZ570" s="409"/>
      <c r="CA570" s="259"/>
      <c r="CB570" s="259"/>
      <c r="CC570" s="246"/>
      <c r="CD570" s="246"/>
      <c r="CE570" s="246"/>
      <c r="CF570" s="246"/>
      <c r="CG570" s="246"/>
    </row>
    <row r="571" spans="1:94" ht="15.05" hidden="1" customHeight="1">
      <c r="A571" s="108"/>
      <c r="B571" s="314" t="s">
        <v>1153</v>
      </c>
      <c r="C571" s="989">
        <f>F52</f>
        <v>11.3</v>
      </c>
      <c r="D571" s="989">
        <f>F53</f>
        <v>3</v>
      </c>
      <c r="F571" s="1116"/>
      <c r="G571" s="1116"/>
      <c r="H571" s="1116"/>
      <c r="I571" s="1116"/>
      <c r="J571" s="1116"/>
      <c r="K571" s="1116"/>
      <c r="L571" s="1116"/>
      <c r="M571" s="1116"/>
      <c r="N571" s="1116"/>
      <c r="O571" s="434"/>
      <c r="P571" s="434"/>
      <c r="Q571" s="434"/>
      <c r="R571" s="434"/>
      <c r="S571" s="434"/>
      <c r="T571" s="434"/>
      <c r="U571" s="434"/>
      <c r="V571" s="434"/>
      <c r="W571" s="434"/>
      <c r="X571" s="434"/>
      <c r="Y571" s="434"/>
      <c r="Z571" s="434"/>
      <c r="AA571" s="434"/>
      <c r="AB571" s="434"/>
      <c r="AC571" s="434"/>
      <c r="AD571" s="22"/>
      <c r="AE571" s="434"/>
      <c r="AF571" s="434"/>
      <c r="AG571" s="434"/>
      <c r="AH571" s="434"/>
      <c r="AI571" s="434"/>
      <c r="AJ571" s="434"/>
      <c r="AK571" s="434"/>
      <c r="AL571" s="434"/>
      <c r="AM571" s="434"/>
      <c r="AN571" s="434"/>
      <c r="AO571" s="434"/>
      <c r="AP571" s="434"/>
      <c r="AQ571" s="434"/>
      <c r="AR571" s="434"/>
      <c r="AS571" s="434"/>
      <c r="AT571" s="434"/>
      <c r="AU571" s="434"/>
      <c r="AV571" s="434"/>
      <c r="AW571" s="434"/>
      <c r="AX571" s="434"/>
      <c r="AY571" s="434"/>
      <c r="AZ571" s="434"/>
      <c r="BA571" s="434"/>
      <c r="BC571" s="434"/>
      <c r="BD571" s="434"/>
      <c r="BE571" s="434"/>
      <c r="BF571" s="434"/>
      <c r="BG571" s="434"/>
      <c r="BH571" s="434"/>
      <c r="BI571" s="434"/>
      <c r="BJ571" s="434"/>
      <c r="BK571" s="434"/>
      <c r="BL571" s="246"/>
      <c r="BM571" s="398"/>
      <c r="BN571" s="398"/>
      <c r="BO571" s="398"/>
      <c r="BP571" s="398"/>
      <c r="BQ571" s="398"/>
      <c r="BR571" s="398"/>
      <c r="BS571" s="398"/>
      <c r="BT571" s="398"/>
      <c r="BU571" s="398"/>
      <c r="BV571" s="247"/>
      <c r="BW571" s="247"/>
      <c r="BX571" s="409"/>
      <c r="BY571" s="409"/>
      <c r="BZ571" s="409"/>
      <c r="CA571" s="259"/>
      <c r="CB571" s="259"/>
      <c r="CC571" s="410"/>
      <c r="CD571" s="410"/>
      <c r="CE571" s="410"/>
      <c r="CF571" s="410"/>
      <c r="CG571" s="410"/>
      <c r="CH571" s="27"/>
      <c r="CI571" s="27"/>
    </row>
    <row r="572" spans="1:94" ht="15.05" hidden="1" customHeight="1">
      <c r="A572" s="108"/>
      <c r="B572" s="314" t="s">
        <v>865</v>
      </c>
      <c r="C572" s="1022">
        <f>C571*C337/(C472*C466*C571*10^-3-C337)</f>
        <v>4.6602532051269465</v>
      </c>
      <c r="D572" s="1022">
        <f>D571*D337/(D472*D466*D571*10^-3-D337)</f>
        <v>31.154350677743782</v>
      </c>
      <c r="F572" s="1116"/>
      <c r="G572" s="1116"/>
      <c r="H572" s="1116"/>
      <c r="I572" s="1116"/>
      <c r="J572" s="1116"/>
      <c r="K572" s="1116"/>
      <c r="L572" s="1116"/>
      <c r="M572" s="1116"/>
      <c r="N572" s="1116"/>
      <c r="O572" s="434"/>
      <c r="P572" s="434"/>
      <c r="Q572" s="434"/>
      <c r="R572" s="434"/>
      <c r="S572" s="434"/>
      <c r="T572" s="434"/>
      <c r="U572" s="434"/>
      <c r="V572" s="434"/>
      <c r="W572" s="434"/>
      <c r="X572" s="434"/>
      <c r="Y572" s="434"/>
      <c r="Z572" s="434"/>
      <c r="AA572" s="434"/>
      <c r="AB572" s="434"/>
      <c r="AC572" s="434"/>
      <c r="AD572" s="22"/>
      <c r="AE572" s="434"/>
      <c r="AF572" s="434"/>
      <c r="AG572" s="434"/>
      <c r="AH572" s="434"/>
      <c r="AI572" s="434"/>
      <c r="AJ572" s="434"/>
      <c r="AK572" s="434"/>
      <c r="AL572" s="434"/>
      <c r="AM572" s="434"/>
      <c r="AN572" s="434"/>
      <c r="AO572" s="434"/>
      <c r="AP572" s="434"/>
      <c r="AQ572" s="434"/>
      <c r="AR572" s="434"/>
      <c r="AS572" s="434"/>
      <c r="AT572" s="434"/>
      <c r="AU572" s="434"/>
      <c r="AV572" s="434"/>
      <c r="AW572" s="434"/>
      <c r="AX572" s="434"/>
      <c r="AY572" s="434"/>
      <c r="AZ572" s="434"/>
      <c r="BA572" s="434"/>
      <c r="BC572" s="434"/>
      <c r="BD572" s="434"/>
      <c r="BE572" s="434"/>
      <c r="BF572" s="434"/>
      <c r="BG572" s="434"/>
      <c r="BH572" s="434"/>
      <c r="BI572" s="434"/>
      <c r="BJ572" s="434"/>
      <c r="BK572" s="434"/>
      <c r="BL572" s="246"/>
      <c r="BM572" s="398">
        <f t="shared" ref="BM572:BU572" si="117">BM$551/BM608-0.5*BM$537</f>
        <v>10.073798328108673</v>
      </c>
      <c r="BN572" s="398">
        <f t="shared" si="117"/>
        <v>9.6659585833439277</v>
      </c>
      <c r="BO572" s="398">
        <f t="shared" si="117"/>
        <v>3.8266466926793008</v>
      </c>
      <c r="BP572" s="398">
        <f t="shared" si="117"/>
        <v>5.327023319615912</v>
      </c>
      <c r="BQ572" s="398">
        <f t="shared" si="117"/>
        <v>35.208619674177456</v>
      </c>
      <c r="BR572" s="398">
        <f t="shared" si="117"/>
        <v>8.909581541023174</v>
      </c>
      <c r="BS572" s="398">
        <f t="shared" si="117"/>
        <v>8.9883422507310602</v>
      </c>
      <c r="BT572" s="398">
        <f t="shared" si="117"/>
        <v>0.44551004026899954</v>
      </c>
      <c r="BU572" s="398">
        <f t="shared" si="117"/>
        <v>0.44551004026899954</v>
      </c>
      <c r="BV572" s="247"/>
      <c r="BW572" s="247"/>
      <c r="BX572" s="409"/>
      <c r="BY572" s="409"/>
      <c r="BZ572" s="409"/>
      <c r="CA572" s="259"/>
      <c r="CB572" s="259"/>
      <c r="CC572" s="410"/>
      <c r="CD572" s="410"/>
      <c r="CE572" s="410"/>
      <c r="CF572" s="410"/>
      <c r="CG572" s="410"/>
      <c r="CH572" s="410"/>
      <c r="CI572" s="27"/>
      <c r="CP572" s="27"/>
    </row>
    <row r="573" spans="1:94" ht="15.05" hidden="1" customHeight="1">
      <c r="A573" s="108"/>
      <c r="B573" s="314" t="s">
        <v>1154</v>
      </c>
      <c r="C573" s="989">
        <f>H52</f>
        <v>8.25</v>
      </c>
      <c r="D573" s="989">
        <f>H53</f>
        <v>1</v>
      </c>
      <c r="F573" s="1116"/>
      <c r="G573" s="1116"/>
      <c r="H573" s="1116"/>
      <c r="I573" s="1116"/>
      <c r="J573" s="1116"/>
      <c r="K573" s="1116"/>
      <c r="L573" s="1116"/>
      <c r="M573" s="1116"/>
      <c r="N573" s="1116"/>
      <c r="O573" s="434"/>
      <c r="P573" s="434"/>
      <c r="Q573" s="434"/>
      <c r="R573" s="434"/>
      <c r="S573" s="434"/>
      <c r="T573" s="434"/>
      <c r="U573" s="434"/>
      <c r="V573" s="434"/>
      <c r="W573" s="434"/>
      <c r="X573" s="434"/>
      <c r="Y573" s="434"/>
      <c r="Z573" s="434"/>
      <c r="AA573" s="434"/>
      <c r="AB573" s="434"/>
      <c r="AC573" s="434"/>
      <c r="AD573" s="22"/>
      <c r="AE573" s="434"/>
      <c r="AF573" s="434"/>
      <c r="AG573" s="434"/>
      <c r="AH573" s="434"/>
      <c r="AI573" s="434"/>
      <c r="AJ573" s="434"/>
      <c r="AK573" s="434"/>
      <c r="AL573" s="434"/>
      <c r="AM573" s="434"/>
      <c r="AN573" s="434"/>
      <c r="AO573" s="434"/>
      <c r="AP573" s="434"/>
      <c r="AQ573" s="434"/>
      <c r="AR573" s="434"/>
      <c r="AS573" s="434"/>
      <c r="AT573" s="434"/>
      <c r="AU573" s="434"/>
      <c r="AV573" s="434"/>
      <c r="AW573" s="434"/>
      <c r="AX573" s="434"/>
      <c r="AY573" s="434"/>
      <c r="AZ573" s="434"/>
      <c r="BA573" s="434"/>
      <c r="BC573" s="434"/>
      <c r="BD573" s="434"/>
      <c r="BE573" s="434"/>
      <c r="BF573" s="434"/>
      <c r="BG573" s="434"/>
      <c r="BH573" s="434"/>
      <c r="BI573" s="434"/>
      <c r="BJ573" s="434"/>
      <c r="BK573" s="434"/>
      <c r="BL573" s="246"/>
      <c r="BM573" s="398"/>
      <c r="BN573" s="398"/>
      <c r="BO573" s="398"/>
      <c r="BP573" s="398"/>
      <c r="BQ573" s="398"/>
      <c r="BR573" s="398"/>
      <c r="BS573" s="398"/>
      <c r="BT573" s="398"/>
      <c r="BU573" s="398"/>
      <c r="BV573" s="247"/>
      <c r="BW573" s="247"/>
      <c r="BX573" s="409"/>
      <c r="BY573" s="409"/>
      <c r="BZ573" s="409"/>
      <c r="CA573" s="259"/>
      <c r="CB573" s="259"/>
      <c r="CC573" s="410"/>
      <c r="CD573" s="410"/>
      <c r="CE573" s="410"/>
      <c r="CF573" s="410"/>
      <c r="CG573" s="410"/>
      <c r="CH573" s="410"/>
      <c r="CI573" s="27"/>
      <c r="CP573" s="27"/>
    </row>
    <row r="574" spans="1:94" ht="15.05" hidden="1" customHeight="1">
      <c r="A574" s="108"/>
      <c r="B574" s="314" t="s">
        <v>1155</v>
      </c>
      <c r="C574" s="1022">
        <f>C573/(C571+C573)</f>
        <v>0.42199488491048592</v>
      </c>
      <c r="D574" s="1022">
        <f>D573/(D571+D573)</f>
        <v>0.25</v>
      </c>
      <c r="F574" s="1116"/>
      <c r="G574" s="1116"/>
      <c r="H574" s="1116"/>
      <c r="I574" s="1116"/>
      <c r="J574" s="1116"/>
      <c r="K574" s="1116"/>
      <c r="L574" s="1116"/>
      <c r="M574" s="1116"/>
      <c r="N574" s="1116"/>
      <c r="O574" s="434"/>
      <c r="P574" s="434"/>
      <c r="Q574" s="434"/>
      <c r="R574" s="434"/>
      <c r="S574" s="434"/>
      <c r="T574" s="434"/>
      <c r="U574" s="434"/>
      <c r="V574" s="434"/>
      <c r="W574" s="434"/>
      <c r="X574" s="434"/>
      <c r="Y574" s="434"/>
      <c r="Z574" s="434"/>
      <c r="AA574" s="434"/>
      <c r="AB574" s="434"/>
      <c r="AC574" s="434"/>
      <c r="AD574" s="22"/>
      <c r="AE574" s="434"/>
      <c r="AF574" s="434"/>
      <c r="AG574" s="434"/>
      <c r="AH574" s="434"/>
      <c r="AI574" s="434"/>
      <c r="AJ574" s="434"/>
      <c r="AK574" s="434"/>
      <c r="AL574" s="434"/>
      <c r="AM574" s="434"/>
      <c r="AN574" s="434"/>
      <c r="AO574" s="434"/>
      <c r="AP574" s="434"/>
      <c r="AQ574" s="434"/>
      <c r="AR574" s="434"/>
      <c r="AS574" s="434"/>
      <c r="AT574" s="434"/>
      <c r="AU574" s="434"/>
      <c r="AV574" s="434"/>
      <c r="AW574" s="434"/>
      <c r="AX574" s="434"/>
      <c r="AY574" s="434"/>
      <c r="AZ574" s="434"/>
      <c r="BA574" s="434"/>
      <c r="BC574" s="434"/>
      <c r="BD574" s="434"/>
      <c r="BE574" s="434"/>
      <c r="BF574" s="434"/>
      <c r="BG574" s="434"/>
      <c r="BH574" s="434"/>
      <c r="BI574" s="434"/>
      <c r="BJ574" s="434"/>
      <c r="BK574" s="434"/>
      <c r="BL574" s="246"/>
      <c r="BM574" s="398">
        <f t="shared" ref="BM574:BU574" si="118">BM$551/BM608*(1+BM614)-0.5*BM$536*(1-BM$612)</f>
        <v>12.216641589119126</v>
      </c>
      <c r="BN574" s="398">
        <f t="shared" si="118"/>
        <v>11.261493209960575</v>
      </c>
      <c r="BO574" s="398">
        <f t="shared" si="118"/>
        <v>4.6238871045254371</v>
      </c>
      <c r="BP574" s="398">
        <f t="shared" si="118"/>
        <v>6.1156458951655193</v>
      </c>
      <c r="BQ574" s="398">
        <f t="shared" si="118"/>
        <v>38.811581473499359</v>
      </c>
      <c r="BR574" s="398">
        <f t="shared" si="118"/>
        <v>10.39892896851425</v>
      </c>
      <c r="BS574" s="398">
        <f t="shared" si="118"/>
        <v>10.310248001487626</v>
      </c>
      <c r="BT574" s="398">
        <f t="shared" si="118"/>
        <v>1.1057416922427314</v>
      </c>
      <c r="BU574" s="398">
        <f t="shared" si="118"/>
        <v>1.1057416922427314</v>
      </c>
      <c r="BV574" s="247"/>
      <c r="BW574" s="247"/>
      <c r="BX574" s="409"/>
      <c r="BY574" s="409"/>
      <c r="BZ574" s="409"/>
      <c r="CA574" s="259"/>
      <c r="CB574" s="259"/>
      <c r="CC574" s="410"/>
      <c r="CD574" s="410"/>
      <c r="CE574" s="410"/>
      <c r="CF574" s="410"/>
      <c r="CG574" s="410"/>
      <c r="CH574" s="410"/>
      <c r="CI574" s="27"/>
    </row>
    <row r="575" spans="1:94" ht="15.05" hidden="1" customHeight="1">
      <c r="A575" s="108"/>
      <c r="B575" s="314" t="s">
        <v>1156</v>
      </c>
      <c r="C575" s="1087">
        <f>C466*C571*C573/(C571+C573)</f>
        <v>476.85421994884911</v>
      </c>
      <c r="D575" s="1087">
        <f>D466*D571*D573/(D571+D573)</f>
        <v>75</v>
      </c>
      <c r="F575" s="1116"/>
      <c r="G575" s="1116"/>
      <c r="H575" s="1116"/>
      <c r="I575" s="1116"/>
      <c r="J575" s="1116"/>
      <c r="K575" s="1116"/>
      <c r="L575" s="1116"/>
      <c r="M575" s="1116"/>
      <c r="N575" s="1116"/>
      <c r="O575" s="434"/>
      <c r="P575" s="434"/>
      <c r="Q575" s="434"/>
      <c r="R575" s="434"/>
      <c r="S575" s="434"/>
      <c r="T575" s="434"/>
      <c r="U575" s="434"/>
      <c r="V575" s="434"/>
      <c r="W575" s="434"/>
      <c r="X575" s="434"/>
      <c r="Y575" s="434"/>
      <c r="Z575" s="434"/>
      <c r="AA575" s="434"/>
      <c r="AB575" s="434"/>
      <c r="AC575" s="434"/>
      <c r="AD575" s="22"/>
      <c r="AE575" s="434"/>
      <c r="AF575" s="434"/>
      <c r="AG575" s="434"/>
      <c r="AH575" s="434"/>
      <c r="AI575" s="434"/>
      <c r="AJ575" s="434"/>
      <c r="AK575" s="434"/>
      <c r="AL575" s="434"/>
      <c r="AM575" s="434"/>
      <c r="AN575" s="434"/>
      <c r="AO575" s="434"/>
      <c r="AP575" s="434"/>
      <c r="AQ575" s="434"/>
      <c r="AR575" s="434"/>
      <c r="AS575" s="434"/>
      <c r="AT575" s="434"/>
      <c r="AU575" s="434"/>
      <c r="AV575" s="434"/>
      <c r="AW575" s="434"/>
      <c r="AX575" s="434"/>
      <c r="AY575" s="434"/>
      <c r="AZ575" s="434"/>
      <c r="BA575" s="434"/>
      <c r="BC575" s="434"/>
      <c r="BD575" s="434"/>
      <c r="BE575" s="434"/>
      <c r="BF575" s="434"/>
      <c r="BG575" s="434"/>
      <c r="BH575" s="434"/>
      <c r="BI575" s="434"/>
      <c r="BJ575" s="434"/>
      <c r="BK575" s="434"/>
      <c r="BL575" s="246"/>
      <c r="BM575" s="501"/>
      <c r="BN575" s="501"/>
      <c r="BO575" s="501"/>
      <c r="BP575" s="501"/>
      <c r="BQ575" s="501"/>
      <c r="BR575" s="501"/>
      <c r="BS575" s="501"/>
      <c r="BT575" s="501"/>
      <c r="BU575" s="501"/>
      <c r="BV575" s="247"/>
      <c r="BW575" s="247"/>
      <c r="BX575" s="409"/>
      <c r="BY575" s="409"/>
      <c r="BZ575" s="409"/>
      <c r="CA575" s="259"/>
      <c r="CB575" s="259"/>
      <c r="CC575" s="410"/>
      <c r="CD575" s="410"/>
      <c r="CE575" s="505"/>
      <c r="CF575" s="506"/>
      <c r="CG575" s="505"/>
      <c r="CH575" s="506"/>
      <c r="CI575" s="27"/>
    </row>
    <row r="576" spans="1:94" ht="51.6" hidden="1">
      <c r="A576" s="108"/>
      <c r="B576" s="314" t="s">
        <v>981</v>
      </c>
      <c r="C576" s="1083" t="str">
        <f>TEXT(C574,"#0.00")&amp;" (selected Rx/Rc rate) should be less than "&amp;TEXT(C569,"#0.00")</f>
        <v>0.42 (selected Rx/Rc rate) should be less than 0.35</v>
      </c>
      <c r="D576" s="1083" t="e">
        <f>TEXT(D574,"#0.00")&amp;" (selected Rx/Rc rate) should be less than "&amp;TEXT(D569,"#0.00")</f>
        <v>#DIV/0!</v>
      </c>
      <c r="F576" s="1116"/>
      <c r="G576" s="1116"/>
      <c r="H576" s="1116"/>
      <c r="I576" s="1116"/>
      <c r="J576" s="1116"/>
      <c r="K576" s="1116"/>
      <c r="L576" s="1116"/>
      <c r="M576" s="1116"/>
      <c r="N576" s="1116"/>
      <c r="O576" s="434"/>
      <c r="P576" s="434"/>
      <c r="Q576" s="434"/>
      <c r="R576" s="434"/>
      <c r="S576" s="434"/>
      <c r="T576" s="434"/>
      <c r="U576" s="434"/>
      <c r="V576" s="434"/>
      <c r="W576" s="434"/>
      <c r="X576" s="434"/>
      <c r="Y576" s="434"/>
      <c r="Z576" s="434"/>
      <c r="AA576" s="434"/>
      <c r="AB576" s="434"/>
      <c r="AC576" s="434"/>
      <c r="AD576" s="22"/>
      <c r="AE576" s="434"/>
      <c r="AF576" s="434"/>
      <c r="AG576" s="434"/>
      <c r="AH576" s="434"/>
      <c r="AI576" s="434"/>
      <c r="AJ576" s="434"/>
      <c r="AK576" s="434"/>
      <c r="AL576" s="434"/>
      <c r="AM576" s="434"/>
      <c r="AN576" s="434"/>
      <c r="AO576" s="434"/>
      <c r="AP576" s="434"/>
      <c r="AQ576" s="434"/>
      <c r="AR576" s="434"/>
      <c r="AS576" s="434"/>
      <c r="AT576" s="434"/>
      <c r="AU576" s="434"/>
      <c r="AV576" s="434"/>
      <c r="AW576" s="434"/>
      <c r="AX576" s="434"/>
      <c r="AY576" s="434"/>
      <c r="AZ576" s="434"/>
      <c r="BA576" s="434"/>
      <c r="BC576" s="434"/>
      <c r="BD576" s="434"/>
      <c r="BE576" s="434"/>
      <c r="BF576" s="434"/>
      <c r="BG576" s="434"/>
      <c r="BH576" s="434"/>
      <c r="BI576" s="434"/>
      <c r="BJ576" s="434"/>
      <c r="BK576" s="434"/>
      <c r="BL576" s="246"/>
      <c r="BM576" s="396">
        <f t="shared" ref="BM576:BU576" si="119">BM551/BM608</f>
        <v>11.494252873563219</v>
      </c>
      <c r="BN576" s="396">
        <f t="shared" si="119"/>
        <v>10.830324909747292</v>
      </c>
      <c r="BO576" s="396">
        <f t="shared" si="119"/>
        <v>4.615384615384615</v>
      </c>
      <c r="BP576" s="396">
        <f t="shared" si="119"/>
        <v>6</v>
      </c>
      <c r="BQ576" s="396">
        <f t="shared" si="119"/>
        <v>36.554773520331302</v>
      </c>
      <c r="BR576" s="396">
        <f t="shared" si="119"/>
        <v>10.320564472953283</v>
      </c>
      <c r="BS576" s="396">
        <f t="shared" si="119"/>
        <v>10.320564472953283</v>
      </c>
      <c r="BT576" s="396">
        <f t="shared" si="119"/>
        <v>1.0455100402689996</v>
      </c>
      <c r="BU576" s="396">
        <f t="shared" si="119"/>
        <v>1.0455100402689996</v>
      </c>
      <c r="BV576" s="247"/>
      <c r="BW576" s="247"/>
      <c r="BX576" s="409"/>
      <c r="BY576" s="409"/>
      <c r="BZ576" s="409"/>
      <c r="CA576" s="259"/>
      <c r="CB576" s="259"/>
      <c r="CC576" s="410"/>
      <c r="CD576" s="410"/>
      <c r="CE576" s="505"/>
      <c r="CF576" s="506"/>
      <c r="CG576" s="505"/>
      <c r="CH576" s="506"/>
      <c r="CI576" s="27"/>
    </row>
    <row r="577" spans="1:91" ht="15.05" hidden="1" customHeight="1">
      <c r="A577" s="108"/>
      <c r="B577" s="1064" t="s">
        <v>983</v>
      </c>
      <c r="C577" s="1022">
        <f>C472*C573/(C571+C573)</f>
        <v>2.6858286445012789</v>
      </c>
      <c r="D577" s="1022">
        <f>D472*D573/(D571+D573)</f>
        <v>8.6790000000000003</v>
      </c>
      <c r="F577" s="1116"/>
      <c r="G577" s="1116"/>
      <c r="H577" s="1116"/>
      <c r="I577" s="1116"/>
      <c r="J577" s="1116"/>
      <c r="K577" s="1116"/>
      <c r="L577" s="1116"/>
      <c r="M577" s="1116"/>
      <c r="N577" s="1116"/>
      <c r="O577" s="434"/>
      <c r="P577" s="434"/>
      <c r="Q577" s="434"/>
      <c r="R577" s="434"/>
      <c r="S577" s="434"/>
      <c r="T577" s="434"/>
      <c r="U577" s="434"/>
      <c r="V577" s="434"/>
      <c r="W577" s="434"/>
      <c r="X577" s="434"/>
      <c r="Y577" s="434"/>
      <c r="Z577" s="434"/>
      <c r="AA577" s="434"/>
      <c r="AB577" s="434"/>
      <c r="AC577" s="434"/>
      <c r="AD577" s="22"/>
      <c r="AE577" s="434"/>
      <c r="AF577" s="434"/>
      <c r="AG577" s="434"/>
      <c r="AH577" s="434"/>
      <c r="AI577" s="434"/>
      <c r="AJ577" s="434"/>
      <c r="AK577" s="434"/>
      <c r="AL577" s="434"/>
      <c r="AM577" s="434"/>
      <c r="AN577" s="434"/>
      <c r="AO577" s="434"/>
      <c r="AP577" s="434"/>
      <c r="AQ577" s="434"/>
      <c r="AR577" s="434"/>
      <c r="AS577" s="434"/>
      <c r="AT577" s="434"/>
      <c r="AU577" s="434"/>
      <c r="AV577" s="434"/>
      <c r="AW577" s="434"/>
      <c r="AX577" s="434"/>
      <c r="AY577" s="434"/>
      <c r="AZ577" s="434"/>
      <c r="BA577" s="434"/>
      <c r="BC577" s="434"/>
      <c r="BD577" s="434"/>
      <c r="BE577" s="434"/>
      <c r="BF577" s="434"/>
      <c r="BG577" s="434"/>
      <c r="BH577" s="434"/>
      <c r="BI577" s="434"/>
      <c r="BJ577" s="434"/>
      <c r="BK577" s="434"/>
      <c r="BL577" s="246"/>
      <c r="BM577" s="396">
        <f t="shared" ref="BM577:BU577" si="120">BM576/BM486</f>
        <v>1.4367816091954024</v>
      </c>
      <c r="BN577" s="396">
        <f t="shared" si="120"/>
        <v>1.3537906137184115</v>
      </c>
      <c r="BO577" s="396">
        <f t="shared" si="120"/>
        <v>1.9230769230769229</v>
      </c>
      <c r="BP577" s="396">
        <f t="shared" si="120"/>
        <v>1.5</v>
      </c>
      <c r="BQ577" s="396">
        <f t="shared" si="120"/>
        <v>3.6554773520331301</v>
      </c>
      <c r="BR577" s="396">
        <f t="shared" si="120"/>
        <v>1.7200940788255472</v>
      </c>
      <c r="BS577" s="396">
        <f t="shared" si="120"/>
        <v>1.7200940788255472</v>
      </c>
      <c r="BT577" s="396">
        <f t="shared" si="120"/>
        <v>0.52275502013449981</v>
      </c>
      <c r="BU577" s="396">
        <f t="shared" si="120"/>
        <v>0.52275502013449981</v>
      </c>
      <c r="BV577" s="247"/>
      <c r="BW577" s="247"/>
      <c r="BX577" s="409"/>
      <c r="BY577" s="409"/>
      <c r="BZ577" s="409"/>
      <c r="CA577" s="259"/>
      <c r="CB577" s="259"/>
      <c r="CC577" s="410"/>
      <c r="CD577" s="410"/>
      <c r="CE577" s="505"/>
      <c r="CF577" s="506"/>
      <c r="CG577" s="505"/>
      <c r="CH577" s="506"/>
      <c r="CI577" s="27"/>
    </row>
    <row r="578" spans="1:91" ht="15.05" hidden="1" customHeight="1">
      <c r="A578" s="934"/>
      <c r="B578" s="1064" t="s">
        <v>984</v>
      </c>
      <c r="C578" s="1022">
        <f>C473*C573/(C571+C573)</f>
        <v>3.2787209079283883</v>
      </c>
      <c r="D578" s="1022">
        <f>D473*D573/(D571+D573)</f>
        <v>8.8263749999999987</v>
      </c>
      <c r="F578" s="995"/>
      <c r="G578" s="995"/>
      <c r="H578" s="995"/>
      <c r="I578" s="995"/>
      <c r="J578" s="995"/>
      <c r="K578" s="995"/>
      <c r="L578" s="995"/>
      <c r="M578" s="995"/>
      <c r="N578" s="995"/>
      <c r="O578" s="334"/>
      <c r="P578" s="334"/>
      <c r="Q578" s="334"/>
      <c r="R578" s="334"/>
      <c r="S578" s="334"/>
      <c r="T578" s="334"/>
      <c r="U578" s="334"/>
      <c r="V578" s="334"/>
      <c r="W578" s="334"/>
      <c r="X578" s="334"/>
      <c r="Y578" s="334"/>
      <c r="Z578" s="334"/>
      <c r="AA578" s="334"/>
      <c r="AB578" s="334"/>
      <c r="AC578" s="334"/>
      <c r="AD578" s="22"/>
      <c r="AE578" s="334"/>
      <c r="AF578" s="334"/>
      <c r="AG578" s="334"/>
      <c r="AH578" s="334"/>
      <c r="AI578" s="334"/>
      <c r="AJ578" s="334"/>
      <c r="AK578" s="334"/>
      <c r="AL578" s="334"/>
      <c r="AM578" s="334"/>
      <c r="AN578" s="334"/>
      <c r="AO578" s="334"/>
      <c r="AP578" s="334"/>
      <c r="AQ578" s="334"/>
      <c r="AR578" s="334"/>
      <c r="AS578" s="334"/>
      <c r="AT578" s="334"/>
      <c r="AU578" s="334"/>
      <c r="AV578" s="334"/>
      <c r="AW578" s="334"/>
      <c r="AX578" s="334"/>
      <c r="AY578" s="334"/>
      <c r="AZ578" s="334"/>
      <c r="BA578" s="334"/>
      <c r="BC578" s="334"/>
      <c r="BD578" s="334"/>
      <c r="BE578" s="334"/>
      <c r="BF578" s="334"/>
      <c r="BG578" s="334"/>
      <c r="BH578" s="334"/>
      <c r="BI578" s="334"/>
      <c r="BJ578" s="334"/>
      <c r="BK578" s="334"/>
      <c r="BL578" s="246"/>
      <c r="BM578" s="246"/>
      <c r="BN578" s="246"/>
      <c r="BO578" s="246"/>
      <c r="BP578" s="246"/>
      <c r="BQ578" s="246"/>
      <c r="BR578" s="246"/>
      <c r="BS578" s="246"/>
      <c r="BT578" s="246"/>
      <c r="BU578" s="246"/>
      <c r="BV578" s="409"/>
      <c r="BW578" s="247"/>
      <c r="BX578" s="409"/>
      <c r="BY578" s="409"/>
      <c r="BZ578" s="409"/>
      <c r="CA578" s="259"/>
      <c r="CB578" s="259"/>
      <c r="CC578" s="410"/>
      <c r="CD578" s="410"/>
      <c r="CE578" s="505"/>
      <c r="CF578" s="506"/>
      <c r="CG578" s="505"/>
      <c r="CH578" s="506"/>
      <c r="CI578" s="27"/>
    </row>
    <row r="579" spans="1:91" ht="15.05" hidden="1" customHeight="1">
      <c r="A579" s="934"/>
      <c r="B579" s="1064" t="s">
        <v>1157</v>
      </c>
      <c r="C579" s="1022">
        <f>C474*C573/(C571+C573)</f>
        <v>2.9594712276214836</v>
      </c>
      <c r="D579" s="1022">
        <f>D474*D573/(D571+D573)</f>
        <v>7.7947499999999987</v>
      </c>
      <c r="F579" s="932"/>
      <c r="G579" s="932"/>
      <c r="H579" s="932"/>
      <c r="I579" s="932"/>
      <c r="J579" s="932"/>
      <c r="K579" s="932"/>
      <c r="L579" s="932"/>
      <c r="M579" s="932"/>
      <c r="N579" s="932"/>
      <c r="O579" s="494"/>
      <c r="P579" s="494"/>
      <c r="Q579" s="494"/>
      <c r="R579" s="494"/>
      <c r="S579" s="494"/>
      <c r="T579" s="494"/>
      <c r="U579" s="494"/>
      <c r="V579" s="494"/>
      <c r="W579" s="494"/>
      <c r="X579" s="494"/>
      <c r="Y579" s="494"/>
      <c r="Z579" s="494"/>
      <c r="AA579" s="494"/>
      <c r="AB579" s="494"/>
      <c r="AC579" s="494"/>
      <c r="AD579" s="22"/>
      <c r="AE579" s="494"/>
      <c r="AF579" s="494"/>
      <c r="AG579" s="494"/>
      <c r="AH579" s="494"/>
      <c r="AI579" s="494"/>
      <c r="AJ579" s="494"/>
      <c r="AK579" s="494"/>
      <c r="AL579" s="494"/>
      <c r="AM579" s="494"/>
      <c r="AN579" s="494"/>
      <c r="AO579" s="494"/>
      <c r="AP579" s="494"/>
      <c r="AQ579" s="494"/>
      <c r="AR579" s="494"/>
      <c r="AS579" s="494"/>
      <c r="AT579" s="494"/>
      <c r="AU579" s="494"/>
      <c r="AV579" s="494"/>
      <c r="AW579" s="494"/>
      <c r="AX579" s="494"/>
      <c r="AY579" s="494"/>
      <c r="AZ579" s="494"/>
      <c r="BA579" s="494"/>
      <c r="BC579" s="494"/>
      <c r="BD579" s="494"/>
      <c r="BE579" s="494"/>
      <c r="BF579" s="494"/>
      <c r="BG579" s="494"/>
      <c r="BH579" s="494"/>
      <c r="BI579" s="494"/>
      <c r="BJ579" s="494"/>
      <c r="BK579" s="494"/>
      <c r="BL579" s="246"/>
      <c r="BM579" s="308">
        <v>50</v>
      </c>
      <c r="BN579" s="308">
        <v>33</v>
      </c>
      <c r="BO579" s="308">
        <v>50</v>
      </c>
      <c r="BP579" s="308">
        <v>33</v>
      </c>
      <c r="BQ579" s="308">
        <v>50</v>
      </c>
      <c r="BR579" s="308">
        <v>33</v>
      </c>
      <c r="BS579" s="308">
        <v>11</v>
      </c>
      <c r="BT579" s="308">
        <v>50</v>
      </c>
      <c r="BU579" s="308">
        <v>33</v>
      </c>
      <c r="BV579" s="409"/>
      <c r="BW579" s="247"/>
      <c r="BX579" s="409"/>
      <c r="BY579" s="409"/>
      <c r="BZ579" s="409"/>
      <c r="CA579" s="259"/>
      <c r="CB579" s="259"/>
      <c r="CC579" s="410"/>
      <c r="CD579" s="410"/>
      <c r="CE579" s="505"/>
      <c r="CF579" s="506"/>
      <c r="CG579" s="505"/>
      <c r="CH579" s="506"/>
      <c r="CI579" s="27"/>
    </row>
    <row r="580" spans="1:91" ht="15.05" hidden="1" customHeight="1">
      <c r="A580" s="934"/>
      <c r="B580" s="1064" t="s">
        <v>1158</v>
      </c>
      <c r="C580" s="1022">
        <f>C475*C573/(C571+C573)</f>
        <v>3.6891847826086956</v>
      </c>
      <c r="D580" s="1022">
        <f>D475*D573/(D571+D573)</f>
        <v>10.152749999999999</v>
      </c>
      <c r="F580" s="1056"/>
      <c r="G580" s="1056"/>
      <c r="H580" s="1056"/>
      <c r="I580" s="1056"/>
      <c r="J580" s="1056"/>
      <c r="K580" s="1056"/>
      <c r="L580" s="1056"/>
      <c r="M580" s="1056"/>
      <c r="N580" s="1056"/>
      <c r="O580" s="407"/>
      <c r="P580" s="407"/>
      <c r="Q580" s="407"/>
      <c r="R580" s="407"/>
      <c r="S580" s="407"/>
      <c r="T580" s="407"/>
      <c r="U580" s="407"/>
      <c r="V580" s="407"/>
      <c r="W580" s="407"/>
      <c r="X580" s="407"/>
      <c r="Y580" s="407"/>
      <c r="Z580" s="407"/>
      <c r="AA580" s="407"/>
      <c r="AB580" s="407"/>
      <c r="AC580" s="407"/>
      <c r="AD580" s="22"/>
      <c r="AE580" s="407"/>
      <c r="AF580" s="407"/>
      <c r="AG580" s="407"/>
      <c r="AH580" s="407"/>
      <c r="AI580" s="407"/>
      <c r="AJ580" s="407"/>
      <c r="AK580" s="407"/>
      <c r="AL580" s="407"/>
      <c r="AM580" s="407"/>
      <c r="AN580" s="407"/>
      <c r="AO580" s="407"/>
      <c r="AP580" s="407"/>
      <c r="AQ580" s="407"/>
      <c r="AR580" s="407"/>
      <c r="AS580" s="407"/>
      <c r="AT580" s="407"/>
      <c r="AU580" s="407"/>
      <c r="AV580" s="407"/>
      <c r="AW580" s="407"/>
      <c r="AX580" s="407"/>
      <c r="AY580" s="407"/>
      <c r="AZ580" s="407"/>
      <c r="BA580" s="407"/>
      <c r="BC580" s="407"/>
      <c r="BD580" s="407"/>
      <c r="BE580" s="407"/>
      <c r="BF580" s="407"/>
      <c r="BG580" s="407"/>
      <c r="BH580" s="407"/>
      <c r="BI580" s="407"/>
      <c r="BJ580" s="407"/>
      <c r="BK580" s="407"/>
      <c r="BL580" s="246"/>
      <c r="BM580" s="339" t="str">
        <f t="shared" ref="BM580:BU580" si="121">"&gt; "&amp;TEXT(200*BM$486/BM576*BM$339/BM$579, "#.#")&amp;" kohm"</f>
        <v>&gt; 13.9 kohm</v>
      </c>
      <c r="BN580" s="339" t="str">
        <f t="shared" si="121"/>
        <v>&gt; 14.8 kohm</v>
      </c>
      <c r="BO580" s="339" t="str">
        <f t="shared" si="121"/>
        <v>&gt; 10.5 kohm</v>
      </c>
      <c r="BP580" s="339" t="str">
        <f t="shared" si="121"/>
        <v>&gt; 13.3 kohm</v>
      </c>
      <c r="BQ580" s="339" t="str">
        <f t="shared" si="121"/>
        <v>&gt; 1.6 kohm</v>
      </c>
      <c r="BR580" s="339" t="str">
        <f t="shared" si="121"/>
        <v>&gt; 11.6 kohm</v>
      </c>
      <c r="BS580" s="339" t="str">
        <f t="shared" si="121"/>
        <v>&gt; 11.6 kohm</v>
      </c>
      <c r="BT580" s="339" t="str">
        <f t="shared" si="121"/>
        <v>&gt; 61.2 kohm</v>
      </c>
      <c r="BU580" s="339" t="str">
        <f t="shared" si="121"/>
        <v>&gt; 92.7 kohm</v>
      </c>
      <c r="BV580" s="409"/>
      <c r="BW580" s="319"/>
      <c r="BX580" s="246"/>
      <c r="BY580" s="259"/>
      <c r="BZ580" s="259"/>
      <c r="CA580" s="259"/>
      <c r="CB580" s="259"/>
      <c r="CC580" s="410"/>
      <c r="CD580" s="410"/>
      <c r="CE580" s="505"/>
      <c r="CF580" s="506"/>
      <c r="CG580" s="505"/>
      <c r="CH580" s="506"/>
      <c r="CI580" s="27"/>
    </row>
    <row r="581" spans="1:91" ht="15.05" hidden="1" customHeight="1">
      <c r="A581" s="934"/>
      <c r="B581" s="1139" t="s">
        <v>1159</v>
      </c>
      <c r="C581" s="1140">
        <f>C465/C578-0.5*C356</f>
        <v>16.331734147799931</v>
      </c>
      <c r="D581" s="1140" t="e">
        <f>D465/D578-0.5*D356</f>
        <v>#DIV/0!</v>
      </c>
      <c r="F581" s="1106"/>
      <c r="G581" s="1106"/>
      <c r="H581" s="1106"/>
      <c r="I581" s="1106"/>
      <c r="J581" s="1106"/>
      <c r="K581" s="1106"/>
      <c r="L581" s="1106"/>
      <c r="M581" s="1106"/>
      <c r="N581" s="1106"/>
      <c r="O581" s="455"/>
      <c r="P581" s="455"/>
      <c r="Q581" s="455"/>
      <c r="R581" s="455"/>
      <c r="S581" s="455"/>
      <c r="T581" s="455"/>
      <c r="U581" s="455"/>
      <c r="V581" s="455"/>
      <c r="W581" s="455"/>
      <c r="X581" s="455"/>
      <c r="Y581" s="455"/>
      <c r="Z581" s="455"/>
      <c r="AA581" s="455"/>
      <c r="AB581" s="455"/>
      <c r="AC581" s="455"/>
      <c r="AD581" s="22"/>
      <c r="AE581" s="455"/>
      <c r="AF581" s="455"/>
      <c r="AG581" s="455"/>
      <c r="AH581" s="455"/>
      <c r="AI581" s="455"/>
      <c r="AJ581" s="455"/>
      <c r="AK581" s="455"/>
      <c r="AL581" s="455"/>
      <c r="AM581" s="455"/>
      <c r="AN581" s="455"/>
      <c r="AO581" s="455"/>
      <c r="AP581" s="455"/>
      <c r="AQ581" s="455"/>
      <c r="AR581" s="455"/>
      <c r="AS581" s="455"/>
      <c r="AT581" s="455"/>
      <c r="AU581" s="455"/>
      <c r="AV581" s="455"/>
      <c r="AW581" s="455"/>
      <c r="AX581" s="455"/>
      <c r="AY581" s="455"/>
      <c r="AZ581" s="455"/>
      <c r="BA581" s="455"/>
      <c r="BC581" s="455"/>
      <c r="BD581" s="455"/>
      <c r="BE581" s="455"/>
      <c r="BF581" s="455"/>
      <c r="BG581" s="455"/>
      <c r="BH581" s="455"/>
      <c r="BI581" s="455"/>
      <c r="BJ581" s="455"/>
      <c r="BK581" s="455"/>
      <c r="BL581" s="246"/>
      <c r="BM581" s="508">
        <v>10</v>
      </c>
      <c r="BN581" s="508">
        <v>9.1</v>
      </c>
      <c r="BO581" s="508">
        <v>8.1999999999999993</v>
      </c>
      <c r="BP581" s="508">
        <v>8.1999999999999993</v>
      </c>
      <c r="BQ581" s="508">
        <v>2.2000000000000002</v>
      </c>
      <c r="BR581" s="508">
        <v>10</v>
      </c>
      <c r="BS581" s="508">
        <v>10</v>
      </c>
      <c r="BT581" s="508">
        <v>10</v>
      </c>
      <c r="BU581" s="508">
        <v>8.1999999999999993</v>
      </c>
      <c r="BV581" s="409"/>
      <c r="BW581" s="77"/>
      <c r="BX581" s="22"/>
      <c r="BY581" s="509"/>
      <c r="BZ581" s="78"/>
      <c r="CA581" s="282"/>
      <c r="CB581" s="259"/>
      <c r="CC581" s="410"/>
      <c r="CD581" s="410"/>
      <c r="CE581" s="505"/>
      <c r="CF581" s="506"/>
      <c r="CG581" s="505"/>
      <c r="CH581" s="506"/>
      <c r="CI581" s="27"/>
    </row>
    <row r="582" spans="1:91" ht="15.05" hidden="1" customHeight="1">
      <c r="A582" s="934"/>
      <c r="B582" s="1139" t="s">
        <v>986</v>
      </c>
      <c r="C582" s="1140">
        <f>C465/C578-0.5*C355</f>
        <v>16.355374809738468</v>
      </c>
      <c r="D582" s="1140" t="e">
        <f>D465/D578-0.5*D355</f>
        <v>#DIV/0!</v>
      </c>
      <c r="F582" s="1056"/>
      <c r="G582" s="1056"/>
      <c r="H582" s="1056"/>
      <c r="I582" s="1056"/>
      <c r="J582" s="1056"/>
      <c r="K582" s="1056"/>
      <c r="L582" s="1056"/>
      <c r="M582" s="1056"/>
      <c r="N582" s="1056"/>
      <c r="O582" s="407"/>
      <c r="P582" s="407"/>
      <c r="Q582" s="407"/>
      <c r="R582" s="407"/>
      <c r="S582" s="407"/>
      <c r="T582" s="407"/>
      <c r="U582" s="407"/>
      <c r="V582" s="407"/>
      <c r="W582" s="407"/>
      <c r="X582" s="407"/>
      <c r="Y582" s="407"/>
      <c r="Z582" s="407"/>
      <c r="AA582" s="407"/>
      <c r="AB582" s="407"/>
      <c r="AC582" s="407"/>
      <c r="AD582" s="22"/>
      <c r="AE582" s="407"/>
      <c r="AF582" s="407"/>
      <c r="AG582" s="407"/>
      <c r="AH582" s="407"/>
      <c r="AI582" s="407"/>
      <c r="AJ582" s="407"/>
      <c r="AK582" s="407"/>
      <c r="AL582" s="407"/>
      <c r="AM582" s="407"/>
      <c r="AN582" s="407"/>
      <c r="AO582" s="407"/>
      <c r="AP582" s="407"/>
      <c r="AQ582" s="407"/>
      <c r="AR582" s="407"/>
      <c r="AS582" s="407"/>
      <c r="AT582" s="407"/>
      <c r="AU582" s="407"/>
      <c r="AV582" s="407"/>
      <c r="AW582" s="407"/>
      <c r="AX582" s="407"/>
      <c r="AY582" s="407"/>
      <c r="AZ582" s="407"/>
      <c r="BA582" s="407"/>
      <c r="BC582" s="407"/>
      <c r="BD582" s="407"/>
      <c r="BE582" s="407"/>
      <c r="BF582" s="407"/>
      <c r="BG582" s="407"/>
      <c r="BH582" s="407"/>
      <c r="BI582" s="407"/>
      <c r="BJ582" s="407"/>
      <c r="BK582" s="407"/>
      <c r="BL582" s="246"/>
      <c r="BM582" s="339" t="str">
        <f t="shared" ref="BM582:BU582" si="122">"&gt; "&amp;TEXT(15/PI()*BM576/BM$339*$C$797*BM581/BM$478, "#")&amp;" uF"</f>
        <v>&gt; 165 uF</v>
      </c>
      <c r="BN582" s="339" t="str">
        <f t="shared" si="122"/>
        <v>&gt; 214 uF</v>
      </c>
      <c r="BO582" s="339" t="str">
        <f t="shared" si="122"/>
        <v>&gt; 48 uF</v>
      </c>
      <c r="BP582" s="339" t="str">
        <f t="shared" si="122"/>
        <v>&gt; 96 uF</v>
      </c>
      <c r="BQ582" s="339" t="str">
        <f t="shared" si="122"/>
        <v>&gt; 128 uF</v>
      </c>
      <c r="BR582" s="339" t="str">
        <f t="shared" si="122"/>
        <v>&gt; 269 uF</v>
      </c>
      <c r="BS582" s="339" t="str">
        <f t="shared" si="122"/>
        <v>&gt; 806 uF</v>
      </c>
      <c r="BT582" s="339" t="str">
        <f t="shared" si="122"/>
        <v>&gt; 8 uF</v>
      </c>
      <c r="BU582" s="339" t="str">
        <f t="shared" si="122"/>
        <v>&gt; 7 uF</v>
      </c>
      <c r="BV582" s="409"/>
      <c r="BW582" s="77"/>
      <c r="BX582" s="22"/>
      <c r="BY582" s="509"/>
      <c r="BZ582" s="78"/>
      <c r="CA582" s="282"/>
      <c r="CB582" s="259"/>
      <c r="CC582" s="410"/>
      <c r="CD582" s="410"/>
      <c r="CE582" s="505"/>
      <c r="CF582" s="506"/>
      <c r="CG582" s="505"/>
      <c r="CH582" s="506"/>
      <c r="CI582" s="27"/>
    </row>
    <row r="583" spans="1:91" ht="15.05" hidden="1" customHeight="1">
      <c r="A583" s="934"/>
      <c r="B583" s="1139" t="s">
        <v>1160</v>
      </c>
      <c r="C583" s="1140">
        <f>C465/C578-0.5*C354</f>
        <v>16.381214603020119</v>
      </c>
      <c r="D583" s="1140" t="e">
        <f>D465/D578-0.5*D354</f>
        <v>#DIV/0!</v>
      </c>
      <c r="F583" s="932"/>
      <c r="G583" s="932"/>
      <c r="H583" s="932"/>
      <c r="I583" s="932"/>
      <c r="J583" s="932"/>
      <c r="K583" s="932"/>
      <c r="L583" s="932"/>
      <c r="M583" s="932"/>
      <c r="N583" s="932"/>
      <c r="O583" s="494"/>
      <c r="P583" s="494"/>
      <c r="Q583" s="494"/>
      <c r="R583" s="494"/>
      <c r="S583" s="494"/>
      <c r="T583" s="494"/>
      <c r="U583" s="494"/>
      <c r="V583" s="494"/>
      <c r="W583" s="494"/>
      <c r="X583" s="494"/>
      <c r="Y583" s="494"/>
      <c r="Z583" s="494"/>
      <c r="AA583" s="494"/>
      <c r="AB583" s="494"/>
      <c r="AC583" s="494"/>
      <c r="AD583" s="22"/>
      <c r="AE583" s="494"/>
      <c r="AF583" s="494"/>
      <c r="AG583" s="494"/>
      <c r="AH583" s="494"/>
      <c r="AI583" s="494"/>
      <c r="AJ583" s="494"/>
      <c r="AK583" s="494"/>
      <c r="AL583" s="494"/>
      <c r="AM583" s="494"/>
      <c r="AN583" s="494"/>
      <c r="AO583" s="494"/>
      <c r="AP583" s="494"/>
      <c r="AQ583" s="494"/>
      <c r="AR583" s="494"/>
      <c r="AS583" s="494"/>
      <c r="AT583" s="494"/>
      <c r="AU583" s="494"/>
      <c r="AV583" s="494"/>
      <c r="AW583" s="494"/>
      <c r="AX583" s="494"/>
      <c r="AY583" s="494"/>
      <c r="AZ583" s="494"/>
      <c r="BA583" s="494"/>
      <c r="BC583" s="494"/>
      <c r="BD583" s="494"/>
      <c r="BE583" s="494"/>
      <c r="BF583" s="494"/>
      <c r="BG583" s="494"/>
      <c r="BH583" s="494"/>
      <c r="BI583" s="494"/>
      <c r="BJ583" s="494"/>
      <c r="BK583" s="494"/>
      <c r="BL583" s="246"/>
      <c r="BM583" s="308">
        <v>300</v>
      </c>
      <c r="BN583" s="308">
        <v>440</v>
      </c>
      <c r="BO583" s="308">
        <v>120</v>
      </c>
      <c r="BP583" s="308">
        <v>330</v>
      </c>
      <c r="BQ583" s="308">
        <v>120</v>
      </c>
      <c r="BR583" s="308">
        <v>440</v>
      </c>
      <c r="BS583" s="308">
        <v>990</v>
      </c>
      <c r="BT583" s="308">
        <v>300</v>
      </c>
      <c r="BU583" s="308">
        <v>440</v>
      </c>
      <c r="BV583" s="409"/>
      <c r="BW583" s="77"/>
      <c r="BX583" s="22"/>
      <c r="BY583" s="509"/>
      <c r="BZ583" s="78"/>
      <c r="CA583" s="282"/>
      <c r="CB583" s="259"/>
      <c r="CC583" s="410"/>
      <c r="CD583" s="410"/>
      <c r="CE583" s="505"/>
      <c r="CF583" s="506"/>
      <c r="CG583" s="505"/>
      <c r="CH583" s="506"/>
      <c r="CI583" s="27"/>
    </row>
    <row r="584" spans="1:91" ht="15.05" hidden="1" customHeight="1">
      <c r="A584" s="934"/>
      <c r="B584" s="307" t="s">
        <v>1161</v>
      </c>
      <c r="C584" s="1102">
        <f>C465/C580*(1-C560)-0.5*C356*(1+C563)</f>
        <v>11.324252722370998</v>
      </c>
      <c r="D584" s="1102" t="e">
        <f>D465/D580*(1-D560)-0.5*D356*(1+D563)</f>
        <v>#DIV/0!</v>
      </c>
      <c r="F584" s="1056"/>
      <c r="G584" s="1056"/>
      <c r="H584" s="1056"/>
      <c r="I584" s="1056"/>
      <c r="J584" s="1056"/>
      <c r="K584" s="1056"/>
      <c r="L584" s="1056"/>
      <c r="M584" s="1056"/>
      <c r="N584" s="1056"/>
      <c r="O584" s="407"/>
      <c r="P584" s="407"/>
      <c r="Q584" s="407"/>
      <c r="R584" s="407"/>
      <c r="S584" s="407"/>
      <c r="T584" s="407"/>
      <c r="U584" s="407"/>
      <c r="V584" s="407"/>
      <c r="W584" s="407"/>
      <c r="X584" s="407"/>
      <c r="Y584" s="407"/>
      <c r="Z584" s="407"/>
      <c r="AA584" s="407"/>
      <c r="AB584" s="407"/>
      <c r="AC584" s="407"/>
      <c r="AD584" s="22"/>
      <c r="AE584" s="407"/>
      <c r="AF584" s="407"/>
      <c r="AG584" s="407"/>
      <c r="AH584" s="407"/>
      <c r="AI584" s="407"/>
      <c r="AJ584" s="407"/>
      <c r="AK584" s="407"/>
      <c r="AL584" s="407"/>
      <c r="AM584" s="407"/>
      <c r="AN584" s="407"/>
      <c r="AO584" s="407"/>
      <c r="AP584" s="407"/>
      <c r="AQ584" s="407"/>
      <c r="AR584" s="407"/>
      <c r="AS584" s="407"/>
      <c r="AT584" s="407"/>
      <c r="AU584" s="407"/>
      <c r="AV584" s="407"/>
      <c r="AW584" s="407"/>
      <c r="AX584" s="407"/>
      <c r="AY584" s="407"/>
      <c r="AZ584" s="407"/>
      <c r="BA584" s="407"/>
      <c r="BC584" s="407"/>
      <c r="BD584" s="407"/>
      <c r="BE584" s="407"/>
      <c r="BF584" s="407"/>
      <c r="BG584" s="407"/>
      <c r="BH584" s="407"/>
      <c r="BI584" s="407"/>
      <c r="BJ584" s="407"/>
      <c r="BK584" s="407"/>
      <c r="BL584" s="246"/>
      <c r="BM584" s="339" t="str">
        <f t="shared" ref="BM584:BU584" si="123">"&lt; "&amp;TEXT(PI()/15/BM576*BM339/$C$797*BM$478*BM583, "#.#")&amp;" kohm"</f>
        <v>&lt; 18.2 kohm</v>
      </c>
      <c r="BN584" s="339" t="str">
        <f t="shared" si="123"/>
        <v>&lt; 18.7 kohm</v>
      </c>
      <c r="BO584" s="339" t="str">
        <f t="shared" si="123"/>
        <v>&lt; 20.3 kohm</v>
      </c>
      <c r="BP584" s="339" t="str">
        <f t="shared" si="123"/>
        <v>&lt; 28.2 kohm</v>
      </c>
      <c r="BQ584" s="339" t="str">
        <f t="shared" si="123"/>
        <v>&lt; 2.1 kohm</v>
      </c>
      <c r="BR584" s="339" t="str">
        <f t="shared" si="123"/>
        <v>&lt; 16.4 kohm</v>
      </c>
      <c r="BS584" s="339" t="str">
        <f t="shared" si="123"/>
        <v>&lt; 12.3 kohm</v>
      </c>
      <c r="BT584" s="339" t="str">
        <f t="shared" si="123"/>
        <v>&lt; 356.1 kohm</v>
      </c>
      <c r="BU584" s="339" t="str">
        <f t="shared" si="123"/>
        <v>&lt; 522.3 kohm</v>
      </c>
      <c r="BV584" s="409"/>
      <c r="BW584" s="77"/>
      <c r="BX584" s="22"/>
      <c r="BY584" s="509"/>
      <c r="BZ584" s="78"/>
      <c r="CA584" s="282"/>
      <c r="CB584" s="259"/>
      <c r="CC584" s="410"/>
      <c r="CD584" s="410"/>
      <c r="CE584" s="505"/>
      <c r="CF584" s="506"/>
      <c r="CG584" s="505"/>
      <c r="CH584" s="506"/>
      <c r="CI584" s="27"/>
    </row>
    <row r="585" spans="1:91" ht="15.05" hidden="1" customHeight="1">
      <c r="A585" s="934"/>
      <c r="B585" s="307" t="s">
        <v>278</v>
      </c>
      <c r="C585" s="1102">
        <f>C465/C579*(1+C559)-0.5*C354*(1-C563)</f>
        <v>22.285369143397595</v>
      </c>
      <c r="D585" s="1102" t="e">
        <f>D465/D579*(1+D559)-0.5*D354*(1-D563)</f>
        <v>#DIV/0!</v>
      </c>
      <c r="F585" s="932"/>
      <c r="G585" s="932"/>
      <c r="H585" s="932"/>
      <c r="I585" s="932"/>
      <c r="J585" s="932"/>
      <c r="K585" s="932"/>
      <c r="L585" s="932"/>
      <c r="M585" s="932"/>
      <c r="N585" s="932"/>
      <c r="O585" s="494"/>
      <c r="P585" s="494"/>
      <c r="Q585" s="494"/>
      <c r="R585" s="494"/>
      <c r="S585" s="494"/>
      <c r="T585" s="494"/>
      <c r="U585" s="494"/>
      <c r="V585" s="494"/>
      <c r="W585" s="494"/>
      <c r="X585" s="494"/>
      <c r="Y585" s="494"/>
      <c r="Z585" s="494"/>
      <c r="AA585" s="494"/>
      <c r="AB585" s="494"/>
      <c r="AC585" s="494"/>
      <c r="AD585" s="22"/>
      <c r="AE585" s="494"/>
      <c r="AF585" s="494"/>
      <c r="AG585" s="494"/>
      <c r="AH585" s="494"/>
      <c r="AI585" s="494"/>
      <c r="AJ585" s="494"/>
      <c r="AK585" s="494"/>
      <c r="AL585" s="494"/>
      <c r="AM585" s="494"/>
      <c r="AN585" s="494"/>
      <c r="AO585" s="494"/>
      <c r="AP585" s="494"/>
      <c r="AQ585" s="494"/>
      <c r="AR585" s="494"/>
      <c r="AS585" s="494"/>
      <c r="AT585" s="494"/>
      <c r="AU585" s="494"/>
      <c r="AV585" s="494"/>
      <c r="AW585" s="494"/>
      <c r="AX585" s="494"/>
      <c r="AY585" s="494"/>
      <c r="AZ585" s="494"/>
      <c r="BA585" s="494"/>
      <c r="BC585" s="494"/>
      <c r="BD585" s="494"/>
      <c r="BE585" s="494"/>
      <c r="BF585" s="494"/>
      <c r="BG585" s="494"/>
      <c r="BH585" s="494"/>
      <c r="BI585" s="494"/>
      <c r="BJ585" s="494"/>
      <c r="BK585" s="494"/>
      <c r="BL585" s="246"/>
      <c r="BM585" s="308">
        <v>7.5</v>
      </c>
      <c r="BN585" s="308">
        <v>7.5</v>
      </c>
      <c r="BO585" s="308">
        <v>24.5</v>
      </c>
      <c r="BP585" s="308">
        <v>12.6</v>
      </c>
      <c r="BQ585" s="308">
        <v>0.52</v>
      </c>
      <c r="BR585" s="308">
        <v>7.5</v>
      </c>
      <c r="BS585" s="308">
        <v>5</v>
      </c>
      <c r="BT585" s="308">
        <v>7.5</v>
      </c>
      <c r="BU585" s="308">
        <v>7.5</v>
      </c>
      <c r="BV585" s="409"/>
      <c r="BW585" s="77"/>
      <c r="BX585" s="22"/>
      <c r="BY585" s="509"/>
      <c r="BZ585" s="78"/>
      <c r="CA585" s="282"/>
      <c r="CB585" s="259"/>
      <c r="CC585" s="410"/>
      <c r="CD585" s="410"/>
      <c r="CE585" s="505"/>
      <c r="CF585" s="506"/>
      <c r="CG585" s="505"/>
      <c r="CH585" s="506"/>
      <c r="CI585" s="27"/>
    </row>
    <row r="586" spans="1:91" hidden="1">
      <c r="A586" s="934"/>
      <c r="B586" s="307" t="s">
        <v>1162</v>
      </c>
      <c r="C586" s="1141">
        <f>(C584-C582)/C582</f>
        <v>-0.30761276619425393</v>
      </c>
      <c r="D586" s="1141" t="e">
        <f>(D584-D582)/D582</f>
        <v>#DIV/0!</v>
      </c>
      <c r="I586" s="932"/>
      <c r="J586" s="932"/>
      <c r="K586" s="932"/>
      <c r="L586" s="932"/>
      <c r="M586" s="932"/>
      <c r="N586" s="932"/>
      <c r="O586" s="494"/>
      <c r="P586" s="494"/>
      <c r="Q586" s="494"/>
      <c r="R586" s="494"/>
      <c r="S586" s="494"/>
      <c r="T586" s="494"/>
      <c r="U586" s="494"/>
      <c r="V586" s="494"/>
      <c r="W586" s="494"/>
      <c r="X586" s="494"/>
      <c r="Y586" s="494"/>
      <c r="Z586" s="494"/>
      <c r="AA586" s="494"/>
      <c r="AB586" s="494"/>
      <c r="AC586" s="494"/>
      <c r="AD586" s="22"/>
      <c r="AE586" s="494"/>
      <c r="AF586" s="494"/>
      <c r="AG586" s="494"/>
      <c r="AH586" s="494"/>
      <c r="AI586" s="494"/>
      <c r="AJ586" s="494"/>
      <c r="AK586" s="494"/>
      <c r="AL586" s="494"/>
      <c r="AM586" s="494"/>
      <c r="AN586" s="494"/>
      <c r="AO586" s="494"/>
      <c r="AP586" s="494"/>
      <c r="AQ586" s="494"/>
      <c r="AR586" s="494"/>
      <c r="AS586" s="494"/>
      <c r="AT586" s="494"/>
      <c r="AU586" s="494"/>
      <c r="AV586" s="494"/>
      <c r="AW586" s="494"/>
      <c r="AX586" s="494"/>
      <c r="AY586" s="494"/>
      <c r="AZ586" s="494"/>
      <c r="BA586" s="494"/>
      <c r="BC586" s="494"/>
      <c r="BD586" s="494"/>
      <c r="BE586" s="494"/>
      <c r="BF586" s="494"/>
      <c r="BG586" s="494"/>
      <c r="BH586" s="494"/>
      <c r="BI586" s="494"/>
      <c r="BJ586" s="494"/>
      <c r="BK586" s="494"/>
      <c r="BL586" s="246"/>
      <c r="BM586" s="308" t="s">
        <v>1024</v>
      </c>
      <c r="BN586" s="308" t="s">
        <v>1025</v>
      </c>
      <c r="BO586" s="308" t="s">
        <v>1042</v>
      </c>
      <c r="BP586" s="308" t="s">
        <v>1043</v>
      </c>
      <c r="BQ586" s="308" t="s">
        <v>1168</v>
      </c>
      <c r="BR586" s="308" t="s">
        <v>1025</v>
      </c>
      <c r="BS586" s="308" t="s">
        <v>1028</v>
      </c>
      <c r="BT586" s="308" t="s">
        <v>1024</v>
      </c>
      <c r="BU586" s="308" t="s">
        <v>1025</v>
      </c>
      <c r="BV586" s="409"/>
      <c r="BW586" s="77"/>
      <c r="BX586" s="79"/>
      <c r="BY586" s="334"/>
      <c r="BZ586" s="334"/>
      <c r="CA586" s="282"/>
      <c r="CB586" s="259"/>
      <c r="CC586" s="410"/>
      <c r="CD586" s="410"/>
      <c r="CE586" s="505"/>
      <c r="CF586" s="506"/>
      <c r="CG586" s="505"/>
      <c r="CH586" s="506"/>
      <c r="CI586" s="27"/>
    </row>
    <row r="587" spans="1:91" hidden="1">
      <c r="A587" s="934"/>
      <c r="B587" s="307" t="s">
        <v>1163</v>
      </c>
      <c r="C587" s="1141">
        <f>(C585-C582)/C582</f>
        <v>0.36257159512652903</v>
      </c>
      <c r="D587" s="1141" t="e">
        <f>(D585-D582)/D582</f>
        <v>#DIV/0!</v>
      </c>
      <c r="I587" s="1116"/>
      <c r="J587" s="1116"/>
      <c r="K587" s="1116"/>
      <c r="L587" s="1116"/>
      <c r="M587" s="1116"/>
      <c r="N587" s="1116"/>
      <c r="O587" s="434"/>
      <c r="P587" s="434"/>
      <c r="Q587" s="434"/>
      <c r="R587" s="434"/>
      <c r="S587" s="434"/>
      <c r="T587" s="434"/>
      <c r="U587" s="434"/>
      <c r="V587" s="434"/>
      <c r="W587" s="434"/>
      <c r="X587" s="434"/>
      <c r="Y587" s="434"/>
      <c r="Z587" s="434"/>
      <c r="AA587" s="434"/>
      <c r="AB587" s="434"/>
      <c r="AC587" s="434"/>
      <c r="AD587" s="22"/>
      <c r="AE587" s="434"/>
      <c r="AF587" s="434"/>
      <c r="AG587" s="434"/>
      <c r="AH587" s="434"/>
      <c r="AI587" s="434"/>
      <c r="AJ587" s="434"/>
      <c r="AK587" s="434"/>
      <c r="AL587" s="434"/>
      <c r="AM587" s="434"/>
      <c r="AN587" s="434"/>
      <c r="AO587" s="434"/>
      <c r="AP587" s="434"/>
      <c r="AQ587" s="434"/>
      <c r="AR587" s="434"/>
      <c r="AS587" s="434"/>
      <c r="AT587" s="434"/>
      <c r="AU587" s="434"/>
      <c r="AV587" s="434"/>
      <c r="AW587" s="434"/>
      <c r="AX587" s="434"/>
      <c r="AY587" s="434"/>
      <c r="AZ587" s="434"/>
      <c r="BA587" s="434"/>
      <c r="BC587" s="434"/>
      <c r="BD587" s="434"/>
      <c r="BE587" s="434"/>
      <c r="BF587" s="434"/>
      <c r="BG587" s="434"/>
      <c r="BH587" s="434"/>
      <c r="BI587" s="434"/>
      <c r="BJ587" s="434"/>
      <c r="BK587" s="434"/>
      <c r="BL587" s="246"/>
      <c r="BM587" s="398">
        <f t="shared" ref="BM587:BU587" si="124">0.1*BM$486/BM576*BM$339/$C$797/BM$581*10^6</f>
        <v>69.599999999999994</v>
      </c>
      <c r="BN587" s="398">
        <f t="shared" si="124"/>
        <v>53.513498846832192</v>
      </c>
      <c r="BO587" s="398">
        <f t="shared" si="124"/>
        <v>63.837398373983753</v>
      </c>
      <c r="BP587" s="398">
        <f t="shared" si="124"/>
        <v>53.718759409816322</v>
      </c>
      <c r="BQ587" s="398">
        <f t="shared" si="124"/>
        <v>37.303920454545455</v>
      </c>
      <c r="BR587" s="398">
        <f t="shared" si="124"/>
        <v>38.326930333333344</v>
      </c>
      <c r="BS587" s="398">
        <f t="shared" si="124"/>
        <v>12.789998100000004</v>
      </c>
      <c r="BT587" s="398">
        <f t="shared" si="124"/>
        <v>306.07070967741942</v>
      </c>
      <c r="BU587" s="398">
        <f t="shared" si="124"/>
        <v>373.25696302124317</v>
      </c>
      <c r="BV587" s="409"/>
      <c r="BW587" s="399"/>
      <c r="BX587" s="334"/>
      <c r="BY587" s="510"/>
      <c r="BZ587" s="334"/>
      <c r="CA587" s="282"/>
      <c r="CB587" s="259"/>
      <c r="CC587" s="410"/>
      <c r="CD587" s="410"/>
      <c r="CE587" s="505"/>
      <c r="CF587" s="506"/>
      <c r="CG587" s="505"/>
      <c r="CH587" s="506"/>
      <c r="CI587" s="27"/>
    </row>
    <row r="588" spans="1:91" ht="35.5" hidden="1">
      <c r="A588" s="934"/>
      <c r="B588" s="307" t="s">
        <v>553</v>
      </c>
      <c r="C588" s="1102">
        <f>C465/C580-0.5*C356</f>
        <v>14.295670583721762</v>
      </c>
      <c r="D588" s="1102" t="e">
        <f>D465/D580-0.5*D356</f>
        <v>#DIV/0!</v>
      </c>
      <c r="I588" s="1058"/>
      <c r="J588" s="1058"/>
      <c r="K588" s="1058"/>
      <c r="L588" s="1058"/>
      <c r="M588" s="1058"/>
      <c r="N588" s="1058"/>
      <c r="O588" s="511"/>
      <c r="P588" s="511"/>
      <c r="Q588" s="511"/>
      <c r="R588" s="511"/>
      <c r="S588" s="511"/>
      <c r="T588" s="511"/>
      <c r="U588" s="511"/>
      <c r="V588" s="511"/>
      <c r="W588" s="511"/>
      <c r="X588" s="511"/>
      <c r="Y588" s="511"/>
      <c r="Z588" s="511"/>
      <c r="AA588" s="511"/>
      <c r="AB588" s="511"/>
      <c r="AC588" s="511"/>
      <c r="AD588" s="22"/>
      <c r="AE588" s="511"/>
      <c r="AF588" s="511"/>
      <c r="AG588" s="511"/>
      <c r="AH588" s="511"/>
      <c r="AI588" s="511"/>
      <c r="AJ588" s="511"/>
      <c r="AK588" s="511"/>
      <c r="AL588" s="511"/>
      <c r="AM588" s="511"/>
      <c r="AN588" s="511"/>
      <c r="AO588" s="511"/>
      <c r="AP588" s="511"/>
      <c r="AQ588" s="511"/>
      <c r="AR588" s="511"/>
      <c r="AS588" s="511"/>
      <c r="AT588" s="511"/>
      <c r="AU588" s="511"/>
      <c r="AV588" s="511"/>
      <c r="AW588" s="511"/>
      <c r="AX588" s="511"/>
      <c r="AY588" s="511"/>
      <c r="AZ588" s="511"/>
      <c r="BA588" s="511"/>
      <c r="BC588" s="511"/>
      <c r="BD588" s="511"/>
      <c r="BE588" s="511"/>
      <c r="BF588" s="511"/>
      <c r="BG588" s="511"/>
      <c r="BH588" s="511"/>
      <c r="BI588" s="511"/>
      <c r="BJ588" s="511"/>
      <c r="BK588" s="511"/>
      <c r="BL588" s="246"/>
      <c r="BM588" s="95" t="str">
        <f t="shared" ref="BM588:BU588" si="125">TEXT(5/PI()*BM576/BM$339*$C$797*BM581/BM583,"#")&amp;" kHz &lt; "&amp;TEXT(BM$478/$C$780,"#")&amp;" kHz (fsw/"&amp;TEXT($C$780,"#")&amp;")"</f>
        <v>61 kHz &lt; 111 kHz (fsw/3)</v>
      </c>
      <c r="BN588" s="95" t="str">
        <f t="shared" si="125"/>
        <v>54 kHz &lt; 111 kHz (fsw/3)</v>
      </c>
      <c r="BO588" s="95" t="str">
        <f t="shared" si="125"/>
        <v>50 kHz &lt; 123 kHz (fsw/3)</v>
      </c>
      <c r="BP588" s="95" t="str">
        <f t="shared" si="125"/>
        <v>36 kHz &lt; 123 kHz (fsw/3)</v>
      </c>
      <c r="BQ588" s="95" t="str">
        <f t="shared" si="125"/>
        <v>356 kHz &lt; 333 kHz (fsw/3)</v>
      </c>
      <c r="BR588" s="95" t="str">
        <f t="shared" si="125"/>
        <v>57 kHz &lt; 93 kHz (fsw/3)</v>
      </c>
      <c r="BS588" s="95" t="str">
        <f t="shared" si="125"/>
        <v>75 kHz &lt; 93 kHz (fsw/3)</v>
      </c>
      <c r="BT588" s="95" t="str">
        <f t="shared" si="125"/>
        <v>3 kHz &lt; 123 kHz (fsw/3)</v>
      </c>
      <c r="BU588" s="95" t="str">
        <f t="shared" si="125"/>
        <v>2 kHz &lt; 123 kHz (fsw/3)</v>
      </c>
      <c r="BV588" s="409"/>
      <c r="BW588" s="399"/>
      <c r="BX588" s="334"/>
      <c r="BY588" s="334"/>
      <c r="BZ588" s="334"/>
      <c r="CA588" s="282"/>
      <c r="CB588" s="259"/>
      <c r="CC588" s="410"/>
      <c r="CD588" s="410"/>
      <c r="CE588" s="505"/>
      <c r="CF588" s="506"/>
      <c r="CG588" s="505"/>
      <c r="CH588" s="506"/>
      <c r="CI588" s="27"/>
      <c r="CM588" s="15"/>
    </row>
    <row r="589" spans="1:91" ht="15.05" hidden="1" customHeight="1">
      <c r="A589" s="934"/>
      <c r="B589" s="307" t="s">
        <v>1164</v>
      </c>
      <c r="C589" s="1102">
        <f>C465/C579-0.5*C354</f>
        <v>18.355287333325865</v>
      </c>
      <c r="D589" s="1102" t="e">
        <f>D465/D579-0.5*D354</f>
        <v>#DIV/0!</v>
      </c>
      <c r="I589" s="1142"/>
      <c r="J589" s="1142"/>
      <c r="K589" s="1142"/>
      <c r="L589" s="1142"/>
      <c r="M589" s="1142"/>
      <c r="N589" s="1142"/>
      <c r="O589" s="512"/>
      <c r="P589" s="512"/>
      <c r="Q589" s="512"/>
      <c r="R589" s="512"/>
      <c r="S589" s="512"/>
      <c r="T589" s="512"/>
      <c r="U589" s="512"/>
      <c r="V589" s="512"/>
      <c r="W589" s="512"/>
      <c r="X589" s="512"/>
      <c r="Y589" s="512"/>
      <c r="Z589" s="512"/>
      <c r="AA589" s="512"/>
      <c r="AB589" s="512"/>
      <c r="AC589" s="512"/>
      <c r="AD589" s="22"/>
      <c r="AE589" s="512"/>
      <c r="AF589" s="512"/>
      <c r="AG589" s="512"/>
      <c r="AH589" s="512"/>
      <c r="AI589" s="512"/>
      <c r="AJ589" s="512"/>
      <c r="AK589" s="512"/>
      <c r="AL589" s="512"/>
      <c r="AM589" s="512"/>
      <c r="AN589" s="512"/>
      <c r="AO589" s="512"/>
      <c r="AP589" s="512"/>
      <c r="AQ589" s="512"/>
      <c r="AR589" s="512"/>
      <c r="AS589" s="512"/>
      <c r="AT589" s="512"/>
      <c r="AU589" s="512"/>
      <c r="AV589" s="512"/>
      <c r="AW589" s="512"/>
      <c r="AX589" s="512"/>
      <c r="AY589" s="512"/>
      <c r="AZ589" s="512"/>
      <c r="BA589" s="512"/>
      <c r="BC589" s="512"/>
      <c r="BD589" s="512"/>
      <c r="BE589" s="512"/>
      <c r="BF589" s="512"/>
      <c r="BG589" s="512"/>
      <c r="BH589" s="512"/>
      <c r="BI589" s="512"/>
      <c r="BJ589" s="512"/>
      <c r="BK589" s="512"/>
      <c r="BL589" s="246"/>
      <c r="BM589" s="513" t="str">
        <f t="shared" ref="BM589:BU589" si="126">"&gt; "&amp;TEXT(BM$583*BM$585/BM$581, "#")&amp;" pF"</f>
        <v>&gt; 225 pF</v>
      </c>
      <c r="BN589" s="513" t="str">
        <f t="shared" si="126"/>
        <v>&gt; 363 pF</v>
      </c>
      <c r="BO589" s="513" t="str">
        <f t="shared" si="126"/>
        <v>&gt; 359 pF</v>
      </c>
      <c r="BP589" s="513" t="str">
        <f t="shared" si="126"/>
        <v>&gt; 507 pF</v>
      </c>
      <c r="BQ589" s="513" t="str">
        <f t="shared" si="126"/>
        <v>&gt; 28 pF</v>
      </c>
      <c r="BR589" s="513" t="str">
        <f t="shared" si="126"/>
        <v>&gt; 330 pF</v>
      </c>
      <c r="BS589" s="513" t="str">
        <f t="shared" si="126"/>
        <v>&gt; 495 pF</v>
      </c>
      <c r="BT589" s="513" t="str">
        <f t="shared" si="126"/>
        <v>&gt; 225 pF</v>
      </c>
      <c r="BU589" s="513" t="str">
        <f t="shared" si="126"/>
        <v>&gt; 402 pF</v>
      </c>
      <c r="BV589" s="409"/>
      <c r="BW589" s="399"/>
      <c r="BX589" s="334"/>
      <c r="BY589" s="334"/>
      <c r="BZ589" s="334"/>
      <c r="CA589" s="282"/>
      <c r="CB589" s="259"/>
      <c r="CC589" s="410"/>
      <c r="CD589" s="410"/>
      <c r="CE589" s="505"/>
      <c r="CF589" s="506"/>
      <c r="CG589" s="505"/>
      <c r="CH589" s="506"/>
      <c r="CI589" s="27"/>
    </row>
    <row r="590" spans="1:91" hidden="1">
      <c r="A590" s="934"/>
      <c r="B590" s="1126" t="s">
        <v>1165</v>
      </c>
      <c r="C590" s="1127">
        <f>C465/C578</f>
        <v>18.299819254182911</v>
      </c>
      <c r="D590" s="1127">
        <f>D465/D578</f>
        <v>6.7978077070144884</v>
      </c>
      <c r="I590" s="995"/>
      <c r="J590" s="995"/>
      <c r="K590" s="995"/>
      <c r="L590" s="995"/>
      <c r="M590" s="995"/>
      <c r="N590" s="995"/>
      <c r="O590" s="334"/>
      <c r="P590" s="334"/>
      <c r="Q590" s="334"/>
      <c r="R590" s="334"/>
      <c r="S590" s="334"/>
      <c r="T590" s="334"/>
      <c r="U590" s="334"/>
      <c r="V590" s="334"/>
      <c r="W590" s="334"/>
      <c r="X590" s="334"/>
      <c r="Y590" s="334"/>
      <c r="Z590" s="334"/>
      <c r="AA590" s="334"/>
      <c r="AB590" s="334"/>
      <c r="AC590" s="334"/>
      <c r="AD590" s="22"/>
      <c r="AE590" s="334"/>
      <c r="AF590" s="334"/>
      <c r="AG590" s="334"/>
      <c r="AH590" s="334"/>
      <c r="AI590" s="334"/>
      <c r="AJ590" s="334"/>
      <c r="AK590" s="334"/>
      <c r="AL590" s="334"/>
      <c r="AM590" s="334"/>
      <c r="AN590" s="334"/>
      <c r="AO590" s="334"/>
      <c r="AP590" s="334"/>
      <c r="AQ590" s="334"/>
      <c r="AR590" s="334"/>
      <c r="AS590" s="334"/>
      <c r="AT590" s="334"/>
      <c r="AU590" s="334"/>
      <c r="AV590" s="334"/>
      <c r="AW590" s="334"/>
      <c r="AX590" s="334"/>
      <c r="AY590" s="334"/>
      <c r="AZ590" s="334"/>
      <c r="BA590" s="334"/>
      <c r="BC590" s="334"/>
      <c r="BD590" s="334"/>
      <c r="BE590" s="334"/>
      <c r="BF590" s="334"/>
      <c r="BG590" s="334"/>
      <c r="BH590" s="334"/>
      <c r="BI590" s="334"/>
      <c r="BJ590" s="334"/>
      <c r="BK590" s="334"/>
      <c r="BL590" s="246"/>
      <c r="BM590" s="473">
        <v>680</v>
      </c>
      <c r="BN590" s="473">
        <v>680</v>
      </c>
      <c r="BO590" s="473">
        <v>680</v>
      </c>
      <c r="BP590" s="473">
        <v>680</v>
      </c>
      <c r="BQ590" s="473">
        <v>47</v>
      </c>
      <c r="BR590" s="473">
        <v>100</v>
      </c>
      <c r="BS590" s="473">
        <v>470</v>
      </c>
      <c r="BT590" s="473">
        <v>680</v>
      </c>
      <c r="BU590" s="473">
        <v>680</v>
      </c>
      <c r="BV590" s="409"/>
      <c r="BW590" s="399"/>
      <c r="BX590" s="334"/>
      <c r="BY590" s="334"/>
      <c r="BZ590" s="334"/>
      <c r="CA590" s="282"/>
      <c r="CB590" s="259"/>
      <c r="CC590" s="410"/>
      <c r="CD590" s="410"/>
      <c r="CE590" s="505"/>
      <c r="CF590" s="506"/>
      <c r="CG590" s="505"/>
      <c r="CH590" s="506"/>
      <c r="CI590" s="27"/>
      <c r="CM590" s="15"/>
    </row>
    <row r="591" spans="1:91" ht="15.05" hidden="1" customHeight="1">
      <c r="A591" s="108"/>
      <c r="B591" s="307" t="s">
        <v>872</v>
      </c>
      <c r="C591" s="1102">
        <f>C590/C332</f>
        <v>1.4296733792330398</v>
      </c>
      <c r="D591" s="1102">
        <f>D590/D332</f>
        <v>6.7978077070144884</v>
      </c>
      <c r="I591" s="995"/>
      <c r="J591" s="995"/>
      <c r="K591" s="995"/>
      <c r="L591" s="995"/>
      <c r="M591" s="995"/>
      <c r="N591" s="995"/>
      <c r="O591" s="334"/>
      <c r="P591" s="334"/>
      <c r="Q591" s="334"/>
      <c r="R591" s="334"/>
      <c r="S591" s="334"/>
      <c r="T591" s="334"/>
      <c r="U591" s="334"/>
      <c r="V591" s="334"/>
      <c r="W591" s="334"/>
      <c r="X591" s="334"/>
      <c r="Y591" s="334"/>
      <c r="Z591" s="334"/>
      <c r="AA591" s="334"/>
      <c r="AB591" s="334"/>
      <c r="AC591" s="334"/>
      <c r="AD591" s="22"/>
      <c r="AE591" s="334"/>
      <c r="AF591" s="334"/>
      <c r="AG591" s="334"/>
      <c r="AH591" s="334"/>
      <c r="AI591" s="334"/>
      <c r="AJ591" s="334"/>
      <c r="AK591" s="334"/>
      <c r="AL591" s="334"/>
      <c r="AM591" s="334"/>
      <c r="AN591" s="334"/>
      <c r="AO591" s="334"/>
      <c r="AP591" s="334"/>
      <c r="AQ591" s="334"/>
      <c r="AR591" s="334"/>
      <c r="AS591" s="334"/>
      <c r="AT591" s="334"/>
      <c r="AU591" s="334"/>
      <c r="AV591" s="334"/>
      <c r="AW591" s="334"/>
      <c r="AX591" s="334"/>
      <c r="AY591" s="334"/>
      <c r="AZ591" s="334"/>
      <c r="BA591" s="334"/>
      <c r="BC591" s="334"/>
      <c r="BD591" s="334"/>
      <c r="BE591" s="334"/>
      <c r="BF591" s="334"/>
      <c r="BG591" s="334"/>
      <c r="BH591" s="334"/>
      <c r="BI591" s="334"/>
      <c r="BJ591" s="334"/>
      <c r="BK591" s="334"/>
      <c r="BL591" s="246"/>
      <c r="BM591" s="514"/>
      <c r="BN591" s="514"/>
      <c r="BO591" s="514"/>
      <c r="BP591" s="514"/>
      <c r="BQ591" s="514"/>
      <c r="BR591" s="514"/>
      <c r="BS591" s="514"/>
      <c r="BT591" s="514"/>
      <c r="BU591" s="514"/>
      <c r="BV591" s="409"/>
      <c r="BW591" s="77"/>
      <c r="BX591" s="334"/>
      <c r="BY591" s="400"/>
      <c r="BZ591" s="334"/>
      <c r="CA591" s="282"/>
      <c r="CB591" s="259"/>
      <c r="CC591" s="410"/>
      <c r="CD591" s="410"/>
      <c r="CE591" s="505"/>
      <c r="CF591" s="506"/>
      <c r="CG591" s="505"/>
      <c r="CH591" s="506"/>
      <c r="CI591" s="27"/>
      <c r="CM591" s="15"/>
    </row>
    <row r="592" spans="1:91" hidden="1">
      <c r="A592" s="108"/>
      <c r="I592" s="1135"/>
      <c r="J592" s="1135"/>
      <c r="K592" s="1135"/>
      <c r="L592" s="1135"/>
      <c r="M592" s="1135"/>
      <c r="N592" s="1135"/>
      <c r="O592" s="515"/>
      <c r="P592" s="515"/>
      <c r="Q592" s="515"/>
      <c r="R592" s="515"/>
      <c r="S592" s="515"/>
      <c r="T592" s="515"/>
      <c r="U592" s="515"/>
      <c r="V592" s="515"/>
      <c r="W592" s="515"/>
      <c r="X592" s="515"/>
      <c r="Y592" s="515"/>
      <c r="Z592" s="515"/>
      <c r="AA592" s="515"/>
      <c r="AB592" s="515"/>
      <c r="AC592" s="515"/>
      <c r="AD592" s="22"/>
      <c r="AE592" s="515"/>
      <c r="AF592" s="515"/>
      <c r="AG592" s="515"/>
      <c r="AH592" s="515"/>
      <c r="AI592" s="515"/>
      <c r="AJ592" s="515"/>
      <c r="AK592" s="515"/>
      <c r="AL592" s="515"/>
      <c r="AM592" s="515"/>
      <c r="AN592" s="515"/>
      <c r="AO592" s="515"/>
      <c r="AP592" s="515"/>
      <c r="AQ592" s="515"/>
      <c r="AR592" s="515"/>
      <c r="AS592" s="515"/>
      <c r="AT592" s="515"/>
      <c r="AU592" s="515"/>
      <c r="AV592" s="515"/>
      <c r="AW592" s="515"/>
      <c r="AX592" s="515"/>
      <c r="AY592" s="515"/>
      <c r="AZ592" s="515"/>
      <c r="BA592" s="515"/>
      <c r="BC592" s="515"/>
      <c r="BD592" s="515"/>
      <c r="BE592" s="515"/>
      <c r="BF592" s="515"/>
      <c r="BG592" s="515"/>
      <c r="BH592" s="515"/>
      <c r="BI592" s="515"/>
      <c r="BJ592" s="515"/>
      <c r="BK592" s="515"/>
      <c r="BL592" s="246"/>
      <c r="BM592" s="516" t="str">
        <f t="shared" ref="BM592:BU592" si="127">"Approx. "&amp;TEXT(10/(2*PI()*5/PI()*BM576/BM$339*$C$797*BM581/BM583*BM$581)*10^6, "#")&amp;" pF"</f>
        <v>Approx. 2610 pF</v>
      </c>
      <c r="BN592" s="516" t="str">
        <f t="shared" si="127"/>
        <v>Approx. 3234 pF</v>
      </c>
      <c r="BO592" s="516" t="str">
        <f t="shared" si="127"/>
        <v>Approx. 3893 pF</v>
      </c>
      <c r="BP592" s="516" t="str">
        <f t="shared" si="127"/>
        <v>Approx. 5405 pF</v>
      </c>
      <c r="BQ592" s="516" t="str">
        <f t="shared" si="127"/>
        <v>Approx. 2035 pF</v>
      </c>
      <c r="BR592" s="516" t="str">
        <f t="shared" si="127"/>
        <v>Approx. 2811 pF</v>
      </c>
      <c r="BS592" s="516" t="str">
        <f t="shared" si="127"/>
        <v>Approx. 2110 pF</v>
      </c>
      <c r="BT592" s="516" t="str">
        <f t="shared" si="127"/>
        <v>Approx. 45911 pF</v>
      </c>
      <c r="BU592" s="516" t="str">
        <f t="shared" si="127"/>
        <v>Approx. 100142 pF</v>
      </c>
      <c r="BV592" s="409"/>
      <c r="BW592" s="390"/>
      <c r="BX592" s="334"/>
      <c r="BY592" s="334"/>
      <c r="BZ592" s="334"/>
      <c r="CA592" s="282"/>
      <c r="CB592" s="259"/>
      <c r="CC592" s="410"/>
      <c r="CD592" s="410"/>
      <c r="CE592" s="505"/>
      <c r="CF592" s="506"/>
      <c r="CG592" s="505"/>
      <c r="CH592" s="506"/>
      <c r="CI592" s="27"/>
    </row>
    <row r="593" spans="1:91" hidden="1">
      <c r="A593" s="120"/>
      <c r="B593" s="1138" t="s">
        <v>955</v>
      </c>
      <c r="E593" s="1142"/>
      <c r="I593" s="932"/>
      <c r="J593" s="932"/>
      <c r="K593" s="932"/>
      <c r="L593" s="932"/>
      <c r="M593" s="932"/>
      <c r="N593" s="932"/>
      <c r="O593" s="494"/>
      <c r="P593" s="494"/>
      <c r="Q593" s="494"/>
      <c r="R593" s="494"/>
      <c r="S593" s="494"/>
      <c r="T593" s="494"/>
      <c r="U593" s="494"/>
      <c r="V593" s="494"/>
      <c r="W593" s="494"/>
      <c r="X593" s="494"/>
      <c r="Y593" s="494"/>
      <c r="Z593" s="494"/>
      <c r="AA593" s="494"/>
      <c r="AB593" s="494"/>
      <c r="AC593" s="494"/>
      <c r="AD593" s="22"/>
      <c r="AE593" s="494"/>
      <c r="AF593" s="494"/>
      <c r="AG593" s="494"/>
      <c r="AH593" s="494"/>
      <c r="AI593" s="494"/>
      <c r="AJ593" s="494"/>
      <c r="AK593" s="494"/>
      <c r="AL593" s="494"/>
      <c r="AM593" s="494"/>
      <c r="AN593" s="494"/>
      <c r="AO593" s="494"/>
      <c r="AP593" s="494"/>
      <c r="AQ593" s="494"/>
      <c r="AR593" s="494"/>
      <c r="AS593" s="494"/>
      <c r="AT593" s="494"/>
      <c r="AU593" s="494"/>
      <c r="AV593" s="494"/>
      <c r="AW593" s="494"/>
      <c r="AX593" s="494"/>
      <c r="AY593" s="494"/>
      <c r="AZ593" s="494"/>
      <c r="BA593" s="494"/>
      <c r="BC593" s="494"/>
      <c r="BD593" s="494"/>
      <c r="BE593" s="494"/>
      <c r="BF593" s="494"/>
      <c r="BG593" s="494"/>
      <c r="BH593" s="494"/>
      <c r="BI593" s="494"/>
      <c r="BJ593" s="494"/>
      <c r="BK593" s="494"/>
      <c r="BL593" s="246"/>
      <c r="BM593" s="308">
        <v>1800</v>
      </c>
      <c r="BN593" s="308">
        <v>2200</v>
      </c>
      <c r="BO593" s="308">
        <v>3300</v>
      </c>
      <c r="BP593" s="308">
        <v>3300</v>
      </c>
      <c r="BQ593" s="308">
        <v>1800</v>
      </c>
      <c r="BR593" s="308">
        <v>1800</v>
      </c>
      <c r="BS593" s="308">
        <v>1800</v>
      </c>
      <c r="BT593" s="308">
        <v>3300</v>
      </c>
      <c r="BU593" s="308">
        <v>3300</v>
      </c>
      <c r="BV593" s="259"/>
      <c r="BW593" s="390"/>
      <c r="BX593" s="334"/>
      <c r="BY593" s="80"/>
      <c r="BZ593" s="81"/>
      <c r="CA593" s="282"/>
      <c r="CB593" s="247"/>
      <c r="CC593" s="410"/>
      <c r="CD593" s="410"/>
      <c r="CE593" s="410"/>
      <c r="CF593" s="410"/>
      <c r="CG593" s="410"/>
      <c r="CH593" s="410"/>
      <c r="CI593" s="27"/>
    </row>
    <row r="594" spans="1:91" hidden="1">
      <c r="A594" s="120"/>
      <c r="B594" s="1120" t="s">
        <v>1173</v>
      </c>
      <c r="C594" s="1032">
        <f>SQRT(C469^2+C339^2+C784^2+C785^2)</f>
        <v>0.25873624493766711</v>
      </c>
      <c r="D594" s="1032">
        <f>SQRT(D469^2+D339^2+D784^2+D785^2)</f>
        <v>0.25873624493766711</v>
      </c>
      <c r="E594" s="995"/>
      <c r="I594" s="1121"/>
      <c r="J594" s="1121"/>
      <c r="K594" s="1121"/>
      <c r="L594" s="1121"/>
      <c r="M594" s="1121"/>
      <c r="N594" s="1121"/>
      <c r="O594" s="479"/>
      <c r="P594" s="479"/>
      <c r="Q594" s="479"/>
      <c r="R594" s="479"/>
      <c r="S594" s="479"/>
      <c r="T594" s="479"/>
      <c r="U594" s="479"/>
      <c r="V594" s="479"/>
      <c r="W594" s="479"/>
      <c r="X594" s="479"/>
      <c r="Y594" s="479"/>
      <c r="Z594" s="479"/>
      <c r="AA594" s="479"/>
      <c r="AB594" s="479"/>
      <c r="AC594" s="479"/>
      <c r="AD594" s="22"/>
      <c r="AE594" s="479"/>
      <c r="AF594" s="479"/>
      <c r="AG594" s="479"/>
      <c r="AH594" s="479"/>
      <c r="AI594" s="479"/>
      <c r="AJ594" s="479"/>
      <c r="AK594" s="479"/>
      <c r="AL594" s="479"/>
      <c r="AM594" s="479"/>
      <c r="AN594" s="479"/>
      <c r="AO594" s="479"/>
      <c r="AP594" s="479"/>
      <c r="AQ594" s="479"/>
      <c r="AR594" s="479"/>
      <c r="AS594" s="479"/>
      <c r="AT594" s="479"/>
      <c r="AU594" s="479"/>
      <c r="AV594" s="479"/>
      <c r="AW594" s="479"/>
      <c r="AX594" s="479"/>
      <c r="AY594" s="479"/>
      <c r="AZ594" s="479"/>
      <c r="BA594" s="479"/>
      <c r="BC594" s="479"/>
      <c r="BD594" s="479"/>
      <c r="BE594" s="479"/>
      <c r="BF594" s="479"/>
      <c r="BG594" s="479"/>
      <c r="BH594" s="479"/>
      <c r="BI594" s="479"/>
      <c r="BJ594" s="479"/>
      <c r="BK594" s="479"/>
      <c r="BL594" s="246"/>
      <c r="BM594" s="485">
        <f t="shared" ref="BM594:BU594" si="128">1/(2*PI()*BM593*BM581)*10^6/(5/PI()*BM576/BM$339*$C$797*BM581/BM583)</f>
        <v>0.14499999999999996</v>
      </c>
      <c r="BN594" s="485">
        <f t="shared" si="128"/>
        <v>0.14701510672206644</v>
      </c>
      <c r="BO594" s="485">
        <f t="shared" si="128"/>
        <v>0.11795528154838089</v>
      </c>
      <c r="BP594" s="485">
        <f t="shared" si="128"/>
        <v>0.16377670551773268</v>
      </c>
      <c r="BQ594" s="485">
        <f t="shared" si="128"/>
        <v>0.11304218319559228</v>
      </c>
      <c r="BR594" s="485">
        <f t="shared" si="128"/>
        <v>0.15614675320987653</v>
      </c>
      <c r="BS594" s="485">
        <f t="shared" si="128"/>
        <v>0.11724164925000002</v>
      </c>
      <c r="BT594" s="485">
        <f t="shared" si="128"/>
        <v>1.3912304985337245</v>
      </c>
      <c r="BU594" s="485">
        <f t="shared" si="128"/>
        <v>3.0346094554572614</v>
      </c>
      <c r="BV594" s="334"/>
      <c r="BW594" s="390"/>
      <c r="BX594" s="334"/>
      <c r="BY594" s="400"/>
      <c r="BZ594" s="334"/>
      <c r="CA594" s="282"/>
      <c r="CB594" s="247"/>
      <c r="CC594" s="246"/>
    </row>
    <row r="595" spans="1:91" hidden="1">
      <c r="A595" s="120"/>
      <c r="B595" s="1120" t="s">
        <v>1174</v>
      </c>
      <c r="C595" s="1032">
        <f>SQRT(C469^2+C339^2+C784^2+C786^2)</f>
        <v>0.25385910352879698</v>
      </c>
      <c r="D595" s="1032">
        <f>SQRT(D469^2+D339^2+D784^2+D786^2)</f>
        <v>0.25385910352879698</v>
      </c>
      <c r="E595" s="995"/>
      <c r="I595" s="995"/>
      <c r="J595" s="995"/>
      <c r="K595" s="995"/>
      <c r="L595" s="995"/>
      <c r="M595" s="995"/>
      <c r="N595" s="995"/>
      <c r="O595" s="334"/>
      <c r="P595" s="334"/>
      <c r="Q595" s="334"/>
      <c r="R595" s="334"/>
      <c r="S595" s="334"/>
      <c r="T595" s="334"/>
      <c r="U595" s="334"/>
      <c r="V595" s="334"/>
      <c r="W595" s="334"/>
      <c r="X595" s="334"/>
      <c r="Y595" s="334"/>
      <c r="Z595" s="334"/>
      <c r="AA595" s="334"/>
      <c r="AB595" s="334"/>
      <c r="AC595" s="334"/>
      <c r="AD595" s="22"/>
      <c r="AE595" s="334"/>
      <c r="AF595" s="334"/>
      <c r="AG595" s="334"/>
      <c r="AH595" s="334"/>
      <c r="AI595" s="334"/>
      <c r="AJ595" s="334"/>
      <c r="AK595" s="334"/>
      <c r="AL595" s="334"/>
      <c r="AM595" s="334"/>
      <c r="AN595" s="334"/>
      <c r="AO595" s="334"/>
      <c r="AP595" s="334"/>
      <c r="AQ595" s="334"/>
      <c r="AR595" s="334"/>
      <c r="AS595" s="334"/>
      <c r="AT595" s="334"/>
      <c r="AU595" s="334"/>
      <c r="AV595" s="334"/>
      <c r="AW595" s="334"/>
      <c r="AX595" s="334"/>
      <c r="AY595" s="334"/>
      <c r="AZ595" s="334"/>
      <c r="BA595" s="334"/>
      <c r="BC595" s="334"/>
      <c r="BD595" s="334"/>
      <c r="BE595" s="334"/>
      <c r="BF595" s="334"/>
      <c r="BG595" s="334"/>
      <c r="BH595" s="334"/>
      <c r="BI595" s="334"/>
      <c r="BJ595" s="334"/>
      <c r="BK595" s="334"/>
      <c r="BL595" s="246"/>
      <c r="BM595" s="259"/>
      <c r="BN595" s="259"/>
      <c r="BO595" s="259"/>
      <c r="BP595" s="259"/>
      <c r="BQ595" s="259"/>
      <c r="BR595" s="259"/>
      <c r="BS595" s="259"/>
      <c r="BT595" s="259"/>
      <c r="BU595" s="259"/>
      <c r="BV595" s="334"/>
      <c r="BW595" s="390"/>
      <c r="BX595" s="334"/>
      <c r="BY595" s="334"/>
      <c r="BZ595" s="334"/>
      <c r="CA595" s="282"/>
      <c r="CB595" s="247"/>
      <c r="CC595" s="410"/>
      <c r="CD595" s="27"/>
      <c r="CE595" s="27"/>
      <c r="CF595" s="27"/>
      <c r="CG595" s="27"/>
      <c r="CH595" s="27"/>
      <c r="CI595" s="27"/>
      <c r="CJ595" s="27"/>
    </row>
    <row r="596" spans="1:91" hidden="1">
      <c r="A596" s="120"/>
      <c r="B596" s="1120" t="s">
        <v>1175</v>
      </c>
      <c r="C596" s="1032">
        <f>SQRT(C469^2+C785^2)</f>
        <v>0.13017082793177759</v>
      </c>
      <c r="D596" s="1032">
        <f>SQRT(D469^2+D785^2)</f>
        <v>0.13017082793177759</v>
      </c>
      <c r="E596" s="1135"/>
      <c r="I596" s="1122"/>
      <c r="J596" s="1122"/>
      <c r="K596" s="1122"/>
      <c r="L596" s="1122"/>
      <c r="M596" s="1122"/>
      <c r="N596" s="1122"/>
      <c r="O596" s="517"/>
      <c r="P596" s="517"/>
      <c r="Q596" s="517"/>
      <c r="R596" s="517"/>
      <c r="S596" s="517"/>
      <c r="T596" s="517"/>
      <c r="U596" s="517"/>
      <c r="V596" s="517"/>
      <c r="W596" s="517"/>
      <c r="X596" s="517"/>
      <c r="Y596" s="517"/>
      <c r="Z596" s="517"/>
      <c r="AA596" s="517"/>
      <c r="AB596" s="517"/>
      <c r="AC596" s="517"/>
      <c r="AD596" s="22"/>
      <c r="AE596" s="517"/>
      <c r="AF596" s="517"/>
      <c r="AG596" s="517"/>
      <c r="AH596" s="517"/>
      <c r="AI596" s="517"/>
      <c r="AJ596" s="517"/>
      <c r="AK596" s="517"/>
      <c r="AL596" s="517"/>
      <c r="AM596" s="517"/>
      <c r="AN596" s="517"/>
      <c r="AO596" s="517"/>
      <c r="AP596" s="517"/>
      <c r="AQ596" s="517"/>
      <c r="AR596" s="517"/>
      <c r="AS596" s="517"/>
      <c r="AT596" s="517"/>
      <c r="AU596" s="517"/>
      <c r="AV596" s="517"/>
      <c r="AW596" s="517"/>
      <c r="AX596" s="517"/>
      <c r="AY596" s="517"/>
      <c r="AZ596" s="517"/>
      <c r="BA596" s="517"/>
      <c r="BC596" s="517"/>
      <c r="BD596" s="517"/>
      <c r="BE596" s="517"/>
      <c r="BF596" s="517"/>
      <c r="BG596" s="517"/>
      <c r="BH596" s="517"/>
      <c r="BI596" s="517"/>
      <c r="BJ596" s="517"/>
      <c r="BK596" s="517"/>
      <c r="BL596" s="246"/>
      <c r="BM596" s="518" t="str">
        <f t="shared" ref="BM596:BU596" si="129">"&gt; "&amp;TEXT($C$691*BM339^2/BM$482/BM518,"#.0")&amp;" m-ohm"</f>
        <v>&gt; 52.5 m-ohm</v>
      </c>
      <c r="BN596" s="518" t="str">
        <f t="shared" si="129"/>
        <v>&gt; 12.8 m-ohm</v>
      </c>
      <c r="BO596" s="518" t="str">
        <f t="shared" si="129"/>
        <v>&gt; 28.9 m-ohm</v>
      </c>
      <c r="BP596" s="518" t="str">
        <f t="shared" si="129"/>
        <v>&gt; 12.0 m-ohm</v>
      </c>
      <c r="BQ596" s="518" t="str">
        <f t="shared" si="129"/>
        <v>&gt; 1.7 m-ohm</v>
      </c>
      <c r="BR596" s="518" t="str">
        <f t="shared" si="129"/>
        <v>&gt; 6.1 m-ohm</v>
      </c>
      <c r="BS596" s="518" t="str">
        <f t="shared" si="129"/>
        <v>&gt; .6 m-ohm</v>
      </c>
      <c r="BT596" s="518" t="str">
        <f t="shared" si="129"/>
        <v>&gt; 592.6 m-ohm</v>
      </c>
      <c r="BU596" s="518" t="str">
        <f t="shared" si="129"/>
        <v>&gt; 592.6 m-ohm</v>
      </c>
      <c r="BV596" s="334"/>
      <c r="BW596" s="390"/>
      <c r="BX596" s="519"/>
      <c r="BY596" s="334"/>
      <c r="BZ596" s="334"/>
      <c r="CA596" s="282"/>
      <c r="CB596" s="247"/>
      <c r="CC596" s="410"/>
      <c r="CD596" s="410"/>
      <c r="CE596" s="410"/>
      <c r="CF596" s="410"/>
      <c r="CG596" s="410"/>
      <c r="CH596" s="410"/>
      <c r="CI596" s="27"/>
      <c r="CJ596" s="27"/>
    </row>
    <row r="597" spans="1:91" hidden="1">
      <c r="A597" s="120"/>
      <c r="B597" s="1120" t="s">
        <v>840</v>
      </c>
      <c r="C597" s="1032">
        <f>SQRT(C469^2+C786^2)</f>
        <v>0.12018504251546633</v>
      </c>
      <c r="D597" s="1032">
        <f>SQRT(D469^2+D786^2)</f>
        <v>0.12018504251546633</v>
      </c>
      <c r="E597" s="932"/>
      <c r="I597" s="1122"/>
      <c r="J597" s="1122"/>
      <c r="K597" s="1122"/>
      <c r="L597" s="1122"/>
      <c r="M597" s="1122"/>
      <c r="N597" s="1122"/>
      <c r="O597" s="517"/>
      <c r="P597" s="517"/>
      <c r="Q597" s="517"/>
      <c r="R597" s="517"/>
      <c r="S597" s="517"/>
      <c r="T597" s="517"/>
      <c r="U597" s="517"/>
      <c r="V597" s="517"/>
      <c r="W597" s="517"/>
      <c r="X597" s="517"/>
      <c r="Y597" s="517"/>
      <c r="Z597" s="517"/>
      <c r="AA597" s="517"/>
      <c r="AB597" s="517"/>
      <c r="AC597" s="517"/>
      <c r="AD597" s="22"/>
      <c r="AE597" s="517"/>
      <c r="AF597" s="517"/>
      <c r="AG597" s="517"/>
      <c r="AH597" s="517"/>
      <c r="AI597" s="517"/>
      <c r="AJ597" s="517"/>
      <c r="AK597" s="517"/>
      <c r="AL597" s="517"/>
      <c r="AM597" s="517"/>
      <c r="AN597" s="517"/>
      <c r="AO597" s="517"/>
      <c r="AP597" s="517"/>
      <c r="AQ597" s="517"/>
      <c r="AR597" s="517"/>
      <c r="AS597" s="517"/>
      <c r="AT597" s="517"/>
      <c r="AU597" s="517"/>
      <c r="AV597" s="517"/>
      <c r="AW597" s="517"/>
      <c r="AX597" s="517"/>
      <c r="AY597" s="517"/>
      <c r="AZ597" s="517"/>
      <c r="BA597" s="517"/>
      <c r="BC597" s="517"/>
      <c r="BD597" s="517"/>
      <c r="BE597" s="517"/>
      <c r="BF597" s="517"/>
      <c r="BG597" s="517"/>
      <c r="BH597" s="517"/>
      <c r="BI597" s="517"/>
      <c r="BJ597" s="517"/>
      <c r="BK597" s="517"/>
      <c r="BL597" s="246"/>
      <c r="BM597" s="518" t="str">
        <f t="shared" ref="BM597:BU597" si="130">"&gt; "&amp;TEXT($C$691*BM339^2/BM$483/BM519,"#.0")&amp;" m-ohm"</f>
        <v>&gt; 7.5 m-ohm</v>
      </c>
      <c r="BN597" s="518" t="str">
        <f t="shared" si="130"/>
        <v>&gt; 4.0 m-ohm</v>
      </c>
      <c r="BO597" s="518" t="str">
        <f t="shared" si="130"/>
        <v>&gt; 14.9 m-ohm</v>
      </c>
      <c r="BP597" s="518" t="str">
        <f t="shared" si="130"/>
        <v>&gt; 7.5 m-ohm</v>
      </c>
      <c r="BQ597" s="518" t="str">
        <f t="shared" si="130"/>
        <v>&gt; 1.7 m-ohm</v>
      </c>
      <c r="BR597" s="518" t="str">
        <f t="shared" si="130"/>
        <v>&gt; 3.3 m-ohm</v>
      </c>
      <c r="BS597" s="518" t="str">
        <f t="shared" si="130"/>
        <v>&gt; .4 m-ohm</v>
      </c>
      <c r="BT597" s="518" t="str">
        <f t="shared" si="130"/>
        <v>&gt; 29.6 m-ohm</v>
      </c>
      <c r="BU597" s="518" t="str">
        <f t="shared" si="130"/>
        <v>&gt; 29.6 m-ohm</v>
      </c>
      <c r="BV597" s="77"/>
      <c r="BW597" s="77"/>
      <c r="BX597" s="519"/>
      <c r="BY597" s="334"/>
      <c r="BZ597" s="334"/>
      <c r="CA597" s="282"/>
      <c r="CB597" s="247"/>
      <c r="CC597" s="410"/>
      <c r="CD597" s="410"/>
      <c r="CE597" s="410"/>
      <c r="CF597" s="410"/>
      <c r="CG597" s="410"/>
      <c r="CH597" s="410"/>
      <c r="CI597" s="27"/>
      <c r="CJ597" s="27"/>
    </row>
    <row r="598" spans="1:91" ht="38.700000000000003" hidden="1">
      <c r="A598" s="120"/>
      <c r="B598" s="1120" t="s">
        <v>956</v>
      </c>
      <c r="C598" s="1044">
        <f>C332/(1-C595)</f>
        <v>17.154936903386865</v>
      </c>
      <c r="D598" s="1044">
        <f>D332/(1-D595)</f>
        <v>1.3402294455770989</v>
      </c>
      <c r="I598" s="1143"/>
      <c r="J598" s="1143"/>
      <c r="K598" s="1143"/>
      <c r="L598" s="1143"/>
      <c r="M598" s="1143"/>
      <c r="N598" s="1143"/>
      <c r="O598" s="520"/>
      <c r="P598" s="520"/>
      <c r="Q598" s="520"/>
      <c r="R598" s="520"/>
      <c r="S598" s="520"/>
      <c r="T598" s="520"/>
      <c r="U598" s="520"/>
      <c r="V598" s="520"/>
      <c r="W598" s="520"/>
      <c r="X598" s="520"/>
      <c r="Y598" s="520"/>
      <c r="Z598" s="520"/>
      <c r="AA598" s="520"/>
      <c r="AB598" s="520"/>
      <c r="AC598" s="520"/>
      <c r="AD598" s="22"/>
      <c r="AE598" s="520"/>
      <c r="AF598" s="520"/>
      <c r="AG598" s="520"/>
      <c r="AH598" s="520"/>
      <c r="AI598" s="520"/>
      <c r="AJ598" s="520"/>
      <c r="AK598" s="520"/>
      <c r="AL598" s="520"/>
      <c r="AM598" s="520"/>
      <c r="AN598" s="520"/>
      <c r="AO598" s="520"/>
      <c r="AP598" s="520"/>
      <c r="AQ598" s="520"/>
      <c r="AR598" s="520"/>
      <c r="AS598" s="520"/>
      <c r="AT598" s="520"/>
      <c r="AU598" s="520"/>
      <c r="AV598" s="520"/>
      <c r="AW598" s="520"/>
      <c r="AX598" s="520"/>
      <c r="AY598" s="520"/>
      <c r="AZ598" s="520"/>
      <c r="BA598" s="520"/>
      <c r="BC598" s="520"/>
      <c r="BD598" s="520"/>
      <c r="BE598" s="520"/>
      <c r="BF598" s="520"/>
      <c r="BG598" s="520"/>
      <c r="BH598" s="520"/>
      <c r="BI598" s="520"/>
      <c r="BJ598" s="520"/>
      <c r="BK598" s="520"/>
      <c r="BL598" s="246"/>
      <c r="BM598" s="521" t="str">
        <f t="shared" ref="BM598:BU598" si="131">""&amp;TEXT(10^6/(2*PI()*BM583*BM585),"#.0")&amp;"-kHz &lt; fsw/3("&amp;TEXT(BM$478/$C$780,"###")&amp;"-kHz)"</f>
        <v>70.7-kHz &lt; fsw/3(111-kHz)</v>
      </c>
      <c r="BN598" s="521" t="str">
        <f t="shared" si="131"/>
        <v>48.2-kHz &lt; fsw/3(111-kHz)</v>
      </c>
      <c r="BO598" s="521" t="str">
        <f t="shared" si="131"/>
        <v>54.1-kHz &lt; fsw/3(123-kHz)</v>
      </c>
      <c r="BP598" s="521" t="str">
        <f t="shared" si="131"/>
        <v>38.3-kHz &lt; fsw/3(123-kHz)</v>
      </c>
      <c r="BQ598" s="521" t="str">
        <f t="shared" si="131"/>
        <v>2550.6-kHz &lt; fsw/3(333-kHz)</v>
      </c>
      <c r="BR598" s="521" t="str">
        <f t="shared" si="131"/>
        <v>48.2-kHz &lt; fsw/3(93-kHz)</v>
      </c>
      <c r="BS598" s="521" t="str">
        <f t="shared" si="131"/>
        <v>32.2-kHz &lt; fsw/3(93-kHz)</v>
      </c>
      <c r="BT598" s="521" t="str">
        <f t="shared" si="131"/>
        <v>70.7-kHz &lt; fsw/3(123-kHz)</v>
      </c>
      <c r="BU598" s="521" t="str">
        <f t="shared" si="131"/>
        <v>48.2-kHz &lt; fsw/3(123-kHz)</v>
      </c>
      <c r="BV598" s="334"/>
      <c r="BW598" s="399"/>
      <c r="BX598" s="334"/>
      <c r="BY598" s="334"/>
      <c r="BZ598" s="334"/>
      <c r="CA598" s="282"/>
      <c r="CB598" s="259"/>
      <c r="CC598" s="410"/>
      <c r="CD598" s="410"/>
      <c r="CE598" s="505"/>
      <c r="CF598" s="506"/>
      <c r="CG598" s="505"/>
      <c r="CH598" s="506"/>
      <c r="CI598" s="27"/>
      <c r="CJ598" s="27"/>
    </row>
    <row r="599" spans="1:91" hidden="1">
      <c r="A599" s="120"/>
      <c r="B599" s="1120" t="s">
        <v>863</v>
      </c>
      <c r="C599" s="1044">
        <f>C598+0.5*C355</f>
        <v>19.099381347831308</v>
      </c>
      <c r="D599" s="1044" t="e">
        <f>D598+0.5*D355</f>
        <v>#DIV/0!</v>
      </c>
      <c r="I599" s="1106"/>
      <c r="J599" s="1106"/>
      <c r="K599" s="1106"/>
      <c r="L599" s="1106"/>
      <c r="M599" s="1106"/>
      <c r="N599" s="1106"/>
      <c r="O599" s="455"/>
      <c r="P599" s="455"/>
      <c r="Q599" s="455"/>
      <c r="R599" s="455"/>
      <c r="S599" s="455"/>
      <c r="T599" s="455"/>
      <c r="U599" s="455"/>
      <c r="V599" s="455"/>
      <c r="W599" s="455"/>
      <c r="X599" s="455"/>
      <c r="Y599" s="455"/>
      <c r="Z599" s="455"/>
      <c r="AA599" s="455"/>
      <c r="AB599" s="455"/>
      <c r="AC599" s="455"/>
      <c r="AD599" s="22"/>
      <c r="AE599" s="455"/>
      <c r="AF599" s="455"/>
      <c r="AG599" s="455"/>
      <c r="AH599" s="455"/>
      <c r="AI599" s="455"/>
      <c r="AJ599" s="455"/>
      <c r="AK599" s="455"/>
      <c r="AL599" s="455"/>
      <c r="AM599" s="455"/>
      <c r="AN599" s="455"/>
      <c r="AO599" s="455"/>
      <c r="AP599" s="455"/>
      <c r="AQ599" s="455"/>
      <c r="AR599" s="455"/>
      <c r="AS599" s="455"/>
      <c r="AT599" s="455"/>
      <c r="AU599" s="455"/>
      <c r="AV599" s="455"/>
      <c r="AW599" s="455"/>
      <c r="AX599" s="455"/>
      <c r="AY599" s="455"/>
      <c r="AZ599" s="455"/>
      <c r="BA599" s="455"/>
      <c r="BC599" s="455"/>
      <c r="BD599" s="455"/>
      <c r="BE599" s="455"/>
      <c r="BF599" s="455"/>
      <c r="BG599" s="455"/>
      <c r="BH599" s="455"/>
      <c r="BI599" s="455"/>
      <c r="BJ599" s="455"/>
      <c r="BK599" s="455"/>
      <c r="BL599" s="246"/>
      <c r="BM599" s="462">
        <f t="shared" ref="BM599:BU599" si="132">BM$585*BM518</f>
        <v>5.9523809523809534</v>
      </c>
      <c r="BN599" s="462">
        <f t="shared" si="132"/>
        <v>10.609772029525118</v>
      </c>
      <c r="BO599" s="462">
        <f t="shared" si="132"/>
        <v>26.841480978260869</v>
      </c>
      <c r="BP599" s="462">
        <f t="shared" si="132"/>
        <v>14.343101449275363</v>
      </c>
      <c r="BQ599" s="462">
        <f t="shared" si="132"/>
        <v>1.4000000000000004</v>
      </c>
      <c r="BR599" s="462">
        <f t="shared" si="132"/>
        <v>16.61228689006467</v>
      </c>
      <c r="BS599" s="462">
        <f t="shared" si="132"/>
        <v>12.026408450704229</v>
      </c>
      <c r="BT599" s="462">
        <f t="shared" si="132"/>
        <v>0.9529411764705884</v>
      </c>
      <c r="BU599" s="462">
        <f t="shared" si="132"/>
        <v>0.9529411764705884</v>
      </c>
      <c r="BV599" s="334"/>
      <c r="BW599" s="390"/>
      <c r="BX599" s="334"/>
      <c r="BY599" s="334"/>
      <c r="BZ599" s="334"/>
      <c r="CA599" s="282"/>
      <c r="CB599" s="259"/>
      <c r="CC599" s="410"/>
      <c r="CD599" s="410"/>
      <c r="CE599" s="505"/>
      <c r="CF599" s="506"/>
      <c r="CG599" s="505"/>
      <c r="CH599" s="506"/>
      <c r="CI599" s="27"/>
      <c r="CJ599" s="27"/>
    </row>
    <row r="600" spans="1:91" hidden="1">
      <c r="A600" s="120"/>
      <c r="B600" s="1120" t="s">
        <v>861</v>
      </c>
      <c r="C600" s="1044">
        <f>C465/C599</f>
        <v>3.1414630090525351</v>
      </c>
      <c r="D600" s="1044" t="e">
        <f>D465/D599</f>
        <v>#DIV/0!</v>
      </c>
      <c r="I600" s="1106"/>
      <c r="J600" s="1106"/>
      <c r="K600" s="1106"/>
      <c r="L600" s="1106"/>
      <c r="M600" s="1106"/>
      <c r="N600" s="1106"/>
      <c r="O600" s="455"/>
      <c r="P600" s="455"/>
      <c r="Q600" s="455"/>
      <c r="R600" s="455"/>
      <c r="S600" s="455"/>
      <c r="T600" s="455"/>
      <c r="U600" s="455"/>
      <c r="V600" s="455"/>
      <c r="W600" s="455"/>
      <c r="X600" s="455"/>
      <c r="Y600" s="455"/>
      <c r="Z600" s="455"/>
      <c r="AA600" s="455"/>
      <c r="AB600" s="455"/>
      <c r="AC600" s="455"/>
      <c r="AD600" s="22"/>
      <c r="AE600" s="455"/>
      <c r="AF600" s="455"/>
      <c r="AG600" s="455"/>
      <c r="AH600" s="455"/>
      <c r="AI600" s="455"/>
      <c r="AJ600" s="455"/>
      <c r="AK600" s="455"/>
      <c r="AL600" s="455"/>
      <c r="AM600" s="455"/>
      <c r="AN600" s="455"/>
      <c r="AO600" s="455"/>
      <c r="AP600" s="455"/>
      <c r="AQ600" s="455"/>
      <c r="AR600" s="455"/>
      <c r="AS600" s="455"/>
      <c r="AT600" s="455"/>
      <c r="AU600" s="455"/>
      <c r="AV600" s="455"/>
      <c r="AW600" s="455"/>
      <c r="AX600" s="455"/>
      <c r="AY600" s="455"/>
      <c r="AZ600" s="455"/>
      <c r="BA600" s="455"/>
      <c r="BC600" s="455"/>
      <c r="BD600" s="455"/>
      <c r="BE600" s="455"/>
      <c r="BF600" s="455"/>
      <c r="BG600" s="455"/>
      <c r="BH600" s="455"/>
      <c r="BI600" s="455"/>
      <c r="BJ600" s="455"/>
      <c r="BK600" s="455"/>
      <c r="BL600" s="246"/>
      <c r="BM600" s="462"/>
      <c r="BN600" s="462"/>
      <c r="BO600" s="462"/>
      <c r="BP600" s="462"/>
      <c r="BQ600" s="462"/>
      <c r="BR600" s="462"/>
      <c r="BS600" s="462"/>
      <c r="BT600" s="462"/>
      <c r="BU600" s="462"/>
      <c r="BV600" s="334"/>
      <c r="BW600" s="390"/>
      <c r="BX600" s="334"/>
      <c r="BY600" s="334"/>
      <c r="BZ600" s="334"/>
      <c r="CA600" s="282"/>
      <c r="CB600" s="259"/>
      <c r="CC600" s="410"/>
      <c r="CD600" s="410"/>
      <c r="CE600" s="505"/>
      <c r="CF600" s="506"/>
      <c r="CG600" s="505"/>
      <c r="CH600" s="506"/>
      <c r="CI600" s="27"/>
      <c r="CJ600" s="27"/>
    </row>
    <row r="601" spans="1:91" hidden="1">
      <c r="A601" s="120"/>
      <c r="B601" s="1144" t="s">
        <v>863</v>
      </c>
      <c r="C601" s="1044">
        <f>C598+0.5*C355</f>
        <v>19.099381347831308</v>
      </c>
      <c r="D601" s="1044" t="e">
        <f>D598+0.5*D355</f>
        <v>#DIV/0!</v>
      </c>
      <c r="I601" s="1106"/>
      <c r="J601" s="1106"/>
      <c r="K601" s="1106"/>
      <c r="L601" s="1106"/>
      <c r="M601" s="1106"/>
      <c r="N601" s="1106"/>
      <c r="O601" s="455"/>
      <c r="P601" s="455"/>
      <c r="Q601" s="455"/>
      <c r="R601" s="455"/>
      <c r="S601" s="455"/>
      <c r="T601" s="455"/>
      <c r="U601" s="455"/>
      <c r="V601" s="455"/>
      <c r="W601" s="455"/>
      <c r="X601" s="455"/>
      <c r="Y601" s="455"/>
      <c r="Z601" s="455"/>
      <c r="AA601" s="455"/>
      <c r="AB601" s="455"/>
      <c r="AC601" s="455"/>
      <c r="AD601" s="22"/>
      <c r="AE601" s="455"/>
      <c r="AF601" s="455"/>
      <c r="AG601" s="455"/>
      <c r="AH601" s="455"/>
      <c r="AI601" s="455"/>
      <c r="AJ601" s="455"/>
      <c r="AK601" s="455"/>
      <c r="AL601" s="455"/>
      <c r="AM601" s="455"/>
      <c r="AN601" s="455"/>
      <c r="AO601" s="455"/>
      <c r="AP601" s="455"/>
      <c r="AQ601" s="455"/>
      <c r="AR601" s="455"/>
      <c r="AS601" s="455"/>
      <c r="AT601" s="455"/>
      <c r="AU601" s="455"/>
      <c r="AV601" s="455"/>
      <c r="AW601" s="455"/>
      <c r="AX601" s="455"/>
      <c r="AY601" s="455"/>
      <c r="AZ601" s="455"/>
      <c r="BA601" s="455"/>
      <c r="BC601" s="455"/>
      <c r="BD601" s="455"/>
      <c r="BE601" s="455"/>
      <c r="BF601" s="455"/>
      <c r="BG601" s="455"/>
      <c r="BH601" s="455"/>
      <c r="BI601" s="455"/>
      <c r="BJ601" s="455"/>
      <c r="BK601" s="455"/>
      <c r="BL601" s="246"/>
      <c r="BM601" s="462">
        <f t="shared" ref="BM601:BU601" si="133">BM$585*BM519</f>
        <v>20.833333333333339</v>
      </c>
      <c r="BN601" s="462">
        <f t="shared" si="133"/>
        <v>17.077372787249335</v>
      </c>
      <c r="BO601" s="462">
        <f t="shared" si="133"/>
        <v>38.648158212560404</v>
      </c>
      <c r="BP601" s="462">
        <f t="shared" si="133"/>
        <v>16.959012345679017</v>
      </c>
      <c r="BQ601" s="462">
        <f t="shared" si="133"/>
        <v>1.4000000000000004</v>
      </c>
      <c r="BR601" s="462">
        <f t="shared" si="133"/>
        <v>20.4928473446992</v>
      </c>
      <c r="BS601" s="462">
        <f t="shared" si="133"/>
        <v>12.66549295774648</v>
      </c>
      <c r="BT601" s="462">
        <f t="shared" si="133"/>
        <v>9.0000000000000018</v>
      </c>
      <c r="BU601" s="462">
        <f t="shared" si="133"/>
        <v>9.0000000000000018</v>
      </c>
      <c r="BV601" s="334"/>
      <c r="BW601" s="390"/>
      <c r="BX601" s="334"/>
      <c r="BY601" s="334"/>
      <c r="BZ601" s="334"/>
      <c r="CA601" s="282"/>
      <c r="CB601" s="259"/>
      <c r="CC601" s="410"/>
      <c r="CD601" s="410"/>
      <c r="CE601" s="505"/>
      <c r="CF601" s="506"/>
      <c r="CG601" s="505"/>
      <c r="CH601" s="506"/>
      <c r="CI601" s="27"/>
      <c r="CJ601" s="27"/>
      <c r="CM601" s="15"/>
    </row>
    <row r="602" spans="1:91" hidden="1">
      <c r="A602" s="120"/>
      <c r="B602" s="1120" t="s">
        <v>957</v>
      </c>
      <c r="C602" s="1044">
        <f>C598+0.5*C356</f>
        <v>19.123022009769844</v>
      </c>
      <c r="D602" s="1044" t="e">
        <f>D598+0.5*D356</f>
        <v>#DIV/0!</v>
      </c>
      <c r="I602" s="1106"/>
      <c r="J602" s="1106"/>
      <c r="K602" s="1106"/>
      <c r="L602" s="1106"/>
      <c r="M602" s="1106"/>
      <c r="N602" s="1106"/>
      <c r="O602" s="455"/>
      <c r="P602" s="455"/>
      <c r="Q602" s="455"/>
      <c r="R602" s="455"/>
      <c r="S602" s="455"/>
      <c r="T602" s="455"/>
      <c r="U602" s="455"/>
      <c r="V602" s="455"/>
      <c r="W602" s="455"/>
      <c r="X602" s="455"/>
      <c r="Y602" s="455"/>
      <c r="Z602" s="455"/>
      <c r="AA602" s="455"/>
      <c r="AB602" s="455"/>
      <c r="AC602" s="455"/>
      <c r="AD602" s="22"/>
      <c r="AE602" s="455"/>
      <c r="AF602" s="455"/>
      <c r="AG602" s="455"/>
      <c r="AH602" s="455"/>
      <c r="AI602" s="455"/>
      <c r="AJ602" s="455"/>
      <c r="AK602" s="455"/>
      <c r="AL602" s="455"/>
      <c r="AM602" s="455"/>
      <c r="AN602" s="455"/>
      <c r="AO602" s="455"/>
      <c r="AP602" s="455"/>
      <c r="AQ602" s="455"/>
      <c r="AR602" s="455"/>
      <c r="AS602" s="455"/>
      <c r="AT602" s="455"/>
      <c r="AU602" s="455"/>
      <c r="AV602" s="455"/>
      <c r="AW602" s="455"/>
      <c r="AX602" s="455"/>
      <c r="AY602" s="455"/>
      <c r="AZ602" s="455"/>
      <c r="BA602" s="455"/>
      <c r="BC602" s="455"/>
      <c r="BD602" s="455"/>
      <c r="BE602" s="455"/>
      <c r="BF602" s="455"/>
      <c r="BG602" s="455"/>
      <c r="BH602" s="455"/>
      <c r="BI602" s="455"/>
      <c r="BJ602" s="455"/>
      <c r="BK602" s="455"/>
      <c r="BL602" s="246"/>
      <c r="BM602" s="462">
        <f t="shared" ref="BM602:BU602" si="134">BM$585*BM534</f>
        <v>26.315789473684212</v>
      </c>
      <c r="BN602" s="462">
        <f t="shared" si="134"/>
        <v>19.460173066410885</v>
      </c>
      <c r="BO602" s="462">
        <f t="shared" si="134"/>
        <v>48.093500000000006</v>
      </c>
      <c r="BP602" s="462">
        <f t="shared" si="134"/>
        <v>19.051741062801938</v>
      </c>
      <c r="BQ602" s="462">
        <f t="shared" si="134"/>
        <v>1.4000000000000004</v>
      </c>
      <c r="BR602" s="462">
        <f t="shared" si="134"/>
        <v>23.352207679693063</v>
      </c>
      <c r="BS602" s="462">
        <f t="shared" si="134"/>
        <v>13.136397331356562</v>
      </c>
      <c r="BT602" s="462">
        <f t="shared" si="134"/>
        <v>11.571428571428571</v>
      </c>
      <c r="BU602" s="462">
        <f t="shared" si="134"/>
        <v>11.571428571428571</v>
      </c>
      <c r="BV602" s="334"/>
      <c r="BW602" s="390"/>
      <c r="BX602" s="334"/>
      <c r="BY602" s="334"/>
      <c r="BZ602" s="334"/>
      <c r="CA602" s="282"/>
      <c r="CB602" s="259"/>
      <c r="CC602" s="410"/>
      <c r="CD602" s="410"/>
      <c r="CE602" s="505"/>
      <c r="CF602" s="506"/>
      <c r="CG602" s="505"/>
      <c r="CH602" s="506"/>
      <c r="CI602" s="27"/>
      <c r="CJ602" s="27"/>
    </row>
    <row r="603" spans="1:91" hidden="1">
      <c r="A603" s="120"/>
      <c r="B603" s="1120" t="s">
        <v>862</v>
      </c>
      <c r="C603" s="1022">
        <f>C465*(1-C597)/(C332+0.5*C352*(1+C509))</f>
        <v>3.4974618016147221</v>
      </c>
      <c r="D603" s="1022" t="e">
        <f>D465*(1-D597)/(D332+0.5*D352*(1+D509))</f>
        <v>#DIV/0!</v>
      </c>
      <c r="I603" s="1106"/>
      <c r="J603" s="1106"/>
      <c r="K603" s="1106"/>
      <c r="L603" s="1106"/>
      <c r="M603" s="1106"/>
      <c r="N603" s="1106"/>
      <c r="O603" s="455"/>
      <c r="P603" s="455"/>
      <c r="Q603" s="455"/>
      <c r="R603" s="455"/>
      <c r="S603" s="455"/>
      <c r="T603" s="455"/>
      <c r="U603" s="455"/>
      <c r="V603" s="455"/>
      <c r="W603" s="455"/>
      <c r="X603" s="455"/>
      <c r="Y603" s="455"/>
      <c r="Z603" s="455"/>
      <c r="AA603" s="455"/>
      <c r="AB603" s="455"/>
      <c r="AC603" s="455"/>
      <c r="AD603" s="22"/>
      <c r="AE603" s="455"/>
      <c r="AF603" s="455"/>
      <c r="AG603" s="455"/>
      <c r="AH603" s="455"/>
      <c r="AI603" s="455"/>
      <c r="AJ603" s="455"/>
      <c r="AK603" s="455"/>
      <c r="AL603" s="455"/>
      <c r="AM603" s="455"/>
      <c r="AN603" s="455"/>
      <c r="AO603" s="455"/>
      <c r="AP603" s="455"/>
      <c r="AQ603" s="455"/>
      <c r="AR603" s="455"/>
      <c r="AS603" s="455"/>
      <c r="AT603" s="455"/>
      <c r="AU603" s="455"/>
      <c r="AV603" s="455"/>
      <c r="AW603" s="455"/>
      <c r="AX603" s="455"/>
      <c r="AY603" s="455"/>
      <c r="AZ603" s="455"/>
      <c r="BA603" s="455"/>
      <c r="BC603" s="455"/>
      <c r="BD603" s="455"/>
      <c r="BE603" s="455"/>
      <c r="BF603" s="455"/>
      <c r="BG603" s="455"/>
      <c r="BH603" s="455"/>
      <c r="BI603" s="455"/>
      <c r="BJ603" s="455"/>
      <c r="BK603" s="455"/>
      <c r="BL603" s="246"/>
      <c r="BM603" s="462"/>
      <c r="BN603" s="462"/>
      <c r="BO603" s="462"/>
      <c r="BP603" s="462"/>
      <c r="BQ603" s="462"/>
      <c r="BR603" s="462"/>
      <c r="BS603" s="462"/>
      <c r="BT603" s="462"/>
      <c r="BU603" s="462"/>
      <c r="BV603" s="334"/>
      <c r="BW603" s="390"/>
      <c r="BX603" s="334"/>
      <c r="BY603" s="334"/>
      <c r="BZ603" s="334"/>
      <c r="CA603" s="282"/>
      <c r="CB603" s="259"/>
      <c r="CC603" s="410"/>
      <c r="CD603" s="410"/>
      <c r="CE603" s="505"/>
      <c r="CF603" s="506"/>
      <c r="CG603" s="505"/>
      <c r="CH603" s="506"/>
      <c r="CI603" s="27"/>
      <c r="CJ603" s="27"/>
    </row>
    <row r="604" spans="1:91" hidden="1">
      <c r="A604" s="120"/>
      <c r="B604" s="1144" t="s">
        <v>279</v>
      </c>
      <c r="C604" s="1022">
        <f>C600/C473</f>
        <v>0.40432880936892113</v>
      </c>
      <c r="D604" s="1022" t="e">
        <f>D600/D473</f>
        <v>#DIV/0!</v>
      </c>
      <c r="I604" s="1106"/>
      <c r="J604" s="1106"/>
      <c r="K604" s="1106"/>
      <c r="L604" s="1106"/>
      <c r="M604" s="1106"/>
      <c r="N604" s="1106"/>
      <c r="O604" s="455"/>
      <c r="P604" s="455"/>
      <c r="Q604" s="455"/>
      <c r="R604" s="455"/>
      <c r="S604" s="455"/>
      <c r="T604" s="455"/>
      <c r="U604" s="455"/>
      <c r="V604" s="455"/>
      <c r="W604" s="455"/>
      <c r="X604" s="455"/>
      <c r="Y604" s="455"/>
      <c r="Z604" s="455"/>
      <c r="AA604" s="455"/>
      <c r="AB604" s="455"/>
      <c r="AC604" s="455"/>
      <c r="AD604" s="22"/>
      <c r="AE604" s="455"/>
      <c r="AF604" s="455"/>
      <c r="AG604" s="455"/>
      <c r="AH604" s="455"/>
      <c r="AI604" s="455"/>
      <c r="AJ604" s="455"/>
      <c r="AK604" s="455"/>
      <c r="AL604" s="455"/>
      <c r="AM604" s="455"/>
      <c r="AN604" s="455"/>
      <c r="AO604" s="455"/>
      <c r="AP604" s="455"/>
      <c r="AQ604" s="455"/>
      <c r="AR604" s="455"/>
      <c r="AS604" s="455"/>
      <c r="AT604" s="455"/>
      <c r="AU604" s="455"/>
      <c r="AV604" s="455"/>
      <c r="AW604" s="455"/>
      <c r="AX604" s="455"/>
      <c r="AY604" s="455"/>
      <c r="AZ604" s="455"/>
      <c r="BA604" s="455"/>
      <c r="BC604" s="455"/>
      <c r="BD604" s="455"/>
      <c r="BE604" s="455"/>
      <c r="BF604" s="455"/>
      <c r="BG604" s="455"/>
      <c r="BH604" s="455"/>
      <c r="BI604" s="455"/>
      <c r="BJ604" s="455"/>
      <c r="BK604" s="455"/>
      <c r="BL604" s="246"/>
      <c r="BM604" s="462">
        <f t="shared" ref="BM604:BU604" si="135">BM$585*BM518*BM$355/(BM$355+BM$358)</f>
        <v>1.1904761904761907</v>
      </c>
      <c r="BN604" s="462">
        <f t="shared" si="135"/>
        <v>3.2186948853615527</v>
      </c>
      <c r="BO604" s="462">
        <f t="shared" si="135"/>
        <v>5.332744565217391</v>
      </c>
      <c r="BP604" s="462">
        <f t="shared" si="135"/>
        <v>4.3415217391304344</v>
      </c>
      <c r="BQ604" s="462">
        <f t="shared" si="135"/>
        <v>0.93333333333333357</v>
      </c>
      <c r="BR604" s="462">
        <f t="shared" si="135"/>
        <v>5.0396825396825404</v>
      </c>
      <c r="BS604" s="462">
        <f t="shared" si="135"/>
        <v>10.9330985915493</v>
      </c>
      <c r="BT604" s="462">
        <f t="shared" si="135"/>
        <v>0.11911764705882355</v>
      </c>
      <c r="BU604" s="462">
        <f t="shared" si="135"/>
        <v>0.11911764705882355</v>
      </c>
      <c r="BV604" s="334"/>
      <c r="BW604" s="390"/>
      <c r="BX604" s="334"/>
      <c r="BY604" s="334"/>
      <c r="BZ604" s="334"/>
      <c r="CA604" s="282"/>
      <c r="CB604" s="259"/>
      <c r="CC604" s="410"/>
      <c r="CD604" s="410"/>
      <c r="CE604" s="505"/>
      <c r="CF604" s="506"/>
      <c r="CG604" s="505"/>
      <c r="CH604" s="506"/>
      <c r="CI604" s="27"/>
      <c r="CJ604" s="27"/>
    </row>
    <row r="605" spans="1:91" hidden="1">
      <c r="A605" s="120"/>
      <c r="B605" s="1120" t="s">
        <v>280</v>
      </c>
      <c r="C605" s="1022">
        <f>C603/C473</f>
        <v>0.45014840600865841</v>
      </c>
      <c r="D605" s="1022" t="e">
        <f>D603/D473</f>
        <v>#DIV/0!</v>
      </c>
      <c r="I605" s="1106"/>
      <c r="J605" s="1106"/>
      <c r="K605" s="1106"/>
      <c r="L605" s="1106"/>
      <c r="M605" s="1106"/>
      <c r="N605" s="1106"/>
      <c r="O605" s="455"/>
      <c r="P605" s="455"/>
      <c r="Q605" s="455"/>
      <c r="R605" s="455"/>
      <c r="S605" s="455"/>
      <c r="T605" s="455"/>
      <c r="U605" s="455"/>
      <c r="V605" s="455"/>
      <c r="W605" s="455"/>
      <c r="X605" s="455"/>
      <c r="Y605" s="455"/>
      <c r="Z605" s="455"/>
      <c r="AA605" s="455"/>
      <c r="AB605" s="455"/>
      <c r="AC605" s="455"/>
      <c r="AD605" s="22"/>
      <c r="AE605" s="455"/>
      <c r="AF605" s="455"/>
      <c r="AG605" s="455"/>
      <c r="AH605" s="455"/>
      <c r="AI605" s="455"/>
      <c r="AJ605" s="455"/>
      <c r="AK605" s="455"/>
      <c r="AL605" s="455"/>
      <c r="AM605" s="455"/>
      <c r="AN605" s="455"/>
      <c r="AO605" s="455"/>
      <c r="AP605" s="455"/>
      <c r="AQ605" s="455"/>
      <c r="AR605" s="455"/>
      <c r="AS605" s="455"/>
      <c r="AT605" s="455"/>
      <c r="AU605" s="455"/>
      <c r="AV605" s="455"/>
      <c r="AW605" s="455"/>
      <c r="AX605" s="455"/>
      <c r="AY605" s="455"/>
      <c r="AZ605" s="455"/>
      <c r="BA605" s="455"/>
      <c r="BC605" s="455"/>
      <c r="BD605" s="455"/>
      <c r="BE605" s="455"/>
      <c r="BF605" s="455"/>
      <c r="BG605" s="455"/>
      <c r="BH605" s="455"/>
      <c r="BI605" s="455"/>
      <c r="BJ605" s="455"/>
      <c r="BK605" s="455"/>
      <c r="BL605" s="246"/>
      <c r="BM605" s="462">
        <f t="shared" ref="BM605:BU605" si="136">BM$585*BM519*BM$355/(BM$355+BM$358)</f>
        <v>4.1666666666666679</v>
      </c>
      <c r="BN605" s="462">
        <f t="shared" si="136"/>
        <v>5.1807760141093482</v>
      </c>
      <c r="BO605" s="462">
        <f t="shared" si="136"/>
        <v>7.6784420289855113</v>
      </c>
      <c r="BP605" s="462">
        <f t="shared" si="136"/>
        <v>5.1333333333333346</v>
      </c>
      <c r="BQ605" s="462">
        <f t="shared" si="136"/>
        <v>0.93333333333333357</v>
      </c>
      <c r="BR605" s="462">
        <f t="shared" si="136"/>
        <v>6.2169312169312176</v>
      </c>
      <c r="BS605" s="462">
        <f t="shared" si="136"/>
        <v>11.514084507042254</v>
      </c>
      <c r="BT605" s="462">
        <f t="shared" si="136"/>
        <v>1.1250000000000002</v>
      </c>
      <c r="BU605" s="462">
        <f t="shared" si="136"/>
        <v>1.1250000000000002</v>
      </c>
      <c r="BV605" s="334"/>
      <c r="BW605" s="334"/>
      <c r="BX605" s="334"/>
      <c r="BY605" s="334"/>
      <c r="BZ605" s="334"/>
      <c r="CA605" s="282"/>
      <c r="CB605" s="259"/>
      <c r="CC605" s="410"/>
      <c r="CD605" s="410"/>
      <c r="CE605" s="505"/>
      <c r="CF605" s="506"/>
      <c r="CG605" s="505"/>
      <c r="CH605" s="506"/>
      <c r="CI605" s="27"/>
      <c r="CJ605" s="27"/>
    </row>
    <row r="606" spans="1:91" hidden="1">
      <c r="A606" s="120"/>
      <c r="B606" s="1120" t="s">
        <v>958</v>
      </c>
      <c r="C606" s="1022">
        <f>C477/C466/C605</f>
        <v>7.9973625407678455</v>
      </c>
      <c r="D606" s="1022" t="e">
        <f>D477/D466/D605</f>
        <v>#DIV/0!</v>
      </c>
      <c r="I606" s="1106"/>
      <c r="J606" s="1106"/>
      <c r="K606" s="1106"/>
      <c r="L606" s="1106"/>
      <c r="M606" s="1106"/>
      <c r="N606" s="1106"/>
      <c r="O606" s="455"/>
      <c r="P606" s="455"/>
      <c r="Q606" s="455"/>
      <c r="R606" s="455"/>
      <c r="S606" s="455"/>
      <c r="T606" s="455"/>
      <c r="U606" s="455"/>
      <c r="V606" s="455"/>
      <c r="W606" s="455"/>
      <c r="X606" s="455"/>
      <c r="Y606" s="455"/>
      <c r="Z606" s="455"/>
      <c r="AA606" s="455"/>
      <c r="AB606" s="455"/>
      <c r="AC606" s="455"/>
      <c r="AD606" s="22"/>
      <c r="AE606" s="455"/>
      <c r="AF606" s="455"/>
      <c r="AG606" s="455"/>
      <c r="AH606" s="455"/>
      <c r="AI606" s="455"/>
      <c r="AJ606" s="455"/>
      <c r="AK606" s="455"/>
      <c r="AL606" s="455"/>
      <c r="AM606" s="455"/>
      <c r="AN606" s="455"/>
      <c r="AO606" s="455"/>
      <c r="AP606" s="455"/>
      <c r="AQ606" s="455"/>
      <c r="AR606" s="455"/>
      <c r="AS606" s="455"/>
      <c r="AT606" s="455"/>
      <c r="AU606" s="455"/>
      <c r="AV606" s="455"/>
      <c r="AW606" s="455"/>
      <c r="AX606" s="455"/>
      <c r="AY606" s="455"/>
      <c r="AZ606" s="455"/>
      <c r="BA606" s="455"/>
      <c r="BC606" s="455"/>
      <c r="BD606" s="455"/>
      <c r="BE606" s="455"/>
      <c r="BF606" s="455"/>
      <c r="BG606" s="455"/>
      <c r="BH606" s="455"/>
      <c r="BI606" s="455"/>
      <c r="BJ606" s="455"/>
      <c r="BK606" s="455"/>
      <c r="BL606" s="246"/>
      <c r="BM606" s="462">
        <f t="shared" ref="BM606:BU606" si="137">BM$585*BM534*BM$355/(BM$355+BM$358)</f>
        <v>5.2631578947368425</v>
      </c>
      <c r="BN606" s="462">
        <f t="shared" si="137"/>
        <v>5.9036480089111674</v>
      </c>
      <c r="BO606" s="462">
        <f t="shared" si="137"/>
        <v>9.5550000000000015</v>
      </c>
      <c r="BP606" s="462">
        <f t="shared" si="137"/>
        <v>5.7667826086956531</v>
      </c>
      <c r="BQ606" s="462">
        <f t="shared" si="137"/>
        <v>0.93333333333333357</v>
      </c>
      <c r="BR606" s="462">
        <f t="shared" si="137"/>
        <v>7.0843776106934016</v>
      </c>
      <c r="BS606" s="462">
        <f t="shared" si="137"/>
        <v>11.94217939214233</v>
      </c>
      <c r="BT606" s="462">
        <f t="shared" si="137"/>
        <v>1.4464285714285714</v>
      </c>
      <c r="BU606" s="462">
        <f t="shared" si="137"/>
        <v>1.4464285714285714</v>
      </c>
      <c r="BV606" s="334"/>
      <c r="BW606" s="399"/>
      <c r="BX606" s="334"/>
      <c r="BY606" s="334"/>
      <c r="BZ606" s="334"/>
      <c r="CA606" s="282"/>
      <c r="CB606" s="259"/>
      <c r="CC606" s="410"/>
      <c r="CD606" s="410"/>
      <c r="CE606" s="505"/>
      <c r="CF606" s="506"/>
      <c r="CG606" s="505"/>
      <c r="CH606" s="506"/>
      <c r="CI606" s="27"/>
      <c r="CJ606" s="27"/>
    </row>
    <row r="607" spans="1:91" hidden="1">
      <c r="A607" s="120"/>
      <c r="B607" s="1144" t="s">
        <v>80</v>
      </c>
      <c r="C607" s="1022">
        <f>C477/C466/C604</f>
        <v>8.9036445501345849</v>
      </c>
      <c r="D607" s="1022" t="e">
        <f>D477/D466/D604</f>
        <v>#DIV/0!</v>
      </c>
      <c r="I607" s="995"/>
      <c r="J607" s="995"/>
      <c r="K607" s="995"/>
      <c r="L607" s="995"/>
      <c r="M607" s="995"/>
      <c r="N607" s="995"/>
      <c r="O607" s="334"/>
      <c r="P607" s="334"/>
      <c r="Q607" s="334"/>
      <c r="R607" s="334"/>
      <c r="S607" s="334"/>
      <c r="T607" s="334"/>
      <c r="U607" s="334"/>
      <c r="V607" s="334"/>
      <c r="W607" s="334"/>
      <c r="X607" s="334"/>
      <c r="Y607" s="334"/>
      <c r="Z607" s="334"/>
      <c r="AA607" s="334"/>
      <c r="AB607" s="334"/>
      <c r="AC607" s="334"/>
      <c r="AD607" s="22"/>
      <c r="AE607" s="334"/>
      <c r="AF607" s="334"/>
      <c r="AG607" s="334"/>
      <c r="AH607" s="334"/>
      <c r="AI607" s="334"/>
      <c r="AJ607" s="334"/>
      <c r="AK607" s="334"/>
      <c r="AL607" s="334"/>
      <c r="AM607" s="334"/>
      <c r="AN607" s="334"/>
      <c r="AO607" s="334"/>
      <c r="AP607" s="334"/>
      <c r="AQ607" s="334"/>
      <c r="AR607" s="334"/>
      <c r="AS607" s="334"/>
      <c r="AT607" s="334"/>
      <c r="AU607" s="334"/>
      <c r="AV607" s="334"/>
      <c r="AW607" s="334"/>
      <c r="AX607" s="334"/>
      <c r="AY607" s="334"/>
      <c r="AZ607" s="334"/>
      <c r="BA607" s="334"/>
      <c r="BC607" s="334"/>
      <c r="BD607" s="334"/>
      <c r="BE607" s="334"/>
      <c r="BF607" s="334"/>
      <c r="BG607" s="334"/>
      <c r="BH607" s="334"/>
      <c r="BI607" s="334"/>
      <c r="BJ607" s="334"/>
      <c r="BK607" s="334"/>
      <c r="BL607" s="246"/>
      <c r="BM607" s="246"/>
      <c r="BN607" s="246"/>
      <c r="BO607" s="246"/>
      <c r="BP607" s="246"/>
      <c r="BQ607" s="246"/>
      <c r="BR607" s="246"/>
      <c r="BS607" s="246"/>
      <c r="BT607" s="246"/>
      <c r="BU607" s="246"/>
      <c r="BV607" s="334"/>
      <c r="BW607" s="399"/>
      <c r="BX607" s="334"/>
      <c r="BY607" s="334"/>
      <c r="BZ607" s="334"/>
      <c r="CA607" s="3"/>
      <c r="CB607" s="259"/>
      <c r="CC607" s="410"/>
      <c r="CD607" s="410"/>
      <c r="CE607" s="505"/>
      <c r="CF607" s="506"/>
      <c r="CG607" s="505"/>
      <c r="CH607" s="506"/>
      <c r="CI607" s="27"/>
      <c r="CJ607" s="27"/>
    </row>
    <row r="608" spans="1:91" hidden="1">
      <c r="A608" s="120"/>
      <c r="B608" s="314" t="s">
        <v>1153</v>
      </c>
      <c r="C608" s="989">
        <f>F52</f>
        <v>11.3</v>
      </c>
      <c r="D608" s="989">
        <f>F53</f>
        <v>3</v>
      </c>
      <c r="I608" s="1116"/>
      <c r="J608" s="1116"/>
      <c r="K608" s="1116"/>
      <c r="L608" s="1116"/>
      <c r="M608" s="1116"/>
      <c r="N608" s="1116"/>
      <c r="O608" s="434"/>
      <c r="P608" s="434"/>
      <c r="Q608" s="434"/>
      <c r="R608" s="434"/>
      <c r="S608" s="434"/>
      <c r="T608" s="434"/>
      <c r="U608" s="434"/>
      <c r="V608" s="434"/>
      <c r="W608" s="434"/>
      <c r="X608" s="434"/>
      <c r="Y608" s="434"/>
      <c r="Z608" s="434"/>
      <c r="AA608" s="434"/>
      <c r="AB608" s="434"/>
      <c r="AC608" s="434"/>
      <c r="AD608" s="22"/>
      <c r="AE608" s="434"/>
      <c r="AF608" s="434"/>
      <c r="AG608" s="434"/>
      <c r="AH608" s="434"/>
      <c r="AI608" s="434"/>
      <c r="AJ608" s="434"/>
      <c r="AK608" s="434"/>
      <c r="AL608" s="434"/>
      <c r="AM608" s="434"/>
      <c r="AN608" s="434"/>
      <c r="AO608" s="434"/>
      <c r="AP608" s="434"/>
      <c r="AQ608" s="434"/>
      <c r="AR608" s="434"/>
      <c r="AS608" s="434"/>
      <c r="AT608" s="434"/>
      <c r="AU608" s="434"/>
      <c r="AV608" s="434"/>
      <c r="AW608" s="434"/>
      <c r="AX608" s="434"/>
      <c r="AY608" s="434"/>
      <c r="AZ608" s="434"/>
      <c r="BA608" s="434"/>
      <c r="BC608" s="434"/>
      <c r="BD608" s="434"/>
      <c r="BE608" s="434"/>
      <c r="BF608" s="434"/>
      <c r="BG608" s="434"/>
      <c r="BH608" s="434"/>
      <c r="BI608" s="434"/>
      <c r="BJ608" s="434"/>
      <c r="BK608" s="434"/>
      <c r="BL608" s="246"/>
      <c r="BM608" s="396">
        <f t="shared" ref="BM608:BU608" si="138">IF(BM550=$C$812,BM563,BM$554)</f>
        <v>5.22</v>
      </c>
      <c r="BN608" s="396">
        <f t="shared" si="138"/>
        <v>5.54</v>
      </c>
      <c r="BO608" s="396">
        <f t="shared" si="138"/>
        <v>13</v>
      </c>
      <c r="BP608" s="396">
        <f t="shared" si="138"/>
        <v>10</v>
      </c>
      <c r="BQ608" s="396">
        <f t="shared" si="138"/>
        <v>1.6413725000000001</v>
      </c>
      <c r="BR608" s="396">
        <f t="shared" si="138"/>
        <v>5.8136355000000002</v>
      </c>
      <c r="BS608" s="396">
        <f t="shared" si="138"/>
        <v>5.8136355000000002</v>
      </c>
      <c r="BT608" s="396">
        <f t="shared" si="138"/>
        <v>29.650600000000001</v>
      </c>
      <c r="BU608" s="396">
        <f t="shared" si="138"/>
        <v>29.650600000000001</v>
      </c>
      <c r="BV608" s="334"/>
      <c r="BW608" s="399"/>
      <c r="BX608" s="334"/>
      <c r="BY608" s="434"/>
      <c r="BZ608" s="522"/>
      <c r="CA608" s="3"/>
      <c r="CB608" s="259"/>
      <c r="CC608" s="410"/>
      <c r="CD608" s="410"/>
      <c r="CE608" s="505"/>
      <c r="CF608" s="506"/>
      <c r="CG608" s="505"/>
      <c r="CH608" s="506"/>
      <c r="CI608" s="27"/>
      <c r="CJ608" s="27"/>
    </row>
    <row r="609" spans="1:88" hidden="1">
      <c r="A609" s="120"/>
      <c r="B609" s="1120" t="s">
        <v>959</v>
      </c>
      <c r="C609" s="1022">
        <f>C608*C337/(C472*C466*C608*10^-3-C337)</f>
        <v>4.6602532051269465</v>
      </c>
      <c r="D609" s="1022">
        <f>D608*D337/(D472*D466*D608*10^-3-D337)</f>
        <v>31.154350677743782</v>
      </c>
      <c r="I609" s="1046"/>
      <c r="J609" s="1046"/>
      <c r="K609" s="1046"/>
      <c r="L609" s="1046"/>
      <c r="M609" s="1046"/>
      <c r="N609" s="1046"/>
      <c r="O609" s="400"/>
      <c r="P609" s="400"/>
      <c r="Q609" s="400"/>
      <c r="R609" s="400"/>
      <c r="S609" s="400"/>
      <c r="T609" s="400"/>
      <c r="U609" s="400"/>
      <c r="V609" s="400"/>
      <c r="W609" s="400"/>
      <c r="X609" s="400"/>
      <c r="Y609" s="400"/>
      <c r="Z609" s="400"/>
      <c r="AA609" s="400"/>
      <c r="AB609" s="400"/>
      <c r="AC609" s="400"/>
      <c r="AD609" s="22"/>
      <c r="AE609" s="400"/>
      <c r="AF609" s="400"/>
      <c r="AG609" s="400"/>
      <c r="AH609" s="400"/>
      <c r="AI609" s="400"/>
      <c r="AJ609" s="400"/>
      <c r="AK609" s="400"/>
      <c r="AL609" s="400"/>
      <c r="AM609" s="400"/>
      <c r="AN609" s="400"/>
      <c r="AO609" s="400"/>
      <c r="AP609" s="400"/>
      <c r="AQ609" s="400"/>
      <c r="AR609" s="400"/>
      <c r="AS609" s="400"/>
      <c r="AT609" s="400"/>
      <c r="AU609" s="400"/>
      <c r="AV609" s="400"/>
      <c r="AW609" s="400"/>
      <c r="AX609" s="400"/>
      <c r="AY609" s="400"/>
      <c r="AZ609" s="400"/>
      <c r="BA609" s="400"/>
      <c r="BC609" s="400"/>
      <c r="BD609" s="400"/>
      <c r="BE609" s="400"/>
      <c r="BF609" s="400"/>
      <c r="BG609" s="400"/>
      <c r="BH609" s="400"/>
      <c r="BI609" s="400"/>
      <c r="BJ609" s="400"/>
      <c r="BK609" s="400"/>
      <c r="BL609" s="246"/>
      <c r="BM609" s="387">
        <f t="shared" ref="BM609:BU609" si="139">IF(BM550=$C$810,BM$617,BM$555)</f>
        <v>0.01</v>
      </c>
      <c r="BN609" s="387">
        <f t="shared" si="139"/>
        <v>0.01</v>
      </c>
      <c r="BO609" s="387">
        <f t="shared" si="139"/>
        <v>0.01</v>
      </c>
      <c r="BP609" s="387">
        <f t="shared" si="139"/>
        <v>0.01</v>
      </c>
      <c r="BQ609" s="387">
        <f t="shared" si="139"/>
        <v>0.01</v>
      </c>
      <c r="BR609" s="387">
        <f t="shared" si="139"/>
        <v>0.01</v>
      </c>
      <c r="BS609" s="387">
        <f t="shared" si="139"/>
        <v>0.01</v>
      </c>
      <c r="BT609" s="387">
        <f t="shared" si="139"/>
        <v>0.01</v>
      </c>
      <c r="BU609" s="387">
        <f t="shared" si="139"/>
        <v>0.01</v>
      </c>
      <c r="BV609" s="334"/>
      <c r="BW609" s="399"/>
      <c r="BX609" s="334"/>
      <c r="BY609" s="434"/>
      <c r="BZ609" s="523"/>
      <c r="CA609" s="3"/>
      <c r="CB609" s="259"/>
      <c r="CC609" s="410"/>
      <c r="CD609" s="410"/>
      <c r="CE609" s="505"/>
      <c r="CF609" s="506"/>
      <c r="CG609" s="505"/>
      <c r="CH609" s="506"/>
      <c r="CI609" s="27"/>
      <c r="CJ609" s="27"/>
    </row>
    <row r="610" spans="1:88" hidden="1">
      <c r="A610" s="120"/>
      <c r="B610" s="314" t="s">
        <v>1154</v>
      </c>
      <c r="C610" s="989">
        <f>H52</f>
        <v>8.25</v>
      </c>
      <c r="D610" s="989">
        <f>H53</f>
        <v>1</v>
      </c>
      <c r="I610" s="1145"/>
      <c r="J610" s="1145"/>
      <c r="K610" s="1145"/>
      <c r="L610" s="1145"/>
      <c r="M610" s="1145"/>
      <c r="N610" s="1145"/>
      <c r="O610" s="522"/>
      <c r="P610" s="522"/>
      <c r="Q610" s="522"/>
      <c r="R610" s="522"/>
      <c r="S610" s="522"/>
      <c r="T610" s="522"/>
      <c r="U610" s="522"/>
      <c r="V610" s="522"/>
      <c r="W610" s="522"/>
      <c r="X610" s="522"/>
      <c r="Y610" s="522"/>
      <c r="Z610" s="522"/>
      <c r="AA610" s="522"/>
      <c r="AB610" s="522"/>
      <c r="AC610" s="522"/>
      <c r="AD610" s="22"/>
      <c r="AE610" s="522"/>
      <c r="AF610" s="522"/>
      <c r="AG610" s="522"/>
      <c r="AH610" s="522"/>
      <c r="AI610" s="522"/>
      <c r="AJ610" s="522"/>
      <c r="AK610" s="522"/>
      <c r="AL610" s="522"/>
      <c r="AM610" s="522"/>
      <c r="AN610" s="522"/>
      <c r="AO610" s="522"/>
      <c r="AP610" s="522"/>
      <c r="AQ610" s="522"/>
      <c r="AR610" s="522"/>
      <c r="AS610" s="522"/>
      <c r="AT610" s="522"/>
      <c r="AU610" s="522"/>
      <c r="AV610" s="522"/>
      <c r="AW610" s="522"/>
      <c r="AX610" s="522"/>
      <c r="AY610" s="522"/>
      <c r="AZ610" s="522"/>
      <c r="BA610" s="522"/>
      <c r="BC610" s="522"/>
      <c r="BD610" s="522"/>
      <c r="BE610" s="522"/>
      <c r="BF610" s="522"/>
      <c r="BG610" s="522"/>
      <c r="BH610" s="522"/>
      <c r="BI610" s="522"/>
      <c r="BJ610" s="522"/>
      <c r="BK610" s="522"/>
      <c r="BL610" s="246"/>
      <c r="BM610" s="524">
        <f t="shared" ref="BM610:BU610" si="140">BM534/BM$486</f>
        <v>0.43859649122807021</v>
      </c>
      <c r="BN610" s="524">
        <f t="shared" si="140"/>
        <v>0.32433621777351473</v>
      </c>
      <c r="BO610" s="524">
        <f t="shared" si="140"/>
        <v>0.81791666666666685</v>
      </c>
      <c r="BP610" s="524">
        <f t="shared" si="140"/>
        <v>0.3780107353730543</v>
      </c>
      <c r="BQ610" s="524">
        <f t="shared" si="140"/>
        <v>0.26923076923076927</v>
      </c>
      <c r="BR610" s="524">
        <f t="shared" si="140"/>
        <v>0.51893794843762364</v>
      </c>
      <c r="BS610" s="524">
        <f t="shared" si="140"/>
        <v>0.43787991104521873</v>
      </c>
      <c r="BT610" s="524">
        <f t="shared" si="140"/>
        <v>0.77142857142857146</v>
      </c>
      <c r="BU610" s="524">
        <f t="shared" si="140"/>
        <v>0.77142857142857146</v>
      </c>
      <c r="BV610" s="334"/>
      <c r="BW610" s="399"/>
      <c r="BX610" s="334"/>
      <c r="BY610" s="434"/>
      <c r="BZ610" s="523"/>
      <c r="CA610" s="3"/>
      <c r="CB610" s="259"/>
      <c r="CC610" s="410"/>
      <c r="CD610" s="410"/>
      <c r="CE610" s="505"/>
      <c r="CF610" s="506"/>
      <c r="CG610" s="505"/>
      <c r="CH610" s="506"/>
      <c r="CI610" s="27"/>
      <c r="CJ610" s="27"/>
    </row>
    <row r="611" spans="1:88" hidden="1">
      <c r="B611" s="1120" t="s">
        <v>960</v>
      </c>
      <c r="C611" s="1022">
        <f>C610/(C608+C610)</f>
        <v>0.42199488491048592</v>
      </c>
      <c r="D611" s="1022">
        <f>D610/(D608+D610)</f>
        <v>0.25</v>
      </c>
      <c r="I611" s="1145"/>
      <c r="J611" s="1145"/>
      <c r="K611" s="1145"/>
      <c r="L611" s="1145"/>
      <c r="M611" s="1145"/>
      <c r="N611" s="1145"/>
      <c r="O611" s="522"/>
      <c r="P611" s="522"/>
      <c r="Q611" s="522"/>
      <c r="R611" s="522"/>
      <c r="S611" s="522"/>
      <c r="T611" s="522"/>
      <c r="U611" s="522"/>
      <c r="V611" s="522"/>
      <c r="W611" s="522"/>
      <c r="X611" s="522"/>
      <c r="Y611" s="522"/>
      <c r="Z611" s="522"/>
      <c r="AA611" s="522"/>
      <c r="AB611" s="522"/>
      <c r="AC611" s="522"/>
      <c r="AD611" s="22"/>
      <c r="AE611" s="522"/>
      <c r="AF611" s="522"/>
      <c r="AG611" s="522"/>
      <c r="AH611" s="522"/>
      <c r="AI611" s="522"/>
      <c r="AJ611" s="522"/>
      <c r="AK611" s="522"/>
      <c r="AL611" s="522"/>
      <c r="AM611" s="522"/>
      <c r="AN611" s="522"/>
      <c r="AO611" s="522"/>
      <c r="AP611" s="522"/>
      <c r="AQ611" s="522"/>
      <c r="AR611" s="522"/>
      <c r="AS611" s="522"/>
      <c r="AT611" s="522"/>
      <c r="AU611" s="522"/>
      <c r="AV611" s="522"/>
      <c r="AW611" s="522"/>
      <c r="AX611" s="522"/>
      <c r="AY611" s="522"/>
      <c r="AZ611" s="522"/>
      <c r="BA611" s="522"/>
      <c r="BC611" s="522"/>
      <c r="BD611" s="522"/>
      <c r="BE611" s="522"/>
      <c r="BF611" s="522"/>
      <c r="BG611" s="522"/>
      <c r="BH611" s="522"/>
      <c r="BI611" s="522"/>
      <c r="BJ611" s="522"/>
      <c r="BK611" s="522"/>
      <c r="BL611" s="246"/>
      <c r="BM611" s="525"/>
      <c r="BN611" s="525"/>
      <c r="BO611" s="525"/>
      <c r="BP611" s="525"/>
      <c r="BQ611" s="525"/>
      <c r="BR611" s="525"/>
      <c r="BS611" s="525"/>
      <c r="BT611" s="525"/>
      <c r="BU611" s="525"/>
      <c r="BV611" s="334"/>
      <c r="BW611" s="399"/>
      <c r="BX611" s="334"/>
      <c r="BY611" s="434"/>
      <c r="BZ611" s="523"/>
      <c r="CA611" s="3"/>
      <c r="CB611" s="259"/>
      <c r="CC611" s="410"/>
      <c r="CD611" s="410"/>
      <c r="CE611" s="505"/>
      <c r="CF611" s="506"/>
      <c r="CG611" s="505"/>
      <c r="CH611" s="506"/>
      <c r="CI611" s="27"/>
      <c r="CJ611" s="27"/>
    </row>
    <row r="612" spans="1:88" hidden="1">
      <c r="B612" s="1120" t="s">
        <v>961</v>
      </c>
      <c r="C612" s="1087">
        <f>C466*C608*C610/(C608+C610)</f>
        <v>476.85421994884911</v>
      </c>
      <c r="D612" s="1087">
        <f>D466*D608*D610/(D608+D610)</f>
        <v>75</v>
      </c>
      <c r="I612" s="1046"/>
      <c r="J612" s="1046"/>
      <c r="K612" s="1046"/>
      <c r="L612" s="1046"/>
      <c r="M612" s="1046"/>
      <c r="N612" s="1046"/>
      <c r="O612" s="400"/>
      <c r="P612" s="400"/>
      <c r="Q612" s="400"/>
      <c r="R612" s="400"/>
      <c r="S612" s="400"/>
      <c r="T612" s="400"/>
      <c r="U612" s="400"/>
      <c r="V612" s="400"/>
      <c r="W612" s="400"/>
      <c r="X612" s="400"/>
      <c r="Y612" s="400"/>
      <c r="Z612" s="400"/>
      <c r="AA612" s="400"/>
      <c r="AB612" s="400"/>
      <c r="AC612" s="400"/>
      <c r="AD612" s="22"/>
      <c r="AE612" s="400"/>
      <c r="AF612" s="400"/>
      <c r="AG612" s="400"/>
      <c r="AH612" s="400"/>
      <c r="AI612" s="400"/>
      <c r="AJ612" s="400"/>
      <c r="AK612" s="400"/>
      <c r="AL612" s="400"/>
      <c r="AM612" s="400"/>
      <c r="AN612" s="400"/>
      <c r="AO612" s="400"/>
      <c r="AP612" s="400"/>
      <c r="AQ612" s="400"/>
      <c r="AR612" s="400"/>
      <c r="AS612" s="400"/>
      <c r="AT612" s="400"/>
      <c r="AU612" s="400"/>
      <c r="AV612" s="400"/>
      <c r="AW612" s="400"/>
      <c r="AX612" s="400"/>
      <c r="AY612" s="400"/>
      <c r="AZ612" s="400"/>
      <c r="BA612" s="400"/>
      <c r="BC612" s="400"/>
      <c r="BD612" s="400"/>
      <c r="BE612" s="400"/>
      <c r="BF612" s="400"/>
      <c r="BG612" s="400"/>
      <c r="BH612" s="400"/>
      <c r="BI612" s="400"/>
      <c r="BJ612" s="400"/>
      <c r="BK612" s="400"/>
      <c r="BL612" s="246"/>
      <c r="BM612" s="526">
        <f t="shared" ref="BM612:BU612" si="141">2*($C$784+BM$517)/(BM$517+$C$784+MAX(BM$517, $C$784))*SQRT(($C$784)^2+(BM$517)^2)</f>
        <v>0.26832815729997483</v>
      </c>
      <c r="BN612" s="526">
        <f t="shared" si="141"/>
        <v>0.26832815729997483</v>
      </c>
      <c r="BO612" s="526">
        <f t="shared" si="141"/>
        <v>0.26832815729997483</v>
      </c>
      <c r="BP612" s="526">
        <f t="shared" si="141"/>
        <v>0.26832815729997483</v>
      </c>
      <c r="BQ612" s="526">
        <f t="shared" si="141"/>
        <v>0.26832815729997483</v>
      </c>
      <c r="BR612" s="526">
        <f t="shared" si="141"/>
        <v>0.26832815729997483</v>
      </c>
      <c r="BS612" s="526">
        <f t="shared" si="141"/>
        <v>0.26832815729997483</v>
      </c>
      <c r="BT612" s="526">
        <f t="shared" si="141"/>
        <v>0.26832815729997483</v>
      </c>
      <c r="BU612" s="526">
        <f t="shared" si="141"/>
        <v>0.26832815729997483</v>
      </c>
      <c r="BV612" s="334"/>
      <c r="BW612" s="399"/>
      <c r="BX612" s="334"/>
      <c r="BY612" s="434"/>
      <c r="BZ612" s="523"/>
      <c r="CA612" s="3"/>
      <c r="CB612" s="259"/>
      <c r="CC612" s="410"/>
      <c r="CD612" s="410"/>
      <c r="CE612" s="505"/>
      <c r="CF612" s="506"/>
      <c r="CG612" s="505"/>
      <c r="CH612" s="506"/>
      <c r="CI612" s="27"/>
      <c r="CJ612" s="27"/>
    </row>
    <row r="613" spans="1:88" ht="25.8" hidden="1">
      <c r="B613" s="1120" t="s">
        <v>980</v>
      </c>
      <c r="C613" s="1083" t="str">
        <f>TEXT(C611,"#0.00")&amp;" (selected Rx/Rc rate) &lt; "&amp;TEXT(C605,"#0.00")</f>
        <v>0.42 (selected Rx/Rc rate) &lt; 0.45</v>
      </c>
      <c r="D613" s="1083" t="e">
        <f>TEXT(D611,"#0.00")&amp;" (selected Rx/Rc rate) &lt; "&amp;TEXT(D605,"#0.00")</f>
        <v>#DIV/0!</v>
      </c>
      <c r="I613" s="1046"/>
      <c r="J613" s="1046"/>
      <c r="K613" s="1046"/>
      <c r="L613" s="1046"/>
      <c r="M613" s="1046"/>
      <c r="N613" s="1046"/>
      <c r="O613" s="400"/>
      <c r="P613" s="400"/>
      <c r="Q613" s="400"/>
      <c r="R613" s="400"/>
      <c r="S613" s="400"/>
      <c r="T613" s="400"/>
      <c r="U613" s="400"/>
      <c r="V613" s="400"/>
      <c r="W613" s="400"/>
      <c r="X613" s="400"/>
      <c r="Y613" s="400"/>
      <c r="Z613" s="400"/>
      <c r="AA613" s="400"/>
      <c r="AB613" s="400"/>
      <c r="AC613" s="400"/>
      <c r="AD613" s="22"/>
      <c r="AE613" s="400"/>
      <c r="AF613" s="400"/>
      <c r="AG613" s="400"/>
      <c r="AH613" s="400"/>
      <c r="AI613" s="400"/>
      <c r="AJ613" s="400"/>
      <c r="AK613" s="400"/>
      <c r="AL613" s="400"/>
      <c r="AM613" s="400"/>
      <c r="AN613" s="400"/>
      <c r="AO613" s="400"/>
      <c r="AP613" s="400"/>
      <c r="AQ613" s="400"/>
      <c r="AR613" s="400"/>
      <c r="AS613" s="400"/>
      <c r="AT613" s="400"/>
      <c r="AU613" s="400"/>
      <c r="AV613" s="400"/>
      <c r="AW613" s="400"/>
      <c r="AX613" s="400"/>
      <c r="AY613" s="400"/>
      <c r="AZ613" s="400"/>
      <c r="BA613" s="400"/>
      <c r="BC613" s="400"/>
      <c r="BD613" s="400"/>
      <c r="BE613" s="400"/>
      <c r="BF613" s="400"/>
      <c r="BG613" s="400"/>
      <c r="BH613" s="400"/>
      <c r="BI613" s="400"/>
      <c r="BJ613" s="400"/>
      <c r="BK613" s="400"/>
      <c r="BL613" s="246"/>
      <c r="BM613" s="432">
        <f t="shared" ref="BM613:BU613" si="142">IF(BM551=60,$C$787,$C$789)</f>
        <v>8.3333333333333329E-2</v>
      </c>
      <c r="BN613" s="432">
        <f t="shared" si="142"/>
        <v>8.3333333333333329E-2</v>
      </c>
      <c r="BO613" s="432">
        <f t="shared" si="142"/>
        <v>8.3333333333333329E-2</v>
      </c>
      <c r="BP613" s="432">
        <f t="shared" si="142"/>
        <v>8.3333333333333329E-2</v>
      </c>
      <c r="BQ613" s="432">
        <f t="shared" si="142"/>
        <v>8.3333333333333329E-2</v>
      </c>
      <c r="BR613" s="432">
        <f t="shared" si="142"/>
        <v>8.3333333333333329E-2</v>
      </c>
      <c r="BS613" s="432">
        <f t="shared" si="142"/>
        <v>8.3333333333333329E-2</v>
      </c>
      <c r="BT613" s="432">
        <f t="shared" si="142"/>
        <v>9.6774193548387094E-2</v>
      </c>
      <c r="BU613" s="432">
        <f t="shared" si="142"/>
        <v>9.6774193548387094E-2</v>
      </c>
      <c r="BV613" s="334"/>
      <c r="BW613" s="399"/>
      <c r="BX613" s="334"/>
      <c r="BY613" s="434"/>
      <c r="BZ613" s="523"/>
      <c r="CA613" s="3"/>
      <c r="CB613" s="259"/>
      <c r="CC613" s="410"/>
      <c r="CD613" s="410"/>
      <c r="CE613" s="505"/>
      <c r="CF613" s="506"/>
      <c r="CG613" s="505"/>
      <c r="CH613" s="506"/>
      <c r="CI613" s="27"/>
      <c r="CJ613" s="27"/>
    </row>
    <row r="614" spans="1:88" ht="14.25" hidden="1" customHeight="1">
      <c r="B614" s="1146" t="s">
        <v>1176</v>
      </c>
      <c r="C614" s="1022">
        <f>C472*C610/(C608+C610)</f>
        <v>2.6858286445012789</v>
      </c>
      <c r="D614" s="1022">
        <f>D472*D610/(D608+D610)</f>
        <v>8.6790000000000003</v>
      </c>
      <c r="I614" s="1046"/>
      <c r="J614" s="1046"/>
      <c r="K614" s="1046"/>
      <c r="L614" s="1046"/>
      <c r="M614" s="1046"/>
      <c r="N614" s="1046"/>
      <c r="O614" s="400"/>
      <c r="P614" s="400"/>
      <c r="Q614" s="400"/>
      <c r="R614" s="400"/>
      <c r="S614" s="400"/>
      <c r="T614" s="400"/>
      <c r="U614" s="400"/>
      <c r="V614" s="400"/>
      <c r="W614" s="400"/>
      <c r="X614" s="400"/>
      <c r="Y614" s="400"/>
      <c r="Z614" s="400"/>
      <c r="AA614" s="400"/>
      <c r="AB614" s="400"/>
      <c r="AC614" s="400"/>
      <c r="AD614" s="22"/>
      <c r="AE614" s="400"/>
      <c r="AF614" s="400"/>
      <c r="AG614" s="400"/>
      <c r="AH614" s="400"/>
      <c r="AI614" s="400"/>
      <c r="AJ614" s="400"/>
      <c r="AK614" s="400"/>
      <c r="AL614" s="400"/>
      <c r="AM614" s="400"/>
      <c r="AN614" s="400"/>
      <c r="AO614" s="400"/>
      <c r="AP614" s="400"/>
      <c r="AQ614" s="400"/>
      <c r="AR614" s="400"/>
      <c r="AS614" s="400"/>
      <c r="AT614" s="400"/>
      <c r="AU614" s="400"/>
      <c r="AV614" s="400"/>
      <c r="AW614" s="400"/>
      <c r="AX614" s="400"/>
      <c r="AY614" s="400"/>
      <c r="AZ614" s="400"/>
      <c r="BA614" s="400"/>
      <c r="BC614" s="400"/>
      <c r="BD614" s="400"/>
      <c r="BE614" s="400"/>
      <c r="BF614" s="400"/>
      <c r="BG614" s="400"/>
      <c r="BH614" s="400"/>
      <c r="BI614" s="400"/>
      <c r="BJ614" s="400"/>
      <c r="BK614" s="400"/>
      <c r="BL614" s="246"/>
      <c r="BM614" s="432">
        <f t="shared" ref="BM614:BU614" si="143">2*(BM$613+BM$609)/(BM$609+BM$613+MAX(BM$609, BM$613))*SQRT((BM$613)^2+(BM$609)^2)</f>
        <v>8.8682010751294796E-2</v>
      </c>
      <c r="BN614" s="432">
        <f t="shared" si="143"/>
        <v>8.8682010751294796E-2</v>
      </c>
      <c r="BO614" s="432">
        <f t="shared" si="143"/>
        <v>8.8682010751294796E-2</v>
      </c>
      <c r="BP614" s="432">
        <f t="shared" si="143"/>
        <v>8.8682010751294796E-2</v>
      </c>
      <c r="BQ614" s="432">
        <f t="shared" si="143"/>
        <v>8.8682010751294796E-2</v>
      </c>
      <c r="BR614" s="432">
        <f t="shared" si="143"/>
        <v>8.8682010751294796E-2</v>
      </c>
      <c r="BS614" s="432">
        <f t="shared" si="143"/>
        <v>8.8682010751294796E-2</v>
      </c>
      <c r="BT614" s="432">
        <f t="shared" si="143"/>
        <v>0.10206916206926739</v>
      </c>
      <c r="BU614" s="432">
        <f t="shared" si="143"/>
        <v>0.10206916206926739</v>
      </c>
      <c r="BV614" s="334"/>
      <c r="BW614" s="399"/>
      <c r="BX614" s="334"/>
      <c r="BY614" s="434"/>
      <c r="BZ614" s="523"/>
      <c r="CA614" s="3"/>
      <c r="CB614" s="259"/>
      <c r="CC614" s="410"/>
      <c r="CD614" s="410"/>
      <c r="CE614" s="505"/>
      <c r="CF614" s="506"/>
      <c r="CG614" s="505"/>
      <c r="CH614" s="506"/>
      <c r="CI614" s="27"/>
      <c r="CJ614" s="27"/>
    </row>
    <row r="615" spans="1:88" hidden="1">
      <c r="B615" s="1146" t="s">
        <v>984</v>
      </c>
      <c r="C615" s="1022">
        <f>C473*C610/(C608+C610)</f>
        <v>3.2787209079283883</v>
      </c>
      <c r="D615" s="1022">
        <f>D473*D610/(D608+D610)</f>
        <v>8.8263749999999987</v>
      </c>
      <c r="I615" s="1046"/>
      <c r="J615" s="1046"/>
      <c r="K615" s="1046"/>
      <c r="L615" s="1046"/>
      <c r="M615" s="1046"/>
      <c r="N615" s="1046"/>
      <c r="O615" s="400"/>
      <c r="P615" s="400"/>
      <c r="Q615" s="400"/>
      <c r="R615" s="400"/>
      <c r="S615" s="400"/>
      <c r="T615" s="400"/>
      <c r="U615" s="400"/>
      <c r="V615" s="400"/>
      <c r="W615" s="400"/>
      <c r="X615" s="400"/>
      <c r="Y615" s="400"/>
      <c r="Z615" s="400"/>
      <c r="AA615" s="400"/>
      <c r="AB615" s="400"/>
      <c r="AC615" s="400"/>
      <c r="AD615" s="22"/>
      <c r="AE615" s="400"/>
      <c r="AF615" s="400"/>
      <c r="AG615" s="400"/>
      <c r="AH615" s="400"/>
      <c r="AI615" s="400"/>
      <c r="AJ615" s="400"/>
      <c r="AK615" s="400"/>
      <c r="AL615" s="400"/>
      <c r="AM615" s="400"/>
      <c r="AN615" s="400"/>
      <c r="AO615" s="400"/>
      <c r="AP615" s="400"/>
      <c r="AQ615" s="400"/>
      <c r="AR615" s="400"/>
      <c r="AS615" s="400"/>
      <c r="AT615" s="400"/>
      <c r="AU615" s="400"/>
      <c r="AV615" s="400"/>
      <c r="AW615" s="400"/>
      <c r="AX615" s="400"/>
      <c r="AY615" s="400"/>
      <c r="AZ615" s="400"/>
      <c r="BA615" s="400"/>
      <c r="BC615" s="400"/>
      <c r="BD615" s="400"/>
      <c r="BE615" s="400"/>
      <c r="BF615" s="400"/>
      <c r="BG615" s="400"/>
      <c r="BH615" s="400"/>
      <c r="BI615" s="400"/>
      <c r="BJ615" s="400"/>
      <c r="BK615" s="400"/>
      <c r="BL615" s="246"/>
      <c r="BM615" s="387">
        <f t="shared" ref="BM615:BU615" si="144">2*($C$784+BM$517+BM613+BM617)/(BM$517+$C$784+BM613+BM617+MAX(BM$517, $C$784,BM613,BM617))*SQRT(($C$784)^2+(BM$517)^2+(BM613)^2+(BM617)^2)</f>
        <v>0.4883847902079253</v>
      </c>
      <c r="BN615" s="387">
        <f t="shared" si="144"/>
        <v>0.4883847902079253</v>
      </c>
      <c r="BO615" s="387">
        <f t="shared" si="144"/>
        <v>0.4883847902079253</v>
      </c>
      <c r="BP615" s="387">
        <f t="shared" si="144"/>
        <v>0.4883847902079253</v>
      </c>
      <c r="BQ615" s="387">
        <f t="shared" si="144"/>
        <v>0.4883847902079253</v>
      </c>
      <c r="BR615" s="387">
        <f t="shared" si="144"/>
        <v>0.4883847902079253</v>
      </c>
      <c r="BS615" s="387">
        <f t="shared" si="144"/>
        <v>0.4883847902079253</v>
      </c>
      <c r="BT615" s="387">
        <f t="shared" si="144"/>
        <v>0.57019711654820071</v>
      </c>
      <c r="BU615" s="387">
        <f t="shared" si="144"/>
        <v>0.57019711654820071</v>
      </c>
      <c r="BV615" s="334"/>
      <c r="BW615" s="399"/>
      <c r="BX615" s="334"/>
      <c r="BY615" s="434"/>
      <c r="BZ615" s="523"/>
      <c r="CA615" s="3"/>
      <c r="CB615" s="259"/>
      <c r="CC615" s="410"/>
      <c r="CD615" s="410"/>
      <c r="CE615" s="505"/>
      <c r="CF615" s="506"/>
      <c r="CG615" s="505"/>
      <c r="CH615" s="506"/>
      <c r="CI615" s="27"/>
      <c r="CJ615" s="27"/>
    </row>
    <row r="616" spans="1:88" hidden="1">
      <c r="B616" s="1146" t="s">
        <v>1157</v>
      </c>
      <c r="C616" s="1022">
        <f>C474*C610/(C608+C610)</f>
        <v>2.9594712276214836</v>
      </c>
      <c r="D616" s="1022">
        <f>D474*D610/(D608+D610)</f>
        <v>7.7947499999999987</v>
      </c>
      <c r="E616" s="995"/>
      <c r="I616" s="1046"/>
      <c r="J616" s="1046"/>
      <c r="K616" s="1046"/>
      <c r="L616" s="1046"/>
      <c r="M616" s="1046"/>
      <c r="N616" s="1046"/>
      <c r="O616" s="400"/>
      <c r="P616" s="400"/>
      <c r="Q616" s="400"/>
      <c r="R616" s="400"/>
      <c r="S616" s="400"/>
      <c r="T616" s="400"/>
      <c r="U616" s="400"/>
      <c r="V616" s="400"/>
      <c r="W616" s="400"/>
      <c r="X616" s="400"/>
      <c r="Y616" s="400"/>
      <c r="Z616" s="400"/>
      <c r="AA616" s="400"/>
      <c r="AB616" s="400"/>
      <c r="AC616" s="400"/>
      <c r="AD616" s="22"/>
      <c r="AE616" s="400"/>
      <c r="AF616" s="400"/>
      <c r="AG616" s="400"/>
      <c r="AH616" s="400"/>
      <c r="AI616" s="400"/>
      <c r="AJ616" s="400"/>
      <c r="AK616" s="400"/>
      <c r="AL616" s="400"/>
      <c r="AM616" s="400"/>
      <c r="AN616" s="400"/>
      <c r="AO616" s="400"/>
      <c r="AP616" s="400"/>
      <c r="AQ616" s="400"/>
      <c r="AR616" s="400"/>
      <c r="AS616" s="400"/>
      <c r="AT616" s="400"/>
      <c r="AU616" s="400"/>
      <c r="AV616" s="400"/>
      <c r="AW616" s="400"/>
      <c r="AX616" s="400"/>
      <c r="AY616" s="400"/>
      <c r="AZ616" s="400"/>
      <c r="BA616" s="400"/>
      <c r="BC616" s="400"/>
      <c r="BD616" s="400"/>
      <c r="BE616" s="400"/>
      <c r="BF616" s="400"/>
      <c r="BG616" s="400"/>
      <c r="BH616" s="400"/>
      <c r="BI616" s="400"/>
      <c r="BJ616" s="400"/>
      <c r="BK616" s="400"/>
      <c r="BL616" s="246"/>
      <c r="BM616" s="387">
        <f t="shared" ref="BM616:BU616" si="145">(1+0.00393*($C$807+BM$561-20))/(1+0.00393*($C$806+BM$561-20))-1</f>
        <v>0.1670050521743236</v>
      </c>
      <c r="BN616" s="387">
        <f t="shared" si="145"/>
        <v>0.1670050521743236</v>
      </c>
      <c r="BO616" s="387">
        <f t="shared" si="145"/>
        <v>0.1670050521743236</v>
      </c>
      <c r="BP616" s="387">
        <f t="shared" si="145"/>
        <v>0.1670050521743236</v>
      </c>
      <c r="BQ616" s="387">
        <f t="shared" si="145"/>
        <v>0.1670050521743236</v>
      </c>
      <c r="BR616" s="387">
        <f t="shared" si="145"/>
        <v>0.1670050521743236</v>
      </c>
      <c r="BS616" s="387">
        <f t="shared" si="145"/>
        <v>0.1670050521743236</v>
      </c>
      <c r="BT616" s="387">
        <f t="shared" si="145"/>
        <v>0.1670050521743236</v>
      </c>
      <c r="BU616" s="387">
        <f t="shared" si="145"/>
        <v>0.1670050521743236</v>
      </c>
      <c r="BV616" s="334"/>
      <c r="BW616" s="399"/>
      <c r="BX616" s="334"/>
      <c r="BY616" s="434"/>
      <c r="BZ616" s="523"/>
      <c r="CA616" s="3"/>
      <c r="CB616" s="259"/>
      <c r="CC616" s="22"/>
      <c r="CD616" s="410"/>
      <c r="CE616" s="505"/>
      <c r="CF616" s="506"/>
      <c r="CG616" s="505"/>
      <c r="CH616" s="506"/>
      <c r="CI616" s="27"/>
      <c r="CJ616" s="27"/>
    </row>
    <row r="617" spans="1:88" hidden="1">
      <c r="B617" s="1146" t="s">
        <v>1158</v>
      </c>
      <c r="C617" s="1022">
        <f>C475*C610/(C608+C610)</f>
        <v>3.6891847826086956</v>
      </c>
      <c r="D617" s="1022">
        <f>D475*D610/(D608+D610)</f>
        <v>10.152749999999999</v>
      </c>
      <c r="E617" s="1122"/>
      <c r="I617" s="1046"/>
      <c r="J617" s="1046"/>
      <c r="K617" s="1046"/>
      <c r="L617" s="1046"/>
      <c r="M617" s="1046"/>
      <c r="N617" s="1046"/>
      <c r="O617" s="400"/>
      <c r="P617" s="400"/>
      <c r="Q617" s="400"/>
      <c r="R617" s="400"/>
      <c r="S617" s="400"/>
      <c r="T617" s="400"/>
      <c r="U617" s="400"/>
      <c r="V617" s="400"/>
      <c r="W617" s="400"/>
      <c r="X617" s="400"/>
      <c r="Y617" s="400"/>
      <c r="Z617" s="400"/>
      <c r="AA617" s="400"/>
      <c r="AB617" s="400"/>
      <c r="AC617" s="400"/>
      <c r="AD617" s="22"/>
      <c r="AE617" s="400"/>
      <c r="AF617" s="400"/>
      <c r="AG617" s="400"/>
      <c r="AH617" s="400"/>
      <c r="AI617" s="400"/>
      <c r="AJ617" s="400"/>
      <c r="AK617" s="400"/>
      <c r="AL617" s="400"/>
      <c r="AM617" s="400"/>
      <c r="AN617" s="400"/>
      <c r="AO617" s="400"/>
      <c r="AP617" s="400"/>
      <c r="AQ617" s="400"/>
      <c r="AR617" s="400"/>
      <c r="AS617" s="400"/>
      <c r="AT617" s="400"/>
      <c r="AU617" s="400"/>
      <c r="AV617" s="400"/>
      <c r="AW617" s="400"/>
      <c r="AX617" s="400"/>
      <c r="AY617" s="400"/>
      <c r="AZ617" s="400"/>
      <c r="BA617" s="400"/>
      <c r="BC617" s="400"/>
      <c r="BD617" s="400"/>
      <c r="BE617" s="400"/>
      <c r="BF617" s="400"/>
      <c r="BG617" s="400"/>
      <c r="BH617" s="400"/>
      <c r="BI617" s="400"/>
      <c r="BJ617" s="400"/>
      <c r="BK617" s="400"/>
      <c r="BL617" s="246"/>
      <c r="BM617" s="387">
        <f t="shared" ref="BM617:BU617" si="146">2*(BM$553+BM$616)/(BM$616+BM$553+MAX(BM$616,BM$553))*SQRT((BM$553)^2+(BM$616)^2)</f>
        <v>0.23950571257293407</v>
      </c>
      <c r="BN617" s="387">
        <f t="shared" si="146"/>
        <v>0.23950571257293407</v>
      </c>
      <c r="BO617" s="387">
        <f t="shared" si="146"/>
        <v>0.23950571257293407</v>
      </c>
      <c r="BP617" s="387">
        <f t="shared" si="146"/>
        <v>0.23950571257293407</v>
      </c>
      <c r="BQ617" s="387">
        <f t="shared" si="146"/>
        <v>0.23950571257293407</v>
      </c>
      <c r="BR617" s="387">
        <f t="shared" si="146"/>
        <v>0.23950571257293407</v>
      </c>
      <c r="BS617" s="387">
        <f t="shared" si="146"/>
        <v>0.23950571257293407</v>
      </c>
      <c r="BT617" s="387">
        <f t="shared" si="146"/>
        <v>0.33730300709380817</v>
      </c>
      <c r="BU617" s="387">
        <f t="shared" si="146"/>
        <v>0.33730300709380817</v>
      </c>
      <c r="BV617" s="334"/>
      <c r="BW617" s="399"/>
      <c r="BX617" s="334"/>
      <c r="BY617" s="434"/>
      <c r="BZ617" s="523"/>
      <c r="CA617" s="3"/>
      <c r="CB617" s="259"/>
      <c r="CC617" s="22"/>
      <c r="CD617" s="410"/>
      <c r="CE617" s="505"/>
      <c r="CF617" s="506"/>
      <c r="CG617" s="505"/>
      <c r="CH617" s="506"/>
      <c r="CI617" s="27"/>
      <c r="CJ617" s="27"/>
    </row>
    <row r="618" spans="1:88" hidden="1">
      <c r="B618" s="1147" t="s">
        <v>1177</v>
      </c>
      <c r="C618" s="1140">
        <f>C465/C615-0.5*C356</f>
        <v>16.331734147799931</v>
      </c>
      <c r="D618" s="1140" t="e">
        <f>D465/D615-0.5*D356</f>
        <v>#DIV/0!</v>
      </c>
      <c r="E618" s="1122"/>
      <c r="I618" s="1115"/>
      <c r="J618" s="1115"/>
      <c r="K618" s="1115"/>
      <c r="L618" s="1115"/>
      <c r="M618" s="1115"/>
      <c r="N618" s="1115"/>
      <c r="O618" s="470"/>
      <c r="P618" s="470"/>
      <c r="Q618" s="470"/>
      <c r="R618" s="470"/>
      <c r="S618" s="470"/>
      <c r="T618" s="470"/>
      <c r="U618" s="470"/>
      <c r="V618" s="470"/>
      <c r="W618" s="470"/>
      <c r="X618" s="470"/>
      <c r="Y618" s="470"/>
      <c r="Z618" s="470"/>
      <c r="AA618" s="470"/>
      <c r="AB618" s="470"/>
      <c r="AC618" s="470"/>
      <c r="AD618" s="22"/>
      <c r="AE618" s="470"/>
      <c r="AF618" s="470"/>
      <c r="AG618" s="470"/>
      <c r="AH618" s="470"/>
      <c r="AI618" s="470"/>
      <c r="AJ618" s="470"/>
      <c r="AK618" s="470"/>
      <c r="AL618" s="470"/>
      <c r="AM618" s="470"/>
      <c r="AN618" s="470"/>
      <c r="AO618" s="470"/>
      <c r="AP618" s="470"/>
      <c r="AQ618" s="470"/>
      <c r="AR618" s="470"/>
      <c r="AS618" s="470"/>
      <c r="AT618" s="470"/>
      <c r="AU618" s="470"/>
      <c r="AV618" s="470"/>
      <c r="AW618" s="470"/>
      <c r="AX618" s="470"/>
      <c r="AY618" s="470"/>
      <c r="AZ618" s="470"/>
      <c r="BA618" s="470"/>
      <c r="BC618" s="470"/>
      <c r="BD618" s="470"/>
      <c r="BE618" s="470"/>
      <c r="BF618" s="470"/>
      <c r="BG618" s="470"/>
      <c r="BH618" s="470"/>
      <c r="BI618" s="470"/>
      <c r="BJ618" s="470"/>
      <c r="BK618" s="470"/>
      <c r="BL618" s="246"/>
      <c r="BM618" s="527" t="e">
        <f t="shared" ref="BM618:BU618" si="147">BM$551*(1-$Q$730)/(BM$486+0.5*BM$536*(1+BM$612))</f>
        <v>#REF!</v>
      </c>
      <c r="BN618" s="527" t="e">
        <f t="shared" si="147"/>
        <v>#REF!</v>
      </c>
      <c r="BO618" s="527" t="e">
        <f t="shared" si="147"/>
        <v>#REF!</v>
      </c>
      <c r="BP618" s="527" t="e">
        <f t="shared" si="147"/>
        <v>#REF!</v>
      </c>
      <c r="BQ618" s="527" t="e">
        <f t="shared" si="147"/>
        <v>#REF!</v>
      </c>
      <c r="BR618" s="527" t="e">
        <f t="shared" si="147"/>
        <v>#REF!</v>
      </c>
      <c r="BS618" s="527" t="e">
        <f t="shared" si="147"/>
        <v>#REF!</v>
      </c>
      <c r="BT618" s="527" t="e">
        <f t="shared" si="147"/>
        <v>#REF!</v>
      </c>
      <c r="BU618" s="527" t="e">
        <f t="shared" si="147"/>
        <v>#REF!</v>
      </c>
      <c r="BV618" s="334"/>
      <c r="BW618" s="399"/>
      <c r="BX618" s="334"/>
      <c r="BY618" s="434"/>
      <c r="BZ618" s="523"/>
      <c r="CA618" s="3"/>
      <c r="CB618" s="259"/>
      <c r="CC618" s="22"/>
      <c r="CD618" s="22"/>
      <c r="CE618" s="22"/>
      <c r="CF618" s="410"/>
      <c r="CG618" s="27"/>
      <c r="CH618" s="410"/>
      <c r="CI618" s="27"/>
      <c r="CJ618" s="27"/>
    </row>
    <row r="619" spans="1:88" hidden="1">
      <c r="B619" s="1147" t="s">
        <v>1178</v>
      </c>
      <c r="C619" s="1140">
        <f>C465/C615-0.5*C355</f>
        <v>16.355374809738468</v>
      </c>
      <c r="D619" s="1140" t="e">
        <f>D465/D615-0.5*D355</f>
        <v>#DIV/0!</v>
      </c>
      <c r="E619" s="1143"/>
      <c r="I619" s="1115"/>
      <c r="J619" s="1115"/>
      <c r="K619" s="1115"/>
      <c r="L619" s="1115"/>
      <c r="M619" s="1115"/>
      <c r="N619" s="1115"/>
      <c r="O619" s="470"/>
      <c r="P619" s="470"/>
      <c r="Q619" s="470"/>
      <c r="R619" s="470"/>
      <c r="S619" s="470"/>
      <c r="T619" s="470"/>
      <c r="U619" s="470"/>
      <c r="V619" s="470"/>
      <c r="W619" s="470"/>
      <c r="X619" s="470"/>
      <c r="Y619" s="470"/>
      <c r="Z619" s="470"/>
      <c r="AA619" s="470"/>
      <c r="AB619" s="470"/>
      <c r="AC619" s="470"/>
      <c r="AD619" s="22"/>
      <c r="AE619" s="470"/>
      <c r="AF619" s="470"/>
      <c r="AG619" s="470"/>
      <c r="AH619" s="470"/>
      <c r="AI619" s="470"/>
      <c r="AJ619" s="470"/>
      <c r="AK619" s="470"/>
      <c r="AL619" s="470"/>
      <c r="AM619" s="470"/>
      <c r="AN619" s="470"/>
      <c r="AO619" s="470"/>
      <c r="AP619" s="470"/>
      <c r="AQ619" s="470"/>
      <c r="AR619" s="470"/>
      <c r="AS619" s="470"/>
      <c r="AT619" s="470"/>
      <c r="AU619" s="470"/>
      <c r="AV619" s="470"/>
      <c r="AW619" s="470"/>
      <c r="AX619" s="470"/>
      <c r="AY619" s="470"/>
      <c r="AZ619" s="470"/>
      <c r="BA619" s="470"/>
      <c r="BC619" s="470"/>
      <c r="BD619" s="470"/>
      <c r="BE619" s="470"/>
      <c r="BF619" s="470"/>
      <c r="BG619" s="470"/>
      <c r="BH619" s="470"/>
      <c r="BI619" s="470"/>
      <c r="BJ619" s="470"/>
      <c r="BK619" s="470"/>
      <c r="BL619" s="246"/>
      <c r="BM619" s="527" t="e">
        <f t="shared" ref="BM619:BU619" si="148">BM$551*(1-$Q$730)/(BM$486+0.5*BM$537*(1+BM$612))</f>
        <v>#REF!</v>
      </c>
      <c r="BN619" s="527" t="e">
        <f t="shared" si="148"/>
        <v>#REF!</v>
      </c>
      <c r="BO619" s="527" t="e">
        <f t="shared" si="148"/>
        <v>#REF!</v>
      </c>
      <c r="BP619" s="527" t="e">
        <f t="shared" si="148"/>
        <v>#REF!</v>
      </c>
      <c r="BQ619" s="527" t="e">
        <f t="shared" si="148"/>
        <v>#REF!</v>
      </c>
      <c r="BR619" s="527" t="e">
        <f t="shared" si="148"/>
        <v>#REF!</v>
      </c>
      <c r="BS619" s="527" t="e">
        <f t="shared" si="148"/>
        <v>#REF!</v>
      </c>
      <c r="BT619" s="527" t="e">
        <f t="shared" si="148"/>
        <v>#REF!</v>
      </c>
      <c r="BU619" s="527" t="e">
        <f t="shared" si="148"/>
        <v>#REF!</v>
      </c>
      <c r="BV619" s="334"/>
      <c r="BW619" s="399"/>
      <c r="BX619" s="334"/>
      <c r="BY619" s="434"/>
      <c r="BZ619" s="523"/>
      <c r="CA619" s="3"/>
      <c r="CB619" s="259"/>
      <c r="CC619" s="15"/>
      <c r="CD619" s="15"/>
      <c r="CE619" s="15"/>
      <c r="CF619" s="246"/>
      <c r="CH619" s="246"/>
    </row>
    <row r="620" spans="1:88" hidden="1">
      <c r="B620" s="1147" t="s">
        <v>1179</v>
      </c>
      <c r="C620" s="1140">
        <f>C465/C615-0.5*C354</f>
        <v>16.381214603020119</v>
      </c>
      <c r="D620" s="1140" t="e">
        <f>D465/D615-0.5*D354</f>
        <v>#DIV/0!</v>
      </c>
      <c r="I620" s="1115"/>
      <c r="J620" s="1115"/>
      <c r="K620" s="1115"/>
      <c r="L620" s="1115"/>
      <c r="M620" s="1115"/>
      <c r="N620" s="1115"/>
      <c r="O620" s="470"/>
      <c r="P620" s="470"/>
      <c r="Q620" s="470"/>
      <c r="R620" s="470"/>
      <c r="S620" s="470"/>
      <c r="T620" s="470"/>
      <c r="U620" s="470"/>
      <c r="V620" s="470"/>
      <c r="W620" s="470"/>
      <c r="X620" s="470"/>
      <c r="Y620" s="470"/>
      <c r="Z620" s="470"/>
      <c r="AA620" s="470"/>
      <c r="AB620" s="470"/>
      <c r="AC620" s="470"/>
      <c r="AD620" s="22"/>
      <c r="AE620" s="470"/>
      <c r="AF620" s="470"/>
      <c r="AG620" s="470"/>
      <c r="AH620" s="470"/>
      <c r="AI620" s="470"/>
      <c r="AJ620" s="470"/>
      <c r="AK620" s="470"/>
      <c r="AL620" s="470"/>
      <c r="AM620" s="470"/>
      <c r="AN620" s="470"/>
      <c r="AO620" s="470"/>
      <c r="AP620" s="470"/>
      <c r="AQ620" s="470"/>
      <c r="AR620" s="470"/>
      <c r="AS620" s="470"/>
      <c r="AT620" s="470"/>
      <c r="AU620" s="470"/>
      <c r="AV620" s="470"/>
      <c r="AW620" s="470"/>
      <c r="AX620" s="470"/>
      <c r="AY620" s="470"/>
      <c r="AZ620" s="470"/>
      <c r="BA620" s="470"/>
      <c r="BC620" s="470"/>
      <c r="BD620" s="470"/>
      <c r="BE620" s="470"/>
      <c r="BF620" s="470"/>
      <c r="BG620" s="470"/>
      <c r="BH620" s="470"/>
      <c r="BI620" s="470"/>
      <c r="BJ620" s="470"/>
      <c r="BK620" s="470"/>
      <c r="BL620" s="282"/>
      <c r="BM620" s="527" t="e">
        <f t="shared" ref="BM620:BU620" si="149">BM$551*(1-$Q$730)/(BM$486+0.5*BM$538*(1+BM$612))</f>
        <v>#REF!</v>
      </c>
      <c r="BN620" s="527" t="e">
        <f t="shared" si="149"/>
        <v>#REF!</v>
      </c>
      <c r="BO620" s="527" t="e">
        <f t="shared" si="149"/>
        <v>#REF!</v>
      </c>
      <c r="BP620" s="527" t="e">
        <f t="shared" si="149"/>
        <v>#REF!</v>
      </c>
      <c r="BQ620" s="527" t="e">
        <f t="shared" si="149"/>
        <v>#REF!</v>
      </c>
      <c r="BR620" s="527" t="e">
        <f t="shared" si="149"/>
        <v>#REF!</v>
      </c>
      <c r="BS620" s="527" t="e">
        <f t="shared" si="149"/>
        <v>#REF!</v>
      </c>
      <c r="BT620" s="527" t="e">
        <f t="shared" si="149"/>
        <v>#REF!</v>
      </c>
      <c r="BU620" s="527" t="e">
        <f t="shared" si="149"/>
        <v>#REF!</v>
      </c>
      <c r="BV620" s="334"/>
      <c r="BW620" s="399"/>
      <c r="BX620" s="334"/>
      <c r="BY620" s="434"/>
      <c r="BZ620" s="523"/>
      <c r="CA620" s="3"/>
      <c r="CB620" s="259"/>
      <c r="CC620" s="15"/>
      <c r="CD620" s="15"/>
      <c r="CE620" s="15"/>
      <c r="CF620" s="246"/>
      <c r="CH620" s="246"/>
    </row>
    <row r="621" spans="1:88" s="15" customFormat="1" ht="25.8" hidden="1">
      <c r="A621" s="934"/>
      <c r="B621" s="1148" t="s">
        <v>1180</v>
      </c>
      <c r="C621" s="1102">
        <f>C465/C617*(1-C597)-0.5*C356*(1+C509)</f>
        <v>11.900933206307641</v>
      </c>
      <c r="D621" s="1102" t="e">
        <f>D465/D617*(1-D597)-0.5*D356*(1+D509)</f>
        <v>#DIV/0!</v>
      </c>
      <c r="E621" s="1106"/>
      <c r="F621" s="310"/>
      <c r="G621" s="934"/>
      <c r="H621" s="934"/>
      <c r="I621" s="1115"/>
      <c r="J621" s="1115"/>
      <c r="K621" s="1115"/>
      <c r="L621" s="1115"/>
      <c r="M621" s="1115"/>
      <c r="N621" s="1115"/>
      <c r="O621" s="470"/>
      <c r="P621" s="470"/>
      <c r="Q621" s="470"/>
      <c r="R621" s="470"/>
      <c r="S621" s="470"/>
      <c r="T621" s="470"/>
      <c r="U621" s="470"/>
      <c r="V621" s="470"/>
      <c r="W621" s="470"/>
      <c r="X621" s="470"/>
      <c r="Y621" s="470"/>
      <c r="AD621" s="470"/>
      <c r="AE621" s="470"/>
      <c r="AF621" s="470"/>
      <c r="AG621" s="470"/>
      <c r="AH621" s="470"/>
      <c r="AI621" s="470"/>
      <c r="AJ621" s="470"/>
      <c r="AK621" s="470"/>
      <c r="AL621" s="470"/>
      <c r="AM621" s="470"/>
      <c r="AN621" s="470"/>
      <c r="AO621" s="470"/>
      <c r="AP621" s="470"/>
      <c r="AQ621" s="470"/>
      <c r="AR621" s="470"/>
      <c r="AS621" s="470"/>
      <c r="AT621" s="470"/>
      <c r="AU621" s="470"/>
      <c r="AV621" s="470"/>
      <c r="AW621" s="470"/>
      <c r="AX621" s="470"/>
      <c r="AY621" s="470"/>
      <c r="AZ621" s="470"/>
      <c r="BA621" s="470"/>
      <c r="BB621" s="470"/>
      <c r="BC621" s="470"/>
      <c r="BD621" s="470"/>
      <c r="BE621" s="470"/>
      <c r="BF621" s="470"/>
      <c r="BG621" s="470"/>
      <c r="BH621" s="470"/>
      <c r="BI621" s="470"/>
      <c r="BJ621" s="470"/>
      <c r="BK621" s="470"/>
      <c r="BL621" s="334"/>
      <c r="BM621" s="470"/>
      <c r="BN621" s="470"/>
      <c r="BO621" s="470"/>
      <c r="BP621" s="470"/>
      <c r="BQ621" s="470"/>
      <c r="BR621" s="470"/>
      <c r="BS621" s="470"/>
      <c r="BT621" s="470"/>
      <c r="BU621" s="470"/>
      <c r="BV621" s="334"/>
      <c r="BW621" s="399"/>
      <c r="BX621" s="334"/>
      <c r="BY621" s="434"/>
      <c r="BZ621" s="523"/>
      <c r="CA621" s="22"/>
      <c r="CB621" s="247"/>
      <c r="CF621" s="247"/>
      <c r="CH621" s="247"/>
    </row>
    <row r="622" spans="1:88" s="15" customFormat="1" ht="25.8" hidden="1">
      <c r="A622" s="934"/>
      <c r="B622" s="1148" t="s">
        <v>842</v>
      </c>
      <c r="C622" s="1102">
        <f>C465/C616*(1+C596)-0.5*C354*(1-C509)</f>
        <v>21.423369680540908</v>
      </c>
      <c r="D622" s="1102" t="e">
        <f>D465/D616*(1+D596)-0.5*D354*(1-D509)</f>
        <v>#DIV/0!</v>
      </c>
      <c r="E622" s="1106"/>
      <c r="F622" s="310"/>
      <c r="G622" s="934"/>
      <c r="H622" s="934"/>
      <c r="I622" s="1043"/>
      <c r="J622" s="1115"/>
      <c r="K622" s="1115"/>
      <c r="L622" s="1115"/>
      <c r="M622" s="1115"/>
      <c r="N622" s="1115"/>
      <c r="O622" s="470"/>
      <c r="P622" s="470"/>
      <c r="Q622" s="470"/>
      <c r="R622" s="470"/>
      <c r="S622" s="470"/>
      <c r="T622" s="470"/>
      <c r="U622" s="470"/>
      <c r="V622" s="470"/>
      <c r="W622" s="470"/>
      <c r="X622" s="470"/>
      <c r="Y622" s="470"/>
      <c r="Z622" s="97" t="s">
        <v>932</v>
      </c>
      <c r="AA622" s="97" t="s">
        <v>932</v>
      </c>
      <c r="AB622" s="97" t="s">
        <v>932</v>
      </c>
      <c r="AC622" s="97" t="s">
        <v>932</v>
      </c>
      <c r="AD622" s="470"/>
      <c r="AE622" s="470"/>
      <c r="AF622" s="470"/>
      <c r="AG622" s="470"/>
      <c r="AH622" s="470"/>
      <c r="AI622" s="470"/>
      <c r="AJ622" s="470"/>
      <c r="AK622" s="470"/>
      <c r="AL622" s="470"/>
      <c r="AM622" s="470"/>
      <c r="AN622" s="470"/>
      <c r="AO622" s="470"/>
      <c r="AP622" s="470"/>
      <c r="AQ622" s="470"/>
      <c r="AR622" s="470"/>
      <c r="AS622" s="470"/>
      <c r="AT622" s="470"/>
      <c r="AU622" s="470"/>
      <c r="AV622" s="470"/>
      <c r="AW622" s="470"/>
      <c r="AX622" s="470"/>
      <c r="AY622" s="470"/>
      <c r="AZ622" s="470"/>
      <c r="BA622" s="470"/>
      <c r="BB622" s="470"/>
      <c r="BC622" s="470"/>
      <c r="BD622" s="470"/>
      <c r="BE622" s="470"/>
      <c r="BF622" s="470"/>
      <c r="BG622" s="470"/>
      <c r="BH622" s="470"/>
      <c r="BI622" s="470"/>
      <c r="BJ622" s="470"/>
      <c r="BK622" s="470"/>
      <c r="BL622" s="334"/>
      <c r="BM622" s="470"/>
      <c r="BN622" s="470"/>
      <c r="BO622" s="470"/>
      <c r="BP622" s="470"/>
      <c r="BQ622" s="470"/>
      <c r="BR622" s="470"/>
      <c r="BS622" s="470"/>
      <c r="BT622" s="470"/>
      <c r="BU622" s="470"/>
      <c r="BV622" s="334"/>
      <c r="BW622" s="399"/>
      <c r="BX622" s="334"/>
      <c r="BY622" s="434"/>
      <c r="BZ622" s="523"/>
      <c r="CA622" s="22"/>
      <c r="CB622" s="247"/>
      <c r="CF622" s="247"/>
      <c r="CH622" s="247"/>
    </row>
    <row r="623" spans="1:88" s="15" customFormat="1" hidden="1">
      <c r="A623" s="934"/>
      <c r="B623" s="1149" t="s">
        <v>281</v>
      </c>
      <c r="C623" s="1141">
        <f>(C621-C619)/C619</f>
        <v>-0.27235337956171579</v>
      </c>
      <c r="D623" s="1141" t="e">
        <f>(D621-D619)/D619</f>
        <v>#DIV/0!</v>
      </c>
      <c r="E623" s="1106"/>
      <c r="F623" s="310"/>
      <c r="G623" s="934"/>
      <c r="H623" s="934"/>
      <c r="I623" s="995"/>
      <c r="J623" s="1115"/>
      <c r="K623" s="1115"/>
      <c r="L623" s="1115"/>
      <c r="M623" s="1115"/>
      <c r="N623" s="1115"/>
      <c r="O623" s="470"/>
      <c r="P623" s="470"/>
      <c r="Q623" s="470"/>
      <c r="R623" s="470"/>
      <c r="S623" s="470"/>
      <c r="T623" s="470"/>
      <c r="U623" s="470"/>
      <c r="V623" s="470"/>
      <c r="W623" s="470"/>
      <c r="X623" s="470"/>
      <c r="Y623" s="470"/>
      <c r="Z623" s="395">
        <v>10.5</v>
      </c>
      <c r="AA623" s="395">
        <v>10.5</v>
      </c>
      <c r="AB623" s="395">
        <v>10.5</v>
      </c>
      <c r="AC623" s="395">
        <v>10.5</v>
      </c>
      <c r="AD623" s="470"/>
      <c r="AE623" s="470"/>
      <c r="AF623" s="470"/>
      <c r="AG623" s="470"/>
      <c r="AH623" s="470"/>
      <c r="AI623" s="470"/>
      <c r="AJ623" s="470"/>
      <c r="AK623" s="470"/>
      <c r="AL623" s="470"/>
      <c r="AM623" s="470"/>
      <c r="AN623" s="470"/>
      <c r="AO623" s="470"/>
      <c r="AP623" s="470"/>
      <c r="AQ623" s="470"/>
      <c r="AR623" s="470"/>
      <c r="AS623" s="470"/>
      <c r="AT623" s="470"/>
      <c r="AU623" s="470"/>
      <c r="AV623" s="470"/>
      <c r="AW623" s="470"/>
      <c r="AX623" s="470"/>
      <c r="AY623" s="470"/>
      <c r="AZ623" s="470"/>
      <c r="BA623" s="470"/>
      <c r="BB623" s="470"/>
      <c r="BC623" s="470"/>
      <c r="BD623" s="470"/>
      <c r="BE623" s="470"/>
      <c r="BF623" s="470"/>
      <c r="BG623" s="470"/>
      <c r="BH623" s="470"/>
      <c r="BI623" s="470"/>
      <c r="BJ623" s="470"/>
      <c r="BK623" s="470"/>
      <c r="BL623" s="334"/>
      <c r="BM623" s="470"/>
      <c r="BN623" s="470"/>
      <c r="BO623" s="470"/>
      <c r="BP623" s="470"/>
      <c r="BQ623" s="470"/>
      <c r="BR623" s="470"/>
      <c r="BS623" s="470"/>
      <c r="BT623" s="470"/>
      <c r="BU623" s="470"/>
      <c r="BV623" s="334"/>
      <c r="BW623" s="399"/>
      <c r="BX623" s="334"/>
      <c r="BY623" s="434"/>
      <c r="BZ623" s="523"/>
      <c r="CA623" s="22"/>
      <c r="CB623" s="247"/>
      <c r="CF623" s="247"/>
      <c r="CH623" s="247"/>
    </row>
    <row r="624" spans="1:88" s="15" customFormat="1" hidden="1">
      <c r="A624" s="934"/>
      <c r="B624" s="1149" t="s">
        <v>282</v>
      </c>
      <c r="C624" s="1141">
        <f>(C622-C619)/C619</f>
        <v>0.30986724118268499</v>
      </c>
      <c r="D624" s="1141" t="e">
        <f>(D622-D619)/D619</f>
        <v>#DIV/0!</v>
      </c>
      <c r="E624" s="1106"/>
      <c r="F624" s="310"/>
      <c r="G624" s="934"/>
      <c r="H624" s="934"/>
      <c r="I624" s="995"/>
      <c r="J624" s="1115"/>
      <c r="K624" s="1115"/>
      <c r="L624" s="1115"/>
      <c r="M624" s="1115"/>
      <c r="N624" s="1115"/>
      <c r="O624" s="470"/>
      <c r="P624" s="470"/>
      <c r="Q624" s="470"/>
      <c r="R624" s="470"/>
      <c r="S624" s="470"/>
      <c r="T624" s="470"/>
      <c r="U624" s="470"/>
      <c r="V624" s="470"/>
      <c r="W624" s="470"/>
      <c r="X624" s="470"/>
      <c r="Y624" s="470"/>
      <c r="Z624" s="395">
        <v>8</v>
      </c>
      <c r="AA624" s="395">
        <v>8</v>
      </c>
      <c r="AB624" s="395">
        <v>8</v>
      </c>
      <c r="AC624" s="395">
        <v>8</v>
      </c>
      <c r="AD624" s="470"/>
      <c r="AE624" s="470"/>
      <c r="AF624" s="470"/>
      <c r="AG624" s="470"/>
      <c r="AH624" s="470"/>
      <c r="AI624" s="470"/>
      <c r="AJ624" s="470"/>
      <c r="AK624" s="470"/>
      <c r="AL624" s="470"/>
      <c r="AM624" s="470"/>
      <c r="AN624" s="470"/>
      <c r="AO624" s="470"/>
      <c r="AP624" s="470"/>
      <c r="AQ624" s="470"/>
      <c r="AR624" s="470"/>
      <c r="AS624" s="470"/>
      <c r="AT624" s="470"/>
      <c r="AU624" s="470"/>
      <c r="AV624" s="470"/>
      <c r="AW624" s="470"/>
      <c r="AX624" s="470"/>
      <c r="AY624" s="470"/>
      <c r="AZ624" s="470"/>
      <c r="BA624" s="470"/>
      <c r="BB624" s="470"/>
      <c r="BC624" s="470"/>
      <c r="BD624" s="470"/>
      <c r="BE624" s="470"/>
      <c r="BF624" s="470"/>
      <c r="BG624" s="470"/>
      <c r="BH624" s="470"/>
      <c r="BI624" s="470"/>
      <c r="BJ624" s="470"/>
      <c r="BK624" s="470"/>
      <c r="BL624" s="334"/>
      <c r="BM624" s="470"/>
      <c r="BN624" s="470"/>
      <c r="BO624" s="470"/>
      <c r="BP624" s="470"/>
      <c r="BQ624" s="470"/>
      <c r="BR624" s="470"/>
      <c r="BS624" s="470"/>
      <c r="BT624" s="470"/>
      <c r="BU624" s="470"/>
      <c r="BV624" s="334"/>
      <c r="BW624" s="399"/>
      <c r="BX624" s="334"/>
      <c r="BY624" s="434"/>
      <c r="BZ624" s="523"/>
      <c r="CA624" s="22"/>
      <c r="CB624" s="247"/>
      <c r="CF624" s="247"/>
      <c r="CH624" s="247"/>
    </row>
    <row r="625" spans="1:86" s="15" customFormat="1" ht="14" hidden="1" thickBot="1">
      <c r="A625" s="934"/>
      <c r="B625" s="1150" t="s">
        <v>283</v>
      </c>
      <c r="C625" s="1127">
        <f>C465/C615</f>
        <v>18.299819254182911</v>
      </c>
      <c r="D625" s="1127">
        <f>D465/D615</f>
        <v>6.7978077070144884</v>
      </c>
      <c r="E625" s="1106" t="s">
        <v>915</v>
      </c>
      <c r="F625" s="310"/>
      <c r="G625" s="995"/>
      <c r="H625" s="995"/>
      <c r="I625" s="995"/>
      <c r="J625" s="1115"/>
      <c r="K625" s="1115"/>
      <c r="L625" s="1115"/>
      <c r="M625" s="1115"/>
      <c r="N625" s="1115"/>
      <c r="O625" s="470"/>
      <c r="P625" s="470"/>
      <c r="Q625" s="470"/>
      <c r="R625" s="470"/>
      <c r="S625" s="470"/>
      <c r="T625" s="470"/>
      <c r="U625" s="470"/>
      <c r="V625" s="470"/>
      <c r="W625" s="470"/>
      <c r="X625" s="470"/>
      <c r="Y625" s="470"/>
      <c r="Z625" s="395">
        <v>1</v>
      </c>
      <c r="AA625" s="395">
        <v>1</v>
      </c>
      <c r="AB625" s="395">
        <v>1</v>
      </c>
      <c r="AC625" s="395">
        <v>1</v>
      </c>
      <c r="AD625" s="470"/>
      <c r="AE625" s="470"/>
      <c r="AF625" s="470"/>
      <c r="AG625" s="470"/>
      <c r="AH625" s="470"/>
      <c r="AI625" s="470"/>
      <c r="AJ625" s="470"/>
      <c r="AK625" s="470"/>
      <c r="AL625" s="470"/>
      <c r="AM625" s="470"/>
      <c r="AN625" s="470"/>
      <c r="AO625" s="470"/>
      <c r="AP625" s="470"/>
      <c r="AQ625" s="470"/>
      <c r="AR625" s="470"/>
      <c r="AS625" s="470"/>
      <c r="AT625" s="470"/>
      <c r="AU625" s="470"/>
      <c r="AV625" s="470"/>
      <c r="AW625" s="470"/>
      <c r="AX625" s="470"/>
      <c r="AY625" s="470"/>
      <c r="AZ625" s="470"/>
      <c r="BA625" s="470"/>
      <c r="BB625" s="470"/>
      <c r="BC625" s="470"/>
      <c r="BD625" s="470"/>
      <c r="BE625" s="470"/>
      <c r="BF625" s="470"/>
      <c r="BG625" s="470"/>
      <c r="BH625" s="470"/>
      <c r="BI625" s="470"/>
      <c r="BJ625" s="470"/>
      <c r="BK625" s="470"/>
      <c r="BL625" s="334"/>
      <c r="BM625" s="470"/>
      <c r="BN625" s="470"/>
      <c r="BO625" s="470"/>
      <c r="BP625" s="470"/>
      <c r="BQ625" s="470"/>
      <c r="BR625" s="470"/>
      <c r="BS625" s="470"/>
      <c r="BT625" s="470"/>
      <c r="BU625" s="470"/>
      <c r="BV625" s="334"/>
      <c r="BW625" s="399"/>
      <c r="BX625" s="334"/>
      <c r="BY625" s="434"/>
      <c r="BZ625" s="523"/>
      <c r="CA625" s="22"/>
      <c r="CB625" s="247"/>
      <c r="CF625" s="247"/>
      <c r="CH625" s="247"/>
    </row>
    <row r="626" spans="1:86" s="15" customFormat="1" ht="14" hidden="1" thickBot="1">
      <c r="A626" s="120"/>
      <c r="B626" s="1149" t="s">
        <v>284</v>
      </c>
      <c r="C626" s="1102">
        <f>C625/C332</f>
        <v>1.4296733792330398</v>
      </c>
      <c r="D626" s="1102">
        <f>D625/D332</f>
        <v>6.7978077070144884</v>
      </c>
      <c r="E626" s="995"/>
      <c r="F626" s="310"/>
      <c r="G626" s="995"/>
      <c r="H626" s="995"/>
      <c r="I626" s="995"/>
      <c r="J626" s="1115"/>
      <c r="K626" s="1151" t="s">
        <v>935</v>
      </c>
      <c r="L626" s="1152"/>
      <c r="M626" s="112"/>
      <c r="N626" s="310"/>
      <c r="O626" s="246"/>
      <c r="P626" s="246"/>
      <c r="Q626" s="2"/>
      <c r="R626" s="2"/>
      <c r="S626" s="2"/>
      <c r="T626" s="2"/>
      <c r="U626" s="2"/>
      <c r="V626" s="2"/>
      <c r="W626" s="2"/>
      <c r="X626" s="2"/>
      <c r="Y626" s="2"/>
      <c r="Z626" s="395">
        <v>3</v>
      </c>
      <c r="AA626" s="395">
        <v>3</v>
      </c>
      <c r="AB626" s="395">
        <v>3</v>
      </c>
      <c r="AC626" s="395">
        <v>3</v>
      </c>
      <c r="AD626" s="470"/>
      <c r="AE626" s="470"/>
      <c r="AF626" s="470"/>
      <c r="AG626" s="470"/>
      <c r="AH626" s="470"/>
      <c r="AI626" s="470"/>
      <c r="AJ626" s="470"/>
      <c r="AK626" s="470"/>
      <c r="AL626" s="470"/>
      <c r="AM626" s="470"/>
      <c r="AN626" s="470"/>
      <c r="AO626" s="470"/>
      <c r="AP626" s="470"/>
      <c r="AQ626" s="470"/>
      <c r="AR626" s="470"/>
      <c r="AS626" s="470"/>
      <c r="AT626" s="470"/>
      <c r="AU626" s="470"/>
      <c r="AV626" s="470"/>
      <c r="AW626" s="470"/>
      <c r="AX626" s="470"/>
      <c r="AY626" s="470"/>
      <c r="AZ626" s="470"/>
      <c r="BA626" s="470"/>
      <c r="BB626" s="470"/>
      <c r="BC626" s="470"/>
      <c r="BD626" s="470"/>
      <c r="BE626" s="470"/>
      <c r="BF626" s="470"/>
      <c r="BG626" s="470"/>
      <c r="BH626" s="470"/>
      <c r="BI626" s="470"/>
      <c r="BJ626" s="470"/>
      <c r="BK626" s="470"/>
      <c r="BL626" s="334"/>
      <c r="BM626" s="470"/>
      <c r="BN626" s="470"/>
      <c r="BO626" s="470"/>
      <c r="BP626" s="470"/>
      <c r="BQ626" s="470"/>
      <c r="BR626" s="470"/>
      <c r="BS626" s="470"/>
      <c r="BT626" s="470"/>
      <c r="BU626" s="470"/>
      <c r="BV626" s="334"/>
      <c r="BW626" s="399"/>
      <c r="BX626" s="334"/>
      <c r="BY626" s="434"/>
      <c r="BZ626" s="523"/>
      <c r="CA626" s="22"/>
      <c r="CB626" s="247"/>
      <c r="CF626" s="247"/>
      <c r="CH626" s="247"/>
    </row>
    <row r="627" spans="1:86" s="15" customFormat="1" ht="14" hidden="1" thickBot="1">
      <c r="A627" s="120"/>
      <c r="B627" s="1153" t="s">
        <v>285</v>
      </c>
      <c r="C627" s="1022">
        <f>C465*(1-C597)/(C332+0.5*C352*(1+C509))</f>
        <v>3.4974618016147221</v>
      </c>
      <c r="D627" s="1022" t="e">
        <f>D465*(1-D597)/(D332+0.5*D352*(1+D509))</f>
        <v>#DIV/0!</v>
      </c>
      <c r="E627" s="934"/>
      <c r="F627" s="310"/>
      <c r="G627" s="995"/>
      <c r="H627" s="995"/>
      <c r="I627" s="995"/>
      <c r="J627" s="1115"/>
      <c r="K627" s="310"/>
      <c r="L627" s="1154" t="s">
        <v>975</v>
      </c>
      <c r="M627" s="1155" t="s">
        <v>974</v>
      </c>
      <c r="N627" s="310"/>
      <c r="O627" s="246"/>
      <c r="P627" s="246"/>
      <c r="Q627" s="2"/>
      <c r="R627" s="2"/>
      <c r="S627" s="2"/>
      <c r="T627" s="2"/>
      <c r="U627" s="2"/>
      <c r="V627" s="2"/>
      <c r="W627" s="2"/>
      <c r="X627" s="2"/>
      <c r="Y627" s="2"/>
      <c r="Z627" s="395">
        <v>2</v>
      </c>
      <c r="AA627" s="395">
        <v>2</v>
      </c>
      <c r="AB627" s="395">
        <v>2</v>
      </c>
      <c r="AC627" s="395">
        <v>2</v>
      </c>
      <c r="AD627" s="470"/>
      <c r="AE627" s="470"/>
      <c r="AF627" s="470"/>
      <c r="AG627" s="470"/>
      <c r="AH627" s="470"/>
      <c r="AI627" s="470"/>
      <c r="AJ627" s="470"/>
      <c r="AK627" s="470"/>
      <c r="AL627" s="470"/>
      <c r="AM627" s="470"/>
      <c r="AN627" s="470"/>
      <c r="AO627" s="470"/>
      <c r="AP627" s="470"/>
      <c r="AQ627" s="470"/>
      <c r="AR627" s="470"/>
      <c r="AS627" s="470"/>
      <c r="AT627" s="470"/>
      <c r="AU627" s="470"/>
      <c r="AV627" s="470"/>
      <c r="AW627" s="470"/>
      <c r="AX627" s="470"/>
      <c r="AY627" s="470"/>
      <c r="AZ627" s="470"/>
      <c r="BA627" s="470"/>
      <c r="BB627" s="470"/>
      <c r="BC627" s="470"/>
      <c r="BD627" s="470"/>
      <c r="BE627" s="470"/>
      <c r="BF627" s="470"/>
      <c r="BG627" s="470"/>
      <c r="BH627" s="470"/>
      <c r="BI627" s="470"/>
      <c r="BJ627" s="470"/>
      <c r="BK627" s="470"/>
      <c r="BL627" s="334"/>
      <c r="BM627" s="470"/>
      <c r="BN627" s="470"/>
      <c r="BO627" s="470"/>
      <c r="BP627" s="470"/>
      <c r="BQ627" s="470"/>
      <c r="BR627" s="470"/>
      <c r="BS627" s="470"/>
      <c r="BT627" s="470"/>
      <c r="BU627" s="470"/>
      <c r="BV627" s="334"/>
      <c r="BW627" s="399"/>
      <c r="BX627" s="334"/>
      <c r="BY627" s="434"/>
      <c r="BZ627" s="523"/>
      <c r="CA627" s="22"/>
      <c r="CB627" s="247"/>
      <c r="CF627" s="247"/>
      <c r="CH627" s="247"/>
    </row>
    <row r="628" spans="1:86" s="15" customFormat="1" hidden="1">
      <c r="A628" s="120"/>
      <c r="B628" s="1153" t="s">
        <v>286</v>
      </c>
      <c r="C628" s="1114">
        <f>C627/C475</f>
        <v>0.40006426281732071</v>
      </c>
      <c r="D628" s="1114" t="e">
        <f>D627/D475</f>
        <v>#DIV/0!</v>
      </c>
      <c r="E628" s="934"/>
      <c r="F628" s="310"/>
      <c r="G628" s="995"/>
      <c r="H628" s="995"/>
      <c r="I628" s="995"/>
      <c r="J628" s="1115"/>
      <c r="K628" s="1156" t="s">
        <v>267</v>
      </c>
      <c r="L628" s="1157">
        <f>C1271</f>
        <v>7.2</v>
      </c>
      <c r="M628" s="1157">
        <f>C1272</f>
        <v>7.2</v>
      </c>
      <c r="N628" s="310"/>
      <c r="O628" s="399"/>
      <c r="P628" s="333"/>
      <c r="Q628" s="2"/>
      <c r="R628" s="2"/>
      <c r="S628" s="2"/>
      <c r="T628" s="2"/>
      <c r="U628" s="2"/>
      <c r="V628" s="2"/>
      <c r="W628" s="2"/>
      <c r="X628" s="2"/>
      <c r="Y628" s="2"/>
      <c r="Z628" s="430">
        <v>50</v>
      </c>
      <c r="AA628" s="430">
        <v>50</v>
      </c>
      <c r="AB628" s="430">
        <v>50</v>
      </c>
      <c r="AC628" s="430">
        <v>50</v>
      </c>
      <c r="AD628" s="470"/>
      <c r="AE628" s="470"/>
      <c r="AF628" s="470"/>
      <c r="AG628" s="470"/>
      <c r="AH628" s="470"/>
      <c r="AI628" s="470"/>
      <c r="AJ628" s="470"/>
      <c r="AK628" s="470"/>
      <c r="AL628" s="470"/>
      <c r="AM628" s="470"/>
      <c r="AN628" s="470"/>
      <c r="AO628" s="470"/>
      <c r="AP628" s="470"/>
      <c r="AQ628" s="470"/>
      <c r="AR628" s="470"/>
      <c r="AS628" s="470"/>
      <c r="AT628" s="470"/>
      <c r="AU628" s="470"/>
      <c r="AV628" s="470"/>
      <c r="AW628" s="470"/>
      <c r="AX628" s="470"/>
      <c r="AY628" s="470"/>
      <c r="AZ628" s="470"/>
      <c r="BA628" s="470"/>
      <c r="BB628" s="470"/>
      <c r="BC628" s="470"/>
      <c r="BD628" s="470"/>
      <c r="BE628" s="470"/>
      <c r="BF628" s="470"/>
      <c r="BG628" s="470"/>
      <c r="BH628" s="470"/>
      <c r="BI628" s="470"/>
      <c r="BJ628" s="470"/>
      <c r="BK628" s="470"/>
      <c r="BL628" s="334"/>
      <c r="BM628" s="470"/>
      <c r="BN628" s="470"/>
      <c r="BO628" s="470"/>
      <c r="BP628" s="470"/>
      <c r="BQ628" s="470"/>
      <c r="BR628" s="470"/>
      <c r="BS628" s="470"/>
      <c r="BT628" s="470"/>
      <c r="BU628" s="470"/>
      <c r="BV628" s="334"/>
      <c r="BW628" s="399"/>
      <c r="BX628" s="334"/>
      <c r="BY628" s="434"/>
      <c r="BZ628" s="523"/>
      <c r="CA628" s="22"/>
      <c r="CB628" s="247"/>
      <c r="CF628" s="247"/>
      <c r="CH628" s="247"/>
    </row>
    <row r="629" spans="1:86" s="15" customFormat="1" hidden="1">
      <c r="A629" s="120"/>
      <c r="B629" s="1153" t="s">
        <v>287</v>
      </c>
      <c r="C629" s="1114">
        <f>C627/C474</f>
        <v>0.49870766665213023</v>
      </c>
      <c r="D629" s="1114" t="e">
        <f>D627/D474</f>
        <v>#DIV/0!</v>
      </c>
      <c r="E629" s="1046"/>
      <c r="F629" s="310"/>
      <c r="G629" s="995"/>
      <c r="H629" s="995"/>
      <c r="I629" s="995"/>
      <c r="J629" s="1115"/>
      <c r="K629" s="1158" t="s">
        <v>268</v>
      </c>
      <c r="L629" s="1159">
        <f>AVERAGE(L628,L630)</f>
        <v>6.45</v>
      </c>
      <c r="M629" s="1159">
        <f>AVERAGE(M628,M630)</f>
        <v>6.45</v>
      </c>
      <c r="N629" s="310"/>
      <c r="O629" s="2"/>
      <c r="P629" s="246"/>
      <c r="Q629" s="2"/>
      <c r="R629" s="2"/>
      <c r="S629" s="2"/>
      <c r="T629" s="2"/>
      <c r="U629" s="2"/>
      <c r="Z629" s="430">
        <v>0.7</v>
      </c>
      <c r="AA629" s="430">
        <v>0.7</v>
      </c>
      <c r="AB629" s="430">
        <v>0.7</v>
      </c>
      <c r="AC629" s="430">
        <v>0.7</v>
      </c>
      <c r="AD629" s="470"/>
      <c r="AE629" s="470"/>
      <c r="AF629" s="470"/>
      <c r="AG629" s="470"/>
      <c r="AH629" s="470"/>
      <c r="AI629" s="470"/>
      <c r="AJ629" s="470"/>
      <c r="AK629" s="470"/>
      <c r="AL629" s="470"/>
      <c r="AM629" s="470"/>
      <c r="AN629" s="470"/>
      <c r="AO629" s="470"/>
      <c r="AP629" s="470"/>
      <c r="AQ629" s="470"/>
      <c r="AR629" s="470"/>
      <c r="AS629" s="470"/>
      <c r="AT629" s="470"/>
      <c r="AU629" s="470"/>
      <c r="AV629" s="470"/>
      <c r="AW629" s="470"/>
      <c r="AX629" s="470"/>
      <c r="AY629" s="470"/>
      <c r="AZ629" s="470"/>
      <c r="BA629" s="470"/>
      <c r="BB629" s="470"/>
      <c r="BC629" s="470"/>
      <c r="BD629" s="470"/>
      <c r="BE629" s="470"/>
      <c r="BF629" s="470"/>
      <c r="BG629" s="470"/>
      <c r="BH629" s="470"/>
      <c r="BI629" s="470"/>
      <c r="BJ629" s="470"/>
      <c r="BK629" s="470"/>
      <c r="BL629" s="334"/>
      <c r="BM629" s="470"/>
      <c r="BN629" s="470"/>
      <c r="BO629" s="470"/>
      <c r="BP629" s="470"/>
      <c r="BQ629" s="470"/>
      <c r="BR629" s="470"/>
      <c r="BS629" s="470"/>
      <c r="BT629" s="470"/>
      <c r="BU629" s="470"/>
      <c r="BV629" s="334"/>
      <c r="BW629" s="399"/>
      <c r="BX629" s="334"/>
      <c r="BY629" s="434"/>
      <c r="BZ629" s="523"/>
      <c r="CA629" s="22"/>
      <c r="CB629" s="247"/>
      <c r="CF629" s="247"/>
      <c r="CH629" s="247"/>
    </row>
    <row r="630" spans="1:86" s="15" customFormat="1" hidden="1">
      <c r="A630" s="120"/>
      <c r="B630" s="1153" t="s">
        <v>897</v>
      </c>
      <c r="C630" s="1114">
        <f>C477/C466/C628</f>
        <v>8.9985543188691395</v>
      </c>
      <c r="D630" s="1114" t="e">
        <f>D477/D466/D628</f>
        <v>#DIV/0!</v>
      </c>
      <c r="E630" s="1046"/>
      <c r="F630" s="310"/>
      <c r="G630" s="995"/>
      <c r="H630" s="995"/>
      <c r="I630" s="995"/>
      <c r="J630" s="1115"/>
      <c r="K630" s="1158" t="s">
        <v>269</v>
      </c>
      <c r="L630" s="1159">
        <f>D1271</f>
        <v>5.7</v>
      </c>
      <c r="M630" s="1159">
        <f>D1272</f>
        <v>5.7</v>
      </c>
      <c r="N630" s="310"/>
      <c r="O630" s="2"/>
      <c r="P630" s="246"/>
      <c r="Q630" s="2"/>
      <c r="R630" s="2"/>
      <c r="S630" s="2"/>
      <c r="T630" s="2"/>
      <c r="U630" s="2"/>
      <c r="V630" s="2"/>
      <c r="W630" s="2"/>
      <c r="X630" s="2"/>
      <c r="Y630" s="2"/>
      <c r="Z630" s="430">
        <v>1000</v>
      </c>
      <c r="AA630" s="430">
        <v>1000</v>
      </c>
      <c r="AB630" s="430">
        <v>1000</v>
      </c>
      <c r="AC630" s="430">
        <v>1000</v>
      </c>
      <c r="AD630" s="470"/>
      <c r="AE630" s="470"/>
      <c r="AF630" s="470"/>
      <c r="AG630" s="470"/>
      <c r="AH630" s="470"/>
      <c r="AI630" s="470"/>
      <c r="AJ630" s="470"/>
      <c r="AK630" s="470"/>
      <c r="AL630" s="470"/>
      <c r="AM630" s="470"/>
      <c r="AN630" s="470"/>
      <c r="AO630" s="470"/>
      <c r="AP630" s="470"/>
      <c r="AQ630" s="470"/>
      <c r="AR630" s="470"/>
      <c r="AS630" s="470"/>
      <c r="AT630" s="470"/>
      <c r="AU630" s="470"/>
      <c r="AV630" s="470"/>
      <c r="AW630" s="470"/>
      <c r="AX630" s="470"/>
      <c r="AY630" s="470"/>
      <c r="AZ630" s="470"/>
      <c r="BA630" s="470"/>
      <c r="BB630" s="470"/>
      <c r="BC630" s="470"/>
      <c r="BD630" s="470"/>
      <c r="BE630" s="470"/>
      <c r="BF630" s="470"/>
      <c r="BG630" s="470"/>
      <c r="BH630" s="470"/>
      <c r="BI630" s="470"/>
      <c r="BJ630" s="470"/>
      <c r="BK630" s="470"/>
      <c r="BL630" s="334"/>
      <c r="BM630" s="470"/>
      <c r="BN630" s="470"/>
      <c r="BO630" s="470"/>
      <c r="BP630" s="470"/>
      <c r="BQ630" s="470"/>
      <c r="BR630" s="470"/>
      <c r="BS630" s="470"/>
      <c r="BT630" s="470"/>
      <c r="BU630" s="470"/>
      <c r="BV630" s="334"/>
      <c r="BW630" s="399"/>
      <c r="BX630" s="334"/>
      <c r="BY630" s="434"/>
      <c r="BZ630" s="523"/>
      <c r="CA630" s="22"/>
      <c r="CB630" s="247"/>
      <c r="CF630" s="247"/>
      <c r="CH630" s="247"/>
    </row>
    <row r="631" spans="1:86" s="15" customFormat="1" hidden="1">
      <c r="A631" s="120"/>
      <c r="B631" s="1153" t="s">
        <v>898</v>
      </c>
      <c r="C631" s="1114">
        <f>C477/C466/C629</f>
        <v>7.2186578244668391</v>
      </c>
      <c r="D631" s="1114" t="e">
        <f>D477/D466/D629</f>
        <v>#DIV/0!</v>
      </c>
      <c r="E631" s="1046"/>
      <c r="F631" s="310"/>
      <c r="G631" s="995"/>
      <c r="H631" s="995"/>
      <c r="I631" s="995"/>
      <c r="J631" s="1115"/>
      <c r="K631" s="1158" t="s">
        <v>942</v>
      </c>
      <c r="L631" s="1160">
        <f>E1271</f>
        <v>2</v>
      </c>
      <c r="M631" s="1160">
        <f>E1272</f>
        <v>2</v>
      </c>
      <c r="N631" s="310"/>
      <c r="O631" s="2"/>
      <c r="P631" s="246"/>
      <c r="Q631" s="2"/>
      <c r="R631" s="2"/>
      <c r="S631" s="2"/>
      <c r="T631" s="2"/>
      <c r="U631" s="2"/>
      <c r="Z631" s="430">
        <v>140</v>
      </c>
      <c r="AA631" s="430">
        <v>140</v>
      </c>
      <c r="AB631" s="430">
        <v>140</v>
      </c>
      <c r="AC631" s="430">
        <v>140</v>
      </c>
      <c r="AD631" s="470"/>
      <c r="AE631" s="470"/>
      <c r="AF631" s="470"/>
      <c r="AG631" s="470"/>
      <c r="AH631" s="470"/>
      <c r="AI631" s="470"/>
      <c r="AJ631" s="470"/>
      <c r="AK631" s="470"/>
      <c r="AL631" s="470"/>
      <c r="AM631" s="470"/>
      <c r="AN631" s="470"/>
      <c r="AO631" s="470"/>
      <c r="AP631" s="470"/>
      <c r="AQ631" s="470"/>
      <c r="AR631" s="470"/>
      <c r="AS631" s="470"/>
      <c r="AT631" s="470"/>
      <c r="AU631" s="470"/>
      <c r="AV631" s="470"/>
      <c r="AW631" s="470"/>
      <c r="AX631" s="470"/>
      <c r="AY631" s="470"/>
      <c r="AZ631" s="470"/>
      <c r="BA631" s="470"/>
      <c r="BB631" s="470"/>
      <c r="BC631" s="470"/>
      <c r="BD631" s="470"/>
      <c r="BE631" s="470"/>
      <c r="BF631" s="470"/>
      <c r="BG631" s="470"/>
      <c r="BH631" s="470"/>
      <c r="BI631" s="470"/>
      <c r="BJ631" s="470"/>
      <c r="BK631" s="470"/>
      <c r="BL631" s="334"/>
      <c r="BM631" s="470"/>
      <c r="BN631" s="470"/>
      <c r="BO631" s="470"/>
      <c r="BP631" s="470"/>
      <c r="BQ631" s="470"/>
      <c r="BR631" s="470"/>
      <c r="BS631" s="470"/>
      <c r="BT631" s="470"/>
      <c r="BU631" s="470"/>
      <c r="BV631" s="334"/>
      <c r="BW631" s="399"/>
      <c r="BX631" s="334"/>
      <c r="BY631" s="434"/>
      <c r="BZ631" s="523"/>
      <c r="CA631" s="22"/>
      <c r="CB631" s="247"/>
      <c r="CF631" s="247"/>
      <c r="CH631" s="247"/>
    </row>
    <row r="632" spans="1:86" s="15" customFormat="1" ht="14" hidden="1" thickBot="1">
      <c r="A632" s="120"/>
      <c r="B632" s="1153" t="s">
        <v>288</v>
      </c>
      <c r="C632" s="1114">
        <f>C608*C337/(C475*C466*C608*10^-3-C337)</f>
        <v>3.0506216139690956</v>
      </c>
      <c r="D632" s="1114">
        <f>D608*D337/(D475*D466*D608*10^-3-D337)</f>
        <v>10.621249953415575</v>
      </c>
      <c r="E632" s="1046"/>
      <c r="F632" s="310"/>
      <c r="G632" s="995"/>
      <c r="H632" s="995"/>
      <c r="I632" s="995"/>
      <c r="J632" s="1115"/>
      <c r="K632" s="934"/>
      <c r="L632" s="934"/>
      <c r="M632" s="934"/>
      <c r="N632" s="310"/>
      <c r="O632" s="480" t="s">
        <v>946</v>
      </c>
      <c r="P632" s="481">
        <v>0</v>
      </c>
      <c r="Q632" s="481">
        <v>0</v>
      </c>
      <c r="R632" s="2"/>
      <c r="S632" s="2"/>
      <c r="T632" s="2"/>
      <c r="U632" s="2"/>
      <c r="Z632" s="430">
        <v>1.8</v>
      </c>
      <c r="AA632" s="430">
        <v>1.8</v>
      </c>
      <c r="AB632" s="430">
        <v>1.8</v>
      </c>
      <c r="AC632" s="430">
        <v>1.8</v>
      </c>
      <c r="AD632" s="470"/>
      <c r="AE632" s="470"/>
      <c r="AF632" s="470"/>
      <c r="AG632" s="470"/>
      <c r="AH632" s="470"/>
      <c r="AI632" s="470"/>
      <c r="AJ632" s="470"/>
      <c r="AK632" s="470"/>
      <c r="AL632" s="470"/>
      <c r="AM632" s="470"/>
      <c r="AN632" s="470"/>
      <c r="AO632" s="470"/>
      <c r="AP632" s="470"/>
      <c r="AQ632" s="470"/>
      <c r="AR632" s="470"/>
      <c r="AS632" s="470"/>
      <c r="AT632" s="470"/>
      <c r="AU632" s="470"/>
      <c r="AV632" s="470"/>
      <c r="AW632" s="470"/>
      <c r="AX632" s="470"/>
      <c r="AY632" s="470"/>
      <c r="AZ632" s="470"/>
      <c r="BA632" s="470"/>
      <c r="BB632" s="470"/>
      <c r="BC632" s="470"/>
      <c r="BD632" s="470"/>
      <c r="BE632" s="470"/>
      <c r="BF632" s="470"/>
      <c r="BG632" s="470"/>
      <c r="BH632" s="470"/>
      <c r="BI632" s="470"/>
      <c r="BJ632" s="470"/>
      <c r="BK632" s="470"/>
      <c r="BL632" s="334"/>
      <c r="BM632" s="470"/>
      <c r="BN632" s="470"/>
      <c r="BO632" s="470"/>
      <c r="BP632" s="470"/>
      <c r="BQ632" s="470"/>
      <c r="BR632" s="470"/>
      <c r="BS632" s="470"/>
      <c r="BT632" s="470"/>
      <c r="BU632" s="470"/>
      <c r="BV632" s="334"/>
      <c r="BW632" s="399"/>
      <c r="BX632" s="334"/>
      <c r="BY632" s="434"/>
      <c r="BZ632" s="523"/>
      <c r="CA632" s="22"/>
      <c r="CB632" s="247"/>
      <c r="CF632" s="247"/>
      <c r="CH632" s="247"/>
    </row>
    <row r="633" spans="1:86" s="15" customFormat="1" ht="14" hidden="1" thickBot="1">
      <c r="A633" s="120"/>
      <c r="B633" s="1153" t="s">
        <v>289</v>
      </c>
      <c r="C633" s="1114">
        <f>C608*C337/(C474*C466*C608*10^-3-C337)</f>
        <v>4.0739970400428582</v>
      </c>
      <c r="D633" s="1114">
        <f>D608*D337/(D474*D466*D608*10^-3-D337)</f>
        <v>-194.80519480519467</v>
      </c>
      <c r="E633" s="1115"/>
      <c r="F633" s="310"/>
      <c r="G633" s="995"/>
      <c r="H633" s="995"/>
      <c r="I633" s="995"/>
      <c r="J633" s="1115"/>
      <c r="K633" s="310" t="s">
        <v>1049</v>
      </c>
      <c r="L633" s="310"/>
      <c r="M633" s="310"/>
      <c r="N633" s="310"/>
      <c r="O633" s="480" t="s">
        <v>976</v>
      </c>
      <c r="P633" s="481">
        <v>0.5</v>
      </c>
      <c r="Q633" s="481">
        <v>0.5</v>
      </c>
      <c r="R633" s="2"/>
      <c r="S633" s="2"/>
      <c r="T633" s="2"/>
      <c r="U633" s="2"/>
      <c r="V633" s="2"/>
      <c r="W633" s="2"/>
      <c r="X633" s="2"/>
      <c r="Y633" s="2"/>
      <c r="Z633" s="430">
        <v>2.8</v>
      </c>
      <c r="AA633" s="430">
        <v>2.8</v>
      </c>
      <c r="AB633" s="430">
        <v>2.8</v>
      </c>
      <c r="AC633" s="430">
        <v>2.8</v>
      </c>
      <c r="AD633" s="470"/>
      <c r="AE633" s="470"/>
      <c r="AF633" s="470"/>
      <c r="AG633" s="470"/>
      <c r="AH633" s="470"/>
      <c r="AI633" s="470"/>
      <c r="AJ633" s="470"/>
      <c r="AK633" s="470"/>
      <c r="AL633" s="470"/>
      <c r="AM633" s="470"/>
      <c r="AN633" s="470"/>
      <c r="AO633" s="470"/>
      <c r="AP633" s="470"/>
      <c r="AQ633" s="470"/>
      <c r="AR633" s="470"/>
      <c r="AS633" s="470"/>
      <c r="AT633" s="470"/>
      <c r="AU633" s="470"/>
      <c r="AV633" s="470"/>
      <c r="AW633" s="470"/>
      <c r="AX633" s="470"/>
      <c r="AY633" s="470"/>
      <c r="AZ633" s="470"/>
      <c r="BA633" s="470"/>
      <c r="BB633" s="470"/>
      <c r="BC633" s="470"/>
      <c r="BD633" s="470"/>
      <c r="BE633" s="470"/>
      <c r="BF633" s="470"/>
      <c r="BG633" s="470"/>
      <c r="BH633" s="470"/>
      <c r="BI633" s="470"/>
      <c r="BJ633" s="470"/>
      <c r="BK633" s="470"/>
      <c r="BL633" s="334"/>
      <c r="BM633" s="470"/>
      <c r="BN633" s="470"/>
      <c r="BO633" s="470"/>
      <c r="BP633" s="470"/>
      <c r="BQ633" s="470"/>
      <c r="BR633" s="470"/>
      <c r="BS633" s="470"/>
      <c r="BT633" s="470"/>
      <c r="BU633" s="470"/>
      <c r="BV633" s="334"/>
      <c r="BW633" s="399"/>
      <c r="BX633" s="334"/>
      <c r="BY633" s="434"/>
      <c r="BZ633" s="523"/>
      <c r="CA633" s="22"/>
      <c r="CB633" s="247"/>
      <c r="CF633" s="247"/>
      <c r="CH633" s="247"/>
    </row>
    <row r="634" spans="1:86" s="15" customFormat="1" hidden="1">
      <c r="A634" s="120"/>
      <c r="B634" s="934"/>
      <c r="C634" s="934"/>
      <c r="D634" s="934"/>
      <c r="E634" s="1115"/>
      <c r="F634" s="310"/>
      <c r="G634" s="995"/>
      <c r="H634" s="995"/>
      <c r="I634" s="995"/>
      <c r="J634" s="1115"/>
      <c r="K634" s="314" t="s">
        <v>1047</v>
      </c>
      <c r="L634" s="314" t="s">
        <v>943</v>
      </c>
      <c r="M634" s="314" t="s">
        <v>944</v>
      </c>
      <c r="N634" s="314" t="s">
        <v>977</v>
      </c>
      <c r="O634" s="430" t="s">
        <v>994</v>
      </c>
      <c r="P634" s="430" t="s">
        <v>1055</v>
      </c>
      <c r="Q634" s="430" t="s">
        <v>1056</v>
      </c>
      <c r="R634" s="430" t="s">
        <v>945</v>
      </c>
      <c r="S634" s="430" t="s">
        <v>272</v>
      </c>
      <c r="T634" s="430" t="s">
        <v>273</v>
      </c>
      <c r="U634" s="430" t="s">
        <v>274</v>
      </c>
      <c r="V634" s="430" t="s">
        <v>995</v>
      </c>
      <c r="W634" s="430" t="s">
        <v>996</v>
      </c>
      <c r="X634" s="246" t="s">
        <v>997</v>
      </c>
      <c r="Y634" s="246" t="s">
        <v>998</v>
      </c>
      <c r="Z634" s="395">
        <v>4.8</v>
      </c>
      <c r="AA634" s="395">
        <v>4.8</v>
      </c>
      <c r="AB634" s="395">
        <v>4.8</v>
      </c>
      <c r="AC634" s="395">
        <v>4.8</v>
      </c>
      <c r="AD634" s="470"/>
      <c r="AE634" s="470"/>
      <c r="AF634" s="470"/>
      <c r="AG634" s="470"/>
      <c r="AH634" s="470"/>
      <c r="AI634" s="470"/>
      <c r="AJ634" s="470"/>
      <c r="AK634" s="470"/>
      <c r="AL634" s="470"/>
      <c r="AM634" s="470"/>
      <c r="AN634" s="470"/>
      <c r="AO634" s="470"/>
      <c r="AP634" s="470"/>
      <c r="AQ634" s="470"/>
      <c r="AR634" s="470"/>
      <c r="AS634" s="470"/>
      <c r="AT634" s="470"/>
      <c r="AU634" s="470"/>
      <c r="AV634" s="470"/>
      <c r="AW634" s="470"/>
      <c r="AX634" s="470"/>
      <c r="AY634" s="470"/>
      <c r="AZ634" s="470"/>
      <c r="BA634" s="470"/>
      <c r="BB634" s="470"/>
      <c r="BC634" s="470"/>
      <c r="BD634" s="470"/>
      <c r="BE634" s="470"/>
      <c r="BF634" s="470"/>
      <c r="BG634" s="470"/>
      <c r="BH634" s="470"/>
      <c r="BI634" s="470"/>
      <c r="BJ634" s="470"/>
      <c r="BK634" s="470"/>
      <c r="BL634" s="334"/>
      <c r="BM634" s="470"/>
      <c r="BN634" s="470"/>
      <c r="BO634" s="470"/>
      <c r="BP634" s="470"/>
      <c r="BQ634" s="470"/>
      <c r="BR634" s="470"/>
      <c r="BS634" s="470"/>
      <c r="BT634" s="470"/>
      <c r="BU634" s="470"/>
      <c r="BV634" s="334"/>
      <c r="BW634" s="399"/>
      <c r="BX634" s="334"/>
      <c r="BY634" s="434"/>
      <c r="BZ634" s="523"/>
      <c r="CA634" s="22"/>
      <c r="CB634" s="247"/>
      <c r="CF634" s="247"/>
      <c r="CH634" s="247"/>
    </row>
    <row r="635" spans="1:86" s="15" customFormat="1" hidden="1">
      <c r="A635" s="120"/>
      <c r="B635" s="934"/>
      <c r="C635" s="934"/>
      <c r="D635" s="934"/>
      <c r="E635" s="1115"/>
      <c r="F635" s="310"/>
      <c r="G635" s="995"/>
      <c r="H635" s="995"/>
      <c r="I635" s="1043"/>
      <c r="J635" s="1115"/>
      <c r="K635" s="1161">
        <f>C328-1</f>
        <v>20.5</v>
      </c>
      <c r="L635" s="1044">
        <f t="shared" ref="L635:L647" si="150">SQRT($C$225/K635*(1-$C$225/K635))*$C$332</f>
        <v>5.4967623372984225</v>
      </c>
      <c r="M635" s="1044">
        <f t="shared" ref="M635:M647" si="151">SQRT($D$225/K635*(1-$D$225/K635))*$D$332</f>
        <v>0</v>
      </c>
      <c r="N635" s="1044">
        <f t="shared" ref="N635:N647" si="152">($C$225*$C$332+$D$225*$D$332)/K635</f>
        <v>3.1219512195121952</v>
      </c>
      <c r="O635" s="396">
        <f t="shared" ref="O635:O647" si="153">SQRT(($C$332-N635)^2*(P635-R635)+($D$332-N635)^2*(Q635-R635)+($C$332+$D$332-N635)^2*R635+N635^2*(1-P635-Q635+R635))</f>
        <v>6.0380707706822063</v>
      </c>
      <c r="P635" s="485">
        <f t="shared" ref="P635:P647" si="154">$C$225/K635</f>
        <v>0.24390243902439024</v>
      </c>
      <c r="Q635" s="485">
        <f t="shared" ref="Q635:Q647" si="155">$D$225/K635</f>
        <v>0</v>
      </c>
      <c r="R635" s="486">
        <f t="shared" ref="R635:R647" si="156">IF(P635-$P$632&gt;0, P635-$P$632, 0)+IF(Q635-$Q$632&gt;0, Q635-$Q$632, 0)</f>
        <v>0.24390243902439024</v>
      </c>
      <c r="S635" s="529" t="e">
        <f t="shared" ref="S635:S647" si="157">$C$332/($C$324*X635*$L$515)*P635*10^3</f>
        <v>#DIV/0!</v>
      </c>
      <c r="T635" s="383">
        <f t="shared" ref="T635:T647" si="158">$D$332/($D$324*Y635*$M$631)*Q635*10^3</f>
        <v>0</v>
      </c>
      <c r="U635" s="384" t="e">
        <f>($C$25+$C$26)/($E$25*($R$332*#REF!+$S$332*#REF!))*R635*10^3+$C$25/($E$25*($R$332*#REF!+$S$332*#REF!))*(P635-R635)*10^3</f>
        <v>#REF!</v>
      </c>
      <c r="V635" s="486">
        <f t="shared" ref="V635:V647" si="159">IF(P635-$V$337&gt;0, P635-$V$337, 0)+IF(Q635-$W$337&gt;0, Q635-$W$337, 0)</f>
        <v>0.24390243902439024</v>
      </c>
      <c r="W635" s="396">
        <f t="shared" ref="W635:W647" si="160">SQRT(($C$25-N635)^2*(P635-V635)+($C$26-N635)^2*(Q635-V635)+($C$25+$C$26-N635)^2*V635+N635^2*(1-P635-Q635+V635))</f>
        <v>245.40559247612995</v>
      </c>
      <c r="X635" s="446">
        <f>-($AD$360-$AD$350)/10+X636</f>
        <v>7.2</v>
      </c>
      <c r="Y635" s="446">
        <f>-($AE$360-$AE$350)/10+Y636</f>
        <v>7.2</v>
      </c>
      <c r="Z635" s="97">
        <v>3.3</v>
      </c>
      <c r="AA635" s="97">
        <v>3.3</v>
      </c>
      <c r="AB635" s="97">
        <v>3.3</v>
      </c>
      <c r="AC635" s="97">
        <v>3.3</v>
      </c>
      <c r="AD635" s="470"/>
      <c r="AE635" s="470"/>
      <c r="AF635" s="470"/>
      <c r="AG635" s="470"/>
      <c r="AH635" s="470"/>
      <c r="AI635" s="470"/>
      <c r="AJ635" s="470"/>
      <c r="AK635" s="470"/>
      <c r="AL635" s="470"/>
      <c r="AM635" s="470"/>
      <c r="AN635" s="470"/>
      <c r="AO635" s="470"/>
      <c r="AP635" s="470"/>
      <c r="AQ635" s="470"/>
      <c r="AR635" s="470"/>
      <c r="AS635" s="470"/>
      <c r="AT635" s="470"/>
      <c r="AU635" s="470"/>
      <c r="AV635" s="470"/>
      <c r="AW635" s="470"/>
      <c r="AX635" s="470"/>
      <c r="AY635" s="470"/>
      <c r="AZ635" s="470"/>
      <c r="BA635" s="470"/>
      <c r="BB635" s="470"/>
      <c r="BC635" s="470"/>
      <c r="BD635" s="470"/>
      <c r="BE635" s="470"/>
      <c r="BF635" s="470"/>
      <c r="BG635" s="470"/>
      <c r="BH635" s="470"/>
      <c r="BI635" s="470"/>
      <c r="BJ635" s="470"/>
      <c r="BK635" s="470"/>
      <c r="BL635" s="334"/>
      <c r="BM635" s="470"/>
      <c r="BN635" s="470"/>
      <c r="BO635" s="470"/>
      <c r="BP635" s="470"/>
      <c r="BQ635" s="470"/>
      <c r="BR635" s="470"/>
      <c r="BS635" s="470"/>
      <c r="BT635" s="470"/>
      <c r="BU635" s="470"/>
      <c r="BV635" s="334"/>
      <c r="BW635" s="399"/>
      <c r="BX635" s="334"/>
      <c r="BY635" s="434"/>
      <c r="BZ635" s="523"/>
      <c r="CA635" s="22"/>
      <c r="CB635" s="247"/>
      <c r="CF635" s="247"/>
      <c r="CH635" s="247"/>
    </row>
    <row r="636" spans="1:86" s="15" customFormat="1" hidden="1">
      <c r="A636" s="1043"/>
      <c r="B636" s="934"/>
      <c r="C636" s="934"/>
      <c r="D636" s="934"/>
      <c r="E636" s="1115"/>
      <c r="F636" s="934"/>
      <c r="G636" s="1043"/>
      <c r="H636" s="1043"/>
      <c r="I636" s="1043"/>
      <c r="J636" s="1115"/>
      <c r="K636" s="1161">
        <f>C328</f>
        <v>21.5</v>
      </c>
      <c r="L636" s="1044">
        <f t="shared" si="150"/>
        <v>5.4075243533648232</v>
      </c>
      <c r="M636" s="1044">
        <f t="shared" si="151"/>
        <v>0</v>
      </c>
      <c r="N636" s="1044">
        <f t="shared" si="152"/>
        <v>2.9767441860465116</v>
      </c>
      <c r="O636" s="396">
        <f t="shared" si="153"/>
        <v>5.9325212181943909</v>
      </c>
      <c r="P636" s="485">
        <f t="shared" si="154"/>
        <v>0.23255813953488372</v>
      </c>
      <c r="Q636" s="485">
        <f t="shared" si="155"/>
        <v>0</v>
      </c>
      <c r="R636" s="486">
        <f t="shared" si="156"/>
        <v>0.23255813953488372</v>
      </c>
      <c r="S636" s="529" t="e">
        <f t="shared" si="157"/>
        <v>#DIV/0!</v>
      </c>
      <c r="T636" s="383">
        <f t="shared" si="158"/>
        <v>0</v>
      </c>
      <c r="U636" s="384" t="e">
        <f>($C$25+$C$26)/($E$25*($R$332*#REF!+$S$332*#REF!))*R636*10^3+$C$25/($E$25*($R$332*#REF!+$S$332*#REF!))*(P636-R636)*10^3</f>
        <v>#REF!</v>
      </c>
      <c r="V636" s="486">
        <f t="shared" si="159"/>
        <v>0.23255813953488372</v>
      </c>
      <c r="W636" s="396">
        <f t="shared" si="160"/>
        <v>239.70008302020221</v>
      </c>
      <c r="X636" s="530">
        <f>L628</f>
        <v>7.2</v>
      </c>
      <c r="Y636" s="530">
        <f>M628</f>
        <v>7.2</v>
      </c>
      <c r="Z636" s="4">
        <v>1.7</v>
      </c>
      <c r="AA636" s="4">
        <v>1.7</v>
      </c>
      <c r="AB636" s="4">
        <v>1.7</v>
      </c>
      <c r="AC636" s="4">
        <v>1.7</v>
      </c>
      <c r="AD636" s="470"/>
      <c r="AE636" s="470"/>
      <c r="AF636" s="470"/>
      <c r="AG636" s="470"/>
      <c r="AH636" s="470"/>
      <c r="AI636" s="470"/>
      <c r="AJ636" s="470"/>
      <c r="AK636" s="470"/>
      <c r="AL636" s="470"/>
      <c r="AM636" s="470"/>
      <c r="AN636" s="470"/>
      <c r="AO636" s="470"/>
      <c r="AP636" s="470"/>
      <c r="AQ636" s="470"/>
      <c r="AR636" s="470"/>
      <c r="AS636" s="470"/>
      <c r="AT636" s="470"/>
      <c r="AU636" s="470"/>
      <c r="AV636" s="470"/>
      <c r="AW636" s="470"/>
      <c r="AX636" s="470"/>
      <c r="AY636" s="470"/>
      <c r="AZ636" s="470"/>
      <c r="BA636" s="470"/>
      <c r="BB636" s="470"/>
      <c r="BC636" s="470"/>
      <c r="BD636" s="470"/>
      <c r="BE636" s="470"/>
      <c r="BF636" s="470"/>
      <c r="BG636" s="470"/>
      <c r="BH636" s="470"/>
      <c r="BI636" s="470"/>
      <c r="BJ636" s="470"/>
      <c r="BK636" s="470"/>
      <c r="BL636" s="334"/>
      <c r="BM636" s="470"/>
      <c r="BN636" s="470"/>
      <c r="BO636" s="470"/>
      <c r="BP636" s="470"/>
      <c r="BQ636" s="470"/>
      <c r="BR636" s="470"/>
      <c r="BS636" s="470"/>
      <c r="BT636" s="470"/>
      <c r="BU636" s="470"/>
      <c r="BV636" s="334"/>
      <c r="BW636" s="399"/>
      <c r="BX636" s="334"/>
      <c r="BY636" s="434"/>
      <c r="BZ636" s="523"/>
      <c r="CA636" s="22"/>
      <c r="CB636" s="247"/>
      <c r="CF636" s="247"/>
      <c r="CH636" s="247"/>
    </row>
    <row r="637" spans="1:86" hidden="1">
      <c r="A637" s="1043"/>
      <c r="B637" s="1010" t="s">
        <v>79</v>
      </c>
      <c r="C637" s="1162"/>
      <c r="D637" s="1163"/>
      <c r="E637" s="1043"/>
      <c r="F637" s="934"/>
      <c r="G637" s="1043"/>
      <c r="H637" s="1043"/>
      <c r="I637" s="1043"/>
      <c r="J637" s="1145"/>
      <c r="K637" s="1161">
        <f t="shared" ref="K637:K645" si="161">($C$330-$C$328)/10+K636</f>
        <v>21.7</v>
      </c>
      <c r="L637" s="1044">
        <f t="shared" si="150"/>
        <v>5.3900584353908396</v>
      </c>
      <c r="M637" s="1044">
        <f t="shared" si="151"/>
        <v>0</v>
      </c>
      <c r="N637" s="1044">
        <f t="shared" si="152"/>
        <v>2.9493087557603688</v>
      </c>
      <c r="O637" s="396">
        <f t="shared" si="153"/>
        <v>5.9119664620537797</v>
      </c>
      <c r="P637" s="485">
        <f t="shared" si="154"/>
        <v>0.2304147465437788</v>
      </c>
      <c r="Q637" s="485">
        <f t="shared" si="155"/>
        <v>0</v>
      </c>
      <c r="R637" s="486">
        <f t="shared" si="156"/>
        <v>0.2304147465437788</v>
      </c>
      <c r="S637" s="529" t="e">
        <f t="shared" si="157"/>
        <v>#DIV/0!</v>
      </c>
      <c r="T637" s="383">
        <f t="shared" si="158"/>
        <v>0</v>
      </c>
      <c r="U637" s="384" t="e">
        <f>($C$25+$C$26)/($E$25*($R$332*#REF!+$S$332*#REF!))*R637*10^3+$C$25/($E$25*($R$332*#REF!+$S$332*#REF!))*(P637-R637)*10^3</f>
        <v>#REF!</v>
      </c>
      <c r="V637" s="486">
        <f t="shared" si="159"/>
        <v>0.2304147465437788</v>
      </c>
      <c r="W637" s="396">
        <f t="shared" si="160"/>
        <v>238.60599495537332</v>
      </c>
      <c r="X637" s="446">
        <f t="shared" ref="X637:X645" si="162">($AD$360-$AD$350)/10+X636</f>
        <v>7.2</v>
      </c>
      <c r="Y637" s="446">
        <f t="shared" ref="Y637:Y645" si="163">($AE$360-$AE$350)/10+Y636</f>
        <v>7.2</v>
      </c>
      <c r="Z637" s="4">
        <v>1</v>
      </c>
      <c r="AA637" s="4">
        <v>1</v>
      </c>
      <c r="AB637" s="4">
        <v>1</v>
      </c>
      <c r="AC637" s="4">
        <v>1</v>
      </c>
      <c r="AD637" s="531"/>
      <c r="AE637" s="531"/>
      <c r="AF637" s="531"/>
      <c r="AG637" s="531"/>
      <c r="AH637" s="531"/>
      <c r="AI637" s="531"/>
      <c r="AJ637" s="531"/>
      <c r="AK637" s="531"/>
      <c r="AL637" s="531"/>
      <c r="AM637" s="531"/>
      <c r="AN637" s="531"/>
      <c r="AO637" s="531"/>
      <c r="AP637" s="531"/>
      <c r="AQ637" s="531"/>
      <c r="AR637" s="531"/>
      <c r="AS637" s="531"/>
      <c r="AT637" s="531"/>
      <c r="AU637" s="531"/>
      <c r="AV637" s="531"/>
      <c r="AW637" s="531"/>
      <c r="AX637" s="531"/>
      <c r="AY637" s="531"/>
      <c r="AZ637" s="531"/>
      <c r="BA637" s="531"/>
      <c r="BB637" s="531"/>
      <c r="BC637" s="531"/>
      <c r="BD637" s="531"/>
      <c r="BE637" s="531"/>
      <c r="BF637" s="531"/>
      <c r="BG637" s="531"/>
      <c r="BH637" s="531"/>
      <c r="BI637" s="531"/>
      <c r="BJ637" s="531"/>
      <c r="BK637" s="531"/>
      <c r="BL637" s="531"/>
      <c r="BM637" s="531"/>
      <c r="BN637" s="531"/>
      <c r="BO637" s="531"/>
      <c r="BP637" s="531"/>
      <c r="BQ637" s="531"/>
      <c r="BR637" s="531"/>
      <c r="BS637" s="531"/>
      <c r="BT637" s="531"/>
      <c r="BU637" s="531"/>
      <c r="BV637" s="334"/>
      <c r="BW637" s="399"/>
      <c r="BX637" s="334"/>
      <c r="BY637" s="434"/>
      <c r="BZ637" s="523"/>
      <c r="CA637" s="3"/>
      <c r="CB637" s="259"/>
      <c r="CC637" s="15"/>
      <c r="CD637" s="15"/>
      <c r="CE637" s="15"/>
      <c r="CF637" s="246"/>
      <c r="CH637" s="246"/>
    </row>
    <row r="638" spans="1:86" hidden="1">
      <c r="A638" s="1043"/>
      <c r="B638" s="314" t="s">
        <v>1181</v>
      </c>
      <c r="C638" s="988">
        <f>C225*C71*1000</f>
        <v>50</v>
      </c>
      <c r="D638" s="988">
        <f>D225*C72*1000</f>
        <v>0</v>
      </c>
      <c r="E638" s="995"/>
      <c r="F638" s="934"/>
      <c r="G638" s="1043"/>
      <c r="H638" s="1043"/>
      <c r="I638" s="1043"/>
      <c r="J638" s="1164"/>
      <c r="K638" s="1161">
        <f t="shared" si="161"/>
        <v>21.9</v>
      </c>
      <c r="L638" s="1044">
        <f t="shared" si="150"/>
        <v>5.3727200177827186</v>
      </c>
      <c r="M638" s="1044">
        <f t="shared" si="151"/>
        <v>0</v>
      </c>
      <c r="N638" s="1044">
        <f t="shared" si="152"/>
        <v>2.9223744292237446</v>
      </c>
      <c r="O638" s="396">
        <f t="shared" si="153"/>
        <v>5.8915930993179266</v>
      </c>
      <c r="P638" s="485">
        <f t="shared" si="154"/>
        <v>0.22831050228310504</v>
      </c>
      <c r="Q638" s="485">
        <f t="shared" si="155"/>
        <v>0</v>
      </c>
      <c r="R638" s="486">
        <f t="shared" si="156"/>
        <v>0.22831050228310504</v>
      </c>
      <c r="S638" s="529" t="e">
        <f t="shared" si="157"/>
        <v>#DIV/0!</v>
      </c>
      <c r="T638" s="383">
        <f t="shared" si="158"/>
        <v>0</v>
      </c>
      <c r="U638" s="384" t="e">
        <f>($C$25+$C$26)/($E$25*($R$332*#REF!+$S$332*#REF!))*R638*10^3+$C$25/($E$25*($R$332*#REF!+$S$332*#REF!))*(P638-R638)*10^3</f>
        <v>#REF!</v>
      </c>
      <c r="V638" s="486">
        <f t="shared" si="159"/>
        <v>0.22831050228310504</v>
      </c>
      <c r="W638" s="396">
        <f t="shared" si="160"/>
        <v>237.52675021833954</v>
      </c>
      <c r="X638" s="446">
        <f t="shared" si="162"/>
        <v>7.2</v>
      </c>
      <c r="Y638" s="446">
        <f t="shared" si="163"/>
        <v>7.2</v>
      </c>
      <c r="Z638" s="97">
        <f>Z624/(Z634/(Z625+Z635+Z636))</f>
        <v>10</v>
      </c>
      <c r="AA638" s="97">
        <f>AA624/(AA634/(AA625+AA635+AA636))</f>
        <v>10</v>
      </c>
      <c r="AB638" s="97">
        <f>AB624/(AB634/(AB625+AB635+AB636))</f>
        <v>10</v>
      </c>
      <c r="AC638" s="97">
        <f>AC624/(AC634/(AC625+AC635+AC636))</f>
        <v>10</v>
      </c>
      <c r="AD638" s="532"/>
      <c r="AE638" s="532"/>
      <c r="AF638" s="532"/>
      <c r="AG638" s="532"/>
      <c r="AH638" s="532"/>
      <c r="AI638" s="532"/>
      <c r="AJ638" s="532"/>
      <c r="AK638" s="532"/>
      <c r="AL638" s="532"/>
      <c r="AM638" s="532"/>
      <c r="AN638" s="532"/>
      <c r="AO638" s="532"/>
      <c r="AP638" s="532"/>
      <c r="AQ638" s="532"/>
      <c r="AR638" s="532"/>
      <c r="AS638" s="532"/>
      <c r="AT638" s="532"/>
      <c r="AU638" s="532"/>
      <c r="AV638" s="532"/>
      <c r="AW638" s="532"/>
      <c r="AX638" s="532"/>
      <c r="AY638" s="532"/>
      <c r="AZ638" s="532"/>
      <c r="BA638" s="532"/>
      <c r="BB638" s="532"/>
      <c r="BC638" s="532"/>
      <c r="BD638" s="532"/>
      <c r="BE638" s="532"/>
      <c r="BF638" s="532"/>
      <c r="BG638" s="532"/>
      <c r="BH638" s="532"/>
      <c r="BI638" s="532"/>
      <c r="BJ638" s="532"/>
      <c r="BK638" s="532"/>
      <c r="BL638" s="532"/>
      <c r="BM638" s="532"/>
      <c r="BN638" s="532"/>
      <c r="BO638" s="532"/>
      <c r="BP638" s="532"/>
      <c r="BQ638" s="532"/>
      <c r="BR638" s="532"/>
      <c r="BS638" s="532"/>
      <c r="BT638" s="532"/>
      <c r="BU638" s="532"/>
      <c r="BV638" s="334"/>
      <c r="BW638" s="334"/>
      <c r="BX638" s="434"/>
      <c r="BY638" s="523"/>
      <c r="BZ638" s="3"/>
      <c r="CA638" s="259"/>
      <c r="CB638" s="15"/>
      <c r="CC638" s="15"/>
      <c r="CD638" s="15"/>
      <c r="CE638" s="246"/>
      <c r="CG638" s="246"/>
    </row>
    <row r="639" spans="1:86" hidden="1">
      <c r="A639" s="1043"/>
      <c r="B639" s="307" t="s">
        <v>290</v>
      </c>
      <c r="C639" s="267">
        <f>200*C332/C590*C226/C638</f>
        <v>13.989209207161124</v>
      </c>
      <c r="D639" s="267" t="e">
        <f>200*D332/D590*D226/D638</f>
        <v>#DIV/0!</v>
      </c>
      <c r="E639" s="995"/>
      <c r="F639" s="934"/>
      <c r="G639" s="1165"/>
      <c r="H639" s="1043"/>
      <c r="I639" s="1043"/>
      <c r="J639" s="1164"/>
      <c r="K639" s="1161">
        <f t="shared" si="161"/>
        <v>22.099999999999998</v>
      </c>
      <c r="L639" s="1044">
        <f t="shared" si="150"/>
        <v>5.3555089980544963</v>
      </c>
      <c r="M639" s="1044">
        <f t="shared" si="151"/>
        <v>0</v>
      </c>
      <c r="N639" s="1044">
        <f t="shared" si="152"/>
        <v>2.8959276018099551</v>
      </c>
      <c r="O639" s="396">
        <f t="shared" si="153"/>
        <v>5.8713994781365866</v>
      </c>
      <c r="P639" s="485">
        <f t="shared" si="154"/>
        <v>0.22624434389140274</v>
      </c>
      <c r="Q639" s="485">
        <f t="shared" si="155"/>
        <v>0</v>
      </c>
      <c r="R639" s="486">
        <f t="shared" si="156"/>
        <v>0.22624434389140274</v>
      </c>
      <c r="S639" s="529" t="e">
        <f t="shared" si="157"/>
        <v>#DIV/0!</v>
      </c>
      <c r="T639" s="383">
        <f t="shared" si="158"/>
        <v>0</v>
      </c>
      <c r="U639" s="384" t="e">
        <f>($C$25+$C$26)/($E$25*($R$332*#REF!+$S$332*#REF!))*R639*10^3+$C$25/($E$25*($R$332*#REF!+$S$332*#REF!))*(P639-R639)*10^3</f>
        <v>#REF!</v>
      </c>
      <c r="V639" s="486">
        <f t="shared" si="159"/>
        <v>0.22624434389140274</v>
      </c>
      <c r="W639" s="396">
        <f t="shared" si="160"/>
        <v>236.46201625059598</v>
      </c>
      <c r="X639" s="446">
        <f t="shared" si="162"/>
        <v>7.2</v>
      </c>
      <c r="Y639" s="446">
        <f t="shared" si="163"/>
        <v>7.2</v>
      </c>
      <c r="Z639" s="100">
        <f>Z630*(Z633-Z632)/(Z634-Z633)*(Z625+Z637)*10^-3+Z631*Z485/(Z634-Z633)*(Z636+Z625)*10^-3</f>
        <v>0.99999999999999978</v>
      </c>
      <c r="AA639" s="100">
        <f>AA630*(AA633-AA632)/(AA634-AA633)*(AA625+AA637)*10^-3+AA631*AA485/(AA634-AA633)*(AA636+AA625)*10^-3</f>
        <v>0.99999999999999978</v>
      </c>
      <c r="AB639" s="100">
        <f>AB630*(AB633-AB632)/(AB634-AB633)*(AB625+AB637)*10^-3+AB631*AB485/(AB634-AB633)*(AB636+AB625)*10^-3</f>
        <v>0.99999999999999978</v>
      </c>
      <c r="AC639" s="100">
        <f>AC630*(AC633-AC632)/(AC634-AC633)*(AC625+AC637)*10^-3+AC631*AC485/(AC634-AC633)*(AC636+AC625)*10^-3</f>
        <v>0.99999999999999978</v>
      </c>
      <c r="AD639" s="532"/>
      <c r="AE639" s="532"/>
      <c r="AF639" s="532"/>
      <c r="AG639" s="532"/>
      <c r="AH639" s="532"/>
      <c r="AI639" s="532"/>
      <c r="AJ639" s="532"/>
      <c r="AK639" s="532"/>
      <c r="AL639" s="532"/>
      <c r="AM639" s="532"/>
      <c r="AN639" s="532"/>
      <c r="AO639" s="532"/>
      <c r="AP639" s="532"/>
      <c r="AQ639" s="532"/>
      <c r="AR639" s="532"/>
      <c r="AS639" s="532"/>
      <c r="AT639" s="532"/>
      <c r="AU639" s="532"/>
      <c r="AV639" s="532"/>
      <c r="AW639" s="532"/>
      <c r="AX639" s="532"/>
      <c r="AY639" s="532"/>
      <c r="AZ639" s="532"/>
      <c r="BA639" s="532"/>
      <c r="BB639" s="532"/>
      <c r="BC639" s="532"/>
      <c r="BD639" s="532"/>
      <c r="BE639" s="532"/>
      <c r="BF639" s="532"/>
      <c r="BG639" s="532"/>
      <c r="BH639" s="532"/>
      <c r="BI639" s="532"/>
      <c r="BJ639" s="532"/>
      <c r="BK639" s="532"/>
      <c r="BL639" s="532"/>
      <c r="BM639" s="532"/>
      <c r="BN639" s="532"/>
      <c r="BO639" s="532"/>
      <c r="BP639" s="532"/>
      <c r="BQ639" s="532"/>
      <c r="BR639" s="532"/>
      <c r="BS639" s="532"/>
      <c r="BT639" s="532"/>
      <c r="BU639" s="532"/>
      <c r="BV639" s="334"/>
      <c r="BW639" s="334"/>
      <c r="BX639" s="434"/>
      <c r="BY639" s="523"/>
      <c r="BZ639" s="3"/>
      <c r="CA639" s="259"/>
      <c r="CB639" s="15"/>
      <c r="CC639" s="15"/>
      <c r="CD639" s="15"/>
      <c r="CE639" s="246"/>
      <c r="CG639" s="246"/>
    </row>
    <row r="640" spans="1:86" hidden="1">
      <c r="A640" s="1043"/>
      <c r="B640" s="307" t="s">
        <v>291</v>
      </c>
      <c r="C640" s="999">
        <f>G71</f>
        <v>15</v>
      </c>
      <c r="D640" s="999">
        <f>G72</f>
        <v>12</v>
      </c>
      <c r="E640" s="995"/>
      <c r="F640" s="995"/>
      <c r="G640" s="1165"/>
      <c r="H640" s="1043"/>
      <c r="I640" s="1043"/>
      <c r="J640" s="1164"/>
      <c r="K640" s="1161">
        <f t="shared" si="161"/>
        <v>22.299999999999997</v>
      </c>
      <c r="L640" s="1044">
        <f t="shared" si="150"/>
        <v>5.3384251803374427</v>
      </c>
      <c r="M640" s="1044">
        <f t="shared" si="151"/>
        <v>0</v>
      </c>
      <c r="N640" s="1044">
        <f t="shared" si="152"/>
        <v>2.8699551569506729</v>
      </c>
      <c r="O640" s="396">
        <f t="shared" si="153"/>
        <v>5.8513839149351838</v>
      </c>
      <c r="P640" s="485">
        <f t="shared" si="154"/>
        <v>0.22421524663677134</v>
      </c>
      <c r="Q640" s="485">
        <f t="shared" si="155"/>
        <v>0</v>
      </c>
      <c r="R640" s="486">
        <f t="shared" si="156"/>
        <v>0.22421524663677134</v>
      </c>
      <c r="S640" s="529" t="e">
        <f t="shared" si="157"/>
        <v>#DIV/0!</v>
      </c>
      <c r="T640" s="383">
        <f t="shared" si="158"/>
        <v>0</v>
      </c>
      <c r="U640" s="384" t="e">
        <f>($C$25+$C$26)/($E$25*($R$332*#REF!+$S$332*#REF!))*R640*10^3+$C$25/($E$25*($R$332*#REF!+$S$332*#REF!))*(P640-R640)*10^3</f>
        <v>#REF!</v>
      </c>
      <c r="V640" s="486">
        <f t="shared" si="159"/>
        <v>0.22421524663677134</v>
      </c>
      <c r="W640" s="396">
        <f t="shared" si="160"/>
        <v>235.41147083021164</v>
      </c>
      <c r="X640" s="446">
        <f t="shared" si="162"/>
        <v>7.2</v>
      </c>
      <c r="Y640" s="446">
        <f t="shared" si="163"/>
        <v>7.2</v>
      </c>
      <c r="Z640" s="100">
        <f>Z630*(Z633-Z632)/(Z634-Z633)*(Z625+Z637)*10^-3+Z631*Z482/(Z634-Z633)*(Z636+Z625)*10^-3</f>
        <v>0.99999999999999978</v>
      </c>
      <c r="AA640" s="100">
        <f>AA630*(AA633-AA632)/(AA634-AA633)*(AA625+AA637)*10^-3+AA631*AA482/(AA634-AA633)*(AA636+AA625)*10^-3</f>
        <v>0.99999999999999978</v>
      </c>
      <c r="AB640" s="100">
        <f>AB630*(AB633-AB632)/(AB634-AB633)*(AB625+AB637)*10^-3+AB631*AB482/(AB634-AB633)*(AB636+AB625)*10^-3</f>
        <v>0.99999999999999978</v>
      </c>
      <c r="AC640" s="100">
        <f>AC630*(AC633-AC632)/(AC634-AC633)*(AC625+AC637)*10^-3+AC631*AC482/(AC634-AC633)*(AC636+AC625)*10^-3</f>
        <v>0.99999999999999978</v>
      </c>
      <c r="AD640" s="532"/>
      <c r="AE640" s="532"/>
      <c r="AF640" s="532"/>
      <c r="AG640" s="532"/>
      <c r="AH640" s="532"/>
      <c r="AI640" s="532"/>
      <c r="AJ640" s="532"/>
      <c r="AK640" s="532"/>
      <c r="AL640" s="532"/>
      <c r="AM640" s="532"/>
      <c r="AN640" s="532"/>
      <c r="AO640" s="532"/>
      <c r="AP640" s="532"/>
      <c r="AQ640" s="532"/>
      <c r="AR640" s="532"/>
      <c r="AS640" s="532"/>
      <c r="AT640" s="532"/>
      <c r="AU640" s="532"/>
      <c r="AV640" s="532"/>
      <c r="AW640" s="532"/>
      <c r="AX640" s="532"/>
      <c r="AY640" s="532"/>
      <c r="AZ640" s="532"/>
      <c r="BA640" s="532"/>
      <c r="BB640" s="532"/>
      <c r="BC640" s="532"/>
      <c r="BD640" s="532"/>
      <c r="BE640" s="532"/>
      <c r="BF640" s="532"/>
      <c r="BG640" s="532"/>
      <c r="BH640" s="532"/>
      <c r="BI640" s="532"/>
      <c r="BJ640" s="532"/>
      <c r="BK640" s="532"/>
      <c r="BL640" s="532"/>
      <c r="BM640" s="532"/>
      <c r="BN640" s="532"/>
      <c r="BO640" s="532"/>
      <c r="BP640" s="532"/>
      <c r="BQ640" s="532"/>
      <c r="BR640" s="532"/>
      <c r="BS640" s="532"/>
      <c r="BT640" s="532"/>
      <c r="BU640" s="532"/>
      <c r="BV640" s="334"/>
      <c r="BW640" s="334"/>
      <c r="BX640" s="434"/>
      <c r="BY640" s="523"/>
      <c r="BZ640" s="3"/>
      <c r="CA640" s="259"/>
      <c r="CB640" s="15"/>
      <c r="CC640" s="15"/>
      <c r="CD640" s="15"/>
      <c r="CE640" s="246"/>
      <c r="CG640" s="246"/>
    </row>
    <row r="641" spans="1:85" hidden="1">
      <c r="A641" s="1043"/>
      <c r="B641" s="307" t="s">
        <v>292</v>
      </c>
      <c r="C641" s="997" t="str">
        <f>"&gt; "&amp;TEXT(15/PI()*C590/C$226*C797*C640/C324, "#")&amp;" uF"</f>
        <v>&gt; 262 uF</v>
      </c>
      <c r="D641" s="997" t="e">
        <f>"&gt; "&amp;TEXT(15/PI()*D590/D$226*D797*D640/D324, "#")&amp;" uF"</f>
        <v>#DIV/0!</v>
      </c>
      <c r="E641" s="995"/>
      <c r="F641" s="995"/>
      <c r="G641" s="1043"/>
      <c r="H641" s="1043"/>
      <c r="I641" s="1043"/>
      <c r="J641" s="1164"/>
      <c r="K641" s="1161">
        <f t="shared" si="161"/>
        <v>22.499999999999996</v>
      </c>
      <c r="L641" s="1044">
        <f t="shared" si="150"/>
        <v>5.3214682834118285</v>
      </c>
      <c r="M641" s="1044">
        <f t="shared" si="151"/>
        <v>0</v>
      </c>
      <c r="N641" s="1044">
        <f t="shared" si="152"/>
        <v>2.844444444444445</v>
      </c>
      <c r="O641" s="396">
        <f t="shared" si="153"/>
        <v>5.8315446993268365</v>
      </c>
      <c r="P641" s="485">
        <f t="shared" si="154"/>
        <v>0.22222222222222227</v>
      </c>
      <c r="Q641" s="485">
        <f t="shared" si="155"/>
        <v>0</v>
      </c>
      <c r="R641" s="486">
        <f t="shared" si="156"/>
        <v>0.22222222222222227</v>
      </c>
      <c r="S641" s="529" t="e">
        <f t="shared" si="157"/>
        <v>#DIV/0!</v>
      </c>
      <c r="T641" s="383">
        <f t="shared" si="158"/>
        <v>0</v>
      </c>
      <c r="U641" s="384" t="e">
        <f>($C$25+$C$26)/($E$25*($R$332*#REF!+$S$332*#REF!))*R641*10^3+$C$25/($E$25*($R$332*#REF!+$S$332*#REF!))*(P641-R641)*10^3</f>
        <v>#REF!</v>
      </c>
      <c r="V641" s="486">
        <f t="shared" si="159"/>
        <v>0.22222222222222227</v>
      </c>
      <c r="W641" s="396">
        <f t="shared" si="160"/>
        <v>234.37480166246755</v>
      </c>
      <c r="X641" s="446">
        <f t="shared" si="162"/>
        <v>7.2</v>
      </c>
      <c r="Y641" s="446">
        <f t="shared" si="163"/>
        <v>7.2</v>
      </c>
      <c r="AD641" s="532"/>
      <c r="AE641" s="532"/>
      <c r="AF641" s="532"/>
      <c r="AG641" s="532"/>
      <c r="AH641" s="532"/>
      <c r="AI641" s="532"/>
      <c r="AJ641" s="532"/>
      <c r="AK641" s="532"/>
      <c r="AL641" s="532"/>
      <c r="AM641" s="532"/>
      <c r="AN641" s="532"/>
      <c r="AO641" s="532"/>
      <c r="AP641" s="532"/>
      <c r="AQ641" s="532"/>
      <c r="AR641" s="532"/>
      <c r="AS641" s="532"/>
      <c r="AT641" s="532"/>
      <c r="AU641" s="532"/>
      <c r="AV641" s="532"/>
      <c r="AW641" s="532"/>
      <c r="AX641" s="532"/>
      <c r="AY641" s="532"/>
      <c r="AZ641" s="532"/>
      <c r="BA641" s="532"/>
      <c r="BB641" s="532"/>
      <c r="BC641" s="532"/>
      <c r="BD641" s="532"/>
      <c r="BE641" s="532"/>
      <c r="BF641" s="532"/>
      <c r="BG641" s="532"/>
      <c r="BH641" s="532"/>
      <c r="BI641" s="532"/>
      <c r="BJ641" s="532"/>
      <c r="BK641" s="532"/>
      <c r="BL641" s="532"/>
      <c r="BM641" s="532"/>
      <c r="BN641" s="532"/>
      <c r="BO641" s="532"/>
      <c r="BP641" s="532"/>
      <c r="BQ641" s="532"/>
      <c r="BR641" s="532"/>
      <c r="BS641" s="532"/>
      <c r="BT641" s="532"/>
      <c r="BU641" s="532"/>
      <c r="BV641" s="334"/>
      <c r="BW641" s="334"/>
      <c r="BX641" s="434"/>
      <c r="BY641" s="523"/>
      <c r="BZ641" s="3"/>
      <c r="CA641" s="259"/>
      <c r="CB641" s="15"/>
      <c r="CC641" s="15"/>
      <c r="CD641" s="15"/>
      <c r="CE641" s="246"/>
      <c r="CG641" s="246"/>
    </row>
    <row r="642" spans="1:85" hidden="1">
      <c r="A642" s="1043"/>
      <c r="B642" s="307" t="s">
        <v>293</v>
      </c>
      <c r="C642" s="988">
        <f>C65*E65</f>
        <v>660</v>
      </c>
      <c r="D642" s="988">
        <f>C66*E66</f>
        <v>270</v>
      </c>
      <c r="E642" s="995"/>
      <c r="F642" s="995"/>
      <c r="G642" s="1043"/>
      <c r="H642" s="1043"/>
      <c r="I642" s="1043"/>
      <c r="J642" s="1043"/>
      <c r="K642" s="1161">
        <f t="shared" si="161"/>
        <v>22.699999999999996</v>
      </c>
      <c r="L642" s="1044">
        <f t="shared" si="150"/>
        <v>5.3046379481168024</v>
      </c>
      <c r="M642" s="1044">
        <f t="shared" si="151"/>
        <v>0</v>
      </c>
      <c r="N642" s="1044">
        <f t="shared" si="152"/>
        <v>2.8193832599118949</v>
      </c>
      <c r="O642" s="396">
        <f t="shared" si="153"/>
        <v>5.8118800985932788</v>
      </c>
      <c r="P642" s="485">
        <f t="shared" si="154"/>
        <v>0.22026431718061679</v>
      </c>
      <c r="Q642" s="485">
        <f t="shared" si="155"/>
        <v>0</v>
      </c>
      <c r="R642" s="486">
        <f t="shared" si="156"/>
        <v>0.22026431718061679</v>
      </c>
      <c r="S642" s="529" t="e">
        <f t="shared" si="157"/>
        <v>#DIV/0!</v>
      </c>
      <c r="T642" s="383">
        <f t="shared" si="158"/>
        <v>0</v>
      </c>
      <c r="U642" s="384" t="e">
        <f>($C$25+$C$26)/($E$25*($R$332*#REF!+$S$332*#REF!))*R642*10^3+$C$25/($E$25*($R$332*#REF!+$S$332*#REF!))*(P642-R642)*10^3</f>
        <v>#REF!</v>
      </c>
      <c r="V642" s="486">
        <f t="shared" si="159"/>
        <v>0.22026431718061679</v>
      </c>
      <c r="W642" s="396">
        <f t="shared" si="160"/>
        <v>233.3517059901331</v>
      </c>
      <c r="X642" s="446">
        <f t="shared" si="162"/>
        <v>7.2</v>
      </c>
      <c r="Y642" s="446">
        <f t="shared" si="163"/>
        <v>7.2</v>
      </c>
      <c r="Z642" s="97" t="s">
        <v>889</v>
      </c>
      <c r="AA642" s="97" t="s">
        <v>889</v>
      </c>
      <c r="AB642" s="97" t="s">
        <v>889</v>
      </c>
      <c r="AC642" s="97" t="s">
        <v>889</v>
      </c>
      <c r="AD642" s="532"/>
      <c r="AE642" s="532"/>
      <c r="AF642" s="532"/>
      <c r="AG642" s="532"/>
      <c r="AH642" s="532"/>
      <c r="AI642" s="532"/>
      <c r="AJ642" s="532"/>
      <c r="AK642" s="532"/>
      <c r="AL642" s="532"/>
      <c r="AM642" s="532"/>
      <c r="AN642" s="532"/>
      <c r="AO642" s="532"/>
      <c r="AP642" s="532"/>
      <c r="AQ642" s="532"/>
      <c r="AR642" s="532"/>
      <c r="AS642" s="532"/>
      <c r="AT642" s="532"/>
      <c r="AU642" s="532"/>
      <c r="AV642" s="532"/>
      <c r="AW642" s="532"/>
      <c r="AX642" s="532"/>
      <c r="AY642" s="532"/>
      <c r="AZ642" s="532"/>
      <c r="BA642" s="532"/>
      <c r="BB642" s="532"/>
      <c r="BC642" s="532"/>
      <c r="BD642" s="532"/>
      <c r="BE642" s="532"/>
      <c r="BF642" s="532"/>
      <c r="BG642" s="532"/>
      <c r="BH642" s="532"/>
      <c r="BI642" s="532"/>
      <c r="BJ642" s="532"/>
      <c r="BK642" s="532"/>
      <c r="BL642" s="532"/>
      <c r="BM642" s="532"/>
      <c r="BN642" s="532"/>
      <c r="BO642" s="532"/>
      <c r="BP642" s="523"/>
      <c r="BQ642" s="523"/>
      <c r="BR642" s="523"/>
      <c r="BS642" s="334"/>
      <c r="BT642" s="334"/>
      <c r="BU642" s="334"/>
      <c r="BV642" s="399"/>
    </row>
    <row r="643" spans="1:85" hidden="1">
      <c r="A643" s="1043"/>
      <c r="B643" s="307" t="s">
        <v>294</v>
      </c>
      <c r="C643" s="267">
        <f>PI()/15/C590*C226/C797*C324*C642</f>
        <v>37.768153564236634</v>
      </c>
      <c r="D643" s="267" t="e">
        <f>PI()/15/D590*D226/D797*D324*D642</f>
        <v>#DIV/0!</v>
      </c>
      <c r="E643" s="995"/>
      <c r="F643" s="995"/>
      <c r="G643" s="995"/>
      <c r="H643" s="995"/>
      <c r="I643" s="995"/>
      <c r="J643" s="995"/>
      <c r="K643" s="1161">
        <f t="shared" si="161"/>
        <v>22.899999999999995</v>
      </c>
      <c r="L643" s="1044">
        <f t="shared" si="150"/>
        <v>5.287933744188507</v>
      </c>
      <c r="M643" s="1044">
        <f t="shared" si="151"/>
        <v>0</v>
      </c>
      <c r="N643" s="1044">
        <f t="shared" si="152"/>
        <v>2.7947598253275117</v>
      </c>
      <c r="O643" s="396">
        <f t="shared" si="153"/>
        <v>5.7923883617712058</v>
      </c>
      <c r="P643" s="485">
        <f t="shared" si="154"/>
        <v>0.21834061135371183</v>
      </c>
      <c r="Q643" s="485">
        <f t="shared" si="155"/>
        <v>0</v>
      </c>
      <c r="R643" s="486">
        <f t="shared" si="156"/>
        <v>0.21834061135371183</v>
      </c>
      <c r="S643" s="529" t="e">
        <f t="shared" si="157"/>
        <v>#DIV/0!</v>
      </c>
      <c r="T643" s="383">
        <f t="shared" si="158"/>
        <v>0</v>
      </c>
      <c r="U643" s="384" t="e">
        <f>($C$25+$C$26)/($E$25*($R$332*#REF!+$S$332*#REF!))*R643*10^3+$C$25/($E$25*($R$332*#REF!+$S$332*#REF!))*(P643-R643)*10^3</f>
        <v>#REF!</v>
      </c>
      <c r="V643" s="486">
        <f t="shared" si="159"/>
        <v>0.21834061135371183</v>
      </c>
      <c r="W643" s="396">
        <f t="shared" si="160"/>
        <v>232.34189022227656</v>
      </c>
      <c r="X643" s="446">
        <f t="shared" si="162"/>
        <v>7.2</v>
      </c>
      <c r="Y643" s="446">
        <f t="shared" si="163"/>
        <v>7.2</v>
      </c>
      <c r="Z643" s="395">
        <v>5.4</v>
      </c>
      <c r="AA643" s="395">
        <v>5.4</v>
      </c>
      <c r="AB643" s="395">
        <v>5.4</v>
      </c>
      <c r="AC643" s="395">
        <v>5.4</v>
      </c>
      <c r="AD643" s="532"/>
      <c r="AE643" s="532"/>
      <c r="AF643" s="532"/>
      <c r="AG643" s="532"/>
      <c r="AH643" s="532"/>
      <c r="AI643" s="532"/>
      <c r="AJ643" s="532"/>
      <c r="AK643" s="532"/>
      <c r="AL643" s="532"/>
      <c r="AM643" s="532"/>
      <c r="AN643" s="532"/>
      <c r="AO643" s="532"/>
      <c r="AP643" s="532"/>
      <c r="AQ643" s="532"/>
      <c r="AR643" s="532"/>
      <c r="AS643" s="532"/>
      <c r="AT643" s="532"/>
      <c r="AU643" s="532"/>
      <c r="AV643" s="532"/>
      <c r="AW643" s="532"/>
      <c r="AX643" s="532"/>
      <c r="AY643" s="532"/>
      <c r="AZ643" s="532"/>
      <c r="BA643" s="532"/>
      <c r="BB643" s="532"/>
      <c r="BC643" s="532"/>
      <c r="BD643" s="532"/>
      <c r="BE643" s="532"/>
      <c r="BF643" s="532"/>
      <c r="BG643" s="532"/>
      <c r="BH643" s="532"/>
      <c r="BI643" s="532"/>
      <c r="BJ643" s="532"/>
      <c r="BK643" s="532"/>
      <c r="BL643" s="532"/>
      <c r="BM643" s="532"/>
      <c r="BN643" s="532"/>
      <c r="BO643" s="532"/>
      <c r="BP643" s="523"/>
      <c r="BQ643" s="523"/>
      <c r="BR643" s="523"/>
      <c r="BS643" s="334"/>
      <c r="BT643" s="334"/>
      <c r="BU643" s="334"/>
      <c r="BV643" s="399"/>
    </row>
    <row r="644" spans="1:85" hidden="1">
      <c r="A644" s="1043"/>
      <c r="B644" s="307" t="s">
        <v>295</v>
      </c>
      <c r="C644" s="988">
        <f>D65/E65</f>
        <v>17.5</v>
      </c>
      <c r="D644" s="988">
        <f>D66/E66</f>
        <v>35</v>
      </c>
      <c r="E644" s="995"/>
      <c r="F644" s="995"/>
      <c r="G644" s="995"/>
      <c r="H644" s="995"/>
      <c r="I644" s="995"/>
      <c r="J644" s="995"/>
      <c r="K644" s="1161">
        <f t="shared" si="161"/>
        <v>23.099999999999994</v>
      </c>
      <c r="L644" s="1044">
        <f t="shared" si="150"/>
        <v>5.2713551765722464</v>
      </c>
      <c r="M644" s="1044">
        <f t="shared" si="151"/>
        <v>0</v>
      </c>
      <c r="N644" s="1044">
        <f t="shared" si="152"/>
        <v>2.7705627705627713</v>
      </c>
      <c r="O644" s="396">
        <f t="shared" si="153"/>
        <v>5.7730677233772827</v>
      </c>
      <c r="P644" s="485">
        <f t="shared" si="154"/>
        <v>0.2164502164502165</v>
      </c>
      <c r="Q644" s="485">
        <f t="shared" si="155"/>
        <v>0</v>
      </c>
      <c r="R644" s="486">
        <f t="shared" si="156"/>
        <v>0.2164502164502165</v>
      </c>
      <c r="S644" s="529" t="e">
        <f t="shared" si="157"/>
        <v>#DIV/0!</v>
      </c>
      <c r="T644" s="383">
        <f t="shared" si="158"/>
        <v>0</v>
      </c>
      <c r="U644" s="384" t="e">
        <f>($C$25+$C$26)/($E$25*($R$332*#REF!+$S$332*#REF!))*R644*10^3+$C$25/($E$25*($R$332*#REF!+$S$332*#REF!))*(P644-R644)*10^3</f>
        <v>#REF!</v>
      </c>
      <c r="V644" s="486">
        <f t="shared" si="159"/>
        <v>0.2164502164502165</v>
      </c>
      <c r="W644" s="396">
        <f t="shared" si="160"/>
        <v>231.34506958057813</v>
      </c>
      <c r="X644" s="446">
        <f t="shared" si="162"/>
        <v>7.2</v>
      </c>
      <c r="Y644" s="446">
        <f t="shared" si="163"/>
        <v>7.2</v>
      </c>
      <c r="Z644" s="395">
        <v>4</v>
      </c>
      <c r="AA644" s="395">
        <v>4</v>
      </c>
      <c r="AB644" s="395">
        <v>4</v>
      </c>
      <c r="AC644" s="395">
        <v>4</v>
      </c>
      <c r="AD644" s="532"/>
      <c r="AE644" s="532"/>
      <c r="AF644" s="532"/>
      <c r="AG644" s="532"/>
      <c r="AH644" s="532"/>
      <c r="AI644" s="532"/>
      <c r="AJ644" s="532"/>
      <c r="AK644" s="532"/>
      <c r="AL644" s="532"/>
      <c r="AM644" s="532"/>
      <c r="AN644" s="532"/>
      <c r="AO644" s="532"/>
      <c r="AP644" s="532"/>
      <c r="AQ644" s="532"/>
      <c r="AR644" s="532"/>
      <c r="AS644" s="532"/>
      <c r="AT644" s="532"/>
      <c r="AU644" s="532"/>
      <c r="AV644" s="532"/>
      <c r="AW644" s="532"/>
      <c r="AX644" s="532"/>
      <c r="AY644" s="532"/>
      <c r="AZ644" s="532"/>
      <c r="BA644" s="532"/>
      <c r="BB644" s="532"/>
      <c r="BC644" s="532"/>
      <c r="BD644" s="532"/>
      <c r="BE644" s="532"/>
      <c r="BF644" s="532"/>
      <c r="BG644" s="532"/>
      <c r="BH644" s="532"/>
      <c r="BI644" s="532"/>
      <c r="BJ644" s="532"/>
      <c r="BK644" s="532"/>
      <c r="BL644" s="532"/>
      <c r="BM644" s="532"/>
      <c r="BN644" s="532"/>
      <c r="BO644" s="532"/>
      <c r="BP644" s="523"/>
      <c r="BQ644" s="523"/>
      <c r="BR644" s="523"/>
      <c r="BS644" s="334"/>
      <c r="BT644" s="334"/>
      <c r="BU644" s="334"/>
      <c r="BV644" s="399"/>
    </row>
    <row r="645" spans="1:85" ht="38.700000000000003" hidden="1">
      <c r="A645" s="1043"/>
      <c r="B645" s="307" t="s">
        <v>291</v>
      </c>
      <c r="C645" s="1083" t="str">
        <f>"Less than "&amp;TEXT(C643, "#.#")&amp;"-k and more than"&amp;TEXT(C639,"#.#")&amp;"-kohm"</f>
        <v>Less than 37.8-k and more than14.-kohm</v>
      </c>
      <c r="D645" s="1083" t="e">
        <f>"Less than "&amp;TEXT(D643, "#.#")&amp;"-k and more than"&amp;TEXT(D639,"#.#")&amp;"-kohm"</f>
        <v>#DIV/0!</v>
      </c>
      <c r="E645" s="995"/>
      <c r="F645" s="995"/>
      <c r="G645" s="995"/>
      <c r="H645" s="995"/>
      <c r="I645" s="995"/>
      <c r="J645" s="995"/>
      <c r="K645" s="1161">
        <f t="shared" si="161"/>
        <v>23.299999999999994</v>
      </c>
      <c r="L645" s="1044">
        <f t="shared" si="150"/>
        <v>5.2549016912505389</v>
      </c>
      <c r="M645" s="1044">
        <f t="shared" si="151"/>
        <v>0</v>
      </c>
      <c r="N645" s="1044">
        <f t="shared" si="152"/>
        <v>2.7467811158798292</v>
      </c>
      <c r="O645" s="396">
        <f t="shared" si="153"/>
        <v>5.7539164068021904</v>
      </c>
      <c r="P645" s="485">
        <f t="shared" si="154"/>
        <v>0.21459227467811165</v>
      </c>
      <c r="Q645" s="485">
        <f t="shared" si="155"/>
        <v>0</v>
      </c>
      <c r="R645" s="486">
        <f t="shared" si="156"/>
        <v>0.21459227467811165</v>
      </c>
      <c r="S645" s="529" t="e">
        <f t="shared" si="157"/>
        <v>#DIV/0!</v>
      </c>
      <c r="T645" s="383">
        <f t="shared" si="158"/>
        <v>0</v>
      </c>
      <c r="U645" s="384" t="e">
        <f>($C$25+$C$26)/($E$25*($R$332*#REF!+$S$332*#REF!))*R645*10^3+$C$25/($E$25*($R$332*#REF!+$S$332*#REF!))*(P645-R645)*10^3</f>
        <v>#REF!</v>
      </c>
      <c r="V645" s="486">
        <f t="shared" si="159"/>
        <v>0.21459227467811165</v>
      </c>
      <c r="W645" s="396">
        <f t="shared" si="160"/>
        <v>230.36096776217738</v>
      </c>
      <c r="X645" s="446">
        <f t="shared" si="162"/>
        <v>7.2</v>
      </c>
      <c r="Y645" s="446">
        <f t="shared" si="163"/>
        <v>7.2</v>
      </c>
      <c r="Z645" s="395">
        <v>3</v>
      </c>
      <c r="AA645" s="395">
        <v>3</v>
      </c>
      <c r="AB645" s="395">
        <v>3</v>
      </c>
      <c r="AC645" s="395">
        <v>3</v>
      </c>
      <c r="AD645" s="532"/>
      <c r="AE645" s="532"/>
      <c r="AF645" s="532"/>
      <c r="AG645" s="532"/>
      <c r="AH645" s="532"/>
      <c r="AI645" s="532"/>
      <c r="AJ645" s="532"/>
      <c r="AK645" s="532"/>
      <c r="AL645" s="532"/>
      <c r="AM645" s="532"/>
      <c r="AN645" s="532"/>
      <c r="AO645" s="532"/>
      <c r="AP645" s="532"/>
      <c r="AQ645" s="532"/>
      <c r="AR645" s="532"/>
      <c r="AS645" s="532"/>
      <c r="AT645" s="532"/>
      <c r="AU645" s="532"/>
      <c r="AV645" s="532"/>
      <c r="AW645" s="532"/>
      <c r="AX645" s="532"/>
      <c r="AY645" s="532"/>
      <c r="AZ645" s="532"/>
      <c r="BA645" s="532"/>
      <c r="BB645" s="532"/>
      <c r="BC645" s="532"/>
      <c r="BD645" s="532"/>
      <c r="BE645" s="532"/>
      <c r="BF645" s="532"/>
      <c r="BG645" s="532"/>
      <c r="BH645" s="532"/>
      <c r="BI645" s="532"/>
      <c r="BJ645" s="532"/>
      <c r="BK645" s="532"/>
      <c r="BL645" s="532"/>
      <c r="BM645" s="532"/>
      <c r="BN645" s="532"/>
      <c r="BO645" s="532"/>
      <c r="BP645" s="523"/>
      <c r="BQ645" s="523"/>
      <c r="BR645" s="523"/>
      <c r="BS645" s="334"/>
      <c r="BT645" s="334"/>
      <c r="BU645" s="334"/>
      <c r="BV645" s="399"/>
    </row>
    <row r="646" spans="1:85" ht="38.700000000000003" hidden="1">
      <c r="A646" s="1043"/>
      <c r="B646" s="1166"/>
      <c r="C646" s="1083" t="str">
        <f>"More than "&amp;TEXT(C639, "#.#")&amp;"-kohm (less than "&amp;TEXT(C647,"#.#")&amp;"-kohm)"</f>
        <v>More than 14.-kohm (less than 20.-kohm)</v>
      </c>
      <c r="D646" s="1083" t="e">
        <f>"More than "&amp;TEXT(D639, "#.#")&amp;"-kohm (less than "&amp;TEXT(D647,"#.#")&amp;"-kohm)"</f>
        <v>#DIV/0!</v>
      </c>
      <c r="E646" s="995"/>
      <c r="F646" s="995"/>
      <c r="G646" s="995"/>
      <c r="H646" s="995"/>
      <c r="I646" s="995"/>
      <c r="J646" s="995"/>
      <c r="K646" s="1161">
        <f>C330</f>
        <v>23.5</v>
      </c>
      <c r="L646" s="1044">
        <f t="shared" si="150"/>
        <v>5.2385726806253885</v>
      </c>
      <c r="M646" s="1044">
        <f t="shared" si="151"/>
        <v>0</v>
      </c>
      <c r="N646" s="1044">
        <f t="shared" si="152"/>
        <v>2.7234042553191489</v>
      </c>
      <c r="O646" s="396">
        <f t="shared" si="153"/>
        <v>5.7349326274013857</v>
      </c>
      <c r="P646" s="485">
        <f t="shared" si="154"/>
        <v>0.21276595744680851</v>
      </c>
      <c r="Q646" s="485">
        <f t="shared" si="155"/>
        <v>0</v>
      </c>
      <c r="R646" s="486">
        <f t="shared" si="156"/>
        <v>0.21276595744680851</v>
      </c>
      <c r="S646" s="529" t="e">
        <f t="shared" si="157"/>
        <v>#DIV/0!</v>
      </c>
      <c r="T646" s="383">
        <f t="shared" si="158"/>
        <v>0</v>
      </c>
      <c r="U646" s="384" t="e">
        <f>($C$25+$C$26)/($E$25*($R$332*#REF!+$S$332*#REF!))*R646*10^3+$C$25/($E$25*($R$332*#REF!+$S$332*#REF!))*(P646-R646)*10^3</f>
        <v>#REF!</v>
      </c>
      <c r="V646" s="486">
        <f t="shared" si="159"/>
        <v>0.21276595744680851</v>
      </c>
      <c r="W646" s="396">
        <f t="shared" si="160"/>
        <v>229.38931661815099</v>
      </c>
      <c r="X646" s="246">
        <f>L630</f>
        <v>5.7</v>
      </c>
      <c r="Y646" s="246">
        <f>M630</f>
        <v>5.7</v>
      </c>
      <c r="Z646" s="430">
        <v>50</v>
      </c>
      <c r="AA646" s="430">
        <v>50</v>
      </c>
      <c r="AB646" s="430">
        <v>50</v>
      </c>
      <c r="AC646" s="430">
        <v>50</v>
      </c>
      <c r="AD646" s="532"/>
      <c r="AE646" s="532"/>
      <c r="AF646" s="532"/>
      <c r="AG646" s="532"/>
      <c r="AH646" s="532"/>
      <c r="AI646" s="532"/>
      <c r="AJ646" s="532"/>
      <c r="AK646" s="532"/>
      <c r="AL646" s="532"/>
      <c r="AM646" s="532"/>
      <c r="AN646" s="532"/>
      <c r="AO646" s="532"/>
      <c r="AP646" s="532"/>
      <c r="AQ646" s="532"/>
      <c r="AR646" s="532"/>
      <c r="AS646" s="532"/>
      <c r="AT646" s="532"/>
      <c r="AU646" s="532"/>
      <c r="AV646" s="532"/>
      <c r="AW646" s="532"/>
      <c r="AX646" s="532"/>
      <c r="AY646" s="532"/>
      <c r="AZ646" s="532"/>
      <c r="BA646" s="532"/>
      <c r="BB646" s="532"/>
      <c r="BC646" s="532"/>
      <c r="BD646" s="532"/>
      <c r="BE646" s="532"/>
      <c r="BF646" s="532"/>
      <c r="BG646" s="532"/>
      <c r="BH646" s="532"/>
      <c r="BI646" s="532"/>
      <c r="BJ646" s="532"/>
      <c r="BK646" s="532"/>
      <c r="BL646" s="532"/>
      <c r="BM646" s="532"/>
      <c r="BN646" s="532"/>
      <c r="BO646" s="532"/>
      <c r="BP646" s="523"/>
      <c r="BQ646" s="523"/>
      <c r="BR646" s="523"/>
      <c r="BS646" s="334"/>
      <c r="BT646" s="334"/>
      <c r="BU646" s="334"/>
      <c r="BV646" s="399"/>
    </row>
    <row r="647" spans="1:85" hidden="1">
      <c r="A647" s="1043"/>
      <c r="B647" s="320" t="s">
        <v>296</v>
      </c>
      <c r="C647" s="1167">
        <f>MIN(20,C643)</f>
        <v>20</v>
      </c>
      <c r="D647" s="1044" t="e">
        <f>MIN(20,D643)</f>
        <v>#DIV/0!</v>
      </c>
      <c r="E647" s="995"/>
      <c r="F647" s="995"/>
      <c r="G647" s="995"/>
      <c r="H647" s="995"/>
      <c r="I647" s="995"/>
      <c r="J647" s="995"/>
      <c r="K647" s="1161">
        <f>C330+1</f>
        <v>24.5</v>
      </c>
      <c r="L647" s="1044">
        <f t="shared" si="150"/>
        <v>5.1587703270221068</v>
      </c>
      <c r="M647" s="1044">
        <f t="shared" si="151"/>
        <v>0</v>
      </c>
      <c r="N647" s="1044">
        <f t="shared" si="152"/>
        <v>2.6122448979591835</v>
      </c>
      <c r="O647" s="396">
        <f t="shared" si="153"/>
        <v>5.6424640967295607</v>
      </c>
      <c r="P647" s="485">
        <f t="shared" si="154"/>
        <v>0.20408163265306123</v>
      </c>
      <c r="Q647" s="485">
        <f t="shared" si="155"/>
        <v>0</v>
      </c>
      <c r="R647" s="486">
        <f t="shared" si="156"/>
        <v>0.20408163265306123</v>
      </c>
      <c r="S647" s="529" t="e">
        <f t="shared" si="157"/>
        <v>#DIV/0!</v>
      </c>
      <c r="T647" s="383">
        <f t="shared" si="158"/>
        <v>0</v>
      </c>
      <c r="U647" s="384" t="e">
        <f>($C$25+$C$26)/($E$25*($R$332*#REF!+$S$332*#REF!))*R647*10^3+$C$25/($E$25*($R$332*#REF!+$S$332*#REF!))*(P647-R647)*10^3</f>
        <v>#REF!</v>
      </c>
      <c r="V647" s="486">
        <f t="shared" si="159"/>
        <v>0.20408163265306123</v>
      </c>
      <c r="W647" s="396">
        <f t="shared" si="160"/>
        <v>224.70896907557358</v>
      </c>
      <c r="X647" s="446">
        <f>($AD$360-$AD$350)/10+X646</f>
        <v>5.7</v>
      </c>
      <c r="Y647" s="446">
        <f>($AE$360-$AE$350)/10+Y646</f>
        <v>5.7</v>
      </c>
      <c r="Z647" s="430">
        <v>0.4</v>
      </c>
      <c r="AA647" s="430">
        <v>0.4</v>
      </c>
      <c r="AB647" s="430">
        <v>0.4</v>
      </c>
      <c r="AC647" s="430">
        <v>0.4</v>
      </c>
      <c r="AD647" s="532"/>
      <c r="AE647" s="532"/>
      <c r="AF647" s="532"/>
      <c r="AG647" s="532"/>
      <c r="AH647" s="532"/>
      <c r="AI647" s="532"/>
      <c r="AJ647" s="532"/>
      <c r="AK647" s="532"/>
      <c r="AL647" s="532"/>
      <c r="AM647" s="532"/>
      <c r="AN647" s="532"/>
      <c r="AO647" s="532"/>
      <c r="AP647" s="532"/>
      <c r="AQ647" s="532"/>
      <c r="AR647" s="532"/>
      <c r="AS647" s="532"/>
      <c r="AT647" s="532"/>
      <c r="AU647" s="532"/>
      <c r="AV647" s="532"/>
      <c r="AW647" s="532"/>
      <c r="AX647" s="532"/>
      <c r="AY647" s="532"/>
      <c r="AZ647" s="532"/>
      <c r="BA647" s="532"/>
      <c r="BB647" s="532"/>
      <c r="BC647" s="532"/>
      <c r="BD647" s="532"/>
      <c r="BE647" s="532"/>
      <c r="BF647" s="532"/>
      <c r="BG647" s="532"/>
      <c r="BH647" s="532"/>
      <c r="BI647" s="532"/>
      <c r="BJ647" s="532"/>
      <c r="BK647" s="532"/>
      <c r="BL647" s="532"/>
      <c r="BM647" s="532"/>
      <c r="BN647" s="532"/>
      <c r="BO647" s="532"/>
      <c r="BP647" s="523"/>
      <c r="BQ647" s="523"/>
      <c r="BR647" s="523"/>
      <c r="BS647" s="334"/>
      <c r="BT647" s="334"/>
      <c r="BU647" s="334"/>
      <c r="BV647" s="399"/>
    </row>
    <row r="648" spans="1:85" hidden="1">
      <c r="A648" s="1043"/>
      <c r="B648" s="1126"/>
      <c r="C648" s="1167">
        <f>MIN(6,C643,20)</f>
        <v>6</v>
      </c>
      <c r="D648" s="1044" t="e">
        <f>MIN(6,D643,20)</f>
        <v>#DIV/0!</v>
      </c>
      <c r="E648" s="995"/>
      <c r="F648" s="995"/>
      <c r="G648" s="1168"/>
      <c r="H648" s="995"/>
      <c r="I648" s="995"/>
      <c r="J648" s="1164"/>
      <c r="K648" s="1042" t="s">
        <v>978</v>
      </c>
      <c r="L648" s="1102">
        <f>MAX(L636:L646)</f>
        <v>5.4075243533648232</v>
      </c>
      <c r="M648" s="1102">
        <f>MAX(M636:M646)</f>
        <v>0</v>
      </c>
      <c r="N648" s="314"/>
      <c r="O648" s="449">
        <f>MAX(O636:O646)</f>
        <v>5.9325212181943909</v>
      </c>
      <c r="P648" s="430"/>
      <c r="Q648" s="430"/>
      <c r="R648" s="430"/>
      <c r="S648" s="495" t="e">
        <f>MAX(S636:S646)</f>
        <v>#DIV/0!</v>
      </c>
      <c r="T648" s="495">
        <f>MAX(T636:T646)</f>
        <v>0</v>
      </c>
      <c r="U648" s="495" t="e">
        <f>MAX(U636:U646)</f>
        <v>#REF!</v>
      </c>
      <c r="V648" s="430"/>
      <c r="W648" s="449">
        <f>MAX(W636:W646)</f>
        <v>239.70008302020221</v>
      </c>
      <c r="X648" s="246"/>
      <c r="Y648" s="246"/>
      <c r="Z648" s="533" t="e">
        <f>Z486^2*Z623*10^-3*Z339/Z485</f>
        <v>#DIV/0!</v>
      </c>
      <c r="AA648" s="533" t="e">
        <f>AA486^2*AA623*10^-3*AA339/AA485</f>
        <v>#DIV/0!</v>
      </c>
      <c r="AB648" s="533" t="e">
        <f>AB486^2*AB623*10^-3*AB339/AB485</f>
        <v>#DIV/0!</v>
      </c>
      <c r="AC648" s="533" t="e">
        <f>AC486^2*AC623*10^-3*AC339/AC485</f>
        <v>#DIV/0!</v>
      </c>
      <c r="AD648" s="532"/>
      <c r="AE648" s="532"/>
      <c r="AF648" s="532"/>
      <c r="AG648" s="532"/>
      <c r="AH648" s="532"/>
      <c r="AI648" s="532"/>
      <c r="AJ648" s="532"/>
      <c r="AK648" s="532"/>
      <c r="AL648" s="532"/>
      <c r="AM648" s="532"/>
      <c r="AN648" s="532"/>
      <c r="AO648" s="532"/>
      <c r="AP648" s="532"/>
      <c r="AQ648" s="532"/>
      <c r="AR648" s="532"/>
      <c r="AS648" s="532"/>
      <c r="AT648" s="532"/>
      <c r="AU648" s="532"/>
      <c r="AV648" s="532"/>
      <c r="AW648" s="532"/>
      <c r="AX648" s="532"/>
      <c r="AY648" s="532"/>
      <c r="AZ648" s="532"/>
      <c r="BA648" s="532"/>
      <c r="BB648" s="532"/>
      <c r="BC648" s="532"/>
      <c r="BD648" s="532"/>
      <c r="BE648" s="532"/>
      <c r="BF648" s="532"/>
      <c r="BG648" s="532"/>
      <c r="BH648" s="532"/>
      <c r="BI648" s="532"/>
      <c r="BJ648" s="532"/>
      <c r="BK648" s="532"/>
      <c r="BL648" s="532"/>
      <c r="BM648" s="532"/>
      <c r="BN648" s="532"/>
      <c r="BO648" s="532"/>
      <c r="BP648" s="523"/>
      <c r="BQ648" s="523"/>
      <c r="BR648" s="523"/>
      <c r="BS648" s="334"/>
      <c r="BT648" s="334"/>
      <c r="BU648" s="334"/>
      <c r="BV648" s="399"/>
    </row>
    <row r="649" spans="1:85" ht="38.700000000000003" hidden="1">
      <c r="A649" s="995"/>
      <c r="B649" s="307" t="s">
        <v>297</v>
      </c>
      <c r="C649" s="1169" t="str">
        <f>"More than 6-kohm &amp; less than "&amp;TEXT(C647,"#.#")&amp;"-kohm"</f>
        <v>More than 6-kohm &amp; less than 20.-kohm</v>
      </c>
      <c r="D649" s="1169" t="e">
        <f>"More than 6-kohm &amp; less than "&amp;TEXT(D647,"#.#")&amp;"-kohm"</f>
        <v>#DIV/0!</v>
      </c>
      <c r="E649" s="995"/>
      <c r="F649" s="995"/>
      <c r="G649" s="1168"/>
      <c r="H649" s="995"/>
      <c r="I649" s="995"/>
      <c r="J649" s="1164"/>
      <c r="K649" s="1042" t="s">
        <v>999</v>
      </c>
      <c r="L649" s="1102">
        <f>L648/$L$631</f>
        <v>2.7037621766824116</v>
      </c>
      <c r="M649" s="1102">
        <f>M648/$M$631</f>
        <v>0</v>
      </c>
      <c r="N649" s="112"/>
      <c r="O649" s="2"/>
      <c r="P649" s="2"/>
      <c r="Q649" s="2"/>
      <c r="R649" s="2"/>
      <c r="S649" s="534" t="e">
        <f>ROUND(S648,3)</f>
        <v>#DIV/0!</v>
      </c>
      <c r="T649" s="534">
        <f>ROUND(T648,2)</f>
        <v>0</v>
      </c>
      <c r="Z649" s="533">
        <f>0.5*Z485*Z478*((Z486-Z534/2)*Z626+(Z486+Z534/2)*Z627)*10^-6</f>
        <v>0</v>
      </c>
      <c r="AA649" s="533">
        <f>0.5*AA485*AA478*((AA486-AA534/2)*AA626+(AA486+AA534/2)*AA627)*10^-6</f>
        <v>0</v>
      </c>
      <c r="AB649" s="533">
        <f>0.5*AB485*AB478*((AB486-AB534/2)*AB626+(AB486+AB534/2)*AB627)*10^-6</f>
        <v>0</v>
      </c>
      <c r="AC649" s="533">
        <f>0.5*AC485*AC478*((AC486-AC534/2)*AC626+(AC486+AC534/2)*AC627)*10^-6</f>
        <v>0</v>
      </c>
      <c r="AD649" s="532"/>
      <c r="AE649" s="532"/>
      <c r="AF649" s="532"/>
      <c r="AG649" s="532"/>
      <c r="AH649" s="532"/>
      <c r="AI649" s="532"/>
      <c r="AJ649" s="532"/>
      <c r="AK649" s="532"/>
      <c r="AL649" s="532"/>
      <c r="AM649" s="532"/>
      <c r="AN649" s="532"/>
      <c r="AO649" s="532"/>
      <c r="AP649" s="532"/>
      <c r="AQ649" s="532"/>
      <c r="AR649" s="532"/>
      <c r="AS649" s="532"/>
      <c r="AT649" s="532"/>
      <c r="AU649" s="532"/>
      <c r="AV649" s="532"/>
      <c r="AW649" s="532"/>
      <c r="AX649" s="532"/>
      <c r="AY649" s="532"/>
      <c r="AZ649" s="532"/>
      <c r="BA649" s="532"/>
      <c r="BB649" s="532"/>
      <c r="BC649" s="532"/>
      <c r="BD649" s="532"/>
      <c r="BE649" s="532"/>
      <c r="BF649" s="532"/>
      <c r="BG649" s="532"/>
      <c r="BH649" s="532"/>
      <c r="BI649" s="532"/>
      <c r="BJ649" s="532"/>
      <c r="BK649" s="532"/>
      <c r="BL649" s="532"/>
      <c r="BM649" s="532"/>
      <c r="BN649" s="532"/>
      <c r="BO649" s="532"/>
      <c r="BP649" s="523"/>
      <c r="BQ649" s="523"/>
      <c r="BR649" s="523"/>
      <c r="BS649" s="334"/>
      <c r="BT649" s="334"/>
      <c r="BU649" s="334"/>
      <c r="BV649" s="399"/>
    </row>
    <row r="650" spans="1:85" hidden="1">
      <c r="A650" s="1043"/>
      <c r="B650" s="112"/>
      <c r="C650" s="112"/>
      <c r="D650" s="112"/>
      <c r="E650" s="1043"/>
      <c r="F650" s="1043"/>
      <c r="G650" s="1168"/>
      <c r="H650" s="995"/>
      <c r="I650" s="995"/>
      <c r="J650" s="1164"/>
      <c r="K650" s="1164"/>
      <c r="L650" s="1164"/>
      <c r="M650" s="1164"/>
      <c r="N650" s="1164"/>
      <c r="O650" s="523"/>
      <c r="P650" s="523"/>
      <c r="Q650" s="523"/>
      <c r="R650" s="532"/>
      <c r="S650" s="532"/>
      <c r="T650" s="532"/>
      <c r="U650" s="532"/>
      <c r="V650" s="532"/>
      <c r="W650" s="532"/>
      <c r="X650" s="532"/>
      <c r="Y650" s="532"/>
      <c r="Z650" s="533">
        <f>0.5*Z485*Z478*((Z486-Z534/2)*Z638+(Z486+Z534/2)*Z639)*10^-6</f>
        <v>0</v>
      </c>
      <c r="AA650" s="533">
        <f>0.5*AA485*AA478*((AA486-AA534/2)*AA638+(AA486+AA534/2)*AA639)*10^-6</f>
        <v>0</v>
      </c>
      <c r="AB650" s="533">
        <f>0.5*AB485*AB478*((AB486-AB534/2)*AB638+(AB486+AB534/2)*AB639)*10^-6</f>
        <v>0</v>
      </c>
      <c r="AC650" s="533">
        <f>0.5*AC485*AC478*((AC486-AC534/2)*AC638+(AC486+AC534/2)*AC639)*10^-6</f>
        <v>0</v>
      </c>
      <c r="AD650" s="532"/>
      <c r="AE650" s="532"/>
      <c r="AF650" s="532"/>
      <c r="AG650" s="532"/>
      <c r="AH650" s="532"/>
      <c r="AI650" s="532"/>
      <c r="AJ650" s="532"/>
      <c r="AK650" s="532"/>
      <c r="AL650" s="532"/>
      <c r="AM650" s="532"/>
      <c r="AN650" s="532"/>
      <c r="AO650" s="532"/>
      <c r="AP650" s="532"/>
      <c r="AQ650" s="532"/>
      <c r="AR650" s="532"/>
      <c r="AS650" s="532"/>
      <c r="AT650" s="532"/>
      <c r="AU650" s="532"/>
      <c r="AV650" s="532"/>
      <c r="AW650" s="532"/>
      <c r="AX650" s="532"/>
      <c r="AY650" s="532"/>
      <c r="AZ650" s="532"/>
      <c r="BA650" s="532"/>
      <c r="BB650" s="532"/>
      <c r="BC650" s="532"/>
      <c r="BD650" s="532"/>
      <c r="BE650" s="532"/>
      <c r="BF650" s="532"/>
      <c r="BG650" s="532"/>
      <c r="BH650" s="532"/>
      <c r="BI650" s="532"/>
      <c r="BJ650" s="532"/>
      <c r="BK650" s="532"/>
      <c r="BL650" s="532"/>
      <c r="BM650" s="532"/>
      <c r="BN650" s="532"/>
      <c r="BO650" s="532"/>
      <c r="BP650" s="523"/>
      <c r="BQ650" s="523"/>
      <c r="BR650" s="523"/>
      <c r="BS650" s="334"/>
      <c r="BT650" s="334"/>
      <c r="BU650" s="334"/>
      <c r="BV650" s="399"/>
    </row>
    <row r="651" spans="1:85" hidden="1">
      <c r="A651" s="1043"/>
      <c r="E651" s="1043"/>
      <c r="F651" s="1043"/>
      <c r="G651" s="1168"/>
      <c r="H651" s="995"/>
      <c r="I651" s="995"/>
      <c r="J651" s="1164"/>
      <c r="K651" s="1164"/>
      <c r="L651" s="1164"/>
      <c r="M651" s="1164"/>
      <c r="N651" s="1164"/>
      <c r="O651" s="523"/>
      <c r="P651" s="523"/>
      <c r="Q651" s="523"/>
      <c r="R651" s="532"/>
      <c r="S651" s="532"/>
      <c r="T651" s="532"/>
      <c r="U651" s="532"/>
      <c r="V651" s="532"/>
      <c r="W651" s="532"/>
      <c r="X651" s="532"/>
      <c r="Y651" s="532"/>
      <c r="Z651" s="535" t="e">
        <f>Z648+Z649</f>
        <v>#DIV/0!</v>
      </c>
      <c r="AA651" s="535" t="e">
        <f>AA648+AA649</f>
        <v>#DIV/0!</v>
      </c>
      <c r="AB651" s="535" t="e">
        <f>AB648+AB649</f>
        <v>#DIV/0!</v>
      </c>
      <c r="AC651" s="535" t="e">
        <f>AC648+AC649</f>
        <v>#DIV/0!</v>
      </c>
      <c r="AD651" s="532"/>
      <c r="AE651" s="532"/>
      <c r="AF651" s="532"/>
      <c r="AG651" s="532"/>
      <c r="AH651" s="532"/>
      <c r="AI651" s="532"/>
      <c r="AJ651" s="532"/>
      <c r="AK651" s="532"/>
      <c r="AL651" s="532"/>
      <c r="AM651" s="532"/>
      <c r="AN651" s="532"/>
      <c r="AO651" s="532"/>
      <c r="AP651" s="532"/>
      <c r="AQ651" s="532"/>
      <c r="AR651" s="532"/>
      <c r="AS651" s="532"/>
      <c r="AT651" s="532"/>
      <c r="AU651" s="532"/>
      <c r="AV651" s="532"/>
      <c r="AW651" s="532"/>
      <c r="AX651" s="532"/>
      <c r="AY651" s="532"/>
      <c r="AZ651" s="532"/>
      <c r="BA651" s="532"/>
      <c r="BB651" s="532"/>
      <c r="BC651" s="532"/>
      <c r="BD651" s="532"/>
      <c r="BE651" s="532"/>
      <c r="BF651" s="532"/>
      <c r="BG651" s="532"/>
      <c r="BH651" s="532"/>
      <c r="BI651" s="532"/>
      <c r="BJ651" s="532"/>
      <c r="BK651" s="532"/>
      <c r="BL651" s="532"/>
      <c r="BM651" s="532"/>
      <c r="BN651" s="532"/>
      <c r="BO651" s="532"/>
      <c r="BP651" s="523"/>
      <c r="BQ651" s="523"/>
      <c r="BR651" s="523"/>
      <c r="BS651" s="334"/>
      <c r="BT651" s="334"/>
      <c r="BU651" s="334"/>
      <c r="BV651" s="399"/>
    </row>
    <row r="652" spans="1:85" hidden="1">
      <c r="A652" s="1043"/>
      <c r="E652" s="1043"/>
      <c r="F652" s="1043"/>
      <c r="G652" s="1170"/>
      <c r="H652" s="995"/>
      <c r="I652" s="995"/>
      <c r="J652" s="1164"/>
      <c r="K652" s="1164"/>
      <c r="L652" s="1164"/>
      <c r="M652" s="1164"/>
      <c r="N652" s="1164"/>
      <c r="O652" s="523"/>
      <c r="P652" s="523"/>
      <c r="Q652" s="523"/>
      <c r="R652" s="532"/>
      <c r="S652" s="532"/>
      <c r="T652" s="532"/>
      <c r="U652" s="532"/>
      <c r="V652" s="532"/>
      <c r="W652" s="532"/>
      <c r="X652" s="532"/>
      <c r="Y652" s="532"/>
      <c r="Z652" s="98" t="e">
        <f>Z651*Z628</f>
        <v>#DIV/0!</v>
      </c>
      <c r="AA652" s="98" t="e">
        <f>AA651*AA628</f>
        <v>#DIV/0!</v>
      </c>
      <c r="AB652" s="98" t="e">
        <f>AB651*AB628</f>
        <v>#DIV/0!</v>
      </c>
      <c r="AC652" s="98" t="e">
        <f>AC651*AC628</f>
        <v>#DIV/0!</v>
      </c>
      <c r="AD652" s="532"/>
      <c r="AE652" s="532"/>
      <c r="AF652" s="532"/>
      <c r="AG652" s="532"/>
      <c r="AH652" s="532"/>
      <c r="AI652" s="532"/>
      <c r="AJ652" s="532"/>
      <c r="AK652" s="532"/>
      <c r="AL652" s="532"/>
      <c r="AM652" s="532"/>
      <c r="AN652" s="532"/>
      <c r="AO652" s="532"/>
      <c r="AP652" s="532"/>
      <c r="AQ652" s="532"/>
      <c r="AR652" s="532"/>
      <c r="AS652" s="532"/>
      <c r="AT652" s="532"/>
      <c r="AU652" s="532"/>
      <c r="AV652" s="532"/>
      <c r="AW652" s="532"/>
      <c r="AX652" s="532"/>
      <c r="AY652" s="532"/>
      <c r="AZ652" s="532"/>
      <c r="BA652" s="532"/>
      <c r="BB652" s="532"/>
      <c r="BC652" s="532"/>
      <c r="BD652" s="532"/>
      <c r="BE652" s="532"/>
      <c r="BF652" s="532"/>
      <c r="BG652" s="532"/>
      <c r="BH652" s="532"/>
      <c r="BI652" s="532"/>
      <c r="BJ652" s="532"/>
      <c r="BK652" s="532"/>
      <c r="BL652" s="532"/>
      <c r="BM652" s="532"/>
      <c r="BN652" s="532"/>
      <c r="BO652" s="532"/>
      <c r="BP652" s="523"/>
      <c r="BQ652" s="523"/>
      <c r="BR652" s="523"/>
      <c r="BS652" s="334"/>
      <c r="BT652" s="334"/>
      <c r="BU652" s="334"/>
      <c r="BV652" s="399"/>
    </row>
    <row r="653" spans="1:85" hidden="1">
      <c r="A653" s="1043"/>
      <c r="B653" s="1010" t="s">
        <v>57</v>
      </c>
      <c r="C653" s="1162"/>
      <c r="D653" s="1163"/>
      <c r="E653" s="1043"/>
      <c r="F653" s="1043"/>
      <c r="G653" s="1170"/>
      <c r="H653" s="995"/>
      <c r="I653" s="995"/>
      <c r="J653" s="1164"/>
      <c r="K653" s="1164"/>
      <c r="L653" s="1164"/>
      <c r="M653" s="1164"/>
      <c r="N653" s="1164"/>
      <c r="O653" s="523"/>
      <c r="P653" s="523"/>
      <c r="Q653" s="523"/>
      <c r="R653" s="532"/>
      <c r="S653" s="532"/>
      <c r="T653" s="532"/>
      <c r="U653" s="532"/>
      <c r="V653" s="532"/>
      <c r="W653" s="532"/>
      <c r="X653" s="532"/>
      <c r="Y653" s="532"/>
      <c r="Z653" s="98" t="e">
        <f>Z628*(Z650+Z648)</f>
        <v>#DIV/0!</v>
      </c>
      <c r="AA653" s="98" t="e">
        <f>AA628*(AA650+AA648)</f>
        <v>#DIV/0!</v>
      </c>
      <c r="AB653" s="98" t="e">
        <f>AB628*(AB650+AB648)</f>
        <v>#DIV/0!</v>
      </c>
      <c r="AC653" s="98" t="e">
        <f>AC628*(AC650+AC648)</f>
        <v>#DIV/0!</v>
      </c>
      <c r="AD653" s="532"/>
      <c r="AE653" s="532"/>
      <c r="AF653" s="532"/>
      <c r="AG653" s="532"/>
      <c r="AH653" s="532"/>
      <c r="AI653" s="532"/>
      <c r="AJ653" s="532"/>
      <c r="AK653" s="532"/>
      <c r="AL653" s="532"/>
      <c r="AM653" s="532"/>
      <c r="AN653" s="532"/>
      <c r="AO653" s="532"/>
      <c r="AP653" s="532"/>
      <c r="AQ653" s="532"/>
      <c r="AR653" s="532"/>
      <c r="AS653" s="532"/>
      <c r="AT653" s="532"/>
      <c r="AU653" s="532"/>
      <c r="AV653" s="532"/>
      <c r="AW653" s="532"/>
      <c r="AX653" s="532"/>
      <c r="AY653" s="532"/>
      <c r="AZ653" s="532"/>
      <c r="BA653" s="532"/>
      <c r="BB653" s="532"/>
      <c r="BC653" s="532"/>
      <c r="BD653" s="532"/>
      <c r="BE653" s="532"/>
      <c r="BF653" s="532"/>
      <c r="BG653" s="532"/>
      <c r="BH653" s="532"/>
      <c r="BI653" s="532"/>
      <c r="BJ653" s="532"/>
      <c r="BK653" s="532"/>
      <c r="BL653" s="532"/>
      <c r="BM653" s="532"/>
      <c r="BN653" s="532"/>
      <c r="BO653" s="532"/>
      <c r="BP653" s="523"/>
      <c r="BQ653" s="523"/>
      <c r="BR653" s="523"/>
      <c r="BS653" s="334"/>
      <c r="BT653" s="334"/>
      <c r="BU653" s="334"/>
      <c r="BV653" s="399"/>
    </row>
    <row r="654" spans="1:85" hidden="1">
      <c r="A654" s="1165"/>
      <c r="B654" s="314" t="s">
        <v>58</v>
      </c>
      <c r="C654" s="988">
        <f>-C36*C324</f>
        <v>-30000</v>
      </c>
      <c r="D654" s="988">
        <f>-C36*C324</f>
        <v>-30000</v>
      </c>
      <c r="E654" s="1043"/>
      <c r="G654" s="1168"/>
      <c r="H654" s="995"/>
      <c r="I654" s="1164"/>
      <c r="J654" s="1164"/>
      <c r="K654" s="1164"/>
      <c r="L654" s="1164"/>
      <c r="M654" s="1164"/>
      <c r="N654" s="1164"/>
      <c r="O654" s="523"/>
      <c r="P654" s="523"/>
      <c r="Q654" s="532"/>
      <c r="R654" s="532"/>
      <c r="S654" s="532"/>
      <c r="T654" s="532"/>
      <c r="U654" s="532"/>
      <c r="V654" s="532"/>
      <c r="W654" s="532"/>
      <c r="X654" s="532"/>
      <c r="Y654" s="532"/>
      <c r="Z654" s="536" t="e">
        <f>Z486^2*Z643*10^-3*(1-Z339/Z485)</f>
        <v>#DIV/0!</v>
      </c>
      <c r="AA654" s="536" t="e">
        <f>AA486^2*AA643*10^-3*(1-AA339/AA485)</f>
        <v>#DIV/0!</v>
      </c>
      <c r="AB654" s="536" t="e">
        <f>AB486^2*AB643*10^-3*(1-AB339/AB485)</f>
        <v>#DIV/0!</v>
      </c>
      <c r="AC654" s="536" t="e">
        <f>AC486^2*AC643*10^-3*(1-AC339/AC485)</f>
        <v>#DIV/0!</v>
      </c>
      <c r="AD654" s="532"/>
      <c r="AE654" s="532"/>
      <c r="AF654" s="532"/>
      <c r="AG654" s="532"/>
      <c r="AH654" s="532"/>
      <c r="AI654" s="532"/>
      <c r="AJ654" s="532"/>
      <c r="AK654" s="532"/>
      <c r="AL654" s="532"/>
      <c r="AM654" s="532"/>
      <c r="AN654" s="532"/>
      <c r="AO654" s="532"/>
      <c r="AP654" s="532"/>
      <c r="AQ654" s="532"/>
      <c r="AR654" s="532"/>
      <c r="AS654" s="532"/>
      <c r="AT654" s="532"/>
      <c r="AU654" s="532"/>
      <c r="AV654" s="532"/>
      <c r="AW654" s="532"/>
      <c r="AX654" s="532"/>
      <c r="AY654" s="532"/>
      <c r="AZ654" s="532"/>
      <c r="BA654" s="532"/>
      <c r="BB654" s="532"/>
      <c r="BC654" s="532"/>
      <c r="BD654" s="532"/>
      <c r="BE654" s="532"/>
      <c r="BF654" s="532"/>
      <c r="BG654" s="532"/>
      <c r="BH654" s="532"/>
      <c r="BI654" s="532"/>
      <c r="BJ654" s="532"/>
      <c r="BK654" s="532"/>
      <c r="BL654" s="532"/>
      <c r="BM654" s="532"/>
      <c r="BN654" s="532"/>
      <c r="BO654" s="523"/>
      <c r="BP654" s="523"/>
      <c r="BQ654" s="523"/>
      <c r="BR654" s="334"/>
      <c r="BS654" s="334"/>
      <c r="BT654" s="334"/>
      <c r="BU654" s="399"/>
    </row>
    <row r="655" spans="1:85" hidden="1">
      <c r="A655" s="1165"/>
      <c r="B655" s="314" t="s">
        <v>59</v>
      </c>
      <c r="C655" s="1113">
        <f>(C12-G19)/G30*C614*C661*10^3</f>
        <v>35178.59989587139</v>
      </c>
      <c r="D655" s="1113" t="e">
        <f>(D12-G20)/H31*D614*D661*10^3</f>
        <v>#DIV/0!</v>
      </c>
      <c r="E655" s="1043"/>
      <c r="F655" s="1165"/>
      <c r="G655" s="1168"/>
      <c r="H655" s="995"/>
      <c r="I655" s="1164"/>
      <c r="J655" s="1164"/>
      <c r="K655" s="1164"/>
      <c r="L655" s="1164"/>
      <c r="M655" s="1164"/>
      <c r="N655" s="1164"/>
      <c r="O655" s="523"/>
      <c r="P655" s="523"/>
      <c r="Q655" s="532"/>
      <c r="R655" s="532"/>
      <c r="S655" s="532"/>
      <c r="T655" s="532"/>
      <c r="U655" s="532"/>
      <c r="V655" s="532"/>
      <c r="W655" s="532"/>
      <c r="X655" s="532"/>
      <c r="Y655" s="532"/>
      <c r="Z655" s="536">
        <f>Z647*($C$798*(Z486+Z534/2)*Z478+$C$799*(Z486-Z534/2)*Z478)*10^-6</f>
        <v>0</v>
      </c>
      <c r="AA655" s="536">
        <f>AA647*($C$798*(AA486+AA534/2)*AA478+$C$799*(AA486-AA534/2)*AA478)*10^-6</f>
        <v>0</v>
      </c>
      <c r="AB655" s="536">
        <f>AB647*($C$798*(AB486+AB534/2)*AB478+$C$799*(AB486-AB534/2)*AB478)*10^-6</f>
        <v>0</v>
      </c>
      <c r="AC655" s="536">
        <f>AC647*($C$798*(AC486+AC534/2)*AC478+$C$799*(AC486-AC534/2)*AC478)*10^-6</f>
        <v>0</v>
      </c>
      <c r="AD655" s="532"/>
      <c r="AE655" s="532"/>
      <c r="AF655" s="532"/>
      <c r="AG655" s="532"/>
      <c r="AH655" s="532"/>
      <c r="AI655" s="532"/>
      <c r="AJ655" s="532"/>
      <c r="AK655" s="532"/>
      <c r="AL655" s="532"/>
      <c r="AM655" s="532"/>
      <c r="AN655" s="532"/>
      <c r="AO655" s="532"/>
      <c r="AP655" s="532"/>
      <c r="AQ655" s="532"/>
      <c r="AR655" s="532"/>
      <c r="AS655" s="532"/>
      <c r="AT655" s="532"/>
      <c r="AU655" s="532"/>
      <c r="AV655" s="532"/>
      <c r="AW655" s="532"/>
      <c r="AX655" s="532"/>
      <c r="AY655" s="532"/>
      <c r="AZ655" s="532"/>
      <c r="BA655" s="532"/>
      <c r="BB655" s="532"/>
      <c r="BC655" s="532"/>
      <c r="BD655" s="532"/>
      <c r="BE655" s="532"/>
      <c r="BF655" s="532"/>
      <c r="BG655" s="532"/>
      <c r="BH655" s="532"/>
      <c r="BI655" s="532"/>
      <c r="BJ655" s="532"/>
      <c r="BK655" s="532"/>
      <c r="BL655" s="532"/>
      <c r="BM655" s="532"/>
      <c r="BN655" s="532"/>
      <c r="BO655" s="523"/>
      <c r="BP655" s="523"/>
      <c r="BQ655" s="523"/>
      <c r="BR655" s="334"/>
      <c r="BS655" s="334"/>
      <c r="BT655" s="334"/>
      <c r="BU655" s="399"/>
    </row>
    <row r="656" spans="1:85" hidden="1">
      <c r="B656" s="314" t="s">
        <v>62</v>
      </c>
      <c r="C656" s="1113">
        <f>(-G19)/G30*C614*C661*10^3</f>
        <v>-10660.181786627694</v>
      </c>
      <c r="D656" s="1113" t="e">
        <f>(-G20)/H31*D614*D661*10^3</f>
        <v>#DIV/0!</v>
      </c>
      <c r="E656" s="1043"/>
      <c r="F656" s="1043"/>
      <c r="G656" s="1168"/>
      <c r="H656" s="995"/>
      <c r="I656" s="1164"/>
      <c r="J656" s="1164"/>
      <c r="K656" s="1164"/>
      <c r="L656" s="1164"/>
      <c r="M656" s="1164"/>
      <c r="N656" s="1164"/>
      <c r="O656" s="523"/>
      <c r="P656" s="523"/>
      <c r="Q656" s="532"/>
      <c r="R656" s="532"/>
      <c r="S656" s="532"/>
      <c r="T656" s="532"/>
      <c r="U656" s="532"/>
      <c r="V656" s="532"/>
      <c r="W656" s="532"/>
      <c r="X656" s="532"/>
      <c r="Y656" s="532"/>
      <c r="Z656" s="536" t="e">
        <f>Z654+Z655</f>
        <v>#DIV/0!</v>
      </c>
      <c r="AA656" s="536" t="e">
        <f>AA654+AA655</f>
        <v>#DIV/0!</v>
      </c>
      <c r="AB656" s="536" t="e">
        <f>AB654+AB655</f>
        <v>#DIV/0!</v>
      </c>
      <c r="AC656" s="536" t="e">
        <f>AC654+AC655</f>
        <v>#DIV/0!</v>
      </c>
      <c r="AD656" s="532"/>
      <c r="AE656" s="532"/>
      <c r="AF656" s="532"/>
      <c r="AG656" s="532"/>
      <c r="AH656" s="532"/>
      <c r="AI656" s="532"/>
      <c r="AJ656" s="532"/>
      <c r="AK656" s="532"/>
      <c r="AL656" s="532"/>
      <c r="AM656" s="532"/>
      <c r="AN656" s="532"/>
      <c r="AO656" s="532"/>
      <c r="AP656" s="532"/>
      <c r="AQ656" s="532"/>
      <c r="AR656" s="532"/>
      <c r="AS656" s="532"/>
      <c r="AT656" s="532"/>
      <c r="AU656" s="532"/>
      <c r="AV656" s="532"/>
      <c r="AW656" s="532"/>
      <c r="AX656" s="532"/>
      <c r="AY656" s="532"/>
      <c r="AZ656" s="532"/>
      <c r="BA656" s="532"/>
      <c r="BB656" s="532"/>
      <c r="BC656" s="532"/>
      <c r="BD656" s="532"/>
      <c r="BE656" s="532"/>
      <c r="BF656" s="532"/>
      <c r="BG656" s="532"/>
      <c r="BH656" s="532"/>
      <c r="BI656" s="532"/>
      <c r="BJ656" s="532"/>
      <c r="BK656" s="532"/>
      <c r="BL656" s="532"/>
      <c r="BM656" s="532"/>
      <c r="BN656" s="532"/>
      <c r="BO656" s="523"/>
      <c r="BP656" s="523"/>
      <c r="BQ656" s="523"/>
      <c r="BR656" s="334"/>
      <c r="BS656" s="334"/>
      <c r="BT656" s="334"/>
      <c r="BU656" s="399"/>
    </row>
    <row r="657" spans="1:73" hidden="1">
      <c r="B657" s="314" t="s">
        <v>298</v>
      </c>
      <c r="C657" s="1113">
        <f>ABS(C656-C654)</f>
        <v>19339.818213372306</v>
      </c>
      <c r="D657" s="1113" t="e">
        <f>ABS(D656-D654)</f>
        <v>#DIV/0!</v>
      </c>
      <c r="E657" s="995"/>
      <c r="F657" s="1043"/>
      <c r="G657" s="1170"/>
      <c r="H657" s="995"/>
      <c r="I657" s="1164"/>
      <c r="J657" s="1164"/>
      <c r="K657" s="1164"/>
      <c r="L657" s="1164"/>
      <c r="M657" s="1164"/>
      <c r="N657" s="1164"/>
      <c r="O657" s="523"/>
      <c r="P657" s="523"/>
      <c r="Q657" s="532"/>
      <c r="R657" s="532"/>
      <c r="S657" s="532"/>
      <c r="T657" s="532"/>
      <c r="U657" s="532"/>
      <c r="V657" s="532"/>
      <c r="W657" s="532"/>
      <c r="X657" s="532"/>
      <c r="Y657" s="532"/>
      <c r="Z657" s="99" t="e">
        <f>Z656*Z646</f>
        <v>#DIV/0!</v>
      </c>
      <c r="AA657" s="99" t="e">
        <f>AA656*AA646</f>
        <v>#DIV/0!</v>
      </c>
      <c r="AB657" s="99" t="e">
        <f>AB656*AB646</f>
        <v>#DIV/0!</v>
      </c>
      <c r="AC657" s="99" t="e">
        <f>AC656*AC646</f>
        <v>#DIV/0!</v>
      </c>
      <c r="AD657" s="532"/>
      <c r="AE657" s="532"/>
      <c r="AF657" s="532"/>
      <c r="AG657" s="532"/>
      <c r="AH657" s="532"/>
      <c r="AI657" s="532"/>
      <c r="AJ657" s="532"/>
      <c r="AK657" s="532"/>
      <c r="AL657" s="532"/>
      <c r="AM657" s="532"/>
      <c r="AN657" s="532"/>
      <c r="AO657" s="532"/>
      <c r="AP657" s="532"/>
      <c r="AQ657" s="532"/>
      <c r="AR657" s="532"/>
      <c r="AS657" s="532"/>
      <c r="AT657" s="532"/>
      <c r="AU657" s="532"/>
      <c r="AV657" s="532"/>
      <c r="AW657" s="532"/>
      <c r="AX657" s="532"/>
      <c r="AY657" s="532"/>
      <c r="AZ657" s="532"/>
      <c r="BA657" s="532"/>
      <c r="BB657" s="532"/>
      <c r="BC657" s="532"/>
      <c r="BD657" s="532"/>
      <c r="BE657" s="532"/>
      <c r="BF657" s="532"/>
      <c r="BG657" s="532"/>
      <c r="BH657" s="532"/>
      <c r="BI657" s="532"/>
      <c r="BJ657" s="532"/>
      <c r="BK657" s="532"/>
      <c r="BL657" s="532"/>
      <c r="BM657" s="532"/>
      <c r="BN657" s="532"/>
      <c r="BO657" s="523"/>
      <c r="BP657" s="523"/>
      <c r="BQ657" s="523"/>
      <c r="BR657" s="334"/>
      <c r="BS657" s="334"/>
      <c r="BT657" s="334"/>
      <c r="BU657" s="399"/>
    </row>
    <row r="658" spans="1:73" hidden="1">
      <c r="A658" s="120"/>
      <c r="B658" s="314" t="s">
        <v>63</v>
      </c>
      <c r="C658" s="1113">
        <f>C655-C654</f>
        <v>65178.59989587139</v>
      </c>
      <c r="D658" s="1113" t="e">
        <f>D655-D654</f>
        <v>#DIV/0!</v>
      </c>
      <c r="E658" s="995"/>
      <c r="F658" s="995"/>
      <c r="G658" s="1168"/>
      <c r="H658" s="995"/>
      <c r="I658" s="1164"/>
      <c r="J658" s="1164"/>
      <c r="K658" s="1164"/>
      <c r="L658" s="1164"/>
      <c r="M658" s="1164"/>
      <c r="N658" s="1164"/>
      <c r="O658" s="523"/>
      <c r="P658" s="523"/>
      <c r="Q658" s="532"/>
      <c r="R658" s="532"/>
      <c r="S658" s="532"/>
      <c r="T658" s="532"/>
      <c r="U658" s="532"/>
      <c r="V658" s="532"/>
      <c r="W658" s="532"/>
      <c r="X658" s="532"/>
      <c r="Y658" s="532"/>
      <c r="Z658" s="533" t="e">
        <f>Z486^2*Z623*10^-3*Z339/Z482</f>
        <v>#DIV/0!</v>
      </c>
      <c r="AA658" s="533" t="e">
        <f>AA486^2*AA623*10^-3*AA339/AA482</f>
        <v>#DIV/0!</v>
      </c>
      <c r="AB658" s="533" t="e">
        <f>AB486^2*AB623*10^-3*AB339/AB482</f>
        <v>#DIV/0!</v>
      </c>
      <c r="AC658" s="533" t="e">
        <f>AC486^2*AC623*10^-3*AC339/AC482</f>
        <v>#DIV/0!</v>
      </c>
      <c r="AD658" s="532"/>
      <c r="AE658" s="532"/>
      <c r="AF658" s="532"/>
      <c r="AG658" s="532"/>
      <c r="AH658" s="532"/>
      <c r="AI658" s="532"/>
      <c r="AJ658" s="532"/>
      <c r="AK658" s="532"/>
      <c r="AL658" s="532"/>
      <c r="AM658" s="532"/>
      <c r="AN658" s="532"/>
      <c r="AO658" s="532"/>
      <c r="AP658" s="532"/>
      <c r="AQ658" s="532"/>
      <c r="AR658" s="532"/>
      <c r="AS658" s="532"/>
      <c r="AT658" s="532"/>
      <c r="AU658" s="532"/>
      <c r="AV658" s="532"/>
      <c r="AW658" s="532"/>
      <c r="AX658" s="532"/>
      <c r="AY658" s="532"/>
      <c r="AZ658" s="532"/>
      <c r="BA658" s="532"/>
      <c r="BB658" s="532"/>
      <c r="BC658" s="532"/>
      <c r="BD658" s="532"/>
      <c r="BE658" s="532"/>
      <c r="BF658" s="532"/>
      <c r="BG658" s="532"/>
      <c r="BH658" s="532"/>
      <c r="BI658" s="532"/>
      <c r="BJ658" s="532"/>
      <c r="BK658" s="532"/>
      <c r="BL658" s="532"/>
      <c r="BM658" s="532"/>
      <c r="BN658" s="532"/>
      <c r="BO658" s="523"/>
      <c r="BP658" s="523"/>
      <c r="BQ658" s="523"/>
      <c r="BR658" s="334"/>
      <c r="BS658" s="334"/>
      <c r="BT658" s="334"/>
      <c r="BU658" s="399"/>
    </row>
    <row r="659" spans="1:73" hidden="1">
      <c r="A659" s="120"/>
      <c r="B659" s="314" t="s">
        <v>299</v>
      </c>
      <c r="C659" s="1113">
        <f>C658-C657</f>
        <v>45838.781682499088</v>
      </c>
      <c r="D659" s="1113" t="e">
        <f>D658-D657</f>
        <v>#DIV/0!</v>
      </c>
      <c r="E659" s="995"/>
      <c r="F659" s="995"/>
      <c r="G659" s="1168"/>
      <c r="H659" s="995"/>
      <c r="I659" s="1164"/>
      <c r="J659" s="1164"/>
      <c r="K659" s="1164"/>
      <c r="L659" s="1164"/>
      <c r="M659" s="1164"/>
      <c r="N659" s="1164"/>
      <c r="O659" s="523"/>
      <c r="P659" s="523"/>
      <c r="Q659" s="532"/>
      <c r="R659" s="532"/>
      <c r="S659" s="532"/>
      <c r="T659" s="532"/>
      <c r="U659" s="532"/>
      <c r="V659" s="532"/>
      <c r="W659" s="532"/>
      <c r="X659" s="532"/>
      <c r="Y659" s="532"/>
      <c r="Z659" s="533">
        <f>0.5*Z482*Z478*((Z486-Z518/2)*Z626+(Z486+Z518/2)*Z627)*10^-6</f>
        <v>0</v>
      </c>
      <c r="AA659" s="533">
        <f>0.5*AA482*AA478*((AA486-AA518/2)*AA626+(AA486+AA518/2)*AA627)*10^-6</f>
        <v>0</v>
      </c>
      <c r="AB659" s="533">
        <f>0.5*AB482*AB478*((AB486-AB518/2)*AB626+(AB486+AB518/2)*AB627)*10^-6</f>
        <v>0</v>
      </c>
      <c r="AC659" s="533">
        <f>0.5*AC482*AC478*((AC486-AC518/2)*AC626+(AC486+AC518/2)*AC627)*10^-6</f>
        <v>0</v>
      </c>
      <c r="AD659" s="532"/>
      <c r="AE659" s="532"/>
      <c r="AF659" s="532"/>
      <c r="AG659" s="532"/>
      <c r="AH659" s="532"/>
      <c r="AI659" s="532"/>
      <c r="AJ659" s="532"/>
      <c r="AK659" s="532"/>
      <c r="AL659" s="532"/>
      <c r="AM659" s="532"/>
      <c r="AN659" s="532"/>
      <c r="AO659" s="532"/>
      <c r="AP659" s="532"/>
      <c r="AQ659" s="532"/>
      <c r="AR659" s="532"/>
      <c r="AS659" s="532"/>
      <c r="AT659" s="532"/>
      <c r="AU659" s="532"/>
      <c r="AV659" s="532"/>
      <c r="AW659" s="532"/>
      <c r="AX659" s="532"/>
      <c r="AY659" s="532"/>
      <c r="AZ659" s="532"/>
      <c r="BA659" s="532"/>
      <c r="BB659" s="532"/>
      <c r="BC659" s="532"/>
      <c r="BD659" s="532"/>
      <c r="BE659" s="532"/>
      <c r="BF659" s="532"/>
      <c r="BG659" s="532"/>
      <c r="BH659" s="532"/>
      <c r="BI659" s="532"/>
      <c r="BJ659" s="532"/>
      <c r="BK659" s="532"/>
      <c r="BL659" s="532"/>
      <c r="BM659" s="532"/>
      <c r="BN659" s="532"/>
      <c r="BO659" s="523"/>
      <c r="BP659" s="523"/>
      <c r="BQ659" s="523"/>
      <c r="BR659" s="334"/>
      <c r="BS659" s="334"/>
      <c r="BT659" s="334"/>
      <c r="BU659" s="399"/>
    </row>
    <row r="660" spans="1:73" hidden="1">
      <c r="A660" s="120"/>
      <c r="B660" s="314" t="s">
        <v>300</v>
      </c>
      <c r="C660" s="314" t="str">
        <f>IF(C659&gt;0,"Okay", "NG")</f>
        <v>Okay</v>
      </c>
      <c r="D660" s="314" t="e">
        <f>IF(D659&gt;0,"Okay", "NG")</f>
        <v>#DIV/0!</v>
      </c>
      <c r="E660" s="995"/>
      <c r="F660" s="995"/>
      <c r="G660" s="1168"/>
      <c r="H660" s="995"/>
      <c r="I660" s="1164"/>
      <c r="J660" s="1164"/>
      <c r="K660" s="1164"/>
      <c r="L660" s="1164"/>
      <c r="M660" s="1164"/>
      <c r="N660" s="1164"/>
      <c r="O660" s="523"/>
      <c r="P660" s="523"/>
      <c r="Q660" s="532"/>
      <c r="R660" s="532"/>
      <c r="S660" s="532"/>
      <c r="T660" s="532"/>
      <c r="U660" s="532"/>
      <c r="V660" s="532"/>
      <c r="W660" s="532"/>
      <c r="X660" s="532"/>
      <c r="Y660" s="532"/>
      <c r="Z660" s="533">
        <f>0.5*Z482*Z478*((Z486-Z518/2)*Z638+(Z486+Z518/2)*Z640)*10^-6</f>
        <v>0</v>
      </c>
      <c r="AA660" s="533">
        <f>0.5*AA482*AA478*((AA486-AA518/2)*AA638+(AA486+AA518/2)*AA640)*10^-6</f>
        <v>0</v>
      </c>
      <c r="AB660" s="533">
        <f>0.5*AB482*AB478*((AB486-AB518/2)*AB638+(AB486+AB518/2)*AB640)*10^-6</f>
        <v>0</v>
      </c>
      <c r="AC660" s="533">
        <f>0.5*AC482*AC478*((AC486-AC518/2)*AC638+(AC486+AC518/2)*AC640)*10^-6</f>
        <v>0</v>
      </c>
      <c r="AD660" s="532"/>
      <c r="AE660" s="532"/>
      <c r="AF660" s="532"/>
      <c r="AG660" s="532"/>
      <c r="AH660" s="532"/>
      <c r="AI660" s="532"/>
      <c r="AJ660" s="532"/>
      <c r="AK660" s="532"/>
      <c r="AL660" s="532"/>
      <c r="AM660" s="532"/>
      <c r="AN660" s="532"/>
      <c r="AO660" s="532"/>
      <c r="AP660" s="532"/>
      <c r="AQ660" s="532"/>
      <c r="AR660" s="532"/>
      <c r="AS660" s="532"/>
      <c r="AT660" s="532"/>
      <c r="AU660" s="532"/>
      <c r="AV660" s="532"/>
      <c r="AW660" s="532"/>
      <c r="AX660" s="532"/>
      <c r="AY660" s="532"/>
      <c r="AZ660" s="532"/>
      <c r="BA660" s="532"/>
      <c r="BB660" s="532"/>
      <c r="BC660" s="532"/>
      <c r="BD660" s="532"/>
      <c r="BE660" s="532"/>
      <c r="BF660" s="532"/>
      <c r="BG660" s="532"/>
      <c r="BH660" s="532"/>
      <c r="BI660" s="532"/>
      <c r="BJ660" s="532"/>
      <c r="BK660" s="532"/>
      <c r="BL660" s="532"/>
      <c r="BM660" s="532"/>
      <c r="BN660" s="532"/>
      <c r="BO660" s="523"/>
      <c r="BP660" s="523"/>
      <c r="BQ660" s="523"/>
      <c r="BR660" s="334"/>
      <c r="BS660" s="334"/>
      <c r="BT660" s="334"/>
      <c r="BU660" s="399"/>
    </row>
    <row r="661" spans="1:73" hidden="1">
      <c r="A661" s="120"/>
      <c r="B661" s="314" t="s">
        <v>301</v>
      </c>
      <c r="C661" s="314">
        <v>1.667</v>
      </c>
      <c r="D661" s="314">
        <f>C661</f>
        <v>1.667</v>
      </c>
      <c r="E661" s="995"/>
      <c r="F661" s="995"/>
      <c r="G661" s="1168"/>
      <c r="H661" s="995"/>
      <c r="I661" s="1164"/>
      <c r="J661" s="1164"/>
      <c r="K661" s="1164"/>
      <c r="L661" s="1164"/>
      <c r="M661" s="1171"/>
      <c r="N661" s="1171"/>
      <c r="O661" s="532"/>
      <c r="P661" s="532"/>
      <c r="Q661" s="532"/>
      <c r="R661" s="532"/>
      <c r="S661" s="532"/>
      <c r="T661" s="532"/>
      <c r="U661" s="532"/>
      <c r="V661" s="532"/>
      <c r="W661" s="532"/>
      <c r="X661" s="532"/>
      <c r="Y661" s="532"/>
      <c r="Z661" s="535" t="e">
        <f>Z658+Z659</f>
        <v>#DIV/0!</v>
      </c>
      <c r="AA661" s="535" t="e">
        <f>AA658+AA659</f>
        <v>#DIV/0!</v>
      </c>
      <c r="AB661" s="535" t="e">
        <f>AB658+AB659</f>
        <v>#DIV/0!</v>
      </c>
      <c r="AC661" s="535" t="e">
        <f>AC658+AC659</f>
        <v>#DIV/0!</v>
      </c>
      <c r="AD661" s="532"/>
      <c r="AE661" s="532"/>
      <c r="AF661" s="532"/>
      <c r="AG661" s="532"/>
      <c r="AH661" s="532"/>
      <c r="AI661" s="532"/>
      <c r="AJ661" s="532"/>
      <c r="AK661" s="532"/>
      <c r="AL661" s="532"/>
      <c r="AM661" s="532"/>
      <c r="AN661" s="532"/>
      <c r="AO661" s="532"/>
      <c r="AP661" s="532"/>
      <c r="AQ661" s="532"/>
      <c r="AR661" s="532"/>
      <c r="AS661" s="532"/>
      <c r="AT661" s="523"/>
      <c r="AU661" s="523"/>
      <c r="AV661" s="523"/>
      <c r="AW661" s="334"/>
      <c r="AX661" s="334"/>
      <c r="AY661" s="334"/>
      <c r="AZ661" s="3"/>
      <c r="BA661" s="259"/>
      <c r="BB661" s="259"/>
      <c r="BC661" s="259"/>
      <c r="BD661" s="259"/>
      <c r="BE661" s="259"/>
      <c r="BF661" s="259"/>
      <c r="BG661" s="259"/>
      <c r="BH661" s="259"/>
      <c r="BI661" s="259"/>
      <c r="BJ661" s="259"/>
      <c r="BK661" s="15"/>
      <c r="BL661" s="15"/>
      <c r="BM661" s="15"/>
      <c r="BN661" s="246"/>
      <c r="BP661" s="246"/>
    </row>
    <row r="662" spans="1:73" hidden="1">
      <c r="A662" s="120"/>
      <c r="B662" s="314" t="s">
        <v>60</v>
      </c>
      <c r="C662" s="314">
        <v>3.3330000000000002</v>
      </c>
      <c r="D662" s="314">
        <f>C662</f>
        <v>3.3330000000000002</v>
      </c>
      <c r="E662" s="995"/>
      <c r="F662" s="995"/>
      <c r="G662" s="1170"/>
      <c r="H662" s="995"/>
      <c r="I662" s="1164"/>
      <c r="J662" s="1164"/>
      <c r="K662" s="1164"/>
      <c r="L662" s="1164"/>
      <c r="M662" s="1171"/>
      <c r="N662" s="1171"/>
      <c r="O662" s="532"/>
      <c r="P662" s="532"/>
      <c r="Q662" s="532"/>
      <c r="R662" s="532"/>
      <c r="S662" s="532"/>
      <c r="T662" s="532"/>
      <c r="U662" s="532"/>
      <c r="V662" s="532"/>
      <c r="W662" s="532"/>
      <c r="X662" s="532"/>
      <c r="Y662" s="532"/>
      <c r="Z662" s="98" t="e">
        <f>Z661*Z628</f>
        <v>#DIV/0!</v>
      </c>
      <c r="AA662" s="98" t="e">
        <f>AA661*AA628</f>
        <v>#DIV/0!</v>
      </c>
      <c r="AB662" s="98" t="e">
        <f>AB661*AB628</f>
        <v>#DIV/0!</v>
      </c>
      <c r="AC662" s="98" t="e">
        <f>AC661*AC628</f>
        <v>#DIV/0!</v>
      </c>
      <c r="AD662" s="532"/>
      <c r="AE662" s="532"/>
      <c r="AF662" s="532"/>
      <c r="AG662" s="532"/>
      <c r="AH662" s="532"/>
      <c r="AI662" s="532"/>
      <c r="AJ662" s="532"/>
      <c r="AK662" s="532"/>
      <c r="AL662" s="532"/>
      <c r="AM662" s="532"/>
      <c r="AN662" s="532"/>
      <c r="AO662" s="532"/>
      <c r="AP662" s="532"/>
      <c r="AQ662" s="532"/>
      <c r="AR662" s="532"/>
      <c r="AS662" s="532"/>
      <c r="AT662" s="523"/>
      <c r="AU662" s="523"/>
      <c r="AV662" s="523"/>
      <c r="AW662" s="334"/>
      <c r="AX662" s="334"/>
      <c r="AY662" s="334"/>
      <c r="AZ662" s="3"/>
      <c r="BA662" s="259"/>
      <c r="BB662" s="259"/>
      <c r="BC662" s="259"/>
      <c r="BD662" s="259"/>
      <c r="BE662" s="259"/>
      <c r="BF662" s="259"/>
      <c r="BG662" s="259"/>
      <c r="BH662" s="259"/>
      <c r="BI662" s="259"/>
      <c r="BJ662" s="259"/>
      <c r="BK662" s="15"/>
      <c r="BL662" s="15"/>
      <c r="BM662" s="15"/>
      <c r="BN662" s="246"/>
      <c r="BP662" s="246"/>
    </row>
    <row r="663" spans="1:73" hidden="1">
      <c r="A663" s="120"/>
      <c r="B663" s="314" t="s">
        <v>61</v>
      </c>
      <c r="C663" s="1022">
        <f>C614</f>
        <v>2.6858286445012789</v>
      </c>
      <c r="D663" s="1022">
        <f>D614</f>
        <v>8.6790000000000003</v>
      </c>
      <c r="E663" s="1168"/>
      <c r="F663" s="1168"/>
      <c r="G663" s="1170"/>
      <c r="H663" s="995"/>
      <c r="I663" s="1164"/>
      <c r="J663" s="1164"/>
      <c r="K663" s="1164"/>
      <c r="L663" s="1164"/>
      <c r="M663" s="1171"/>
      <c r="N663" s="1171"/>
      <c r="O663" s="532"/>
      <c r="P663" s="532"/>
      <c r="Q663" s="532"/>
      <c r="R663" s="532"/>
      <c r="S663" s="532"/>
      <c r="T663" s="532"/>
      <c r="U663" s="532"/>
      <c r="V663" s="532"/>
      <c r="W663" s="532"/>
      <c r="X663" s="532"/>
      <c r="Y663" s="532"/>
      <c r="Z663" s="98" t="e">
        <f>Z628*(Z660+Z658)</f>
        <v>#DIV/0!</v>
      </c>
      <c r="AA663" s="98" t="e">
        <f>AA628*(AA660+AA658)</f>
        <v>#DIV/0!</v>
      </c>
      <c r="AB663" s="98" t="e">
        <f>AB628*(AB660+AB658)</f>
        <v>#DIV/0!</v>
      </c>
      <c r="AC663" s="98" t="e">
        <f>AC628*(AC660+AC658)</f>
        <v>#DIV/0!</v>
      </c>
      <c r="AD663" s="532"/>
      <c r="AE663" s="532"/>
      <c r="AF663" s="532"/>
      <c r="AG663" s="532"/>
      <c r="AH663" s="532"/>
      <c r="AI663" s="532"/>
      <c r="AJ663" s="532"/>
      <c r="AK663" s="532"/>
      <c r="AL663" s="532"/>
      <c r="AM663" s="532"/>
      <c r="AN663" s="532"/>
      <c r="AO663" s="532"/>
      <c r="AP663" s="532"/>
      <c r="AQ663" s="532"/>
      <c r="AR663" s="532"/>
      <c r="AS663" s="532"/>
      <c r="AT663" s="523"/>
      <c r="AU663" s="523"/>
      <c r="AV663" s="523"/>
      <c r="AW663" s="334"/>
      <c r="AX663" s="334"/>
      <c r="AY663" s="334"/>
      <c r="AZ663" s="3"/>
      <c r="BA663" s="259"/>
      <c r="BB663" s="259"/>
      <c r="BC663" s="259"/>
      <c r="BD663" s="259"/>
      <c r="BE663" s="259"/>
      <c r="BF663" s="259"/>
      <c r="BG663" s="259"/>
      <c r="BH663" s="259"/>
      <c r="BI663" s="259"/>
      <c r="BJ663" s="259"/>
      <c r="BK663" s="15"/>
      <c r="BL663" s="15"/>
      <c r="BM663" s="15"/>
      <c r="BN663" s="246"/>
      <c r="BP663" s="246"/>
    </row>
    <row r="664" spans="1:73" hidden="1">
      <c r="A664" s="120"/>
      <c r="F664" s="1168"/>
      <c r="G664" s="1168"/>
      <c r="H664" s="995"/>
      <c r="I664" s="1164"/>
      <c r="J664" s="1164"/>
      <c r="K664" s="1164"/>
      <c r="L664" s="1164"/>
      <c r="M664" s="1171"/>
      <c r="N664" s="1171"/>
      <c r="O664" s="532"/>
      <c r="P664" s="532"/>
      <c r="Q664" s="532"/>
      <c r="R664" s="532"/>
      <c r="S664" s="532"/>
      <c r="T664" s="532"/>
      <c r="U664" s="532"/>
      <c r="V664" s="532"/>
      <c r="W664" s="532"/>
      <c r="X664" s="532"/>
      <c r="Y664" s="532"/>
      <c r="Z664" s="536" t="e">
        <f>Z486^2*Z643*10^-3*(1-Z339/Z482)</f>
        <v>#DIV/0!</v>
      </c>
      <c r="AA664" s="536" t="e">
        <f>AA486^2*AA643*10^-3*(1-AA339/AA482)</f>
        <v>#DIV/0!</v>
      </c>
      <c r="AB664" s="536" t="e">
        <f>AB486^2*AB643*10^-3*(1-AB339/AB482)</f>
        <v>#DIV/0!</v>
      </c>
      <c r="AC664" s="536" t="e">
        <f>AC486^2*AC643*10^-3*(1-AC339/AC482)</f>
        <v>#DIV/0!</v>
      </c>
      <c r="AD664" s="532"/>
      <c r="AE664" s="532"/>
      <c r="AF664" s="532"/>
      <c r="AG664" s="532"/>
      <c r="AH664" s="532"/>
      <c r="AI664" s="532"/>
      <c r="AJ664" s="532"/>
      <c r="AK664" s="532"/>
      <c r="AL664" s="532"/>
      <c r="AM664" s="532"/>
      <c r="AN664" s="532"/>
      <c r="AO664" s="532"/>
      <c r="AP664" s="532"/>
      <c r="AQ664" s="532"/>
      <c r="AR664" s="532"/>
      <c r="AS664" s="532"/>
      <c r="AT664" s="523"/>
      <c r="AU664" s="523"/>
      <c r="AV664" s="523"/>
      <c r="AW664" s="334"/>
      <c r="AX664" s="334"/>
      <c r="AY664" s="334"/>
      <c r="AZ664" s="3"/>
      <c r="BA664" s="259"/>
      <c r="BB664" s="259"/>
      <c r="BC664" s="259"/>
      <c r="BD664" s="259"/>
      <c r="BE664" s="259"/>
      <c r="BF664" s="259"/>
      <c r="BG664" s="259"/>
      <c r="BH664" s="259"/>
      <c r="BI664" s="259"/>
      <c r="BJ664" s="259"/>
      <c r="BK664" s="15"/>
      <c r="BL664" s="15"/>
      <c r="BM664" s="15"/>
      <c r="BN664" s="246"/>
      <c r="BP664" s="246"/>
    </row>
    <row r="665" spans="1:73" hidden="1">
      <c r="A665" s="120"/>
      <c r="E665" s="1168"/>
      <c r="F665" s="1168"/>
      <c r="G665" s="1168"/>
      <c r="H665" s="995"/>
      <c r="I665" s="1164"/>
      <c r="J665" s="1164"/>
      <c r="K665" s="1164"/>
      <c r="L665" s="1164"/>
      <c r="M665" s="1171"/>
      <c r="N665" s="1171"/>
      <c r="O665" s="532"/>
      <c r="P665" s="532"/>
      <c r="Q665" s="532"/>
      <c r="R665" s="532"/>
      <c r="S665" s="532"/>
      <c r="T665" s="532"/>
      <c r="U665" s="532"/>
      <c r="V665" s="532"/>
      <c r="W665" s="532"/>
      <c r="X665" s="532"/>
      <c r="Y665" s="532"/>
      <c r="Z665" s="536">
        <f>($C$798*(Z486+Z518/2)*Z478+$C$799*(Z486-Z518/2)*Z478)*10^-6</f>
        <v>0</v>
      </c>
      <c r="AA665" s="536">
        <f>($C$798*(AA486+AA518/2)*AA478+$C$799*(AA486-AA518/2)*AA478)*10^-6</f>
        <v>0</v>
      </c>
      <c r="AB665" s="536">
        <f>($C$798*(AB486+AB518/2)*AB478+$C$799*(AB486-AB518/2)*AB478)*10^-6</f>
        <v>0</v>
      </c>
      <c r="AC665" s="536">
        <f>($C$798*(AC486+AC518/2)*AC478+$C$799*(AC486-AC518/2)*AC478)*10^-6</f>
        <v>0</v>
      </c>
      <c r="AD665" s="532"/>
      <c r="AE665" s="532"/>
      <c r="AF665" s="532"/>
      <c r="AG665" s="532"/>
      <c r="AH665" s="532"/>
      <c r="AI665" s="532"/>
      <c r="AJ665" s="532"/>
      <c r="AK665" s="532"/>
      <c r="AL665" s="532"/>
      <c r="AM665" s="532"/>
      <c r="AN665" s="532"/>
      <c r="AO665" s="532"/>
      <c r="AP665" s="532"/>
      <c r="AQ665" s="532"/>
      <c r="AR665" s="532"/>
      <c r="AS665" s="532"/>
      <c r="AT665" s="523"/>
      <c r="AU665" s="523"/>
      <c r="AV665" s="523"/>
      <c r="AW665" s="334"/>
      <c r="AX665" s="334"/>
      <c r="AY665" s="334"/>
      <c r="AZ665" s="3"/>
      <c r="BA665" s="259"/>
      <c r="BB665" s="259"/>
      <c r="BC665" s="259"/>
      <c r="BD665" s="259"/>
      <c r="BE665" s="259"/>
      <c r="BF665" s="259"/>
      <c r="BG665" s="259"/>
      <c r="BH665" s="259"/>
      <c r="BI665" s="259"/>
      <c r="BJ665" s="259"/>
      <c r="BK665" s="15"/>
      <c r="BL665" s="15"/>
      <c r="BM665" s="15"/>
      <c r="BN665" s="246"/>
      <c r="BP665" s="246"/>
    </row>
    <row r="666" spans="1:73" hidden="1">
      <c r="A666" s="120"/>
      <c r="F666" s="1168"/>
      <c r="G666" s="1168"/>
      <c r="H666" s="995"/>
      <c r="I666" s="1164"/>
      <c r="J666" s="1164"/>
      <c r="K666" s="1164"/>
      <c r="L666" s="1164"/>
      <c r="M666" s="1171"/>
      <c r="N666" s="1171"/>
      <c r="O666" s="532"/>
      <c r="P666" s="532"/>
      <c r="Q666" s="532"/>
      <c r="R666" s="532"/>
      <c r="S666" s="532"/>
      <c r="T666" s="532"/>
      <c r="U666" s="532"/>
      <c r="V666" s="532"/>
      <c r="W666" s="532"/>
      <c r="X666" s="532"/>
      <c r="Y666" s="532"/>
      <c r="Z666" s="536" t="e">
        <f>Z664+Z665</f>
        <v>#DIV/0!</v>
      </c>
      <c r="AA666" s="536" t="e">
        <f>AA664+AA665</f>
        <v>#DIV/0!</v>
      </c>
      <c r="AB666" s="536" t="e">
        <f>AB664+AB665</f>
        <v>#DIV/0!</v>
      </c>
      <c r="AC666" s="536" t="e">
        <f>AC664+AC665</f>
        <v>#DIV/0!</v>
      </c>
      <c r="AD666" s="532"/>
      <c r="AE666" s="532"/>
      <c r="AF666" s="532"/>
      <c r="AG666" s="532"/>
      <c r="AH666" s="532"/>
      <c r="AI666" s="532"/>
      <c r="AJ666" s="532"/>
      <c r="AK666" s="532"/>
      <c r="AL666" s="532"/>
      <c r="AM666" s="532"/>
      <c r="AN666" s="532"/>
      <c r="AO666" s="532"/>
      <c r="AP666" s="532"/>
      <c r="AQ666" s="532"/>
      <c r="AR666" s="532"/>
      <c r="AS666" s="532"/>
      <c r="AT666" s="523"/>
      <c r="AU666" s="523"/>
      <c r="AV666" s="523"/>
      <c r="AW666" s="334"/>
      <c r="AX666" s="334"/>
      <c r="AY666" s="334"/>
      <c r="AZ666" s="3"/>
      <c r="BA666" s="259"/>
      <c r="BB666" s="259"/>
      <c r="BC666" s="259"/>
      <c r="BD666" s="259"/>
      <c r="BE666" s="259"/>
      <c r="BF666" s="259"/>
      <c r="BG666" s="259"/>
      <c r="BH666" s="259"/>
      <c r="BI666" s="259"/>
      <c r="BJ666" s="259"/>
      <c r="BK666" s="15"/>
      <c r="BL666" s="15"/>
      <c r="BM666" s="15"/>
      <c r="BN666" s="246"/>
      <c r="BP666" s="246"/>
    </row>
    <row r="667" spans="1:73" hidden="1">
      <c r="A667" s="120"/>
      <c r="B667" s="314" t="s">
        <v>843</v>
      </c>
      <c r="C667" s="1172">
        <f>0.1*C581/C590*C226/C797/C640*10^6</f>
        <v>59.49688690346629</v>
      </c>
      <c r="D667" s="1172" t="e">
        <f>0.1*D581/D590*D226/D797/D640*10^6</f>
        <v>#DIV/0!</v>
      </c>
      <c r="E667" s="1168"/>
      <c r="F667" s="1170"/>
      <c r="G667" s="1173"/>
      <c r="H667" s="995"/>
      <c r="I667" s="1164"/>
      <c r="J667" s="1164"/>
      <c r="K667" s="1171"/>
      <c r="L667" s="1171"/>
      <c r="M667" s="1171"/>
      <c r="N667" s="1164"/>
      <c r="O667" s="523"/>
      <c r="P667" s="523"/>
      <c r="Q667" s="523"/>
      <c r="R667" s="523"/>
      <c r="S667" s="334"/>
      <c r="T667" s="399"/>
      <c r="U667" s="399"/>
      <c r="V667" s="334"/>
      <c r="W667" s="334"/>
      <c r="X667" s="334"/>
      <c r="Y667" s="334"/>
      <c r="Z667" s="537" t="e">
        <f>Z666*Z646</f>
        <v>#DIV/0!</v>
      </c>
      <c r="AA667" s="537" t="e">
        <f>AA666*AA646</f>
        <v>#DIV/0!</v>
      </c>
      <c r="AB667" s="537" t="e">
        <f>AB666*AB646</f>
        <v>#DIV/0!</v>
      </c>
      <c r="AC667" s="537" t="e">
        <f>AC666*AC646</f>
        <v>#DIV/0!</v>
      </c>
      <c r="AD667" s="334"/>
      <c r="AE667" s="334"/>
      <c r="AF667" s="434"/>
      <c r="AG667" s="523"/>
      <c r="AH667" s="523"/>
      <c r="AI667" s="523"/>
      <c r="AJ667" s="3"/>
      <c r="AK667" s="259"/>
      <c r="AL667" s="15"/>
      <c r="AM667" s="15"/>
      <c r="AN667" s="15"/>
      <c r="AO667" s="246"/>
      <c r="AQ667" s="246"/>
    </row>
    <row r="668" spans="1:73" hidden="1">
      <c r="A668" s="120"/>
      <c r="B668" s="314" t="s">
        <v>1182</v>
      </c>
      <c r="C668" s="1172">
        <f>0.1*C582/C590*C226/C797/C640*10^6</f>
        <v>59.583010384105343</v>
      </c>
      <c r="D668" s="1172" t="e">
        <f>0.1*D582/D590*D226/D797/D640*10^6</f>
        <v>#DIV/0!</v>
      </c>
      <c r="E668" s="1170"/>
      <c r="F668" s="1170"/>
      <c r="G668" s="995"/>
      <c r="H668" s="995"/>
      <c r="I668" s="1164"/>
      <c r="J668" s="1164"/>
      <c r="K668" s="1171"/>
      <c r="L668" s="1171"/>
      <c r="M668" s="1171"/>
      <c r="N668" s="1164"/>
      <c r="O668" s="523"/>
      <c r="P668" s="523"/>
      <c r="Q668" s="523"/>
      <c r="R668" s="334"/>
      <c r="S668" s="399"/>
      <c r="T668" s="399"/>
      <c r="U668" s="334"/>
      <c r="V668" s="434"/>
      <c r="W668" s="523"/>
      <c r="X668" s="3"/>
      <c r="Y668" s="259"/>
      <c r="Z668" s="15"/>
      <c r="AA668" s="15"/>
      <c r="AB668" s="15"/>
      <c r="AC668" s="15"/>
      <c r="AD668" s="246"/>
      <c r="AF668" s="246"/>
    </row>
    <row r="669" spans="1:73" hidden="1">
      <c r="A669" s="120"/>
      <c r="B669" s="314" t="s">
        <v>1183</v>
      </c>
      <c r="C669" s="1172">
        <f>0.1*C583/C590*C226/C797/C640*10^6</f>
        <v>59.677145351315453</v>
      </c>
      <c r="D669" s="1172" t="e">
        <f>0.1*D583/D590*D226/D797/D640*10^6</f>
        <v>#DIV/0!</v>
      </c>
      <c r="E669" s="1168"/>
      <c r="F669" s="1168"/>
      <c r="G669" s="1174"/>
      <c r="H669" s="1171"/>
      <c r="I669" s="1171"/>
      <c r="J669" s="1171"/>
      <c r="K669" s="1164"/>
      <c r="L669" s="1164"/>
      <c r="M669" s="1164"/>
      <c r="N669" s="1164"/>
      <c r="O669" s="334"/>
      <c r="P669" s="399"/>
      <c r="Q669" s="399"/>
      <c r="R669" s="334"/>
      <c r="S669" s="434"/>
      <c r="T669" s="523"/>
      <c r="V669" s="246"/>
    </row>
    <row r="670" spans="1:73" hidden="1">
      <c r="A670" s="120"/>
      <c r="B670" s="314" t="s">
        <v>843</v>
      </c>
      <c r="C670" s="1020">
        <f t="shared" ref="C670:D672" si="164">C667/1000</f>
        <v>5.9496886903466287E-2</v>
      </c>
      <c r="D670" s="1020" t="e">
        <f t="shared" si="164"/>
        <v>#DIV/0!</v>
      </c>
      <c r="E670" s="1168"/>
      <c r="F670" s="1168"/>
      <c r="G670" s="1171"/>
      <c r="H670" s="1171"/>
      <c r="I670" s="1171"/>
      <c r="J670" s="1164"/>
      <c r="K670" s="1164"/>
      <c r="L670" s="995"/>
      <c r="M670" s="120"/>
      <c r="N670" s="249"/>
    </row>
    <row r="671" spans="1:73" hidden="1">
      <c r="A671" s="120"/>
      <c r="B671" s="314" t="s">
        <v>1182</v>
      </c>
      <c r="C671" s="1020">
        <f t="shared" si="164"/>
        <v>5.9583010384105344E-2</v>
      </c>
      <c r="D671" s="1020" t="e">
        <f t="shared" si="164"/>
        <v>#DIV/0!</v>
      </c>
      <c r="E671" s="1168"/>
      <c r="F671" s="1168"/>
      <c r="G671" s="1164"/>
      <c r="H671" s="1164"/>
      <c r="I671" s="1164"/>
      <c r="J671" s="1164"/>
      <c r="K671" s="1164"/>
      <c r="L671" s="995"/>
      <c r="M671" s="249"/>
      <c r="N671" s="1175" t="s">
        <v>1189</v>
      </c>
      <c r="T671" s="93"/>
      <c r="U671" s="1468" t="s">
        <v>1006</v>
      </c>
      <c r="V671" s="1469"/>
      <c r="W671" s="1469"/>
    </row>
    <row r="672" spans="1:73" hidden="1">
      <c r="A672" s="120"/>
      <c r="B672" s="314" t="s">
        <v>1183</v>
      </c>
      <c r="C672" s="1088">
        <f t="shared" si="164"/>
        <v>5.967714535131545E-2</v>
      </c>
      <c r="D672" s="1088" t="e">
        <f t="shared" si="164"/>
        <v>#DIV/0!</v>
      </c>
      <c r="E672" s="1170"/>
      <c r="F672" s="1170"/>
      <c r="G672" s="995"/>
      <c r="H672" s="995"/>
      <c r="I672" s="932"/>
      <c r="J672" s="995"/>
      <c r="K672" s="1116"/>
      <c r="L672" s="1145"/>
      <c r="M672" s="249"/>
      <c r="N672" s="1176" t="s">
        <v>829</v>
      </c>
      <c r="O672" s="62"/>
      <c r="P672" s="62"/>
      <c r="Q672" s="63"/>
      <c r="R672" s="91" t="s">
        <v>1005</v>
      </c>
      <c r="S672" s="92"/>
      <c r="T672" s="423" t="e">
        <f>"Vin= "&amp;TEXT(#REF!,"#.0")&amp;"V"</f>
        <v>#REF!</v>
      </c>
      <c r="U672" s="423" t="e">
        <f>"Vin= "&amp;TEXT(#REF!,"#.0")&amp;"V"</f>
        <v>#REF!</v>
      </c>
      <c r="V672" s="423" t="e">
        <f>"Vin= "&amp;TEXT(#REF!,"#.0")&amp;"V"</f>
        <v>#REF!</v>
      </c>
      <c r="W672" s="423" t="e">
        <f>"Vin= "&amp;TEXT(#REF!,"#.0")&amp;"V"</f>
        <v>#REF!</v>
      </c>
    </row>
    <row r="673" spans="1:30" ht="25.8" hidden="1">
      <c r="A673" s="120"/>
      <c r="B673" s="1177" t="s">
        <v>1184</v>
      </c>
      <c r="C673" s="1178" t="str">
        <f>TEXT(C674,"#")&amp;" kHz &lt; "&amp;TEXT(C675,"#")&amp;" kHz (fsw/"&amp;TEXT(C780,"#")&amp;")"</f>
        <v>66 kHz &lt; 167 kHz (fsw/3)</v>
      </c>
      <c r="D673" s="1178" t="e">
        <f>TEXT(D674,"#")&amp;" kHz &lt; "&amp;TEXT(D675,"#")&amp;" kHz (fsw/"&amp;TEXT(D780,"#")&amp;")"</f>
        <v>#DIV/0!</v>
      </c>
      <c r="E673" s="1168"/>
      <c r="F673" s="1168"/>
      <c r="G673" s="995"/>
      <c r="H673" s="932"/>
      <c r="I673" s="995"/>
      <c r="J673" s="1116"/>
      <c r="K673" s="1145"/>
      <c r="L673" s="1043"/>
      <c r="M673" s="249"/>
      <c r="N673" s="1179"/>
      <c r="O673" s="390"/>
      <c r="P673" s="390"/>
      <c r="Q673" s="390"/>
      <c r="R673" s="423" t="e">
        <f>"Vin= "&amp;TEXT(#REF!,"#.0")&amp;"V"</f>
        <v>#REF!</v>
      </c>
      <c r="S673" s="423" t="e">
        <f>"Vin= "&amp;TEXT(#REF!,"#.0")&amp;"V"</f>
        <v>#REF!</v>
      </c>
      <c r="T673" s="538" t="e">
        <f>T681*(#REF!^2+H534^2/12)*$R$695*10^-3</f>
        <v>#REF!</v>
      </c>
      <c r="U673" s="538" t="e">
        <f>U681*($I$486^2+I518^2/12)*$U$695*10^-3</f>
        <v>#REF!</v>
      </c>
      <c r="V673" s="538" t="e">
        <f>V681*($I$486^2+I519^2/12)*$U$695*10^-3</f>
        <v>#REF!</v>
      </c>
      <c r="W673" s="538" t="e">
        <f>W681*($I$486^2+I534^2/12)*$U$695*10^-3</f>
        <v>#REF!</v>
      </c>
    </row>
    <row r="674" spans="1:30" hidden="1">
      <c r="A674" s="120"/>
      <c r="B674" s="1180" t="s">
        <v>1185</v>
      </c>
      <c r="C674" s="1103">
        <f>5/PI()*C590/C226*C797*C640/C642</f>
        <v>66.193333908896633</v>
      </c>
      <c r="D674" s="1103" t="e">
        <f>5/PI()*D590/D226*D797*D640/D642</f>
        <v>#DIV/0!</v>
      </c>
      <c r="E674" s="1168"/>
      <c r="F674" s="1168"/>
      <c r="G674" s="995"/>
      <c r="H674" s="1181"/>
      <c r="I674" s="995"/>
      <c r="J674" s="995"/>
      <c r="K674" s="392"/>
      <c r="L674" s="995"/>
      <c r="M674" s="249"/>
      <c r="N674" s="1182" t="s">
        <v>302</v>
      </c>
      <c r="O674" s="390"/>
      <c r="P674" s="390"/>
      <c r="Q674" s="390"/>
      <c r="R674" s="538" t="e">
        <f>R682*(#REF!^2+H518^2/12)*$R$695*10^-3</f>
        <v>#REF!</v>
      </c>
      <c r="S674" s="538" t="e">
        <f>S682*(#REF!^2+H519^2/12)*$R$695*10^-3</f>
        <v>#REF!</v>
      </c>
      <c r="T674" s="539" t="e">
        <f>#REF!*($R$699+$R$700)*#REF!*#REF!*10^-6</f>
        <v>#REF!</v>
      </c>
      <c r="U674" s="539" t="e">
        <f>$I$486*($U$699+$U$700)*#REF!*#REF!*10^-6</f>
        <v>#REF!</v>
      </c>
      <c r="V674" s="539" t="e">
        <f>$I$486*($U$699+$U$700)*#REF!*#REF!*10^-6</f>
        <v>#REF!</v>
      </c>
      <c r="W674" s="539" t="e">
        <f>$I$486*($U$699+$U$700)*#REF!*#REF!*10^-6</f>
        <v>#REF!</v>
      </c>
      <c r="X674" s="15"/>
    </row>
    <row r="675" spans="1:30" hidden="1">
      <c r="A675" s="120"/>
      <c r="B675" s="1180" t="s">
        <v>1186</v>
      </c>
      <c r="C675" s="1103">
        <f>C324/C780</f>
        <v>166.66666666666666</v>
      </c>
      <c r="D675" s="1103">
        <f>D324/D780</f>
        <v>166.66666666666666</v>
      </c>
      <c r="E675" s="1168"/>
      <c r="F675" s="1168"/>
      <c r="G675" s="995"/>
      <c r="H675" s="995"/>
      <c r="I675" s="995"/>
      <c r="J675" s="995"/>
      <c r="K675" s="995"/>
      <c r="L675" s="995"/>
      <c r="M675" s="249"/>
      <c r="N675" s="1183" t="s">
        <v>303</v>
      </c>
      <c r="O675" s="540"/>
      <c r="P675" s="540"/>
      <c r="Q675" s="541"/>
      <c r="R675" s="539" t="e">
        <f>#REF!*($R$699+$R$700)*#REF!*#REF!*10^-6</f>
        <v>#REF!</v>
      </c>
      <c r="S675" s="539" t="e">
        <f>#REF!*($R$699+$R$700)*#REF!*#REF!*10^-6</f>
        <v>#REF!</v>
      </c>
      <c r="T675" s="539" t="e">
        <f>$R$697*($R$709-$R$710)*#REF!*10^-6</f>
        <v>#REF!</v>
      </c>
      <c r="U675" s="539" t="e">
        <f>$U$697*($R$709-$R$710)*#REF!*10^-6</f>
        <v>#REF!</v>
      </c>
      <c r="V675" s="539" t="e">
        <f>$U$697*($R$709-$R$710)*#REF!*10^-6</f>
        <v>#REF!</v>
      </c>
      <c r="W675" s="539" t="e">
        <f>$U$697*($R$709-$R$710)*#REF!*10^-6</f>
        <v>#REF!</v>
      </c>
      <c r="X675" s="15"/>
    </row>
    <row r="676" spans="1:30" hidden="1">
      <c r="A676" s="120"/>
      <c r="B676" s="1180" t="s">
        <v>1187</v>
      </c>
      <c r="C676" s="1103">
        <f>C324/C781</f>
        <v>125</v>
      </c>
      <c r="D676" s="1103">
        <f>D324/D781</f>
        <v>125</v>
      </c>
      <c r="E676" s="1168"/>
      <c r="F676" s="1168"/>
      <c r="G676" s="995"/>
      <c r="H676" s="932"/>
      <c r="I676" s="995"/>
      <c r="J676" s="995"/>
      <c r="K676" s="995"/>
      <c r="L676" s="995"/>
      <c r="M676" s="249"/>
      <c r="N676" s="1183" t="s">
        <v>304</v>
      </c>
      <c r="O676" s="540"/>
      <c r="P676" s="540"/>
      <c r="Q676" s="541"/>
      <c r="R676" s="539" t="e">
        <f>$R$697*($R$709-$R$710)*#REF!*10^-6</f>
        <v>#REF!</v>
      </c>
      <c r="S676" s="539" t="e">
        <f>$R$697*($R$709-$R$710)*#REF!*10^-6</f>
        <v>#REF!</v>
      </c>
      <c r="T676" s="538" t="e">
        <f>$R$707/2*#REF!^2*#REF!*10^-9</f>
        <v>#REF!</v>
      </c>
      <c r="U676" s="538" t="e">
        <f>$U$707/2*#REF!^2*#REF!*10^-9</f>
        <v>#REF!</v>
      </c>
      <c r="V676" s="538" t="e">
        <f>$U$707/2*#REF!^2*#REF!*10^-9</f>
        <v>#REF!</v>
      </c>
      <c r="W676" s="538" t="e">
        <f>$U$707/2*#REF!^2*#REF!*10^-9</f>
        <v>#REF!</v>
      </c>
      <c r="X676" s="15"/>
    </row>
    <row r="677" spans="1:30" hidden="1">
      <c r="A677" s="120"/>
      <c r="B677" s="320" t="s">
        <v>1188</v>
      </c>
      <c r="C677" s="1184" t="str">
        <f>"&gt; "&amp;TEXT(C642*C644/C640, "#")&amp;" pF"</f>
        <v>&gt; 770 pF</v>
      </c>
      <c r="D677" s="1184" t="str">
        <f>"&gt; "&amp;TEXT(D642*D644/D640, "#")&amp;" pF"</f>
        <v>&gt; 788 pF</v>
      </c>
      <c r="E677" s="1170"/>
      <c r="F677" s="1170"/>
      <c r="G677" s="995"/>
      <c r="H677" s="932"/>
      <c r="I677" s="995"/>
      <c r="J677" s="995"/>
      <c r="K677" s="995"/>
      <c r="L677" s="995"/>
      <c r="M677" s="249"/>
      <c r="N677" s="1040" t="s">
        <v>305</v>
      </c>
      <c r="O677" s="542"/>
      <c r="P677" s="542"/>
      <c r="Q677" s="543"/>
      <c r="R677" s="538" t="e">
        <f>$R$707/2*#REF!^2*#REF!*10^-9</f>
        <v>#REF!</v>
      </c>
      <c r="S677" s="538" t="e">
        <f>$R$707/2*#REF!^2*#REF!*10^-9</f>
        <v>#REF!</v>
      </c>
      <c r="T677" s="538" t="e">
        <f>$R$701*#REF!*#REF!*10^-6</f>
        <v>#REF!</v>
      </c>
      <c r="U677" s="538" t="e">
        <f>$U$701*#REF!*#REF!*10^-6</f>
        <v>#REF!</v>
      </c>
      <c r="V677" s="538" t="e">
        <f>$U$701*#REF!*#REF!*10^-6</f>
        <v>#REF!</v>
      </c>
      <c r="W677" s="538" t="e">
        <f>$U$701*#REF!*#REF!*10^-6</f>
        <v>#REF!</v>
      </c>
      <c r="X677" s="15"/>
    </row>
    <row r="678" spans="1:30" hidden="1">
      <c r="A678" s="120"/>
      <c r="B678" s="1126"/>
      <c r="C678" s="252">
        <f>J71</f>
        <v>1000</v>
      </c>
      <c r="D678" s="252">
        <f>J72</f>
        <v>1000</v>
      </c>
      <c r="E678" s="1170"/>
      <c r="F678" s="1170"/>
      <c r="G678" s="995"/>
      <c r="H678" s="932"/>
      <c r="I678" s="995"/>
      <c r="J678" s="995"/>
      <c r="K678" s="995"/>
      <c r="L678" s="995"/>
      <c r="M678" s="249"/>
      <c r="N678" s="1040" t="s">
        <v>306</v>
      </c>
      <c r="O678" s="544"/>
      <c r="P678" s="544"/>
      <c r="Q678" s="545"/>
      <c r="R678" s="538" t="e">
        <f>$R$701*#REF!*#REF!*10^-6</f>
        <v>#REF!</v>
      </c>
      <c r="S678" s="538" t="e">
        <f>$R$701*#REF!*#REF!*10^-6</f>
        <v>#REF!</v>
      </c>
      <c r="T678" s="538" t="e">
        <f>SUM(T673:T677)</f>
        <v>#REF!</v>
      </c>
      <c r="U678" s="538" t="e">
        <f>SUM(U673:U677)</f>
        <v>#REF!</v>
      </c>
      <c r="V678" s="538" t="e">
        <f>SUM(V673:V677)</f>
        <v>#REF!</v>
      </c>
      <c r="W678" s="538" t="e">
        <f>SUM(W673:W677)</f>
        <v>#REF!</v>
      </c>
      <c r="X678" s="15"/>
    </row>
    <row r="679" spans="1:30" hidden="1">
      <c r="A679" s="120"/>
      <c r="E679" s="1168"/>
      <c r="F679" s="1168"/>
      <c r="G679" s="995"/>
      <c r="H679" s="932"/>
      <c r="I679" s="995"/>
      <c r="J679" s="995"/>
      <c r="K679" s="995"/>
      <c r="L679" s="995"/>
      <c r="M679" s="249"/>
      <c r="N679" s="1185" t="s">
        <v>307</v>
      </c>
      <c r="O679" s="544"/>
      <c r="P679" s="544"/>
      <c r="Q679" s="545"/>
      <c r="R679" s="538" t="e">
        <f>SUM(R674:R678)</f>
        <v>#REF!</v>
      </c>
      <c r="S679" s="538" t="e">
        <f>SUM(S674:S678)</f>
        <v>#REF!</v>
      </c>
      <c r="T679" s="546" t="e">
        <f>10^6/#REF!</f>
        <v>#REF!</v>
      </c>
      <c r="U679" s="546" t="e">
        <f>10^6/#REF!</f>
        <v>#REF!</v>
      </c>
      <c r="V679" s="546" t="e">
        <f>10^6/#REF!</f>
        <v>#REF!</v>
      </c>
      <c r="W679" s="546" t="e">
        <f>10^6/#REF!</f>
        <v>#REF!</v>
      </c>
      <c r="X679" s="15"/>
    </row>
    <row r="680" spans="1:30" hidden="1">
      <c r="A680" s="120"/>
      <c r="B680" s="122" t="s">
        <v>963</v>
      </c>
      <c r="C680" s="1186"/>
      <c r="D680" s="1187"/>
      <c r="E680" s="1168"/>
      <c r="F680" s="1168"/>
      <c r="G680" s="995"/>
      <c r="H680" s="932"/>
      <c r="I680" s="995"/>
      <c r="J680" s="995"/>
      <c r="K680" s="995"/>
      <c r="L680" s="995"/>
      <c r="M680" s="249"/>
      <c r="N680" s="1188" t="s">
        <v>308</v>
      </c>
      <c r="O680" s="548"/>
      <c r="P680" s="548"/>
      <c r="Q680" s="549"/>
      <c r="R680" s="546" t="e">
        <f>10^6/#REF!</f>
        <v>#REF!</v>
      </c>
      <c r="S680" s="546" t="e">
        <f>10^6/#REF!</f>
        <v>#REF!</v>
      </c>
      <c r="T680" s="451" t="e">
        <f>1/#REF!*#REF!/#REF!*100*10^4</f>
        <v>#REF!</v>
      </c>
      <c r="U680" s="451" t="e">
        <f>1/#REF!*#REF!/#REF!*100*10^4</f>
        <v>#REF!</v>
      </c>
      <c r="V680" s="451" t="e">
        <f>1/#REF!*#REF!/#REF!*100*10^4</f>
        <v>#REF!</v>
      </c>
      <c r="W680" s="451" t="e">
        <f>1/#REF!*#REF!/#REF!*100*10^4</f>
        <v>#REF!</v>
      </c>
      <c r="X680" s="15"/>
    </row>
    <row r="681" spans="1:30" hidden="1">
      <c r="A681" s="120"/>
      <c r="B681" s="1189" t="s">
        <v>916</v>
      </c>
      <c r="C681" s="1190">
        <f>F83</f>
        <v>10</v>
      </c>
      <c r="D681" s="1190">
        <f>F84</f>
        <v>10</v>
      </c>
      <c r="E681" s="1168"/>
      <c r="F681" s="1168"/>
      <c r="G681" s="995"/>
      <c r="H681" s="932"/>
      <c r="I681" s="995"/>
      <c r="J681" s="995"/>
      <c r="K681" s="995"/>
      <c r="L681" s="995"/>
      <c r="M681" s="249"/>
      <c r="N681" s="1188" t="s">
        <v>309</v>
      </c>
      <c r="O681" s="548"/>
      <c r="P681" s="548"/>
      <c r="Q681" s="549"/>
      <c r="R681" s="451" t="e">
        <f>1/#REF!*#REF!/#REF!*100*10^4</f>
        <v>#REF!</v>
      </c>
      <c r="S681" s="451" t="e">
        <f>1/#REF!*#REF!/#REF!*100*10^4</f>
        <v>#REF!</v>
      </c>
      <c r="T681" s="458" t="e">
        <f>T680*#REF!/(10^6)</f>
        <v>#REF!</v>
      </c>
      <c r="U681" s="458" t="e">
        <f>U680*#REF!/(10^6)</f>
        <v>#REF!</v>
      </c>
      <c r="V681" s="458" t="e">
        <f>V680*#REF!/(10^6)</f>
        <v>#REF!</v>
      </c>
      <c r="W681" s="458" t="e">
        <f>W680*#REF!/(10^6)</f>
        <v>#REF!</v>
      </c>
      <c r="X681" s="15"/>
    </row>
    <row r="682" spans="1:30" hidden="1">
      <c r="A682" s="120"/>
      <c r="B682" s="1042" t="s">
        <v>1185</v>
      </c>
      <c r="C682" s="1103">
        <f>5/PI()*C590/C226*C797*C681/C642</f>
        <v>44.12888927259776</v>
      </c>
      <c r="D682" s="1103" t="e">
        <f>5/PI()*D590/D226*D797*D681/D642</f>
        <v>#DIV/0!</v>
      </c>
      <c r="E682" s="1173"/>
      <c r="F682" s="1173"/>
      <c r="G682" s="995"/>
      <c r="H682" s="932"/>
      <c r="I682" s="995"/>
      <c r="J682" s="995"/>
      <c r="K682" s="995"/>
      <c r="L682" s="995"/>
      <c r="M682" s="249"/>
      <c r="N682" s="1188" t="s">
        <v>310</v>
      </c>
      <c r="O682" s="548"/>
      <c r="P682" s="548"/>
      <c r="Q682" s="548"/>
      <c r="R682" s="458" t="e">
        <f>R681*#REF!/(10^6)</f>
        <v>#REF!</v>
      </c>
      <c r="S682" s="458" t="e">
        <f>S681*#REF!/(10^6)</f>
        <v>#REF!</v>
      </c>
      <c r="X682" s="15"/>
    </row>
    <row r="683" spans="1:30" hidden="1">
      <c r="A683" s="120"/>
      <c r="B683" s="307" t="s">
        <v>917</v>
      </c>
      <c r="C683" s="1087">
        <f>10/C682/C681*10^3</f>
        <v>22.660892138541978</v>
      </c>
      <c r="D683" s="1087" t="e">
        <f>10/D682/D681*10^3</f>
        <v>#DIV/0!</v>
      </c>
      <c r="E683" s="995"/>
      <c r="F683" s="995"/>
      <c r="G683" s="995"/>
      <c r="H683" s="1181"/>
      <c r="I683" s="995"/>
      <c r="J683" s="995"/>
      <c r="K683" s="995"/>
      <c r="L683" s="995"/>
      <c r="M683" s="249"/>
      <c r="N683" s="1175" t="s">
        <v>5</v>
      </c>
      <c r="T683" s="538" t="e">
        <f>T687*(#REF!^2+H$538^2/12)*$S$695*10^-3</f>
        <v>#REF!</v>
      </c>
      <c r="U683" s="538" t="e">
        <f>U687*($I$486^2+I$536^2/12)*$V$695*10^-3</f>
        <v>#REF!</v>
      </c>
      <c r="V683" s="538" t="e">
        <f>V687*($I$486^2+I$537^2/12)*$V$695*10^-3</f>
        <v>#REF!</v>
      </c>
      <c r="W683" s="538" t="e">
        <f>W687*($I$486^2+I$538^2/12)*$V$695*10^-3</f>
        <v>#REF!</v>
      </c>
      <c r="X683" s="15"/>
    </row>
    <row r="684" spans="1:30" hidden="1">
      <c r="A684" s="120"/>
      <c r="B684" s="307" t="s">
        <v>917</v>
      </c>
      <c r="C684" s="948" t="str">
        <f>"Approx. "&amp;TEXT(C683, "#.#")&amp;" nF"</f>
        <v>Approx. 22.7 nF</v>
      </c>
      <c r="D684" s="948" t="e">
        <f>"Approx. "&amp;TEXT(D683, "#.#")&amp;" nF"</f>
        <v>#DIV/0!</v>
      </c>
      <c r="E684" s="995"/>
      <c r="F684" s="1164"/>
      <c r="G684" s="995"/>
      <c r="H684" s="932"/>
      <c r="I684" s="995"/>
      <c r="J684" s="995"/>
      <c r="K684" s="995"/>
      <c r="L684" s="995"/>
      <c r="M684" s="249"/>
      <c r="N684" s="1182" t="s">
        <v>311</v>
      </c>
      <c r="O684" s="390"/>
      <c r="P684" s="390"/>
      <c r="Q684" s="390"/>
      <c r="R684" s="538" t="e">
        <f>R688*(#REF!^2+H$536^2/12)*$S$695*10^-3</f>
        <v>#REF!</v>
      </c>
      <c r="S684" s="538" t="e">
        <f>S688*(#REF!^2+H$537^2/12)*$S$695*10^-3</f>
        <v>#REF!</v>
      </c>
      <c r="T684" s="539" t="e">
        <f>$S$697*$R$709*#REF!*10^-6</f>
        <v>#REF!</v>
      </c>
      <c r="U684" s="539" t="e">
        <f>$V$697*$R$709*#REF!*10^-6</f>
        <v>#REF!</v>
      </c>
      <c r="V684" s="539" t="e">
        <f>$V$697*$R$709*#REF!*10^-6</f>
        <v>#REF!</v>
      </c>
      <c r="W684" s="539" t="e">
        <f>$V$697*$R$709*#REF!*10^-6</f>
        <v>#REF!</v>
      </c>
      <c r="X684" s="15"/>
    </row>
    <row r="685" spans="1:30" hidden="1">
      <c r="A685" s="120"/>
      <c r="B685" s="307" t="s">
        <v>918</v>
      </c>
      <c r="C685" s="988">
        <f>I83</f>
        <v>36</v>
      </c>
      <c r="D685" s="988">
        <f>I84</f>
        <v>36</v>
      </c>
      <c r="E685" s="1164"/>
      <c r="F685" s="1164"/>
      <c r="G685" s="995"/>
      <c r="H685" s="932"/>
      <c r="I685" s="995"/>
      <c r="J685" s="995"/>
      <c r="K685" s="995"/>
      <c r="L685" s="995"/>
      <c r="M685" s="249"/>
      <c r="N685" s="1183" t="s">
        <v>312</v>
      </c>
      <c r="O685" s="540"/>
      <c r="P685" s="540"/>
      <c r="Q685" s="541"/>
      <c r="R685" s="539" t="e">
        <f>$S$697*$R$709*#REF!*10^-6</f>
        <v>#REF!</v>
      </c>
      <c r="S685" s="539" t="e">
        <f>$S$697*$R$709*#REF!*10^-6</f>
        <v>#REF!</v>
      </c>
      <c r="T685" s="538" t="e">
        <f>$C$798*#REF!/(10^6)*(#REF!+H534/2)*$S$702+$C$799*#REF!/(10^6)*(#REF!-H534/2)*$S$702</f>
        <v>#REF!</v>
      </c>
      <c r="U685" s="538" t="e">
        <f>$C$798*#REF!/(10^6)*($I$486+I518/2)*$V$702+$C$799*#REF!/(10^6)*($I$486-I518/2)*$V$702</f>
        <v>#REF!</v>
      </c>
      <c r="V685" s="538" t="e">
        <f>$C$798*#REF!/(10^6)*($I$486+I519/2)*$V$702+$C$799*#REF!/(10^6)*($I$486-I519/2)*$V$702</f>
        <v>#REF!</v>
      </c>
      <c r="W685" s="538" t="e">
        <f>$C$798*#REF!/(10^6)*($I$486+I534/2)*$V$702+$C$799*#REF!/(10^6)*($I$486-I534/2)*$V$702</f>
        <v>#REF!</v>
      </c>
      <c r="X685" s="15"/>
      <c r="AD685"/>
    </row>
    <row r="686" spans="1:30" hidden="1">
      <c r="A686" s="120"/>
      <c r="B686" s="314" t="s">
        <v>914</v>
      </c>
      <c r="C686" s="1113">
        <f>1/(C681*C685*10^-3)</f>
        <v>2.7777777777777777</v>
      </c>
      <c r="D686" s="1113">
        <f>1/(D681*D685*10^-3)</f>
        <v>2.7777777777777777</v>
      </c>
      <c r="E686" s="1164"/>
      <c r="F686" s="1164"/>
      <c r="G686" s="995"/>
      <c r="H686" s="932"/>
      <c r="I686" s="995"/>
      <c r="J686" s="1122"/>
      <c r="K686" s="995"/>
      <c r="L686" s="995"/>
      <c r="M686" s="249"/>
      <c r="N686" s="1040" t="s">
        <v>313</v>
      </c>
      <c r="O686" s="542"/>
      <c r="P686" s="542"/>
      <c r="Q686" s="543"/>
      <c r="R686" s="538" t="e">
        <f>$C$798*#REF!/(10^6)*(#REF!+H518/2)*$S$702+$C$799*#REF!/(10^6)*(#REF!-H518/2)*$S$702</f>
        <v>#REF!</v>
      </c>
      <c r="S686" s="538" t="e">
        <f>$C$798*#REF!/(10^6)*(#REF!+H519/2)*$S$702+$C$799*#REF!/(10^6)*(#REF!-H519/2)*$S$702</f>
        <v>#REF!</v>
      </c>
      <c r="T686" s="538" t="e">
        <f>SUM(T683:T685)</f>
        <v>#REF!</v>
      </c>
      <c r="U686" s="538" t="e">
        <f>SUM(U683:U685)</f>
        <v>#REF!</v>
      </c>
      <c r="V686" s="538" t="e">
        <f>SUM(V683:V685)</f>
        <v>#REF!</v>
      </c>
      <c r="W686" s="538" t="e">
        <f>SUM(W683:W685)</f>
        <v>#REF!</v>
      </c>
      <c r="X686" s="15"/>
    </row>
    <row r="687" spans="1:30" hidden="1">
      <c r="B687" s="345" t="s">
        <v>35</v>
      </c>
      <c r="C687" s="1141">
        <f>1/(2*PI()*C685*C681)*10^6/(5/PI()*C590/C$226*$C$797*C681/C642)</f>
        <v>10.018313885336742</v>
      </c>
      <c r="D687" s="1141" t="e">
        <f>1/(2*PI()*D685*D681)*10^6/(5/PI()*D590/D$226*$C$797*D681/D642)</f>
        <v>#DIV/0!</v>
      </c>
      <c r="E687" s="1145"/>
      <c r="F687" s="1145"/>
      <c r="G687" s="995"/>
      <c r="H687" s="932"/>
      <c r="I687" s="1191"/>
      <c r="J687" s="1192"/>
      <c r="K687" s="1116"/>
      <c r="L687" s="995"/>
      <c r="M687" s="249"/>
      <c r="N687" s="1185" t="s">
        <v>314</v>
      </c>
      <c r="O687" s="544"/>
      <c r="P687" s="544"/>
      <c r="Q687" s="545"/>
      <c r="R687" s="538" t="e">
        <f>SUM(R684:R686)</f>
        <v>#REF!</v>
      </c>
      <c r="S687" s="538" t="e">
        <f>SUM(S684:S686)</f>
        <v>#REF!</v>
      </c>
      <c r="T687" s="458" t="e">
        <f>(10^6/#REF!-T680-$C$798-$C$799)*#REF!/(10^6)</f>
        <v>#REF!</v>
      </c>
      <c r="U687" s="458" t="e">
        <f>(10^6/#REF!-U680-$C$798-$C$799)*#REF!/(10^6)</f>
        <v>#REF!</v>
      </c>
      <c r="V687" s="458" t="e">
        <f>(10^6/#REF!-V680-$C$798-$C$799)*#REF!/(10^6)</f>
        <v>#REF!</v>
      </c>
      <c r="W687" s="458" t="e">
        <f>(10^6/#REF!-W680-$C$798-$C$799)*#REF!/(10^6)</f>
        <v>#REF!</v>
      </c>
      <c r="X687" s="15"/>
      <c r="Y687" s="28"/>
    </row>
    <row r="688" spans="1:30" hidden="1">
      <c r="E688" s="1145"/>
      <c r="F688" s="1145"/>
      <c r="G688" s="995"/>
      <c r="H688" s="1181"/>
      <c r="I688" s="1193"/>
      <c r="J688" s="1193"/>
      <c r="K688" s="995"/>
      <c r="L688" s="995"/>
      <c r="M688" s="249"/>
      <c r="N688" s="1188" t="s">
        <v>315</v>
      </c>
      <c r="O688" s="548"/>
      <c r="P688" s="548"/>
      <c r="Q688" s="548"/>
      <c r="R688" s="458" t="e">
        <f>(10^6/#REF!-R681-$C$798-$C$799)*#REF!/(10^6)</f>
        <v>#REF!</v>
      </c>
      <c r="S688" s="458" t="e">
        <f>(10^6/#REF!-S681-$C$798-$C$799)*#REF!/(10^6)</f>
        <v>#REF!</v>
      </c>
      <c r="T688" s="458" t="e">
        <f>($C$798+$C$799)*#REF!/(10^6)</f>
        <v>#REF!</v>
      </c>
      <c r="U688" s="458" t="e">
        <f>($C$798+$C$799)*#REF!/(10^6)</f>
        <v>#REF!</v>
      </c>
      <c r="V688" s="458" t="e">
        <f>($C$798+$C$799)*#REF!/(10^6)</f>
        <v>#REF!</v>
      </c>
      <c r="W688" s="458" t="e">
        <f>($C$798+$C$799)*#REF!/(10^6)</f>
        <v>#REF!</v>
      </c>
      <c r="X688" s="15"/>
      <c r="Y688" s="28"/>
    </row>
    <row r="689" spans="1:24" hidden="1">
      <c r="B689" s="122" t="s">
        <v>37</v>
      </c>
      <c r="C689" s="1186"/>
      <c r="D689" s="1187"/>
      <c r="E689" s="995"/>
      <c r="F689" s="995"/>
      <c r="G689" s="995"/>
      <c r="H689" s="995"/>
      <c r="I689" s="995"/>
      <c r="J689" s="1194"/>
      <c r="K689" s="1056"/>
      <c r="L689" s="995"/>
      <c r="M689" s="249"/>
      <c r="N689" s="1188" t="s">
        <v>316</v>
      </c>
      <c r="O689" s="548"/>
      <c r="P689" s="548"/>
      <c r="Q689" s="548"/>
      <c r="R689" s="458" t="e">
        <f>($C$798+$C$799)*#REF!/(10^6)</f>
        <v>#REF!</v>
      </c>
      <c r="S689" s="458" t="e">
        <f>($C$798+$C$799)*#REF!/(10^6)</f>
        <v>#REF!</v>
      </c>
      <c r="T689" s="550"/>
      <c r="U689" s="550"/>
      <c r="V689" s="550">
        <v>200</v>
      </c>
      <c r="W689" s="550"/>
      <c r="X689" s="15"/>
    </row>
    <row r="690" spans="1:24" hidden="1">
      <c r="A690" s="120"/>
      <c r="B690" s="1126" t="s">
        <v>614</v>
      </c>
      <c r="C690" s="1195">
        <f>10^6/(2*PI()*C642*C644)</f>
        <v>13.779648752545052</v>
      </c>
      <c r="D690" s="1195">
        <f>10^6/(2*PI()*D642*D644)</f>
        <v>16.841792919777287</v>
      </c>
      <c r="E690" s="995"/>
      <c r="F690" s="995"/>
      <c r="G690" s="995"/>
      <c r="H690" s="995"/>
      <c r="I690" s="995"/>
      <c r="J690" s="1135"/>
      <c r="K690" s="995"/>
      <c r="L690" s="995"/>
      <c r="M690" s="249"/>
      <c r="N690" s="1188" t="s">
        <v>1050</v>
      </c>
      <c r="O690" s="548"/>
      <c r="P690" s="548"/>
      <c r="Q690" s="548"/>
      <c r="R690" s="550"/>
      <c r="S690" s="550">
        <v>200</v>
      </c>
      <c r="T690" s="538"/>
      <c r="U690" s="538"/>
      <c r="V690" s="538" t="e">
        <f>$C$798*#REF!/(10^6)*($I$486+I519/2)*$V$702+$V$689*#REF!/(10^6)*($I$486-I519/2)*$V$702</f>
        <v>#REF!</v>
      </c>
      <c r="W690" s="538"/>
      <c r="X690" s="15"/>
    </row>
    <row r="691" spans="1:24" hidden="1">
      <c r="A691" s="120"/>
      <c r="B691" s="314" t="s">
        <v>962</v>
      </c>
      <c r="C691" s="252">
        <v>10</v>
      </c>
      <c r="D691" s="252">
        <v>10</v>
      </c>
      <c r="E691" s="995"/>
      <c r="F691" s="995"/>
      <c r="G691" s="995"/>
      <c r="H691" s="995"/>
      <c r="I691" s="1196"/>
      <c r="J691" s="1197"/>
      <c r="K691" s="995"/>
      <c r="L691" s="995"/>
      <c r="M691" s="249"/>
      <c r="N691" s="1040" t="s">
        <v>313</v>
      </c>
      <c r="O691" s="542"/>
      <c r="P691" s="542"/>
      <c r="Q691" s="543"/>
      <c r="R691" s="538"/>
      <c r="S691" s="538" t="e">
        <f>$C$798*#REF!/(10^6)*(#REF!+H519/2)*$S$702+$S$690*#REF!/(10^6)*(#REF!-H519/2)*$S$702</f>
        <v>#REF!</v>
      </c>
      <c r="T691" s="551"/>
      <c r="U691" s="551"/>
      <c r="V691" s="551"/>
      <c r="W691" s="551"/>
      <c r="X691" s="15"/>
    </row>
    <row r="692" spans="1:24" hidden="1">
      <c r="A692" s="1043"/>
      <c r="B692" s="1042" t="s">
        <v>317</v>
      </c>
      <c r="C692" s="1103">
        <f>C644*C350</f>
        <v>63.95348837209302</v>
      </c>
      <c r="D692" s="1103" t="e">
        <f>D644*D350</f>
        <v>#DIV/0!</v>
      </c>
      <c r="E692" s="995"/>
      <c r="F692" s="995"/>
      <c r="G692" s="995"/>
      <c r="H692" s="932"/>
      <c r="I692" s="1196"/>
      <c r="J692" s="1197"/>
      <c r="K692" s="995"/>
      <c r="L692" s="995"/>
      <c r="M692" s="249"/>
      <c r="N692" s="932"/>
      <c r="O692" s="390"/>
      <c r="P692" s="390"/>
      <c r="Q692" s="390"/>
      <c r="R692" s="407"/>
      <c r="S692" s="407"/>
      <c r="T692" s="407"/>
      <c r="U692" s="407"/>
      <c r="V692" s="407"/>
      <c r="W692" s="407"/>
      <c r="X692" s="2" t="e">
        <f>$C$798*#REF!/(10^6)*(#REF!+H519/2)*$S$702+$C$799*#REF!/(10^6)*(#REF!-H519/2)*$S$702</f>
        <v>#REF!</v>
      </c>
    </row>
    <row r="693" spans="1:24" hidden="1">
      <c r="A693" s="1043"/>
      <c r="B693" s="1042" t="s">
        <v>318</v>
      </c>
      <c r="C693" s="1103">
        <f>C644*C351</f>
        <v>64.81481481481481</v>
      </c>
      <c r="D693" s="1103" t="e">
        <f>D644*D351</f>
        <v>#DIV/0!</v>
      </c>
      <c r="E693" s="995"/>
      <c r="F693" s="995"/>
      <c r="G693" s="995"/>
      <c r="H693" s="932"/>
      <c r="I693" s="995"/>
      <c r="J693" s="1116"/>
      <c r="K693" s="1145"/>
      <c r="L693" s="995"/>
      <c r="M693" s="249"/>
      <c r="N693" s="1175" t="s">
        <v>15</v>
      </c>
      <c r="O693" s="29"/>
      <c r="P693" s="29"/>
      <c r="Q693" s="29"/>
      <c r="R693" s="23" t="s">
        <v>16</v>
      </c>
      <c r="S693" s="64" t="s">
        <v>17</v>
      </c>
      <c r="T693" s="434"/>
      <c r="U693" s="23" t="s">
        <v>16</v>
      </c>
      <c r="V693" s="64" t="s">
        <v>17</v>
      </c>
      <c r="W693" s="434"/>
      <c r="X693" s="2" t="e">
        <f>$C$799*#REF!/(10^6)*(#REF!-H519/2)*$S$702</f>
        <v>#REF!</v>
      </c>
    </row>
    <row r="694" spans="1:24" hidden="1">
      <c r="A694" s="1043"/>
      <c r="B694" s="1042" t="s">
        <v>319</v>
      </c>
      <c r="C694" s="1103">
        <f>C644*C352</f>
        <v>65.602836879432616</v>
      </c>
      <c r="D694" s="1103" t="e">
        <f>D644*D352</f>
        <v>#DIV/0!</v>
      </c>
      <c r="E694" s="1106"/>
      <c r="F694" s="1106"/>
      <c r="G694" s="995"/>
      <c r="H694" s="932"/>
      <c r="I694" s="995"/>
      <c r="J694" s="1116"/>
      <c r="K694" s="1164"/>
      <c r="L694" s="995"/>
      <c r="M694" s="249"/>
      <c r="N694" s="1198"/>
      <c r="O694" s="65"/>
      <c r="P694" s="65"/>
      <c r="Q694" s="65"/>
      <c r="R694" s="66" t="s">
        <v>19</v>
      </c>
      <c r="S694" s="67" t="s">
        <v>20</v>
      </c>
      <c r="T694" s="434"/>
      <c r="U694" s="66" t="s">
        <v>19</v>
      </c>
      <c r="V694" s="67" t="s">
        <v>20</v>
      </c>
      <c r="W694" s="434"/>
      <c r="X694" s="2" t="e">
        <f>X692+X693</f>
        <v>#REF!</v>
      </c>
    </row>
    <row r="695" spans="1:24" hidden="1">
      <c r="A695" s="1043"/>
      <c r="B695" s="1042" t="s">
        <v>320</v>
      </c>
      <c r="C695" s="1199">
        <f>C692/(D19+F19)*D19</f>
        <v>12.790697674418603</v>
      </c>
      <c r="D695" s="1199" t="e">
        <f>D692/(D20+F20)*D20</f>
        <v>#DIV/0!</v>
      </c>
      <c r="F695" s="1200"/>
      <c r="G695" s="995"/>
      <c r="H695" s="932"/>
      <c r="I695" s="995"/>
      <c r="J695" s="1116"/>
      <c r="K695" s="1145"/>
      <c r="L695" s="995"/>
      <c r="M695" s="249"/>
      <c r="N695" s="1201" t="s">
        <v>21</v>
      </c>
      <c r="O695" s="410"/>
      <c r="P695" s="410"/>
      <c r="Q695" s="410"/>
      <c r="R695" s="462">
        <v>9.5</v>
      </c>
      <c r="S695" s="462">
        <v>5.8</v>
      </c>
      <c r="T695" s="455"/>
      <c r="U695" s="462">
        <v>9.5</v>
      </c>
      <c r="V695" s="462">
        <v>5.8</v>
      </c>
      <c r="W695" s="455"/>
    </row>
    <row r="696" spans="1:24" hidden="1">
      <c r="A696" s="1043"/>
      <c r="B696" s="1042" t="s">
        <v>321</v>
      </c>
      <c r="C696" s="1199">
        <f>C693/(D19+F19)*D19</f>
        <v>12.962962962962962</v>
      </c>
      <c r="D696" s="1199" t="e">
        <f>D693/(D20+F20)*D20</f>
        <v>#DIV/0!</v>
      </c>
      <c r="F696" s="1200"/>
      <c r="G696" s="995"/>
      <c r="H696" s="932"/>
      <c r="I696" s="995"/>
      <c r="J696" s="1116"/>
      <c r="K696" s="1145"/>
      <c r="L696" s="995"/>
      <c r="M696" s="249"/>
      <c r="N696" s="1059" t="s">
        <v>322</v>
      </c>
      <c r="O696" s="410"/>
      <c r="P696" s="410"/>
      <c r="Q696" s="410"/>
      <c r="R696" s="553">
        <v>1</v>
      </c>
      <c r="S696" s="462">
        <v>0.8</v>
      </c>
      <c r="T696" s="455"/>
      <c r="U696" s="553">
        <v>1</v>
      </c>
      <c r="V696" s="462">
        <v>0.8</v>
      </c>
      <c r="W696" s="455"/>
    </row>
    <row r="697" spans="1:24" hidden="1">
      <c r="A697" s="1043"/>
      <c r="B697" s="1042" t="s">
        <v>613</v>
      </c>
      <c r="C697" s="1202">
        <f>C694/(D19+F19)*D19</f>
        <v>13.120567375886523</v>
      </c>
      <c r="D697" s="1202" t="e">
        <f>D694/(D20+F20)*D20</f>
        <v>#DIV/0!</v>
      </c>
      <c r="F697" s="1106"/>
      <c r="G697" s="995"/>
      <c r="H697" s="1181"/>
      <c r="I697" s="995"/>
      <c r="J697" s="995"/>
      <c r="K697" s="392"/>
      <c r="L697" s="995"/>
      <c r="M697" s="249"/>
      <c r="N697" s="1201" t="s">
        <v>22</v>
      </c>
      <c r="O697" s="410"/>
      <c r="P697" s="410"/>
      <c r="Q697" s="410"/>
      <c r="R697" s="462">
        <v>9.3000000000000007</v>
      </c>
      <c r="S697" s="462">
        <v>24</v>
      </c>
      <c r="T697" s="455"/>
      <c r="U697" s="462">
        <v>9.3000000000000007</v>
      </c>
      <c r="V697" s="462">
        <v>24</v>
      </c>
      <c r="W697" s="442"/>
    </row>
    <row r="698" spans="1:24" hidden="1">
      <c r="A698" s="1043"/>
      <c r="B698" s="1203" t="s">
        <v>1035</v>
      </c>
      <c r="C698" s="1162"/>
      <c r="D698" s="1163"/>
      <c r="F698" s="995"/>
      <c r="G698" s="995"/>
      <c r="H698" s="995"/>
      <c r="I698" s="932"/>
      <c r="J698" s="1116"/>
      <c r="K698" s="995"/>
      <c r="L698" s="995"/>
      <c r="M698" s="249"/>
      <c r="N698" s="995" t="s">
        <v>23</v>
      </c>
      <c r="O698" s="334"/>
      <c r="P698" s="334"/>
      <c r="Q698" s="334"/>
      <c r="R698" s="462">
        <v>6.1</v>
      </c>
      <c r="S698" s="462">
        <v>10</v>
      </c>
      <c r="T698" s="455"/>
      <c r="U698" s="462">
        <v>6.1</v>
      </c>
      <c r="V698" s="462">
        <v>10</v>
      </c>
      <c r="X698" s="16" t="e">
        <f>$R$698/2*#REF!*#REF!*10^-3</f>
        <v>#REF!</v>
      </c>
    </row>
    <row r="699" spans="1:24" hidden="1">
      <c r="A699" s="1043"/>
      <c r="B699" s="1042" t="s">
        <v>1033</v>
      </c>
      <c r="C699" s="1113">
        <v>0</v>
      </c>
      <c r="D699" s="1113">
        <v>0</v>
      </c>
      <c r="F699" s="995"/>
      <c r="G699" s="995"/>
      <c r="H699" s="932"/>
      <c r="I699" s="1106"/>
      <c r="J699" s="1135"/>
      <c r="K699" s="995"/>
      <c r="L699" s="995"/>
      <c r="M699" s="249"/>
      <c r="N699" s="1204" t="s">
        <v>24</v>
      </c>
      <c r="R699" s="430">
        <v>2.9</v>
      </c>
      <c r="S699" s="430">
        <v>8.5</v>
      </c>
      <c r="U699" s="430">
        <v>2.9</v>
      </c>
      <c r="V699" s="430">
        <v>8.5</v>
      </c>
      <c r="W699" s="455"/>
      <c r="X699" s="16" t="e">
        <f>$R$707/2*#REF!^2*#REF!*10^-6</f>
        <v>#REF!</v>
      </c>
    </row>
    <row r="700" spans="1:24" hidden="1">
      <c r="A700" s="1043"/>
      <c r="B700" s="1205" t="s">
        <v>323</v>
      </c>
      <c r="C700" s="1044">
        <f>C301*(C692-C691)/C691</f>
        <v>53.95348837209302</v>
      </c>
      <c r="D700" s="1044" t="e">
        <f>D301*(D692-D691)/D691</f>
        <v>#DIV/0!</v>
      </c>
      <c r="F700" s="1106"/>
      <c r="G700" s="995"/>
      <c r="H700" s="932"/>
      <c r="I700" s="932"/>
      <c r="J700" s="1135"/>
      <c r="K700" s="995"/>
      <c r="L700" s="995"/>
      <c r="M700" s="249"/>
      <c r="N700" s="1204" t="s">
        <v>25</v>
      </c>
      <c r="R700" s="430">
        <v>0.8</v>
      </c>
      <c r="S700" s="430">
        <v>2</v>
      </c>
      <c r="U700" s="430">
        <v>0.8</v>
      </c>
      <c r="V700" s="430">
        <v>2</v>
      </c>
      <c r="W700" s="455"/>
    </row>
    <row r="701" spans="1:24" hidden="1">
      <c r="A701" s="1043"/>
      <c r="B701" s="1205" t="s">
        <v>324</v>
      </c>
      <c r="C701" s="1044">
        <f>C700*C304/(C304-C700)</f>
        <v>-154.66666666666671</v>
      </c>
      <c r="D701" s="1044" t="e">
        <f>D700*D304/(D304-D700)</f>
        <v>#DIV/0!</v>
      </c>
      <c r="F701" s="1116"/>
      <c r="G701" s="995"/>
      <c r="H701" s="932"/>
      <c r="I701" s="1122"/>
      <c r="J701" s="1135"/>
      <c r="K701" s="995"/>
      <c r="L701" s="995"/>
      <c r="M701" s="249"/>
      <c r="N701" s="1204" t="s">
        <v>26</v>
      </c>
      <c r="R701" s="430">
        <v>23</v>
      </c>
      <c r="S701" s="430">
        <v>21</v>
      </c>
      <c r="U701" s="430">
        <v>23</v>
      </c>
      <c r="V701" s="430">
        <v>21</v>
      </c>
      <c r="W701" s="455"/>
    </row>
    <row r="702" spans="1:24" hidden="1">
      <c r="A702" s="1043"/>
      <c r="B702" s="1206" t="s">
        <v>325</v>
      </c>
      <c r="C702" s="1102">
        <f>10^6/(PI()*2*(C701-C699)*C324)</f>
        <v>-2.0580380572227841</v>
      </c>
      <c r="D702" s="1102" t="e">
        <f>10^6/(PI()*2*(D701-D699)*D324)</f>
        <v>#DIV/0!</v>
      </c>
      <c r="F702" s="1116"/>
      <c r="G702" s="995"/>
      <c r="H702" s="932"/>
      <c r="I702" s="932"/>
      <c r="J702" s="995"/>
      <c r="K702" s="995"/>
      <c r="L702" s="995"/>
      <c r="M702" s="249"/>
      <c r="N702" s="1204" t="s">
        <v>27</v>
      </c>
      <c r="R702" s="246">
        <v>0.7</v>
      </c>
      <c r="S702" s="246">
        <v>0.7</v>
      </c>
      <c r="U702" s="246">
        <v>0.7</v>
      </c>
      <c r="V702" s="246">
        <v>0.7</v>
      </c>
      <c r="W702" s="455"/>
    </row>
    <row r="703" spans="1:24" hidden="1">
      <c r="A703" s="1043"/>
      <c r="B703" s="314" t="s">
        <v>1034</v>
      </c>
      <c r="C703" s="1161">
        <f>F157</f>
        <v>12</v>
      </c>
      <c r="D703" s="1161">
        <f>F158</f>
        <v>1</v>
      </c>
      <c r="F703" s="995"/>
      <c r="G703" s="995"/>
      <c r="H703" s="932"/>
      <c r="I703" s="995"/>
      <c r="J703" s="1438"/>
      <c r="K703" s="1438"/>
      <c r="L703" s="995"/>
      <c r="M703" s="249"/>
      <c r="N703" s="1207" t="s">
        <v>29</v>
      </c>
      <c r="O703" s="554"/>
      <c r="P703" s="554"/>
      <c r="Q703" s="554"/>
      <c r="R703" s="462">
        <v>2.5</v>
      </c>
      <c r="S703" s="462">
        <v>6.2</v>
      </c>
      <c r="T703" s="455"/>
      <c r="U703" s="462">
        <v>2.5</v>
      </c>
      <c r="V703" s="462">
        <v>6.2</v>
      </c>
      <c r="W703" s="455"/>
    </row>
    <row r="704" spans="1:24" hidden="1">
      <c r="A704" s="1043"/>
      <c r="B704" s="1042" t="s">
        <v>326</v>
      </c>
      <c r="C704" s="1044">
        <f>(10^6/(PI()*2*C703*C324)+C699)*C304/(C304+10^6/(PI()*2*C703*C324)+C699)</f>
        <v>15.949189240555535</v>
      </c>
      <c r="D704" s="1044">
        <f>(10^6/(PI()*2*D703*D324)+D699)*D304/(D304+10^6/(PI()*2*D703*D324)+D699)</f>
        <v>0</v>
      </c>
      <c r="F704" s="995"/>
      <c r="G704" s="995"/>
      <c r="H704" s="932"/>
      <c r="I704" s="995"/>
      <c r="J704" s="1438"/>
      <c r="K704" s="1438"/>
      <c r="L704" s="995"/>
      <c r="M704" s="249"/>
      <c r="N704" s="1207" t="s">
        <v>31</v>
      </c>
      <c r="O704" s="554"/>
      <c r="P704" s="554"/>
      <c r="Q704" s="554"/>
      <c r="R704" s="462">
        <v>0.8</v>
      </c>
      <c r="S704" s="462">
        <v>2</v>
      </c>
      <c r="T704" s="455"/>
      <c r="U704" s="462">
        <v>0.8</v>
      </c>
      <c r="V704" s="462">
        <v>2</v>
      </c>
      <c r="W704" s="455"/>
    </row>
    <row r="705" spans="1:23" hidden="1">
      <c r="A705" s="1043"/>
      <c r="B705" s="1042" t="s">
        <v>320</v>
      </c>
      <c r="C705" s="1102">
        <f>IF(C$703=0,C695,C692*C301/(C301+C704))</f>
        <v>24.645659553841181</v>
      </c>
      <c r="D705" s="1102" t="e">
        <f>IF(D$703=0,D695,D692*D301/(D301+D704))</f>
        <v>#DIV/0!</v>
      </c>
      <c r="F705" s="995"/>
      <c r="G705" s="995"/>
      <c r="H705" s="932"/>
      <c r="I705" s="995"/>
      <c r="J705" s="1122"/>
      <c r="K705" s="995"/>
      <c r="L705" s="995"/>
      <c r="M705" s="249"/>
      <c r="N705" s="1207" t="s">
        <v>32</v>
      </c>
      <c r="O705" s="554"/>
      <c r="P705" s="554"/>
      <c r="Q705" s="554"/>
      <c r="R705" s="462">
        <v>50</v>
      </c>
      <c r="S705" s="462">
        <v>50</v>
      </c>
      <c r="T705" s="455"/>
      <c r="U705" s="462">
        <v>50</v>
      </c>
      <c r="V705" s="462">
        <v>50</v>
      </c>
      <c r="W705" s="455"/>
    </row>
    <row r="706" spans="1:23" hidden="1">
      <c r="A706" s="1043"/>
      <c r="B706" s="1042" t="s">
        <v>321</v>
      </c>
      <c r="C706" s="1102">
        <f>IF(C$703=0,C696,C693*C301/(C301+C704))</f>
        <v>24.977587628640382</v>
      </c>
      <c r="D706" s="1102" t="e">
        <f>IF(D$703=0,D696,D693*D301/(D301+D704))</f>
        <v>#DIV/0!</v>
      </c>
      <c r="G706" s="995"/>
      <c r="H706" s="932"/>
      <c r="I706" s="995"/>
      <c r="J706" s="1122"/>
      <c r="K706" s="995"/>
      <c r="L706" s="995"/>
      <c r="M706" s="249"/>
      <c r="N706" s="1207" t="s">
        <v>327</v>
      </c>
      <c r="O706" s="554"/>
      <c r="P706" s="554"/>
      <c r="Q706" s="554"/>
      <c r="R706" s="451">
        <v>4600</v>
      </c>
      <c r="S706" s="451">
        <v>3900</v>
      </c>
      <c r="T706" s="442"/>
      <c r="U706" s="451">
        <v>4600</v>
      </c>
      <c r="V706" s="451">
        <v>3900</v>
      </c>
      <c r="W706" s="455"/>
    </row>
    <row r="707" spans="1:23" hidden="1">
      <c r="A707" s="1043"/>
      <c r="B707" s="1042" t="s">
        <v>613</v>
      </c>
      <c r="C707" s="1102">
        <f>IF(C$703=0,C697,C694*C301/(C301+C704))</f>
        <v>25.281266505584341</v>
      </c>
      <c r="D707" s="1102" t="e">
        <f>IF(D$703=0,D697,D694*D301/(D301+D704))</f>
        <v>#DIV/0!</v>
      </c>
      <c r="G707" s="995"/>
      <c r="H707" s="932"/>
      <c r="I707" s="1116"/>
      <c r="J707" s="1197"/>
      <c r="K707" s="995"/>
      <c r="L707" s="995"/>
      <c r="M707" s="249"/>
      <c r="N707" s="1204" t="s">
        <v>33</v>
      </c>
      <c r="R707" s="430">
        <v>360</v>
      </c>
      <c r="S707" s="430">
        <v>600</v>
      </c>
      <c r="U707" s="430">
        <v>360</v>
      </c>
      <c r="V707" s="430">
        <v>600</v>
      </c>
      <c r="W707" s="455"/>
    </row>
    <row r="708" spans="1:23" hidden="1">
      <c r="A708" s="1043"/>
      <c r="B708" s="314" t="s">
        <v>328</v>
      </c>
      <c r="C708" s="314" t="str">
        <f>IF(C692&lt;10,"Vripple must be more than 10mV",IF(C702&lt;0,"unnecessary","Approx. "&amp;TEXT(C702,"#.0")&amp;"pF"))</f>
        <v>unnecessary</v>
      </c>
      <c r="D708" s="314" t="e">
        <f>IF(D692&lt;10,"Vripple must be more than 10mV",IF(D702&lt;0,"unnecessary","Approx. "&amp;TEXT(D702,"#.0")&amp;"pF"))</f>
        <v>#DIV/0!</v>
      </c>
      <c r="F708" s="1145"/>
      <c r="G708" s="995"/>
      <c r="H708" s="995"/>
      <c r="I708" s="995"/>
      <c r="J708" s="995"/>
      <c r="K708" s="995"/>
      <c r="L708" s="995"/>
      <c r="M708" s="249"/>
      <c r="N708" s="1183" t="s">
        <v>329</v>
      </c>
      <c r="O708" s="540"/>
      <c r="P708" s="540"/>
      <c r="Q708" s="541"/>
      <c r="R708" s="555">
        <v>3.3</v>
      </c>
      <c r="S708" s="555">
        <v>0</v>
      </c>
      <c r="T708" s="442"/>
      <c r="U708" s="555">
        <v>3.3</v>
      </c>
      <c r="V708" s="555">
        <v>0</v>
      </c>
      <c r="W708" s="442"/>
    </row>
    <row r="709" spans="1:23" hidden="1">
      <c r="A709" s="1043"/>
      <c r="F709" s="1164"/>
      <c r="G709" s="995"/>
      <c r="H709" s="1208"/>
      <c r="I709" s="995"/>
      <c r="J709" s="995"/>
      <c r="K709" s="995"/>
      <c r="L709" s="995"/>
      <c r="M709" s="249"/>
      <c r="N709" s="1209" t="s">
        <v>34</v>
      </c>
      <c r="O709" s="410"/>
      <c r="P709" s="410"/>
      <c r="Q709" s="556"/>
      <c r="R709" s="555">
        <v>5</v>
      </c>
      <c r="S709" s="555"/>
      <c r="T709" s="442"/>
      <c r="U709" s="555"/>
      <c r="V709" s="555"/>
      <c r="W709" s="442"/>
    </row>
    <row r="710" spans="1:23" hidden="1">
      <c r="A710" s="1043"/>
      <c r="B710" s="1210" t="s">
        <v>826</v>
      </c>
      <c r="C710" s="1211">
        <f>H65</f>
        <v>1</v>
      </c>
      <c r="D710" s="1211">
        <f>H66</f>
        <v>1</v>
      </c>
      <c r="F710" s="1145"/>
      <c r="G710" s="995"/>
      <c r="H710" s="995"/>
      <c r="I710" s="1212"/>
      <c r="J710" s="995"/>
      <c r="K710" s="995"/>
      <c r="L710" s="995"/>
      <c r="M710" s="249"/>
      <c r="N710" s="1209" t="s">
        <v>36</v>
      </c>
      <c r="O710" s="410"/>
      <c r="P710" s="410"/>
      <c r="Q710" s="556"/>
      <c r="R710" s="555">
        <v>0.1</v>
      </c>
      <c r="S710" s="555">
        <v>0</v>
      </c>
      <c r="T710" s="442"/>
      <c r="U710" s="555"/>
      <c r="V710" s="555"/>
      <c r="W710" s="442"/>
    </row>
    <row r="711" spans="1:23" hidden="1">
      <c r="A711" s="1043"/>
      <c r="B711" s="1210" t="s">
        <v>827</v>
      </c>
      <c r="C711" s="1211">
        <f>J65</f>
        <v>0.02</v>
      </c>
      <c r="D711" s="1211">
        <f>J66</f>
        <v>0.02</v>
      </c>
      <c r="F711" s="1145"/>
      <c r="G711" s="995"/>
      <c r="H711" s="1043"/>
      <c r="I711" s="1043"/>
      <c r="J711" s="1043"/>
      <c r="K711" s="995"/>
      <c r="L711" s="995"/>
      <c r="M711" s="249"/>
      <c r="N711" s="1185" t="s">
        <v>40</v>
      </c>
      <c r="O711" s="557"/>
      <c r="P711" s="557"/>
      <c r="Q711" s="558"/>
      <c r="R711" s="555">
        <f>($R$709-$R$710)/($R$696+$R$708+$C$800)</f>
        <v>0.81666666666666676</v>
      </c>
      <c r="S711" s="555"/>
      <c r="T711" s="442"/>
      <c r="U711" s="555"/>
      <c r="V711" s="555"/>
      <c r="W711" s="442"/>
    </row>
    <row r="712" spans="1:23" hidden="1">
      <c r="A712" s="1043"/>
      <c r="B712" s="1210" t="s">
        <v>1066</v>
      </c>
      <c r="C712" s="1210">
        <f>C337*(C332*C710+0.5*C351)^2/(C225^2*((1+C711)^2-1))</f>
        <v>446.35762539216893</v>
      </c>
      <c r="D712" s="1210" t="e">
        <f>D337*(D332*D710+0.5*D351)^2/(D225^2*((1+D711)^2-1))</f>
        <v>#DIV/0!</v>
      </c>
      <c r="F712" s="995"/>
      <c r="G712" s="995"/>
      <c r="H712" s="995"/>
      <c r="I712" s="995"/>
      <c r="J712" s="995"/>
      <c r="K712" s="995"/>
      <c r="L712" s="995"/>
      <c r="M712" s="249"/>
      <c r="S712" s="2"/>
    </row>
    <row r="713" spans="1:23" hidden="1">
      <c r="A713" s="1043"/>
      <c r="B713" s="1210"/>
      <c r="C713" s="1210" t="str">
        <f>"More than "&amp;TEXT(C712, "#")&amp;"-uF"</f>
        <v>More than 446-uF</v>
      </c>
      <c r="D713" s="1210" t="e">
        <f>"More than "&amp;TEXT(D712, "#")&amp;"-uF"</f>
        <v>#DIV/0!</v>
      </c>
      <c r="F713" s="995"/>
      <c r="G713" s="995"/>
      <c r="H713" s="995"/>
      <c r="I713" s="995"/>
      <c r="J713" s="1213"/>
      <c r="K713" s="995"/>
      <c r="L713" s="995"/>
      <c r="M713" s="249"/>
      <c r="S713" s="2"/>
    </row>
    <row r="714" spans="1:23" hidden="1">
      <c r="A714" s="1043"/>
      <c r="B714" s="1214" t="s">
        <v>1068</v>
      </c>
      <c r="C714" s="1215">
        <f>I65</f>
        <v>2.5</v>
      </c>
      <c r="D714" s="1215">
        <f>I66</f>
        <v>2.5</v>
      </c>
      <c r="F714" s="995"/>
      <c r="G714" s="995"/>
      <c r="H714" s="995"/>
      <c r="I714" s="995"/>
      <c r="J714" s="1213"/>
      <c r="K714" s="995"/>
      <c r="L714" s="995"/>
      <c r="M714" s="249"/>
      <c r="S714" s="2"/>
    </row>
    <row r="715" spans="1:23" hidden="1">
      <c r="A715" s="1043"/>
      <c r="B715" s="1214" t="s">
        <v>1069</v>
      </c>
      <c r="C715" s="1216">
        <f>1000/C324</f>
        <v>2</v>
      </c>
      <c r="D715" s="1216">
        <f>1000/D324</f>
        <v>2</v>
      </c>
      <c r="F715" s="995"/>
      <c r="G715" s="995"/>
      <c r="H715" s="995"/>
      <c r="I715" s="995"/>
      <c r="J715" s="1213"/>
      <c r="K715" s="995"/>
      <c r="L715" s="995"/>
      <c r="M715" s="249"/>
      <c r="S715" s="2"/>
    </row>
    <row r="716" spans="1:23" hidden="1">
      <c r="A716" s="1043"/>
      <c r="B716" s="1214" t="s">
        <v>1071</v>
      </c>
      <c r="C716" s="1216">
        <f>C332*C710/C714</f>
        <v>5.12</v>
      </c>
      <c r="D716" s="1216">
        <f>D332*D710/D714</f>
        <v>0.4</v>
      </c>
      <c r="F716" s="995"/>
      <c r="G716" s="995"/>
      <c r="H716" s="995"/>
      <c r="I716" s="995"/>
      <c r="J716" s="1213"/>
      <c r="K716" s="995"/>
      <c r="L716" s="995"/>
      <c r="M716" s="249"/>
      <c r="S716" s="2"/>
    </row>
    <row r="717" spans="1:23" hidden="1">
      <c r="A717" s="1043"/>
      <c r="B717" s="1214" t="s">
        <v>1076</v>
      </c>
      <c r="C717" s="1216">
        <f>C332*C710*C336/(C328-C226)</f>
        <v>1.706666666666667</v>
      </c>
      <c r="D717" s="1216" t="e">
        <f>D332*D710*D336/(D328-D226)</f>
        <v>#DIV/0!</v>
      </c>
      <c r="F717" s="995"/>
      <c r="G717" s="995"/>
      <c r="H717" s="995"/>
      <c r="I717" s="995"/>
      <c r="J717" s="1213"/>
      <c r="K717" s="995"/>
      <c r="L717" s="995"/>
      <c r="M717" s="249"/>
      <c r="S717" s="2"/>
    </row>
    <row r="718" spans="1:23" hidden="1">
      <c r="A718" s="1043"/>
      <c r="B718" s="1214" t="s">
        <v>1077</v>
      </c>
      <c r="C718" s="1216">
        <f>C336/(C328-C226)*C717</f>
        <v>0.22755555555555559</v>
      </c>
      <c r="D718" s="1216"/>
      <c r="F718" s="995"/>
      <c r="G718" s="995"/>
      <c r="H718" s="995"/>
      <c r="I718" s="995"/>
      <c r="J718" s="1213"/>
      <c r="K718" s="995"/>
      <c r="L718" s="995"/>
      <c r="M718" s="249"/>
      <c r="S718" s="2"/>
    </row>
    <row r="719" spans="1:23" hidden="1">
      <c r="A719" s="1043"/>
      <c r="B719" s="1214" t="s">
        <v>1070</v>
      </c>
      <c r="C719" s="1216">
        <f>(C715+C717-(C716-C715))/2*C710*C332</f>
        <v>3.7546666666666684</v>
      </c>
      <c r="D719" s="1216" t="e">
        <f>(D715+D717-(D716-D715))/2*D710*D332</f>
        <v>#DIV/0!</v>
      </c>
      <c r="F719" s="995"/>
      <c r="G719" s="995"/>
      <c r="H719" s="995"/>
      <c r="I719" s="995"/>
      <c r="J719" s="1213"/>
      <c r="K719" s="995"/>
      <c r="L719" s="995"/>
      <c r="M719" s="249"/>
      <c r="S719" s="2"/>
    </row>
    <row r="720" spans="1:23" hidden="1">
      <c r="A720" s="1043"/>
      <c r="B720" s="1214" t="s">
        <v>1072</v>
      </c>
      <c r="C720" s="1216">
        <f>0.5*(C332*C710)^2*C336/(C328-C226)</f>
        <v>10.92266666666667</v>
      </c>
      <c r="D720" s="1216" t="e">
        <f>0.5*(D332*D710)^2*D336/(D328-D226)</f>
        <v>#DIV/0!</v>
      </c>
      <c r="F720" s="995"/>
      <c r="G720" s="995"/>
      <c r="H720" s="995"/>
      <c r="I720" s="995"/>
      <c r="J720" s="1213"/>
      <c r="K720" s="995"/>
      <c r="L720" s="995"/>
      <c r="M720" s="249"/>
      <c r="S720" s="2"/>
    </row>
    <row r="721" spans="1:24" hidden="1">
      <c r="A721" s="1043"/>
      <c r="B721" s="1210" t="s">
        <v>1073</v>
      </c>
      <c r="C721" s="1217">
        <f>C711</f>
        <v>0.02</v>
      </c>
      <c r="D721" s="1217">
        <f>D711</f>
        <v>0.02</v>
      </c>
      <c r="F721" s="995"/>
      <c r="G721" s="995"/>
      <c r="H721" s="995"/>
      <c r="I721" s="995"/>
      <c r="J721" s="1213"/>
      <c r="K721" s="995"/>
      <c r="L721" s="995"/>
      <c r="M721" s="249"/>
      <c r="S721" s="2"/>
    </row>
    <row r="722" spans="1:24" hidden="1">
      <c r="A722" s="1043"/>
      <c r="B722" s="1210" t="s">
        <v>1067</v>
      </c>
      <c r="C722" s="1218">
        <f>(C719-C720)/(C226*C721)</f>
        <v>-71.680000000000007</v>
      </c>
      <c r="D722" s="1218" t="e">
        <f>(D719-D720)/(D226*D721)</f>
        <v>#DIV/0!</v>
      </c>
      <c r="F722" s="995"/>
      <c r="G722" s="995"/>
      <c r="H722" s="995"/>
      <c r="I722" s="995"/>
      <c r="J722" s="1213"/>
      <c r="K722" s="995"/>
      <c r="L722" s="995"/>
      <c r="M722" s="249"/>
      <c r="S722" s="2"/>
    </row>
    <row r="723" spans="1:24" hidden="1">
      <c r="A723" s="1043"/>
      <c r="B723" s="1210"/>
      <c r="C723" s="1210" t="str">
        <f>"More than "&amp;TEXT(C722, "#")&amp;"-uF"</f>
        <v>More than -72-uF</v>
      </c>
      <c r="D723" s="1210" t="e">
        <f>"More than "&amp;TEXT(D722, "#")&amp;"-uF"</f>
        <v>#DIV/0!</v>
      </c>
      <c r="F723" s="995"/>
      <c r="G723" s="995"/>
      <c r="H723" s="995"/>
      <c r="I723" s="995"/>
      <c r="J723" s="1213"/>
      <c r="K723" s="995"/>
      <c r="L723" s="995"/>
      <c r="M723" s="249"/>
      <c r="S723" s="2"/>
    </row>
    <row r="724" spans="1:24" hidden="1">
      <c r="A724" s="1043"/>
      <c r="B724" s="1210" t="s">
        <v>1075</v>
      </c>
      <c r="C724" s="1210" t="str">
        <f>"More than "&amp;TEXT(MAX(C712,C722), "#")&amp;"-uF"</f>
        <v>More than 446-uF</v>
      </c>
      <c r="D724" s="1210" t="e">
        <f>"More than "&amp;TEXT(MAX(D712,D722), "#")&amp;"-uF"</f>
        <v>#DIV/0!</v>
      </c>
      <c r="F724" s="995"/>
      <c r="G724" s="995"/>
      <c r="H724" s="995"/>
      <c r="I724" s="995"/>
      <c r="J724" s="1213"/>
      <c r="K724" s="995"/>
      <c r="L724" s="995"/>
      <c r="M724" s="249"/>
      <c r="S724" s="2"/>
    </row>
    <row r="725" spans="1:24" hidden="1">
      <c r="A725" s="1043"/>
      <c r="F725" s="995"/>
      <c r="G725" s="995"/>
      <c r="H725" s="995"/>
      <c r="I725" s="1135"/>
      <c r="J725" s="1213"/>
      <c r="K725" s="995"/>
      <c r="L725" s="995"/>
      <c r="M725" s="249"/>
      <c r="N725" s="1059"/>
      <c r="O725" s="246" t="s">
        <v>874</v>
      </c>
      <c r="P725" s="246" t="s">
        <v>874</v>
      </c>
      <c r="Q725" s="246" t="s">
        <v>952</v>
      </c>
      <c r="R725" s="559" t="s">
        <v>42</v>
      </c>
      <c r="S725" s="246" t="s">
        <v>874</v>
      </c>
      <c r="T725" s="246" t="s">
        <v>952</v>
      </c>
      <c r="U725" s="559" t="s">
        <v>42</v>
      </c>
    </row>
    <row r="726" spans="1:24" hidden="1">
      <c r="B726" s="1010" t="s">
        <v>330</v>
      </c>
      <c r="C726" s="1162"/>
      <c r="D726" s="1163"/>
      <c r="F726" s="995"/>
      <c r="G726" s="995"/>
      <c r="H726" s="995"/>
      <c r="I726" s="1135"/>
      <c r="J726" s="995"/>
      <c r="K726" s="995"/>
      <c r="L726" s="995"/>
      <c r="M726" s="249"/>
      <c r="N726" s="1040"/>
      <c r="O726" s="560" t="s">
        <v>975</v>
      </c>
      <c r="P726" s="560" t="s">
        <v>975</v>
      </c>
      <c r="Q726" s="447" t="s">
        <v>975</v>
      </c>
      <c r="R726" s="447" t="s">
        <v>975</v>
      </c>
      <c r="S726" s="447" t="s">
        <v>974</v>
      </c>
      <c r="T726" s="447" t="s">
        <v>974</v>
      </c>
      <c r="U726" s="447" t="s">
        <v>974</v>
      </c>
    </row>
    <row r="727" spans="1:24" hidden="1">
      <c r="B727" s="314" t="s">
        <v>331</v>
      </c>
      <c r="C727" s="1219">
        <f>C126</f>
        <v>0.01</v>
      </c>
      <c r="D727" s="1219">
        <f>C127</f>
        <v>0.01</v>
      </c>
      <c r="F727" s="995"/>
      <c r="G727" s="995"/>
      <c r="H727" s="995"/>
      <c r="I727" s="1135"/>
      <c r="J727" s="995"/>
      <c r="K727" s="995"/>
      <c r="L727" s="995"/>
      <c r="M727" s="249"/>
      <c r="N727" s="1053" t="s">
        <v>868</v>
      </c>
      <c r="O727" s="561">
        <f>2*($C$784+$H$517)/($H$517+$C$784+MAX($H$517, $C$784))*SQRT(($C$784)^2+($H$517)^2)</f>
        <v>0.1</v>
      </c>
      <c r="P727" s="561">
        <f>2*($C$784+$H$517)/($H$517+$C$784+MAX($H$517, $C$784))*SQRT(($C$784)^2+($H$517)^2)</f>
        <v>0.1</v>
      </c>
      <c r="R727" s="526">
        <f>2*($C$784+$H$517)/($H$517+$C$784+MAX($H$517, $C$784))*SQRT(($C$784)^2+($H$517)^2)</f>
        <v>0.1</v>
      </c>
      <c r="S727" s="526">
        <f>2*($C$784+$I$517)/($I$517+$C$784+MAX($I$517, $C$784))*SQRT(($C$784)^2+($I$517)^2)</f>
        <v>0.1</v>
      </c>
      <c r="U727" s="526">
        <f>2*($C$784+$I$517)/($I$517+$C$784+MAX($I$517, $C$784))*SQRT(($C$784)^2+($I$517)^2)</f>
        <v>0.1</v>
      </c>
    </row>
    <row r="728" spans="1:24" hidden="1">
      <c r="B728" s="314" t="s">
        <v>1181</v>
      </c>
      <c r="C728" s="988">
        <f>C225*C727*1000</f>
        <v>50</v>
      </c>
      <c r="D728" s="988">
        <f>D225*D727*1000</f>
        <v>0</v>
      </c>
      <c r="F728" s="1106"/>
      <c r="G728" s="995"/>
      <c r="H728" s="1037"/>
      <c r="I728" s="1068"/>
      <c r="J728" s="995"/>
      <c r="K728" s="995"/>
      <c r="L728" s="995"/>
      <c r="M728" s="249"/>
      <c r="N728" s="1053" t="s">
        <v>43</v>
      </c>
      <c r="O728" s="561">
        <f>2*($D$785+$H$555)/($D$785+$H$555+MAX($D$785, $H$555))*SQRT(($D$785)^2+($H$555)^2)</f>
        <v>8.3333333333333329E-2</v>
      </c>
      <c r="P728" s="561">
        <f>2*($D$785+$H$555)/($D$785+$H$555+MAX($D$785, $H$555))*SQRT(($D$785)^2+($H$555)^2)</f>
        <v>8.3333333333333329E-2</v>
      </c>
      <c r="Q728" s="432">
        <f>2*($D$785+$H$553)/($D$785+$H$553+MAX($D$785, $H$553))*SQRT(($D$785)^2+($H$553)^2)</f>
        <v>8.3333333333333329E-2</v>
      </c>
      <c r="R728" s="432">
        <f>2*($D$785+$H$553)/($D$785+$H$553+MAX($D$785, $H$553))*SQRT(($D$785)^2+($H$553)^2)</f>
        <v>8.3333333333333329E-2</v>
      </c>
      <c r="S728" s="526">
        <f>2*($D$785+$I$555)/($D$785+$I$555+MAX($D$785, $I$555))*SQRT(($D$785)^2+($I$555)^2)</f>
        <v>8.3333333333333329E-2</v>
      </c>
      <c r="T728" s="432">
        <f>2*($D$785+$I$553)/($D$785+$I$553+MAX($D$785, $I$553))*SQRT(($D$785)^2+($I$553)^2)</f>
        <v>8.3333333333333329E-2</v>
      </c>
      <c r="U728" s="432">
        <f>2*($D$785+$I$553)/($D$785+$I$553+MAX($D$785, $I$553))*SQRT(($D$785)^2+($I$553)^2)</f>
        <v>8.3333333333333329E-2</v>
      </c>
    </row>
    <row r="729" spans="1:24" hidden="1">
      <c r="A729" s="1043"/>
      <c r="B729" s="307" t="s">
        <v>290</v>
      </c>
      <c r="C729" s="267">
        <f>200*C332/C520*C226/C728</f>
        <v>22.708309333333336</v>
      </c>
      <c r="D729" s="267" t="e">
        <f>200*D332/D520*D226/D728</f>
        <v>#DIV/0!</v>
      </c>
      <c r="E729" s="1058"/>
      <c r="F729" s="1200"/>
      <c r="G729" s="995"/>
      <c r="H729" s="995"/>
      <c r="I729" s="1135"/>
      <c r="J729" s="995"/>
      <c r="K729" s="995"/>
      <c r="L729" s="995"/>
      <c r="M729" s="249"/>
      <c r="N729" s="1053" t="s">
        <v>44</v>
      </c>
      <c r="O729" s="562">
        <f>2*($D$785+$H$555)/($D$785+$H$555+MAX($D$785, $H$555))*SQRT(($D$785)^2+($H$555)^2)</f>
        <v>8.3333333333333329E-2</v>
      </c>
      <c r="P729" s="562">
        <f>2*($D$785+$H$555)/($D$785+$H$555+MAX($D$785, $H$555))*SQRT(($D$785)^2+($H$555)^2)</f>
        <v>8.3333333333333329E-2</v>
      </c>
      <c r="Q729" s="526">
        <f>2*($D$785+$H$553)/($D$785+$H$553+MAX($D$785, $H$553))*SQRT(($D$785)^2+($H$553)^2)</f>
        <v>8.3333333333333329E-2</v>
      </c>
      <c r="R729" s="526">
        <f>2*($D$785+$H$553)/($D$785+2*$H$553)*SQRT(($D$785)^2+($H$553)^2)</f>
        <v>0.16666666666666666</v>
      </c>
      <c r="S729" s="432">
        <f>2*($D$785+$I$555)/($D$785+$I$555+MAX($D$785, $I$555))*SQRT(($D$785)^2+($I$555)^2)</f>
        <v>8.3333333333333329E-2</v>
      </c>
      <c r="T729" s="526">
        <f>2*($D$785+$I$553)/($D$785+2*$I$553)*SQRT(($D$785)^2+($I$553)^2)</f>
        <v>0.16666666666666666</v>
      </c>
      <c r="U729" s="526">
        <f>2*($D$785+$I$553)/($D$785+2*$I$553)*SQRT(($D$785)^2+($I$553)^2)</f>
        <v>0.16666666666666666</v>
      </c>
    </row>
    <row r="730" spans="1:24" hidden="1">
      <c r="A730" s="1043"/>
      <c r="B730" s="307" t="s">
        <v>332</v>
      </c>
      <c r="C730" s="999">
        <f>G126</f>
        <v>15</v>
      </c>
      <c r="D730" s="999">
        <f>G127</f>
        <v>12</v>
      </c>
      <c r="E730" s="1058"/>
      <c r="F730" s="1200"/>
      <c r="G730" s="995"/>
      <c r="H730" s="1220"/>
      <c r="I730" s="1213"/>
      <c r="J730" s="995"/>
      <c r="K730" s="995"/>
      <c r="L730" s="995"/>
      <c r="M730" s="249"/>
      <c r="N730" s="1053" t="s">
        <v>879</v>
      </c>
      <c r="O730" s="561"/>
      <c r="P730" s="561"/>
      <c r="Q730" s="563" t="e">
        <f>2*($D$785+$H$553+#REF!)/($D$785+$H$553+#REF!+ MAX($D$785, $H$553,#REF!))*SQRT(($D$785)^2+($H$553)^2+(#REF!)^2)</f>
        <v>#REF!</v>
      </c>
      <c r="R730" s="526" t="e">
        <f>2*($D$785+$H$553+#REF!)/($D$785+$H$553+#REF!+ MAX($D$785, $H$553,#REF!))*SQRT(($D$785)^2+($H$553)^2+(#REF!)^2)</f>
        <v>#REF!</v>
      </c>
      <c r="S730" s="526"/>
      <c r="T730" s="526" t="e">
        <f>2*($D$785+$I$553+$C$818)/($D$785+2*$I$553+$C$818)*SQRT(($D$785)^2+($I$553)^2+($C$818)^2)</f>
        <v>#VALUE!</v>
      </c>
      <c r="U730" s="526" t="e">
        <f>2*($D$785+$I$553+$C$818)/($D$785+2*$I$553+$C$818)*SQRT(($D$785)^2+($I$553)^2+($C$818)^2)</f>
        <v>#VALUE!</v>
      </c>
    </row>
    <row r="731" spans="1:24" hidden="1">
      <c r="A731" s="1043"/>
      <c r="B731" s="307" t="s">
        <v>292</v>
      </c>
      <c r="C731" s="997" t="str">
        <f>"&gt; "&amp;TEXT(15/PI()*C520/C$226*C797*C730/C324, "#")&amp;" uF"</f>
        <v>&gt; 161 uF</v>
      </c>
      <c r="D731" s="997" t="e">
        <f>"&gt; "&amp;TEXT(15/PI()*D520/D$226*D797*D730/D324, "#")&amp;" uF"</f>
        <v>#DIV/0!</v>
      </c>
      <c r="E731" s="1106"/>
      <c r="F731" s="1106"/>
      <c r="G731" s="995"/>
      <c r="H731" s="1220"/>
      <c r="I731" s="1213"/>
      <c r="J731" s="995"/>
      <c r="K731" s="995"/>
      <c r="L731" s="995"/>
      <c r="M731" s="249"/>
      <c r="N731" s="1221" t="s">
        <v>45</v>
      </c>
      <c r="O731" s="18">
        <v>0</v>
      </c>
      <c r="P731" s="18">
        <v>0</v>
      </c>
      <c r="Q731" s="431"/>
      <c r="S731" s="526"/>
      <c r="T731" s="2"/>
      <c r="X731" s="246"/>
    </row>
    <row r="732" spans="1:24" ht="14" hidden="1" thickBot="1">
      <c r="A732" s="1043"/>
      <c r="B732" s="307" t="s">
        <v>293</v>
      </c>
      <c r="C732" s="988">
        <f>C120*E120</f>
        <v>660</v>
      </c>
      <c r="D732" s="988">
        <f>C121*E121</f>
        <v>470</v>
      </c>
      <c r="E732" s="995"/>
      <c r="F732" s="1106"/>
      <c r="G732" s="995"/>
      <c r="H732" s="995"/>
      <c r="I732" s="1135"/>
      <c r="J732" s="995"/>
      <c r="K732" s="995"/>
      <c r="L732" s="995"/>
      <c r="M732" s="249"/>
      <c r="N732" s="1222" t="s">
        <v>1119</v>
      </c>
      <c r="O732" s="19"/>
      <c r="P732" s="19"/>
      <c r="Q732" s="19"/>
      <c r="R732" s="410"/>
      <c r="S732" s="410"/>
      <c r="T732" s="410"/>
      <c r="U732" s="20"/>
      <c r="V732" s="20"/>
      <c r="W732" s="20"/>
    </row>
    <row r="733" spans="1:24" ht="14" hidden="1" thickBot="1">
      <c r="A733" s="1043"/>
      <c r="B733" s="307" t="s">
        <v>294</v>
      </c>
      <c r="C733" s="267">
        <f>PI()/15/C520*C226/C797*C324*C732</f>
        <v>61.308034027147635</v>
      </c>
      <c r="D733" s="267" t="e">
        <f>PI()/15/D520*D226/D797*D324*D732</f>
        <v>#DIV/0!</v>
      </c>
      <c r="E733" s="995"/>
      <c r="F733" s="995"/>
      <c r="G733" s="995"/>
      <c r="H733" s="995"/>
      <c r="I733" s="1135"/>
      <c r="J733" s="995"/>
      <c r="K733" s="995"/>
      <c r="L733" s="995"/>
      <c r="M733" s="249"/>
      <c r="N733" s="1223" t="s">
        <v>829</v>
      </c>
      <c r="O733" s="1428" t="s">
        <v>1005</v>
      </c>
      <c r="P733" s="1429"/>
      <c r="Q733" s="1430"/>
      <c r="R733" s="1431"/>
      <c r="S733" s="84" t="s">
        <v>1006</v>
      </c>
      <c r="T733" s="85"/>
      <c r="U733" s="86"/>
      <c r="V733" s="246"/>
    </row>
    <row r="734" spans="1:24" hidden="1">
      <c r="A734" s="1043"/>
      <c r="B734" s="307" t="s">
        <v>295</v>
      </c>
      <c r="C734" s="988">
        <f>D65/E65</f>
        <v>17.5</v>
      </c>
      <c r="D734" s="988">
        <f>D66/E66</f>
        <v>35</v>
      </c>
      <c r="E734" s="1106"/>
      <c r="F734" s="995"/>
      <c r="G734" s="995"/>
      <c r="H734" s="995"/>
      <c r="I734" s="1135"/>
      <c r="J734" s="995"/>
      <c r="K734" s="995"/>
      <c r="L734" s="995"/>
      <c r="M734" s="249"/>
      <c r="N734" s="1432" t="s">
        <v>47</v>
      </c>
      <c r="O734" s="564" t="e">
        <f>"Vin= "&amp;TEXT(#REF!,"#.0")&amp;"V"</f>
        <v>#REF!</v>
      </c>
      <c r="P734" s="564" t="e">
        <f>"Vin= "&amp;TEXT(#REF!,"#.0")&amp;"V"</f>
        <v>#REF!</v>
      </c>
      <c r="Q734" s="565" t="e">
        <f>"Vin= "&amp;TEXT(#REF!,"#.0")&amp;"V"</f>
        <v>#REF!</v>
      </c>
      <c r="R734" s="566" t="e">
        <f>"Vin= "&amp;TEXT(#REF!,"#.0")&amp;"V"</f>
        <v>#REF!</v>
      </c>
      <c r="S734" s="564" t="e">
        <f>"Vin= "&amp;TEXT(#REF!,"#.0")&amp;"V"</f>
        <v>#REF!</v>
      </c>
      <c r="T734" s="565" t="e">
        <f>"Vin= "&amp;TEXT(#REF!,"#.0")&amp;"V"</f>
        <v>#REF!</v>
      </c>
      <c r="U734" s="566" t="e">
        <f>"Vin= "&amp;TEXT(#REF!,"#.0")&amp;"V"</f>
        <v>#REF!</v>
      </c>
      <c r="V734" s="246"/>
    </row>
    <row r="735" spans="1:24" ht="39.25" hidden="1" thickBot="1">
      <c r="A735" s="1043"/>
      <c r="B735" s="307" t="s">
        <v>291</v>
      </c>
      <c r="C735" s="1083" t="str">
        <f>"Less than "&amp;TEXT(C733, "#.#")&amp;"-k and more than"&amp;TEXT(C729,"#.#")&amp;"-kohm"</f>
        <v>Less than 61.3-k and more than22.7-kohm</v>
      </c>
      <c r="D735" s="1083" t="e">
        <f>"Less than "&amp;TEXT(D733, "#.#")&amp;"-k and more than"&amp;TEXT(D729,"#.#")&amp;"-kohm"</f>
        <v>#DIV/0!</v>
      </c>
      <c r="E735" s="1116"/>
      <c r="F735" s="995"/>
      <c r="G735" s="995"/>
      <c r="H735" s="1220"/>
      <c r="I735" s="1224"/>
      <c r="J735" s="995"/>
      <c r="K735" s="995"/>
      <c r="L735" s="995"/>
      <c r="M735" s="249"/>
      <c r="N735" s="1433"/>
      <c r="O735" s="567" t="e">
        <f>#REF!</f>
        <v>#REF!</v>
      </c>
      <c r="P735" s="567" t="e">
        <f>#REF!</f>
        <v>#REF!</v>
      </c>
      <c r="Q735" s="568" t="e">
        <f>#REF!</f>
        <v>#REF!</v>
      </c>
      <c r="R735" s="569" t="e">
        <f>#REF!</f>
        <v>#REF!</v>
      </c>
      <c r="S735" s="567" t="e">
        <f>#REF!</f>
        <v>#REF!</v>
      </c>
      <c r="T735" s="568" t="e">
        <f>#REF!</f>
        <v>#REF!</v>
      </c>
      <c r="U735" s="569" t="e">
        <f>#REF!</f>
        <v>#REF!</v>
      </c>
      <c r="V735" s="246"/>
    </row>
    <row r="736" spans="1:24" ht="38.700000000000003" hidden="1">
      <c r="A736" s="1043"/>
      <c r="B736" s="1166"/>
      <c r="C736" s="1083" t="str">
        <f>"More than "&amp;TEXT(C729, "#.#")&amp;"-kohm (less than "&amp;TEXT(C737,"#.#")&amp;"-kohm)"</f>
        <v>More than 22.7-kohm (less than 20.-kohm)</v>
      </c>
      <c r="D736" s="1083" t="e">
        <f>"More than "&amp;TEXT(D729, "#.#")&amp;"-kohm (less than "&amp;TEXT(D737,"#.#")&amp;"-kohm)"</f>
        <v>#DIV/0!</v>
      </c>
      <c r="E736" s="1116"/>
      <c r="F736" s="995"/>
      <c r="G736" s="995"/>
      <c r="H736" s="1225"/>
      <c r="I736" s="1135"/>
      <c r="J736" s="995"/>
      <c r="K736" s="995"/>
      <c r="L736" s="995"/>
      <c r="M736" s="249"/>
      <c r="N736" s="1226" t="s">
        <v>1003</v>
      </c>
      <c r="O736" s="570" t="e">
        <f>#REF!</f>
        <v>#REF!</v>
      </c>
      <c r="P736" s="570" t="e">
        <f>#REF!</f>
        <v>#REF!</v>
      </c>
      <c r="Q736" s="571" t="e">
        <f>#REF!</f>
        <v>#REF!</v>
      </c>
      <c r="R736" s="571" t="e">
        <f>#REF!</f>
        <v>#REF!</v>
      </c>
      <c r="S736" s="571">
        <f>$I$486</f>
        <v>0</v>
      </c>
      <c r="T736" s="571">
        <f>$I$486</f>
        <v>0</v>
      </c>
      <c r="U736" s="572">
        <f>$I$486</f>
        <v>0</v>
      </c>
      <c r="V736" s="246"/>
    </row>
    <row r="737" spans="1:57" hidden="1">
      <c r="A737" s="1043"/>
      <c r="B737" s="320" t="s">
        <v>296</v>
      </c>
      <c r="C737" s="1044">
        <f>MIN(20,C733)</f>
        <v>20</v>
      </c>
      <c r="D737" s="1044" t="e">
        <f>MIN(20,D733)</f>
        <v>#DIV/0!</v>
      </c>
      <c r="E737" s="995"/>
      <c r="F737" s="995"/>
      <c r="G737" s="995"/>
      <c r="H737" s="995"/>
      <c r="I737" s="995"/>
      <c r="J737" s="995"/>
      <c r="K737" s="995"/>
      <c r="L737" s="995"/>
      <c r="M737" s="249"/>
      <c r="N737" s="360" t="s">
        <v>49</v>
      </c>
      <c r="O737" s="573">
        <v>25</v>
      </c>
      <c r="P737" s="573">
        <v>25</v>
      </c>
      <c r="Q737" s="574">
        <v>33</v>
      </c>
      <c r="R737" s="575">
        <v>50</v>
      </c>
      <c r="S737" s="576">
        <v>25</v>
      </c>
      <c r="T737" s="574">
        <v>33</v>
      </c>
      <c r="U737" s="575">
        <v>50</v>
      </c>
      <c r="V737" s="246"/>
    </row>
    <row r="738" spans="1:57" hidden="1">
      <c r="A738" s="1043"/>
      <c r="B738" s="1126"/>
      <c r="C738" s="1044">
        <f>MIN(6,C733,20)</f>
        <v>6</v>
      </c>
      <c r="D738" s="1044" t="e">
        <f>MIN(6,D733,20)</f>
        <v>#DIV/0!</v>
      </c>
      <c r="E738" s="995"/>
      <c r="F738" s="995"/>
      <c r="G738" s="995"/>
      <c r="H738" s="995"/>
      <c r="I738" s="995"/>
      <c r="J738" s="995"/>
      <c r="K738" s="995"/>
      <c r="L738" s="995"/>
      <c r="M738" s="249"/>
      <c r="N738" s="360" t="s">
        <v>51</v>
      </c>
      <c r="O738" s="21" t="e">
        <f>(O735-#REF!)*(#REF!/O735*100)/(O737*#REF!*#REF!*10)*10^4</f>
        <v>#REF!</v>
      </c>
      <c r="P738" s="21" t="e">
        <f>(P735-#REF!)*(#REF!/P735*100)/(P737*#REF!*#REF!*10)*10^4</f>
        <v>#REF!</v>
      </c>
      <c r="R738" s="21" t="e">
        <f>(R735-#REF!)*(#REF!/R735*100)/(R737*#REF!*#REF!*10)*10^4</f>
        <v>#REF!</v>
      </c>
      <c r="S738" s="21" t="e">
        <f>(S735-#REF!)*(#REF!/S735*100)/(S737*$I$486*#REF!*10)*10^4</f>
        <v>#REF!</v>
      </c>
      <c r="T738" s="21" t="e">
        <f>(T735-#REF!)*(#REF!/T735*100)/(T737*$I$486*#REF!*10)*10^4</f>
        <v>#REF!</v>
      </c>
      <c r="U738" s="21" t="e">
        <f>(U735-#REF!)*(#REF!/U735*100)/(U737*$I$486*#REF!*10)*10^4</f>
        <v>#REF!</v>
      </c>
      <c r="V738" s="246"/>
    </row>
    <row r="739" spans="1:57" ht="38.700000000000003" hidden="1">
      <c r="A739" s="1043"/>
      <c r="B739" s="260" t="s">
        <v>297</v>
      </c>
      <c r="C739" s="1169" t="str">
        <f>"More than 6-kohm &amp; less than "&amp;TEXT(C737,"#.#")&amp;"-kohm"</f>
        <v>More than 6-kohm &amp; less than 20.-kohm</v>
      </c>
      <c r="D739" s="1169" t="e">
        <f>"More than 6-kohm &amp; less than "&amp;TEXT(D737,"#.#")&amp;"-kohm"</f>
        <v>#DIV/0!</v>
      </c>
      <c r="E739" s="995"/>
      <c r="F739" s="995"/>
      <c r="G739" s="995"/>
      <c r="H739" s="995"/>
      <c r="I739" s="995"/>
      <c r="J739" s="995"/>
      <c r="K739" s="995"/>
      <c r="L739" s="995"/>
      <c r="M739" s="249"/>
      <c r="N739" s="360" t="s">
        <v>1007</v>
      </c>
      <c r="O739" s="1465" t="e">
        <f>"Approx. "&amp;TEXT(#REF!,"#.#")</f>
        <v>#REF!</v>
      </c>
      <c r="P739" s="1465"/>
      <c r="Q739" s="1465"/>
      <c r="R739" s="1466"/>
      <c r="S739" s="87" t="e">
        <f>"Approx. "&amp;TEXT(T738,"#.#")</f>
        <v>#REF!</v>
      </c>
      <c r="T739" s="82"/>
      <c r="U739" s="83"/>
      <c r="V739" s="246"/>
    </row>
    <row r="740" spans="1:57" hidden="1">
      <c r="A740" s="1043"/>
      <c r="B740" s="279"/>
      <c r="C740" s="1143"/>
      <c r="D740" s="1143"/>
      <c r="E740" s="995"/>
      <c r="F740" s="995"/>
      <c r="G740" s="995"/>
      <c r="H740" s="995"/>
      <c r="I740" s="995"/>
      <c r="J740" s="995"/>
      <c r="K740" s="995"/>
      <c r="L740" s="995"/>
      <c r="M740" s="249"/>
      <c r="N740" s="250"/>
      <c r="O740" s="955"/>
      <c r="P740" s="955"/>
      <c r="Q740" s="955"/>
      <c r="R740" s="955"/>
      <c r="S740" s="955"/>
      <c r="T740" s="955"/>
      <c r="U740" s="955"/>
      <c r="V740" s="246"/>
    </row>
    <row r="741" spans="1:57" hidden="1">
      <c r="A741" s="1043"/>
      <c r="B741" s="1210" t="s">
        <v>826</v>
      </c>
      <c r="C741" s="1211">
        <f>H120</f>
        <v>0.5</v>
      </c>
      <c r="D741" s="1211">
        <f>H121</f>
        <v>0.5</v>
      </c>
      <c r="E741" s="995"/>
      <c r="F741" s="995"/>
      <c r="G741" s="995"/>
      <c r="H741" s="995"/>
      <c r="I741" s="995"/>
      <c r="J741" s="995"/>
      <c r="K741" s="995"/>
      <c r="L741" s="995"/>
      <c r="M741" s="249"/>
      <c r="N741" s="250"/>
      <c r="O741" s="955"/>
      <c r="P741" s="955"/>
      <c r="Q741" s="955"/>
      <c r="R741" s="955"/>
      <c r="S741" s="955"/>
      <c r="T741" s="955"/>
      <c r="U741" s="955"/>
      <c r="V741" s="246"/>
    </row>
    <row r="742" spans="1:57" hidden="1">
      <c r="A742" s="1043"/>
      <c r="B742" s="1210" t="s">
        <v>827</v>
      </c>
      <c r="C742" s="1211">
        <f>I120</f>
        <v>0.02</v>
      </c>
      <c r="D742" s="1211">
        <f>I121</f>
        <v>0.02</v>
      </c>
      <c r="E742" s="995"/>
      <c r="F742" s="995"/>
      <c r="G742" s="995"/>
      <c r="H742" s="995"/>
      <c r="I742" s="995"/>
      <c r="J742" s="995"/>
      <c r="K742" s="995"/>
      <c r="L742" s="995"/>
      <c r="M742" s="249"/>
      <c r="N742" s="250"/>
      <c r="O742" s="955"/>
      <c r="P742" s="955"/>
      <c r="Q742" s="955"/>
      <c r="R742" s="955"/>
      <c r="S742" s="955"/>
      <c r="T742" s="955"/>
      <c r="U742" s="955"/>
      <c r="V742" s="246"/>
    </row>
    <row r="743" spans="1:57" hidden="1">
      <c r="A743" s="1043"/>
      <c r="B743" s="1210" t="s">
        <v>825</v>
      </c>
      <c r="C743" s="1210">
        <f>C337*(C332*C741+0.5*C351)^2/(C225^2*((1+C742)^2-1))</f>
        <v>141.57962759238887</v>
      </c>
      <c r="D743" s="1210" t="e">
        <f>D337*(D332*D741+0.5*D351)^2/(D225^2*((1+D742)^2-1))</f>
        <v>#DIV/0!</v>
      </c>
      <c r="E743" s="995"/>
      <c r="F743" s="995"/>
      <c r="G743" s="995"/>
      <c r="H743" s="995"/>
      <c r="I743" s="995"/>
      <c r="J743" s="995"/>
      <c r="K743" s="995"/>
      <c r="L743" s="995"/>
      <c r="M743" s="249"/>
      <c r="N743" s="250"/>
      <c r="O743" s="955"/>
      <c r="P743" s="955"/>
      <c r="Q743" s="955"/>
      <c r="R743" s="955"/>
      <c r="S743" s="955"/>
      <c r="T743" s="955"/>
      <c r="U743" s="955"/>
      <c r="V743" s="246"/>
    </row>
    <row r="744" spans="1:57" hidden="1">
      <c r="A744" s="1043"/>
      <c r="B744" s="1210"/>
      <c r="C744" s="1210" t="str">
        <f>"More than "&amp;TEXT(C743, "#")&amp;"-uF"</f>
        <v>More than 142-uF</v>
      </c>
      <c r="D744" s="1210" t="e">
        <f>"More than "&amp;TEXT(D743, "#")&amp;"-uF"</f>
        <v>#DIV/0!</v>
      </c>
      <c r="E744" s="995"/>
      <c r="F744" s="995"/>
      <c r="G744" s="995"/>
      <c r="H744" s="995"/>
      <c r="I744" s="995"/>
      <c r="J744" s="995"/>
      <c r="K744" s="995"/>
      <c r="L744" s="995"/>
      <c r="M744" s="249"/>
      <c r="N744" s="250"/>
      <c r="O744" s="955"/>
      <c r="P744" s="955"/>
      <c r="Q744" s="955"/>
      <c r="R744" s="955"/>
      <c r="S744" s="955"/>
      <c r="T744" s="955"/>
      <c r="U744" s="955"/>
      <c r="V744" s="246"/>
    </row>
    <row r="745" spans="1:57" hidden="1">
      <c r="A745" s="1043"/>
      <c r="B745" s="279"/>
      <c r="C745" s="1143"/>
      <c r="D745" s="1143"/>
      <c r="E745" s="995"/>
      <c r="F745" s="995"/>
      <c r="G745" s="995"/>
      <c r="H745" s="995"/>
      <c r="I745" s="995"/>
      <c r="J745" s="995"/>
      <c r="K745" s="995"/>
      <c r="L745" s="995"/>
      <c r="M745" s="249"/>
      <c r="N745" s="250"/>
      <c r="O745" s="955"/>
      <c r="P745" s="955"/>
      <c r="Q745" s="955"/>
      <c r="R745" s="955"/>
      <c r="S745" s="955"/>
      <c r="T745" s="955"/>
      <c r="U745" s="955"/>
      <c r="V745" s="246"/>
    </row>
    <row r="746" spans="1:57" hidden="1">
      <c r="A746" s="1043"/>
      <c r="B746" s="314" t="s">
        <v>843</v>
      </c>
      <c r="C746" s="1172">
        <f>0.1*C518/C520*C226/C797/C730*10^6</f>
        <v>55.028154846335688</v>
      </c>
      <c r="D746" s="1172" t="e">
        <f>0.1*D518/D520*D226/D797/D730*10^6</f>
        <v>#DIV/0!</v>
      </c>
      <c r="E746" s="995"/>
      <c r="F746" s="995"/>
      <c r="G746" s="995"/>
      <c r="H746" s="995"/>
      <c r="I746" s="995"/>
      <c r="J746" s="995"/>
      <c r="K746" s="995"/>
      <c r="L746" s="995"/>
      <c r="M746" s="249"/>
      <c r="N746" s="358" t="s">
        <v>333</v>
      </c>
      <c r="O746" s="577" t="e">
        <f>H518/#REF!</f>
        <v>#REF!</v>
      </c>
      <c r="P746" s="577" t="e">
        <f>I518/#REF!</f>
        <v>#REF!</v>
      </c>
      <c r="Q746" s="578" t="e">
        <f>H519/#REF!</f>
        <v>#REF!</v>
      </c>
      <c r="R746" s="578" t="e">
        <f>H534/#REF!</f>
        <v>#REF!</v>
      </c>
      <c r="S746" s="578" t="e">
        <f>I518/$I$486</f>
        <v>#DIV/0!</v>
      </c>
      <c r="T746" s="578" t="e">
        <f>I519/$I$486</f>
        <v>#DIV/0!</v>
      </c>
      <c r="U746" s="579" t="e">
        <f>I534/$I$486</f>
        <v>#DIV/0!</v>
      </c>
      <c r="V746" s="246"/>
    </row>
    <row r="747" spans="1:57" hidden="1">
      <c r="A747" s="1043"/>
      <c r="B747" s="314" t="s">
        <v>1182</v>
      </c>
      <c r="C747" s="1172">
        <f>0.1*C517/C520*C226/C797/C730*10^6</f>
        <v>55.167956790123455</v>
      </c>
      <c r="D747" s="1172" t="e">
        <f>0.1*D517/D520*D226/D797/D730*10^6</f>
        <v>#DIV/0!</v>
      </c>
      <c r="E747" s="1145"/>
      <c r="F747" s="995"/>
      <c r="G747" s="995"/>
      <c r="H747" s="995"/>
      <c r="I747" s="995"/>
      <c r="J747" s="995"/>
      <c r="K747" s="995"/>
      <c r="L747" s="995"/>
      <c r="M747" s="249"/>
      <c r="N747" s="1227"/>
      <c r="O747" s="580"/>
      <c r="P747" s="580"/>
      <c r="Q747" s="581"/>
      <c r="R747" s="582" t="e">
        <f>"Iind(ripple)/Iout(max)="&amp;TEXT(R746*100,"#")&amp;"% at "&amp;TEXT(#REF!,"#")&amp;"V"</f>
        <v>#REF!</v>
      </c>
      <c r="S747" s="583"/>
      <c r="T747" s="581"/>
      <c r="U747" s="584" t="e">
        <f>"Iind(ripple)/Iout(max)="&amp;TEXT(U746*100,"#")&amp;"% at "&amp;TEXT(#REF!,"#")&amp;"V"</f>
        <v>#DIV/0!</v>
      </c>
      <c r="V747" s="246"/>
    </row>
    <row r="748" spans="1:57" hidden="1">
      <c r="A748" s="1043"/>
      <c r="B748" s="314" t="s">
        <v>1183</v>
      </c>
      <c r="C748" s="1172">
        <f>0.1*C516/C520*C226/C797/C730*10^6</f>
        <v>55.320763565891468</v>
      </c>
      <c r="D748" s="1172" t="e">
        <f>0.1*D516/D520*D226/D797/D730*10^6</f>
        <v>#DIV/0!</v>
      </c>
      <c r="E748" s="1164"/>
      <c r="F748" s="995"/>
      <c r="G748" s="995"/>
      <c r="H748" s="1208"/>
      <c r="I748" s="995"/>
      <c r="J748" s="995"/>
      <c r="K748" s="995"/>
      <c r="L748" s="995"/>
      <c r="M748" s="249"/>
      <c r="N748" s="358" t="s">
        <v>334</v>
      </c>
      <c r="O748" s="585" t="e">
        <f>$H$518/$O$767</f>
        <v>#DIV/0!</v>
      </c>
      <c r="P748" s="585" t="e">
        <f>$H$518/$O$767</f>
        <v>#DIV/0!</v>
      </c>
      <c r="R748" s="526" t="e">
        <f>$H$534/$O$767</f>
        <v>#DIV/0!</v>
      </c>
      <c r="S748" s="526" t="e">
        <f>$I$518/$S$767</f>
        <v>#DIV/0!</v>
      </c>
      <c r="U748" s="586" t="e">
        <f>$I$534/$S$767</f>
        <v>#DIV/0!</v>
      </c>
      <c r="V748" s="23" t="s">
        <v>52</v>
      </c>
    </row>
    <row r="749" spans="1:57" ht="14.25" hidden="1" customHeight="1">
      <c r="A749" s="1043"/>
      <c r="B749" s="314" t="s">
        <v>843</v>
      </c>
      <c r="C749" s="1020">
        <f t="shared" ref="C749:D751" si="165">C746/1000</f>
        <v>5.5028154846335692E-2</v>
      </c>
      <c r="D749" s="1020" t="e">
        <f t="shared" si="165"/>
        <v>#DIV/0!</v>
      </c>
      <c r="E749" s="1145"/>
      <c r="F749" s="995"/>
      <c r="G749" s="995"/>
      <c r="H749" s="1037"/>
      <c r="I749" s="1197"/>
      <c r="J749" s="1197"/>
      <c r="K749" s="1197"/>
      <c r="L749" s="995"/>
      <c r="M749" s="249"/>
      <c r="N749" s="358"/>
      <c r="O749" s="585"/>
      <c r="P749" s="585"/>
      <c r="Q749" s="526"/>
      <c r="R749" s="587" t="e">
        <f>"Iind(ripple)/Iocl="&amp;TEXT(#REF!*100,"#")&amp;"% at "&amp;TEXT(#REF!,"#")&amp;"V"</f>
        <v>#REF!</v>
      </c>
      <c r="S749" s="526"/>
      <c r="T749" s="526"/>
      <c r="U749" s="587" t="e">
        <f>"Iind(ripple)/Iocl="&amp;TEXT(I611*100,"#")&amp;"% at "&amp;TEXT(#REF!,"#")&amp;"V"</f>
        <v>#REF!</v>
      </c>
      <c r="V749" s="246"/>
    </row>
    <row r="750" spans="1:57" s="15" customFormat="1" ht="14.25" hidden="1" customHeight="1">
      <c r="A750" s="1043"/>
      <c r="B750" s="314" t="s">
        <v>1182</v>
      </c>
      <c r="C750" s="1020">
        <f t="shared" si="165"/>
        <v>5.5167956790123457E-2</v>
      </c>
      <c r="D750" s="1020" t="e">
        <f t="shared" si="165"/>
        <v>#DIV/0!</v>
      </c>
      <c r="E750" s="1145"/>
      <c r="F750" s="995"/>
      <c r="G750" s="995"/>
      <c r="H750" s="932"/>
      <c r="I750" s="1228"/>
      <c r="J750" s="1228"/>
      <c r="K750" s="1228"/>
      <c r="L750" s="995"/>
      <c r="M750" s="249"/>
      <c r="N750" s="358" t="s">
        <v>335</v>
      </c>
      <c r="O750" s="585" t="e">
        <f>$H$518/$O$789</f>
        <v>#DIV/0!</v>
      </c>
      <c r="P750" s="585" t="e">
        <f>$H$518/$O$789</f>
        <v>#DIV/0!</v>
      </c>
      <c r="Q750" s="526" t="e">
        <f>$H$519/$O$789</f>
        <v>#DIV/0!</v>
      </c>
      <c r="R750" s="526" t="e">
        <f>$H$534/$O$789</f>
        <v>#DIV/0!</v>
      </c>
      <c r="S750" s="526" t="e">
        <f>$I$518/$S$789</f>
        <v>#DIV/0!</v>
      </c>
      <c r="T750" s="526" t="e">
        <f>$I$519/$S$789</f>
        <v>#DIV/0!</v>
      </c>
      <c r="U750" s="586" t="e">
        <f>$I$534/$S$789</f>
        <v>#DIV/0!</v>
      </c>
      <c r="V750" s="23" t="s">
        <v>53</v>
      </c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</row>
    <row r="751" spans="1:57" ht="14.25" hidden="1" customHeight="1">
      <c r="A751" s="1043"/>
      <c r="B751" s="314" t="s">
        <v>1183</v>
      </c>
      <c r="C751" s="1088">
        <f t="shared" si="165"/>
        <v>5.5320763565891468E-2</v>
      </c>
      <c r="D751" s="1088" t="e">
        <f t="shared" si="165"/>
        <v>#DIV/0!</v>
      </c>
      <c r="E751" s="995"/>
      <c r="F751" s="995"/>
      <c r="G751" s="1043"/>
      <c r="H751" s="932"/>
      <c r="I751" s="1229"/>
      <c r="J751" s="1229"/>
      <c r="K751" s="1229"/>
      <c r="L751" s="995"/>
      <c r="M751" s="249"/>
      <c r="V751" s="23" t="s">
        <v>52</v>
      </c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</row>
    <row r="752" spans="1:57" ht="14.25" hidden="1" customHeight="1">
      <c r="A752" s="1043"/>
      <c r="B752" s="1177" t="s">
        <v>1184</v>
      </c>
      <c r="C752" s="1178" t="str">
        <f>TEXT(C753,"#")&amp;" kHz &lt; "&amp;TEXT(C754,"#")&amp;" kHz (fsw/"&amp;TEXT(C846,"#")&amp;")"</f>
        <v>41 kHz &lt; 167 kHz (fsw/)</v>
      </c>
      <c r="D752" s="1178" t="e">
        <f>TEXT(D753,"#")&amp;" kHz &lt; "&amp;TEXT(D754,"#")&amp;" kHz (fsw/"&amp;TEXT(D846,"#")&amp;")"</f>
        <v>#DIV/0!</v>
      </c>
      <c r="E752" s="995"/>
      <c r="F752" s="995"/>
      <c r="G752" s="995"/>
      <c r="H752" s="932"/>
      <c r="I752" s="1230"/>
      <c r="J752" s="1230"/>
      <c r="K752" s="1230"/>
      <c r="L752" s="1224"/>
      <c r="M752" s="249"/>
      <c r="N752" s="1227"/>
      <c r="O752" s="577" t="e">
        <f>H536/#REF!</f>
        <v>#REF!</v>
      </c>
      <c r="P752" s="577" t="e">
        <f>I536/#REF!</f>
        <v>#REF!</v>
      </c>
      <c r="Q752" s="578" t="e">
        <f>H537/#REF!</f>
        <v>#REF!</v>
      </c>
      <c r="R752" s="578" t="e">
        <f>H538/#REF!</f>
        <v>#REF!</v>
      </c>
      <c r="S752" s="578" t="e">
        <f>I536/$I$486</f>
        <v>#DIV/0!</v>
      </c>
      <c r="T752" s="578" t="e">
        <f>I537/$I$486</f>
        <v>#DIV/0!</v>
      </c>
      <c r="U752" s="579" t="e">
        <f>I538/$I$486</f>
        <v>#DIV/0!</v>
      </c>
      <c r="V752" s="23"/>
    </row>
    <row r="753" spans="1:57" ht="14.25" hidden="1" customHeight="1" thickBot="1">
      <c r="A753" s="1043"/>
      <c r="B753" s="1180" t="s">
        <v>1185</v>
      </c>
      <c r="C753" s="1103">
        <f>5/PI()*C520/C226*C797*C730/C732</f>
        <v>40.777689901016593</v>
      </c>
      <c r="D753" s="1103" t="e">
        <f>5/PI()*D520/D226*D797*D730/D732</f>
        <v>#DIV/0!</v>
      </c>
      <c r="E753" s="995"/>
      <c r="F753" s="995"/>
      <c r="G753" s="995"/>
      <c r="H753" s="932"/>
      <c r="I753" s="1229"/>
      <c r="J753" s="1229"/>
      <c r="K753" s="1229"/>
      <c r="L753" s="995"/>
      <c r="M753" s="249"/>
      <c r="N753" s="1231"/>
      <c r="O753" s="588"/>
      <c r="P753" s="588"/>
      <c r="Q753" s="589"/>
      <c r="R753" s="590" t="e">
        <f>"Iind(ripple)/Iout(ocl)="&amp;TEXT(R752*100,"#")&amp;"% at "&amp;TEXT(#REF!,"#")&amp;"V"</f>
        <v>#REF!</v>
      </c>
      <c r="S753" s="591"/>
      <c r="T753" s="589"/>
      <c r="U753" s="592" t="e">
        <f>"Iind(ripple)/Iout(ocl)="&amp;TEXT(U752*100,"#")&amp;"% at "&amp;TEXT(#REF!,"#")&amp;"V"</f>
        <v>#DIV/0!</v>
      </c>
    </row>
    <row r="754" spans="1:57" ht="14.25" hidden="1" customHeight="1">
      <c r="A754" s="1043"/>
      <c r="B754" s="1180" t="s">
        <v>1186</v>
      </c>
      <c r="C754" s="1103">
        <f>C324/C780</f>
        <v>166.66666666666666</v>
      </c>
      <c r="D754" s="1103">
        <f>D324/D780</f>
        <v>166.66666666666666</v>
      </c>
      <c r="E754" s="995"/>
      <c r="F754" s="995"/>
      <c r="G754" s="995"/>
      <c r="H754" s="932"/>
      <c r="I754" s="1230"/>
      <c r="J754" s="1230"/>
      <c r="K754" s="1230"/>
      <c r="L754" s="995"/>
      <c r="M754" s="249"/>
      <c r="N754" s="1232" t="s">
        <v>54</v>
      </c>
      <c r="O754" s="593">
        <f>$H$552*(1+0.00393*($C$805+$H$561-20))</f>
        <v>0</v>
      </c>
      <c r="P754" s="593">
        <f>$H$552*(1+0.00393*($C$805+$H$561-20))</f>
        <v>0</v>
      </c>
      <c r="S754" s="593">
        <f>$I$552*(1+0.00393*($C$805+$I$561-20))</f>
        <v>0</v>
      </c>
      <c r="V754" s="246"/>
    </row>
    <row r="755" spans="1:57" ht="14.25" hidden="1" customHeight="1">
      <c r="A755" s="1043"/>
      <c r="B755" s="1180" t="s">
        <v>1187</v>
      </c>
      <c r="C755" s="1103">
        <f>C324/C781</f>
        <v>125</v>
      </c>
      <c r="D755" s="1103">
        <f>D324/D781</f>
        <v>125</v>
      </c>
      <c r="E755" s="995"/>
      <c r="F755" s="995"/>
      <c r="G755" s="995"/>
      <c r="H755" s="995"/>
      <c r="I755" s="995"/>
      <c r="J755" s="995"/>
      <c r="K755" s="995"/>
      <c r="L755" s="995"/>
      <c r="M755" s="249"/>
      <c r="N755" s="1233" t="s">
        <v>55</v>
      </c>
      <c r="O755" s="594">
        <f>$H$552*(1+0.00393*($C$805+$H$562-20))</f>
        <v>0</v>
      </c>
      <c r="P755" s="594">
        <f>$H$552*(1+0.00393*($C$805+$H$562-20))</f>
        <v>0</v>
      </c>
      <c r="Q755" s="594">
        <f>$H$552*(1+0.00393*($C$806+$H$562-20))</f>
        <v>0</v>
      </c>
      <c r="R755" s="594">
        <f>$H$552*(1+0.00393*($C$807+$H$562-20))</f>
        <v>0</v>
      </c>
      <c r="S755" s="594">
        <f>$I$552*(1+0.00393*($C$805+$I$562-20))</f>
        <v>0</v>
      </c>
      <c r="T755" s="594">
        <f>$I$552*(1+0.00393*($C$806+$I$562-20))</f>
        <v>0</v>
      </c>
      <c r="U755" s="595">
        <f>$I$552*(1+0.00393*($C$807+$I$562-20))</f>
        <v>0</v>
      </c>
      <c r="V755" s="246"/>
    </row>
    <row r="756" spans="1:57" hidden="1">
      <c r="A756" s="1043"/>
      <c r="B756" s="320" t="s">
        <v>1188</v>
      </c>
      <c r="C756" s="1184" t="str">
        <f>"&gt; "&amp;TEXT(C732*C734/C730, "#")&amp;" pF"</f>
        <v>&gt; 770 pF</v>
      </c>
      <c r="D756" s="1184" t="str">
        <f>"&gt; "&amp;TEXT(D732*D734/D730, "#")&amp;" pF"</f>
        <v>&gt; 1371 pF</v>
      </c>
      <c r="E756" s="1106"/>
      <c r="F756" s="995"/>
      <c r="G756" s="995"/>
      <c r="H756" s="932"/>
      <c r="I756" s="1234"/>
      <c r="J756" s="995"/>
      <c r="K756" s="995"/>
      <c r="L756" s="995"/>
      <c r="M756" s="249"/>
      <c r="V756" s="246"/>
      <c r="X756" s="15"/>
    </row>
    <row r="757" spans="1:57" hidden="1">
      <c r="A757" s="1043"/>
      <c r="B757" s="1126"/>
      <c r="C757" s="252">
        <f>J126</f>
        <v>100</v>
      </c>
      <c r="D757" s="252">
        <f>J127</f>
        <v>470</v>
      </c>
      <c r="E757" s="1106"/>
      <c r="F757" s="995"/>
      <c r="G757" s="995"/>
      <c r="H757" s="932"/>
      <c r="I757" s="1135"/>
      <c r="J757" s="1135"/>
      <c r="K757" s="995"/>
      <c r="L757" s="995"/>
      <c r="M757" s="249"/>
      <c r="V757" s="246"/>
    </row>
    <row r="758" spans="1:57" hidden="1">
      <c r="A758" s="1043"/>
      <c r="B758" s="112"/>
      <c r="C758" s="112"/>
      <c r="D758" s="112"/>
      <c r="E758" s="1106"/>
      <c r="F758" s="995"/>
      <c r="G758" s="995"/>
      <c r="H758" s="1181"/>
      <c r="I758" s="995"/>
      <c r="J758" s="995"/>
      <c r="K758" s="995"/>
      <c r="L758" s="995"/>
      <c r="M758" s="249"/>
      <c r="N758" s="1235" t="s">
        <v>56</v>
      </c>
      <c r="O758" s="499">
        <f>$H$548</f>
        <v>0</v>
      </c>
      <c r="P758" s="499">
        <f>$H$548</f>
        <v>0</v>
      </c>
      <c r="Q758" s="24" t="e">
        <f>$Q$755*$Q$759</f>
        <v>#DIV/0!</v>
      </c>
      <c r="R758" s="431"/>
      <c r="S758" s="499">
        <f>$I$620</f>
        <v>0</v>
      </c>
      <c r="T758" s="24" t="e">
        <f>$T$755*$T$759</f>
        <v>#DIV/0!</v>
      </c>
      <c r="U758" s="596"/>
      <c r="V758" s="246"/>
    </row>
    <row r="759" spans="1:57" hidden="1">
      <c r="A759" s="1043"/>
      <c r="B759" s="122" t="s">
        <v>963</v>
      </c>
      <c r="C759" s="1186"/>
      <c r="D759" s="1187"/>
      <c r="E759" s="1106"/>
      <c r="F759" s="1115"/>
      <c r="G759" s="995"/>
      <c r="H759" s="1037"/>
      <c r="I759" s="1197"/>
      <c r="J759" s="1197"/>
      <c r="K759" s="1197"/>
      <c r="L759" s="995"/>
      <c r="M759" s="249"/>
      <c r="N759" s="1235" t="s">
        <v>64</v>
      </c>
      <c r="O759" s="397" t="e">
        <f>$H$548/$Q$755</f>
        <v>#DIV/0!</v>
      </c>
      <c r="P759" s="397" t="e">
        <f>$H$548/$Q$755</f>
        <v>#DIV/0!</v>
      </c>
      <c r="Q759" s="397" t="e">
        <f>$H$560/($H$560+$H$558)</f>
        <v>#DIV/0!</v>
      </c>
      <c r="R759" s="395"/>
      <c r="S759" s="397" t="e">
        <f>$I$620/$T$755</f>
        <v>#DIV/0!</v>
      </c>
      <c r="T759" s="397" t="e">
        <f>$I$560/($I$560+$I$558)</f>
        <v>#DIV/0!</v>
      </c>
      <c r="U759" s="597"/>
      <c r="V759" s="246"/>
    </row>
    <row r="760" spans="1:57" hidden="1">
      <c r="A760" s="1043"/>
      <c r="B760" s="1189" t="s">
        <v>916</v>
      </c>
      <c r="C760" s="1190">
        <f>F138</f>
        <v>10</v>
      </c>
      <c r="D760" s="1190">
        <f>F139</f>
        <v>10</v>
      </c>
      <c r="E760" s="1106"/>
      <c r="F760" s="995"/>
      <c r="G760" s="995"/>
      <c r="H760" s="995"/>
      <c r="I760" s="995"/>
      <c r="J760" s="1068"/>
      <c r="K760" s="995"/>
      <c r="L760" s="995"/>
      <c r="M760" s="249"/>
      <c r="N760" s="1235" t="s">
        <v>65</v>
      </c>
      <c r="O760" s="598">
        <f>H558</f>
        <v>0</v>
      </c>
      <c r="P760" s="598">
        <f>I558</f>
        <v>0</v>
      </c>
      <c r="R760" s="430"/>
      <c r="S760" s="598">
        <f>I558</f>
        <v>0</v>
      </c>
      <c r="T760" s="499" t="e">
        <f>$G$515/$I$556/$S$759/$T$755*1000</f>
        <v>#DIV/0!</v>
      </c>
      <c r="U760" s="599"/>
      <c r="V760" s="246"/>
      <c r="Y760" s="15"/>
      <c r="Z760" s="15"/>
    </row>
    <row r="761" spans="1:57" hidden="1">
      <c r="A761" s="1043"/>
      <c r="B761" s="1042" t="s">
        <v>1185</v>
      </c>
      <c r="C761" s="1103">
        <f>5/PI()*C520/C226*C797*C760/C732</f>
        <v>27.185126600677727</v>
      </c>
      <c r="D761" s="1103" t="e">
        <f>5/PI()*D520/D226*D797*D760/D732</f>
        <v>#DIV/0!</v>
      </c>
      <c r="E761" s="995"/>
      <c r="F761" s="1197"/>
      <c r="G761" s="995"/>
      <c r="H761" s="995"/>
      <c r="I761" s="995"/>
      <c r="J761" s="1068"/>
      <c r="K761" s="995"/>
      <c r="L761" s="995"/>
      <c r="M761" s="249"/>
      <c r="N761" s="1235" t="s">
        <v>66</v>
      </c>
      <c r="O761" s="598">
        <f>H560</f>
        <v>0</v>
      </c>
      <c r="P761" s="598">
        <f>I560</f>
        <v>0</v>
      </c>
      <c r="Q761" s="15"/>
      <c r="R761" s="430"/>
      <c r="S761" s="598">
        <f>I560</f>
        <v>0</v>
      </c>
      <c r="T761" s="499" t="e">
        <f>$I$558*$S$759/(1-$S$759)</f>
        <v>#DIV/0!</v>
      </c>
      <c r="U761" s="599"/>
      <c r="V761" s="246"/>
    </row>
    <row r="762" spans="1:57" hidden="1">
      <c r="A762" s="1043"/>
      <c r="B762" s="307" t="s">
        <v>917</v>
      </c>
      <c r="C762" s="1087">
        <f>10/C761/C760*10^3</f>
        <v>36.784820416288589</v>
      </c>
      <c r="D762" s="1087" t="e">
        <f>10/D761/D760*10^3</f>
        <v>#DIV/0!</v>
      </c>
      <c r="E762" s="995"/>
      <c r="F762" s="1228"/>
      <c r="G762" s="995"/>
      <c r="H762" s="1037"/>
      <c r="I762" s="392"/>
      <c r="J762" s="392"/>
      <c r="K762" s="995"/>
      <c r="L762" s="1043"/>
      <c r="M762" s="249"/>
      <c r="N762" s="1235" t="s">
        <v>336</v>
      </c>
      <c r="O762" s="398" t="e">
        <f>$H$551/$Q$758*(1-$Q$730)-0.5*$H$536*(1+#REF!)</f>
        <v>#DIV/0!</v>
      </c>
      <c r="P762" s="398" t="e">
        <f>$H$551/$Q$758*(1-$Q$730)-0.5*$H$536*(1+#REF!)</f>
        <v>#DIV/0!</v>
      </c>
      <c r="Q762" s="398" t="e">
        <f>$H$551/$Q$758*(1-$Q$730)-0.5*$H$537*(1+#REF!)</f>
        <v>#DIV/0!</v>
      </c>
      <c r="S762" s="398" t="e">
        <f>$H$551/$T$758*(1-$T$730)-0.5*$I$536*(1+$I$612)</f>
        <v>#DIV/0!</v>
      </c>
      <c r="T762" s="398" t="e">
        <f>$H$551/$T$758*(1-$T$730)-0.5*$I$537*(1+$I$612)</f>
        <v>#DIV/0!</v>
      </c>
      <c r="U762" s="600" t="e">
        <f>$H$551/$T$758*(1-$T$730)-0.5*$I$538*(1+$I$612)</f>
        <v>#DIV/0!</v>
      </c>
      <c r="V762" s="246"/>
    </row>
    <row r="763" spans="1:57" hidden="1">
      <c r="A763" s="1043"/>
      <c r="B763" s="307" t="s">
        <v>917</v>
      </c>
      <c r="C763" s="948" t="str">
        <f>"Approx. "&amp;TEXT(C762, "#.#")&amp;" nF"</f>
        <v>Approx. 36.8 nF</v>
      </c>
      <c r="D763" s="948" t="e">
        <f>"Approx. "&amp;TEXT(D762, "#.#")&amp;" nF"</f>
        <v>#DIV/0!</v>
      </c>
      <c r="E763" s="995"/>
      <c r="F763" s="1229"/>
      <c r="G763" s="995"/>
      <c r="H763" s="995"/>
      <c r="I763" s="995"/>
      <c r="J763" s="995"/>
      <c r="K763" s="995"/>
      <c r="L763" s="1043"/>
      <c r="M763" s="249"/>
      <c r="N763" s="1235" t="s">
        <v>337</v>
      </c>
      <c r="O763" s="398" t="e">
        <f>$H$551/$Q$758-0.5*$H$536</f>
        <v>#DIV/0!</v>
      </c>
      <c r="P763" s="398" t="e">
        <f>$H$551/$Q$758-0.5*$H$536</f>
        <v>#DIV/0!</v>
      </c>
      <c r="R763" s="398" t="e">
        <f>$H$551/$Q$758-0.5*$H$538</f>
        <v>#DIV/0!</v>
      </c>
      <c r="S763" s="398" t="e">
        <f>$H$551/$T$758-0.5*$I$536</f>
        <v>#DIV/0!</v>
      </c>
      <c r="T763" s="398" t="e">
        <f>$H$551/$T$758-0.5*$I$537</f>
        <v>#DIV/0!</v>
      </c>
      <c r="U763" s="600" t="e">
        <f>$H$551/$T$758-0.5*$I$538</f>
        <v>#DIV/0!</v>
      </c>
      <c r="V763" s="246"/>
    </row>
    <row r="764" spans="1:57" hidden="1">
      <c r="A764" s="1043"/>
      <c r="B764" s="307" t="s">
        <v>918</v>
      </c>
      <c r="C764" s="988">
        <f>I138</f>
        <v>48</v>
      </c>
      <c r="D764" s="988">
        <f>I139</f>
        <v>13</v>
      </c>
      <c r="E764" s="995"/>
      <c r="F764" s="1230"/>
      <c r="G764" s="995"/>
      <c r="H764" s="995"/>
      <c r="I764" s="995"/>
      <c r="J764" s="995"/>
      <c r="K764" s="995"/>
      <c r="L764" s="1043"/>
      <c r="M764" s="249"/>
      <c r="N764" s="1235" t="s">
        <v>338</v>
      </c>
      <c r="Q764" s="398" t="e">
        <f>$H$551/$Q$758*(1+$Q$730)-0.5*$H$537*(1-#REF!)</f>
        <v>#DIV/0!</v>
      </c>
      <c r="R764" s="398" t="e">
        <f>$H$551/$Q$758*(1+$Q$730)-0.5*$H$538*(1-#REF!)</f>
        <v>#DIV/0!</v>
      </c>
      <c r="S764" s="398" t="e">
        <f>$H$551/$T$758*(1+$T$730)-0.5*$I$536*(1-$I$612)</f>
        <v>#DIV/0!</v>
      </c>
      <c r="T764" s="398" t="e">
        <f>$H$551/$T$758*(1+$T$730)-0.5*$I$537*(1-$I$612)</f>
        <v>#DIV/0!</v>
      </c>
      <c r="U764" s="600" t="e">
        <f>$H$551/$T$758*(1+$T$730)-0.5*$I$538*(1-$I$612)</f>
        <v>#DIV/0!</v>
      </c>
      <c r="V764" s="246"/>
    </row>
    <row r="765" spans="1:57" hidden="1">
      <c r="A765" s="1043"/>
      <c r="B765" s="314" t="s">
        <v>914</v>
      </c>
      <c r="C765" s="1113">
        <f>1/(C760*C764*10^-3)</f>
        <v>2.0833333333333335</v>
      </c>
      <c r="D765" s="1113">
        <f>1/(D760*D764*10^-3)</f>
        <v>7.6923076923076916</v>
      </c>
      <c r="E765" s="995"/>
      <c r="F765" s="1229"/>
      <c r="G765" s="995"/>
      <c r="H765" s="995"/>
      <c r="I765" s="995"/>
      <c r="J765" s="995"/>
      <c r="K765" s="995"/>
      <c r="L765" s="1043"/>
      <c r="M765" s="249"/>
      <c r="N765" s="1235" t="s">
        <v>867</v>
      </c>
      <c r="O765" s="398" t="e">
        <f>$H$556/ (1/H558+1/H560)/1000</f>
        <v>#DIV/0!</v>
      </c>
      <c r="P765" s="398" t="e">
        <f>$H$556/ (1/I558+1/I560)/1000</f>
        <v>#DIV/0!</v>
      </c>
      <c r="Q765" s="398" t="e">
        <f>$F$514/$H$552</f>
        <v>#DIV/0!</v>
      </c>
      <c r="R765" s="398" t="e">
        <f>O765/Q765</f>
        <v>#DIV/0!</v>
      </c>
      <c r="S765" s="398" t="e">
        <f>$I$556/ (1/I558+1/I560)/1000</f>
        <v>#DIV/0!</v>
      </c>
      <c r="T765" s="398" t="e">
        <f>$G$514/$I$552</f>
        <v>#DIV/0!</v>
      </c>
      <c r="U765" s="600" t="e">
        <f>S765/T765</f>
        <v>#DIV/0!</v>
      </c>
      <c r="V765" s="246">
        <v>0.82</v>
      </c>
    </row>
    <row r="766" spans="1:57" hidden="1">
      <c r="A766" s="1043"/>
      <c r="B766" s="345" t="s">
        <v>35</v>
      </c>
      <c r="C766" s="1141">
        <f>1/(2*PI()*C764*C760)*10^6/(5/PI()*C760/C$226*$C$797*C760/C732)</f>
        <v>13.75</v>
      </c>
      <c r="D766" s="1141" t="e">
        <f>1/(2*PI()*D764*D760)*10^6/(5/PI()*D760/D$226*$C$797*D760/D732)</f>
        <v>#DIV/0!</v>
      </c>
      <c r="E766" s="995"/>
      <c r="F766" s="1230"/>
      <c r="G766" s="995"/>
      <c r="H766" s="995"/>
      <c r="I766" s="995"/>
      <c r="J766" s="995"/>
      <c r="K766" s="995"/>
      <c r="L766" s="995"/>
      <c r="M766" s="249"/>
      <c r="N766" s="1235" t="s">
        <v>67</v>
      </c>
      <c r="O766" s="398" t="e">
        <f>$H$556/ (1/H558+1/H560)/1000</f>
        <v>#DIV/0!</v>
      </c>
      <c r="P766" s="398" t="e">
        <f>$H$556/ (1/I558+1/I560)/1000</f>
        <v>#DIV/0!</v>
      </c>
      <c r="Q766" s="398" t="e">
        <f>$F$515/$H$563</f>
        <v>#DIV/0!</v>
      </c>
      <c r="R766" s="398" t="e">
        <f>O766/Q766</f>
        <v>#DIV/0!</v>
      </c>
      <c r="S766" s="398" t="e">
        <f>$I$556/ (1/I558+1/I560)/1000</f>
        <v>#DIV/0!</v>
      </c>
      <c r="T766" s="398" t="e">
        <f>$G$515/$I$563</f>
        <v>#DIV/0!</v>
      </c>
      <c r="U766" s="600" t="e">
        <f>S766/T766</f>
        <v>#DIV/0!</v>
      </c>
      <c r="V766" s="246">
        <v>0.93</v>
      </c>
    </row>
    <row r="767" spans="1:57" s="15" customFormat="1" ht="14.25" hidden="1" customHeight="1">
      <c r="A767" s="1043"/>
      <c r="B767" s="934"/>
      <c r="C767" s="934"/>
      <c r="D767" s="934"/>
      <c r="E767" s="995"/>
      <c r="F767" s="995"/>
      <c r="G767" s="995"/>
      <c r="H767" s="995"/>
      <c r="I767" s="995"/>
      <c r="J767" s="995"/>
      <c r="K767" s="995"/>
      <c r="L767" s="995"/>
      <c r="M767" s="112"/>
      <c r="N767" s="1235" t="s">
        <v>339</v>
      </c>
      <c r="O767" s="398" t="e">
        <f>$H$551/$Q$758</f>
        <v>#DIV/0!</v>
      </c>
      <c r="P767" s="398" t="e">
        <f>$H$551/$Q$758</f>
        <v>#DIV/0!</v>
      </c>
      <c r="Q767" s="398" t="e">
        <f>$O$767/#REF!</f>
        <v>#DIV/0!</v>
      </c>
      <c r="R767" s="471"/>
      <c r="S767" s="398" t="e">
        <f>$H$551/$T$758</f>
        <v>#DIV/0!</v>
      </c>
      <c r="T767" s="398" t="e">
        <f>$S$767/$I$486</f>
        <v>#DIV/0!</v>
      </c>
      <c r="U767" s="601"/>
      <c r="V767" s="246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</row>
    <row r="768" spans="1:57" hidden="1">
      <c r="A768" s="1043"/>
      <c r="B768" s="314" t="s">
        <v>1166</v>
      </c>
      <c r="C768" s="1113">
        <f>C164</f>
        <v>8</v>
      </c>
      <c r="D768" s="1113">
        <f>C165</f>
        <v>8</v>
      </c>
      <c r="E768" s="995"/>
      <c r="F768" s="1197"/>
      <c r="G768" s="995"/>
      <c r="H768" s="995"/>
      <c r="I768" s="995"/>
      <c r="J768" s="1213"/>
      <c r="K768" s="995"/>
      <c r="L768" s="995"/>
      <c r="M768" s="112"/>
      <c r="N768" s="1235" t="s">
        <v>949</v>
      </c>
      <c r="O768" s="449" t="e">
        <f>0.25*$O$767/(#REF!/$F$514-#REF!/$F$514+$O$767*0.2*#REF!*10^-3)</f>
        <v>#DIV/0!</v>
      </c>
      <c r="P768" s="449" t="e">
        <f>0.25*$O$767/(#REF!/$F$514-#REF!/$F$514+$O$767*0.2*#REF!*10^-3)</f>
        <v>#DIV/0!</v>
      </c>
      <c r="Q768" s="449" t="e">
        <f>0.25*$O$767/(#REF!/$F$514-#REF!/$F$514+$O$767*0.2*#REF!*10^-3)</f>
        <v>#DIV/0!</v>
      </c>
      <c r="R768" s="449" t="e">
        <f>0.25*$O$767/(#REF!/$F$514-#REF!/$F$514+$O$767*0.2*#REF!*10^-3)</f>
        <v>#DIV/0!</v>
      </c>
      <c r="S768" s="449" t="e">
        <f>0.25*$O$767/(#REF!/$G$514-#REF!/$G$514+$O$767*0.2*#REF!*10^-3)</f>
        <v>#DIV/0!</v>
      </c>
      <c r="T768" s="449" t="e">
        <f>0.25*$O$767/(#REF!/$G$514-#REF!/$G$514+$O$767*0.2*#REF!*10^-3)</f>
        <v>#DIV/0!</v>
      </c>
      <c r="U768" s="449" t="e">
        <f>0.25*$O$767/(#REF!/$G$514-#REF!/$G$514+$O$767*0.2*#REF!*10^-3)</f>
        <v>#DIV/0!</v>
      </c>
      <c r="V768" s="246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</row>
    <row r="769" spans="1:26" hidden="1">
      <c r="A769" s="1043"/>
      <c r="B769" s="314" t="s">
        <v>340</v>
      </c>
      <c r="C769" s="314">
        <f>C350/C590/2</f>
        <v>9.9850304505017376E-2</v>
      </c>
      <c r="D769" s="314" t="e">
        <f>D350/D590/2</f>
        <v>#DIV/0!</v>
      </c>
      <c r="E769" s="995"/>
      <c r="F769" s="995"/>
      <c r="G769" s="995"/>
      <c r="H769" s="995"/>
      <c r="I769" s="995"/>
      <c r="J769" s="995"/>
      <c r="K769" s="995"/>
      <c r="L769" s="995"/>
      <c r="M769" s="112"/>
      <c r="N769" s="1235" t="s">
        <v>948</v>
      </c>
      <c r="O769" s="449" t="e">
        <f>0.2*$O$767/(#REF!/$F$514-#REF!/$F$514+$O$767*0.13*#REF!*10^-3)</f>
        <v>#DIV/0!</v>
      </c>
      <c r="P769" s="449" t="e">
        <f>0.2*$O$767/(#REF!/$F$514-#REF!/$F$514+$O$767*0.13*#REF!*10^-3)</f>
        <v>#DIV/0!</v>
      </c>
      <c r="Q769" s="449" t="e">
        <f>0.2*$O$767/(#REF!/$F$514-#REF!/$F$514+$O$767*0.13*#REF!*10^-3)</f>
        <v>#DIV/0!</v>
      </c>
      <c r="R769" s="449" t="e">
        <f>0.2*$O$767/(#REF!/$F$514-#REF!/$F$514+$O$767*0.13*#REF!*10^-3)</f>
        <v>#DIV/0!</v>
      </c>
      <c r="S769" s="449" t="e">
        <f>0.2*$O$767/(#REF!/$G$514-#REF!/$G$514+$O$767*0.13*#REF!*10^-3)</f>
        <v>#DIV/0!</v>
      </c>
      <c r="T769" s="449" t="e">
        <f>0.2*$O$767/(#REF!/$G$514-#REF!/$G$514+$O$767*0.13*#REF!*10^-3)</f>
        <v>#DIV/0!</v>
      </c>
      <c r="U769" s="449" t="e">
        <f>0.2*$O$767/(#REF!/$G$514-#REF!/$G$514+$O$767*0.13*#REF!*10^-3)</f>
        <v>#DIV/0!</v>
      </c>
      <c r="V769" s="246"/>
    </row>
    <row r="770" spans="1:26" hidden="1">
      <c r="A770" s="1043"/>
      <c r="B770" s="314" t="s">
        <v>341</v>
      </c>
      <c r="C770" s="314">
        <f>C351/C590/2</f>
        <v>0.1011950897508762</v>
      </c>
      <c r="D770" s="314" t="e">
        <f>D351/D590/2</f>
        <v>#DIV/0!</v>
      </c>
      <c r="E770" s="995"/>
      <c r="F770" s="995"/>
      <c r="G770" s="995"/>
      <c r="H770" s="995"/>
      <c r="I770" s="995"/>
      <c r="J770" s="995"/>
      <c r="K770" s="995"/>
      <c r="L770" s="1135"/>
      <c r="M770" s="112"/>
      <c r="N770" s="1235"/>
      <c r="O770" s="471" t="s">
        <v>342</v>
      </c>
      <c r="P770" s="471" t="s">
        <v>342</v>
      </c>
      <c r="Q770" s="471" t="s">
        <v>343</v>
      </c>
      <c r="R770" s="471" t="s">
        <v>344</v>
      </c>
      <c r="S770" s="471" t="s">
        <v>342</v>
      </c>
      <c r="T770" s="471" t="s">
        <v>343</v>
      </c>
      <c r="U770" s="601" t="s">
        <v>344</v>
      </c>
      <c r="V770" s="246"/>
    </row>
    <row r="771" spans="1:26" hidden="1">
      <c r="A771" s="1043"/>
      <c r="B771" s="314" t="s">
        <v>345</v>
      </c>
      <c r="C771" s="314">
        <f>C352/C590/2</f>
        <v>0.10242542518857681</v>
      </c>
      <c r="D771" s="314" t="e">
        <f>D352/D590/2</f>
        <v>#DIV/0!</v>
      </c>
      <c r="E771" s="995"/>
      <c r="F771" s="995"/>
      <c r="G771" s="995"/>
      <c r="H771" s="995"/>
      <c r="I771" s="995"/>
      <c r="J771" s="995"/>
      <c r="K771" s="995"/>
      <c r="L771" s="995"/>
      <c r="M771" s="112"/>
      <c r="N771" s="1235" t="s">
        <v>68</v>
      </c>
      <c r="O771" s="289">
        <f>H583</f>
        <v>0</v>
      </c>
      <c r="P771" s="289">
        <f>I583</f>
        <v>0</v>
      </c>
      <c r="R771" s="398" t="e">
        <f>0.1*#REF!/$O$767*#REF!/$C$797/#REF!*10^6</f>
        <v>#REF!</v>
      </c>
      <c r="S771" s="289">
        <f>BQ583</f>
        <v>120</v>
      </c>
      <c r="T771" s="398" t="e">
        <f>PI()/15/S767*#REF!/$C$797*#REF!*BQ583</f>
        <v>#DIV/0!</v>
      </c>
      <c r="U771" s="600" t="e">
        <f>0.1*$I$486/$S$767*#REF!/$C$797/$T$771*10^6</f>
        <v>#DIV/0!</v>
      </c>
      <c r="V771" s="246"/>
    </row>
    <row r="772" spans="1:26" hidden="1">
      <c r="A772" s="1043"/>
      <c r="B772" s="314" t="s">
        <v>1167</v>
      </c>
      <c r="C772" s="314">
        <f t="shared" ref="C772:D774" si="166">3-3*C769</f>
        <v>2.700449086484948</v>
      </c>
      <c r="D772" s="314" t="e">
        <f t="shared" si="166"/>
        <v>#DIV/0!</v>
      </c>
      <c r="E772" s="995"/>
      <c r="F772" s="995"/>
      <c r="G772" s="995"/>
      <c r="H772" s="995"/>
      <c r="I772" s="995"/>
      <c r="J772" s="995"/>
      <c r="K772" s="995"/>
      <c r="L772" s="995"/>
      <c r="M772" s="112"/>
      <c r="N772" s="1235" t="s">
        <v>69</v>
      </c>
      <c r="R772" s="289">
        <f>H579</f>
        <v>0</v>
      </c>
      <c r="S772" s="602" t="e">
        <f>15/PI()*$S$767/#REF!*$C$797*$T$772/#REF!</f>
        <v>#DIV/0!</v>
      </c>
      <c r="T772" s="398" t="e">
        <f>200*$I$486/$S$767*#REF!/$BQ$579</f>
        <v>#DIV/0!</v>
      </c>
      <c r="U772" s="603">
        <f>BQ579</f>
        <v>50</v>
      </c>
      <c r="V772" s="246"/>
    </row>
    <row r="773" spans="1:26" hidden="1">
      <c r="A773" s="1043"/>
      <c r="B773" s="314" t="s">
        <v>1169</v>
      </c>
      <c r="C773" s="314">
        <f t="shared" si="166"/>
        <v>2.6964147307473714</v>
      </c>
      <c r="D773" s="314" t="e">
        <f t="shared" si="166"/>
        <v>#DIV/0!</v>
      </c>
      <c r="E773" s="995"/>
      <c r="F773" s="995"/>
      <c r="G773" s="995"/>
      <c r="H773" s="995"/>
      <c r="I773" s="995"/>
      <c r="J773" s="995"/>
      <c r="K773" s="995"/>
      <c r="L773" s="995"/>
      <c r="M773" s="112"/>
      <c r="N773" s="1235" t="s">
        <v>70</v>
      </c>
      <c r="O773" s="404" t="e">
        <f>15/PI()*$O$767/#REF!*$C$797*$H$581/#REF!</f>
        <v>#DIV/0!</v>
      </c>
      <c r="P773" s="404" t="e">
        <f>15/PI()*$O$767/#REF!*$C$797*$H$581/#REF!</f>
        <v>#DIV/0!</v>
      </c>
      <c r="Q773" s="604">
        <f>H581</f>
        <v>0</v>
      </c>
      <c r="S773" s="602" t="e">
        <f>15/PI()*$S$767/#REF!*$C$797*$BQ$581/#REF!</f>
        <v>#DIV/0!</v>
      </c>
      <c r="T773" s="604">
        <f>BQ581</f>
        <v>2.2000000000000002</v>
      </c>
      <c r="U773" s="600" t="e">
        <f>0.1*$I$486/$S$767*#REF!/$C$797/$BQ$581*10^6</f>
        <v>#DIV/0!</v>
      </c>
      <c r="V773" s="246"/>
      <c r="X773" s="15"/>
    </row>
    <row r="774" spans="1:26" hidden="1">
      <c r="A774" s="1043"/>
      <c r="B774" s="314" t="s">
        <v>1170</v>
      </c>
      <c r="C774" s="314">
        <f t="shared" si="166"/>
        <v>2.6927237244342694</v>
      </c>
      <c r="D774" s="314" t="e">
        <f t="shared" si="166"/>
        <v>#DIV/0!</v>
      </c>
      <c r="E774" s="995"/>
      <c r="F774" s="995"/>
      <c r="G774" s="995"/>
      <c r="H774" s="1208"/>
      <c r="I774" s="995"/>
      <c r="J774" s="995"/>
      <c r="K774" s="995"/>
      <c r="L774" s="995"/>
      <c r="M774" s="934"/>
      <c r="N774" s="1235" t="s">
        <v>71</v>
      </c>
      <c r="O774" s="404" t="e">
        <f>0.1*#REF!/$O$767*#REF!/$C$797/$H$581*10^6</f>
        <v>#REF!</v>
      </c>
      <c r="P774" s="404" t="e">
        <f>0.1*#REF!/$O$767*#REF!/$C$797/$H$581*10^6</f>
        <v>#REF!</v>
      </c>
      <c r="Q774" s="604"/>
      <c r="R774" s="398"/>
      <c r="S774" s="602"/>
      <c r="T774" s="504"/>
      <c r="U774" s="600"/>
      <c r="V774" s="246"/>
    </row>
    <row r="775" spans="1:26" hidden="1">
      <c r="A775" s="1043"/>
      <c r="B775" s="314" t="s">
        <v>1044</v>
      </c>
      <c r="C775" s="314">
        <f>C768/C583*C772</f>
        <v>1.3188028614127698</v>
      </c>
      <c r="D775" s="314" t="e">
        <f>D768/D583*D772</f>
        <v>#DIV/0!</v>
      </c>
      <c r="E775" s="995"/>
      <c r="F775" s="1056"/>
      <c r="G775" s="995"/>
      <c r="H775" s="995"/>
      <c r="I775" s="1197"/>
      <c r="J775" s="1056"/>
      <c r="K775" s="1056"/>
      <c r="L775" s="995"/>
      <c r="M775" s="934"/>
      <c r="N775" s="1235" t="s">
        <v>72</v>
      </c>
      <c r="O775" s="289">
        <f>H585</f>
        <v>0</v>
      </c>
      <c r="P775" s="289">
        <f>I585</f>
        <v>0</v>
      </c>
      <c r="Q775" s="430"/>
      <c r="R775" s="430"/>
      <c r="S775" s="289">
        <f>BQ587</f>
        <v>37.303920454545455</v>
      </c>
      <c r="T775" s="471"/>
      <c r="U775" s="605"/>
      <c r="V775" s="246"/>
    </row>
    <row r="776" spans="1:26" hidden="1">
      <c r="A776" s="1043"/>
      <c r="B776" s="314" t="s">
        <v>1045</v>
      </c>
      <c r="C776" s="314">
        <f>C768/C582*C773</f>
        <v>1.3189130849593724</v>
      </c>
      <c r="D776" s="314" t="e">
        <f>D768/D582*D773</f>
        <v>#DIV/0!</v>
      </c>
      <c r="E776" s="995"/>
      <c r="F776" s="1196"/>
      <c r="G776" s="995"/>
      <c r="H776" s="995"/>
      <c r="I776" s="1196"/>
      <c r="J776" s="1196"/>
      <c r="K776" s="1196"/>
      <c r="L776" s="995"/>
      <c r="M776" s="934"/>
      <c r="N776" s="1235" t="s">
        <v>73</v>
      </c>
      <c r="Q776" s="404" t="e">
        <f>#REF!/$C$780</f>
        <v>#REF!</v>
      </c>
      <c r="R776" s="606"/>
      <c r="S776" s="404" t="e">
        <f>5/PI()*S767/#REF!*$C$797*BQ581/BQ583</f>
        <v>#DIV/0!</v>
      </c>
      <c r="T776" s="404" t="e">
        <f>#REF!/$C$780</f>
        <v>#REF!</v>
      </c>
      <c r="U776" s="601"/>
      <c r="V776" s="246"/>
    </row>
    <row r="777" spans="1:26" hidden="1">
      <c r="A777" s="1043"/>
      <c r="B777" s="314" t="s">
        <v>1046</v>
      </c>
      <c r="C777" s="314">
        <f>C768/C581*C774</f>
        <v>1.319014233303331</v>
      </c>
      <c r="D777" s="314" t="e">
        <f>D768/D581*D774</f>
        <v>#DIV/0!</v>
      </c>
      <c r="E777" s="995"/>
      <c r="F777" s="1196"/>
      <c r="G777" s="995"/>
      <c r="H777" s="995"/>
      <c r="I777" s="1196"/>
      <c r="J777" s="1196"/>
      <c r="K777" s="1196"/>
      <c r="L777" s="995"/>
      <c r="M777" s="934"/>
      <c r="N777" s="1235" t="s">
        <v>75</v>
      </c>
      <c r="O777" s="290" t="e">
        <f>#REF!</f>
        <v>#REF!</v>
      </c>
      <c r="P777" s="290">
        <f>I593</f>
        <v>0</v>
      </c>
      <c r="Q777" s="607" t="e">
        <f>10/(2*PI()*#REF!*$H$581)*10^6</f>
        <v>#REF!</v>
      </c>
      <c r="R777" s="606"/>
      <c r="S777" s="290">
        <f>BQ593</f>
        <v>1800</v>
      </c>
      <c r="T777" s="607" t="e">
        <f>10/(2*PI()*$S$776*$BQ$581)*10^6</f>
        <v>#DIV/0!</v>
      </c>
      <c r="U777" s="601"/>
      <c r="V777" s="246"/>
      <c r="Y777" s="15"/>
      <c r="Z777" s="15"/>
    </row>
    <row r="778" spans="1:26" hidden="1">
      <c r="A778" s="1043"/>
      <c r="E778" s="995"/>
      <c r="F778" s="1196"/>
      <c r="G778" s="995"/>
      <c r="H778" s="995"/>
      <c r="I778" s="1196"/>
      <c r="J778" s="1196"/>
      <c r="K778" s="1196"/>
      <c r="L778" s="995"/>
      <c r="M778" s="934"/>
      <c r="N778" s="1235" t="s">
        <v>76</v>
      </c>
      <c r="O778" s="15"/>
      <c r="P778" s="15"/>
      <c r="Q778" s="525" t="e">
        <f>#REF!/#REF!</f>
        <v>#REF!</v>
      </c>
      <c r="R778" s="606"/>
      <c r="S778" s="608">
        <f>1/(2*PI()*BQ593*BQ581)*10^6</f>
        <v>40.190642194923065</v>
      </c>
      <c r="T778" s="525" t="e">
        <f>S778/S776</f>
        <v>#DIV/0!</v>
      </c>
      <c r="U778" s="601"/>
      <c r="V778" s="23" t="s">
        <v>53</v>
      </c>
    </row>
    <row r="779" spans="1:26" hidden="1">
      <c r="A779" s="1043"/>
      <c r="B779" s="1010" t="s">
        <v>28</v>
      </c>
      <c r="C779" s="1236"/>
      <c r="D779" s="1163"/>
      <c r="E779" s="995"/>
      <c r="F779" s="1197"/>
      <c r="G779" s="995"/>
      <c r="H779" s="995"/>
      <c r="I779" s="1448"/>
      <c r="J779" s="1448"/>
      <c r="K779" s="1448"/>
      <c r="L779" s="995"/>
      <c r="M779" s="934"/>
      <c r="N779" s="1235" t="s">
        <v>77</v>
      </c>
      <c r="O779" s="609" t="e">
        <f>#REF!</f>
        <v>#REF!</v>
      </c>
      <c r="P779" s="609">
        <f>I590</f>
        <v>0</v>
      </c>
      <c r="Q779" s="537" t="e">
        <f>$H$583*$H$585/$H$581</f>
        <v>#DIV/0!</v>
      </c>
      <c r="R779" s="471"/>
      <c r="S779" s="609">
        <f>BQ590</f>
        <v>47</v>
      </c>
      <c r="T779" s="537">
        <f>$BQ$583*$BQ$587/$BQ$581</f>
        <v>2034.7592975206608</v>
      </c>
      <c r="U779" s="601"/>
      <c r="V779" s="246"/>
    </row>
    <row r="780" spans="1:26" ht="14" hidden="1" thickBot="1">
      <c r="A780" s="1043"/>
      <c r="B780" s="1053" t="s">
        <v>30</v>
      </c>
      <c r="C780" s="1237">
        <v>3</v>
      </c>
      <c r="D780" s="252">
        <f>C780</f>
        <v>3</v>
      </c>
      <c r="E780" s="1135"/>
      <c r="F780" s="1197"/>
      <c r="G780" s="995"/>
      <c r="H780" s="995"/>
      <c r="I780" s="1448"/>
      <c r="J780" s="1448"/>
      <c r="K780" s="1448"/>
      <c r="L780" s="995"/>
      <c r="M780" s="934"/>
      <c r="N780" s="1238" t="s">
        <v>78</v>
      </c>
      <c r="O780" s="610">
        <f>H536*$H$585</f>
        <v>0</v>
      </c>
      <c r="P780" s="610">
        <f>I536*$H$585</f>
        <v>0</v>
      </c>
      <c r="Q780" s="610">
        <f>H537*$H$585</f>
        <v>0</v>
      </c>
      <c r="R780" s="610">
        <f>H538*$H$585</f>
        <v>0</v>
      </c>
      <c r="S780" s="610">
        <f>I536*$BQ$587</f>
        <v>0</v>
      </c>
      <c r="T780" s="610">
        <f>I537*$BQ$587</f>
        <v>0</v>
      </c>
      <c r="U780" s="611">
        <f>I538*$BQ$587</f>
        <v>0</v>
      </c>
      <c r="V780" s="246"/>
    </row>
    <row r="781" spans="1:26" hidden="1">
      <c r="A781" s="1043"/>
      <c r="B781" s="1239"/>
      <c r="C781" s="1237">
        <v>4</v>
      </c>
      <c r="D781" s="252">
        <f>C781</f>
        <v>4</v>
      </c>
      <c r="E781" s="932"/>
      <c r="F781" s="932"/>
      <c r="G781" s="932"/>
      <c r="H781" s="995"/>
      <c r="I781" s="1109"/>
      <c r="J781" s="1109"/>
      <c r="K781" s="1109"/>
      <c r="L781" s="995"/>
      <c r="M781" s="934"/>
      <c r="N781" s="1240" t="s">
        <v>346</v>
      </c>
      <c r="O781" s="612" t="e">
        <f>#REF!*(1+$O$731)+0.5*$H$536*(1+$O$727)</f>
        <v>#REF!</v>
      </c>
      <c r="P781" s="612" t="e">
        <f>#REF!*(1+$O$731)+0.5*$H$536*(1+$O$727)</f>
        <v>#REF!</v>
      </c>
      <c r="Q781" s="612" t="e">
        <f>#REF!*(1+$O$731)+0.5*$H$537*(1+$O$727)</f>
        <v>#REF!</v>
      </c>
      <c r="R781" s="612" t="e">
        <f>#REF!*(1+$O$731)+0.5*$H$538*(1+$O$727)</f>
        <v>#REF!</v>
      </c>
      <c r="S781" s="612">
        <f>$I$486*(1+$O$731)+0.5*$I$536*(1+$S$727)</f>
        <v>0</v>
      </c>
      <c r="T781" s="612">
        <f>$I$486*(1+$O$731)+0.5*$I$537*(1+$S$727)</f>
        <v>0</v>
      </c>
      <c r="U781" s="613">
        <f>$I$486*(1+$O$731)+0.5*$I$538*(1+$S$727)</f>
        <v>0</v>
      </c>
      <c r="V781" s="246"/>
    </row>
    <row r="782" spans="1:26" hidden="1">
      <c r="A782" s="1043"/>
      <c r="E782" s="932"/>
      <c r="F782" s="932"/>
      <c r="G782" s="932"/>
      <c r="H782" s="995"/>
      <c r="I782" s="1196"/>
      <c r="J782" s="1196"/>
      <c r="K782" s="1196"/>
      <c r="L782" s="995"/>
      <c r="M782" s="934"/>
      <c r="N782" s="1241" t="s">
        <v>347</v>
      </c>
      <c r="O782" s="614" t="e">
        <f>$H$551*(1-$O$728)/(#REF!*(1+$O$731)+0.5*$H$536*(1+$O$727))</f>
        <v>#REF!</v>
      </c>
      <c r="P782" s="614" t="e">
        <f>$H$551*(1-$O$728)/(#REF!*(1+$O$731)+0.5*$H$536*(1+$O$727))</f>
        <v>#REF!</v>
      </c>
      <c r="Q782" s="614" t="e">
        <f>$H$551*(1-$O$728)/(#REF!*(1+$O$731)+0.5*$H$537*(1+$O$727))</f>
        <v>#REF!</v>
      </c>
      <c r="R782" s="614" t="e">
        <f>$H$551*(1-$O$728)/(#REF!*(1+$O$731)+0.5*$H$538*(1+$O$727))</f>
        <v>#REF!</v>
      </c>
      <c r="S782" s="614" t="e">
        <f>$H$551*(1-$S$728)/($I$486*(1+$O$731)+0.5*$I$536*(1+$S$727))</f>
        <v>#DIV/0!</v>
      </c>
      <c r="T782" s="614" t="e">
        <f>$H$551*(1-$S$728)/($I$486*(1+$O$731)+0.5*$I$537*(1+$S$727))</f>
        <v>#DIV/0!</v>
      </c>
      <c r="U782" s="615" t="e">
        <f>$H$551*(1-$S$728)/($I$486*(1+$O$731)+0.5*$I$538*(1+$S$727))</f>
        <v>#DIV/0!</v>
      </c>
      <c r="V782" s="246"/>
    </row>
    <row r="783" spans="1:26" hidden="1">
      <c r="A783" s="1043"/>
      <c r="B783" s="1010" t="s">
        <v>1190</v>
      </c>
      <c r="C783" s="1162"/>
      <c r="D783" s="1163"/>
      <c r="E783" s="932"/>
      <c r="F783" s="932"/>
      <c r="G783" s="932"/>
      <c r="H783" s="995"/>
      <c r="I783" s="995"/>
      <c r="J783" s="995"/>
      <c r="K783" s="995"/>
      <c r="L783" s="995"/>
      <c r="M783" s="934"/>
      <c r="N783" s="1235" t="s">
        <v>348</v>
      </c>
      <c r="O783" s="583"/>
      <c r="P783" s="583"/>
      <c r="Q783" s="25" t="e">
        <f>"Less than "&amp;TEXT(R782,"#.##")&amp;"-mohm"</f>
        <v>#REF!</v>
      </c>
      <c r="R783" s="25"/>
      <c r="S783" s="583"/>
      <c r="T783" s="25" t="e">
        <f>"Less than "&amp;TEXT(U782,"#.##")&amp;"-mohm"</f>
        <v>#DIV/0!</v>
      </c>
      <c r="U783" s="26"/>
      <c r="V783" s="246"/>
    </row>
    <row r="784" spans="1:26" hidden="1">
      <c r="A784" s="1043"/>
      <c r="B784" s="1242" t="s">
        <v>1193</v>
      </c>
      <c r="C784" s="1041">
        <v>0.1</v>
      </c>
      <c r="D784" s="1049">
        <f>C784</f>
        <v>0.1</v>
      </c>
      <c r="E784" s="932"/>
      <c r="F784" s="932"/>
      <c r="G784" s="932"/>
      <c r="H784" s="995"/>
      <c r="I784" s="995"/>
      <c r="J784" s="995"/>
      <c r="K784" s="995"/>
      <c r="L784" s="995"/>
      <c r="M784" s="934"/>
      <c r="N784" s="1235" t="s">
        <v>336</v>
      </c>
      <c r="O784" s="398" t="e">
        <f>$H$551/$H$554*(1-$O$728)-0.5*$H$536*(1+$O$727)</f>
        <v>#DIV/0!</v>
      </c>
      <c r="P784" s="398" t="e">
        <f>$H$551/$H$554*(1-$O$728)-0.5*$H$536*(1+$O$727)</f>
        <v>#DIV/0!</v>
      </c>
      <c r="Q784" s="398" t="e">
        <f>$H$551/$H$554*(1-$O$728)-0.5*$H$537*(1+$O$727)</f>
        <v>#DIV/0!</v>
      </c>
      <c r="R784" s="398" t="e">
        <f>$H$551/$H$554*(1-$O$728)-0.5*$H$538*(1+$O$727)</f>
        <v>#DIV/0!</v>
      </c>
      <c r="S784" s="398" t="e">
        <f>$H$551/$I$554*(1-$S$728)-0.5*$I$536*(1+$S$727)</f>
        <v>#DIV/0!</v>
      </c>
      <c r="T784" s="398" t="e">
        <f>$H$551/$I$554*(1-$S$728)-0.5*$I$537*(1+$S$727)</f>
        <v>#DIV/0!</v>
      </c>
      <c r="U784" s="600" t="e">
        <f>$H$551/$I$554*(1-$S$728)-0.5*$I$538*(1+$S$727)</f>
        <v>#DIV/0!</v>
      </c>
      <c r="V784" s="246"/>
    </row>
    <row r="785" spans="1:22" hidden="1">
      <c r="A785" s="1043"/>
      <c r="B785" s="1047" t="s">
        <v>1237</v>
      </c>
      <c r="C785" s="1243">
        <f>IF(C465=60,C787,C789)</f>
        <v>8.3333333333333329E-2</v>
      </c>
      <c r="D785" s="1041">
        <f>IF(D465=60,D787,D789)</f>
        <v>8.3333333333333329E-2</v>
      </c>
      <c r="E785" s="932"/>
      <c r="F785" s="932"/>
      <c r="G785" s="932"/>
      <c r="H785" s="995"/>
      <c r="I785" s="995"/>
      <c r="J785" s="995"/>
      <c r="K785" s="995"/>
      <c r="L785" s="995"/>
      <c r="M785" s="934"/>
      <c r="N785" s="1235" t="s">
        <v>337</v>
      </c>
      <c r="O785" s="398" t="e">
        <f>$H$551/$H$554-0.5*$H$536</f>
        <v>#DIV/0!</v>
      </c>
      <c r="P785" s="398" t="e">
        <f>$H$551/$H$554-0.5*$H$536</f>
        <v>#DIV/0!</v>
      </c>
      <c r="Q785" s="398" t="e">
        <f>$H$551/$H$554-0.5*$H$537</f>
        <v>#DIV/0!</v>
      </c>
      <c r="R785" s="398" t="e">
        <f>$H$551/$H$554-0.5*$H$538</f>
        <v>#DIV/0!</v>
      </c>
      <c r="S785" s="398" t="e">
        <f>$H$551/$I$554-0.5*$I$536</f>
        <v>#DIV/0!</v>
      </c>
      <c r="T785" s="398" t="e">
        <f>$H$551/$I$554-0.5*$I$537</f>
        <v>#DIV/0!</v>
      </c>
      <c r="U785" s="600" t="e">
        <f>$H$551/$I$554-0.5*$I$538</f>
        <v>#DIV/0!</v>
      </c>
      <c r="V785" s="246"/>
    </row>
    <row r="786" spans="1:22" hidden="1">
      <c r="A786" s="1043"/>
      <c r="B786" s="1047" t="s">
        <v>3</v>
      </c>
      <c r="C786" s="1244">
        <f>IF(C465=60,C788,C790)</f>
        <v>6.6666666666666666E-2</v>
      </c>
      <c r="D786" s="1245">
        <f>IF(D465=60,D788,D790)</f>
        <v>6.6666666666666666E-2</v>
      </c>
      <c r="E786" s="932"/>
      <c r="F786" s="932"/>
      <c r="G786" s="932"/>
      <c r="H786" s="995"/>
      <c r="I786" s="995"/>
      <c r="J786" s="995"/>
      <c r="K786" s="995"/>
      <c r="L786" s="995"/>
      <c r="M786" s="934"/>
      <c r="N786" s="1246" t="s">
        <v>338</v>
      </c>
      <c r="O786" s="616" t="e">
        <f>$H$551/$H$554*(1+$O$728)-0.5*$H$536*(1-$O$727)</f>
        <v>#DIV/0!</v>
      </c>
      <c r="P786" s="616" t="e">
        <f>$H$551/$H$554*(1+$O$728)-0.5*$H$536*(1-$O$727)</f>
        <v>#DIV/0!</v>
      </c>
      <c r="Q786" s="616" t="e">
        <f>$H$551/$H$554*(1+$O$728)-0.5*$H$537*(1-$O$727)</f>
        <v>#DIV/0!</v>
      </c>
      <c r="R786" s="616" t="e">
        <f>$H$551/$H$554*(1+$O$728)-0.5*$H$538*(1-$O$727)</f>
        <v>#DIV/0!</v>
      </c>
      <c r="S786" s="616" t="e">
        <f>$H$551/$I$554*(1+$S$728)-0.5*$I$536*(1-$S$727)</f>
        <v>#DIV/0!</v>
      </c>
      <c r="T786" s="616" t="e">
        <f>$H$551/$I$554*(1+$S$728)-0.5*$I$537*(1-$S$727)</f>
        <v>#DIV/0!</v>
      </c>
      <c r="U786" s="617" t="e">
        <f>$H$551/$I$554*(1+$S$728)-0.5*$I$538*(1-$S$727)</f>
        <v>#DIV/0!</v>
      </c>
      <c r="V786" s="246"/>
    </row>
    <row r="787" spans="1:22" hidden="1">
      <c r="A787" s="1043"/>
      <c r="B787" s="1247" t="s">
        <v>854</v>
      </c>
      <c r="C787" s="1041">
        <f>(C793-60)/60</f>
        <v>8.3333333333333329E-2</v>
      </c>
      <c r="D787" s="1049">
        <f>C787</f>
        <v>8.3333333333333329E-2</v>
      </c>
      <c r="E787" s="932"/>
      <c r="F787" s="932"/>
      <c r="G787" s="932"/>
      <c r="H787" s="995"/>
      <c r="I787" s="995"/>
      <c r="J787" s="995"/>
      <c r="K787" s="995"/>
      <c r="L787" s="995"/>
      <c r="M787" s="934"/>
      <c r="N787" s="1235" t="s">
        <v>616</v>
      </c>
      <c r="O787" s="604" t="e">
        <f>#REF!</f>
        <v>#REF!</v>
      </c>
      <c r="P787" s="604" t="e">
        <f>#REF!</f>
        <v>#REF!</v>
      </c>
      <c r="Q787" s="398" t="e">
        <f>#REF!/$H$556/$H$554*1000</f>
        <v>#REF!</v>
      </c>
      <c r="R787" s="471"/>
      <c r="S787" s="604">
        <f>I692</f>
        <v>0</v>
      </c>
      <c r="T787" s="398" t="e">
        <f>$I$691/$I$556/$I$554*1000</f>
        <v>#DIV/0!</v>
      </c>
      <c r="U787" s="601"/>
      <c r="V787" s="246"/>
    </row>
    <row r="788" spans="1:22" hidden="1">
      <c r="A788" s="1043"/>
      <c r="B788" s="1247" t="s">
        <v>4</v>
      </c>
      <c r="C788" s="1041">
        <f>(60-C794)/60</f>
        <v>6.6666666666666666E-2</v>
      </c>
      <c r="D788" s="1049">
        <f>C788</f>
        <v>6.6666666666666666E-2</v>
      </c>
      <c r="E788" s="932"/>
      <c r="F788" s="932"/>
      <c r="G788" s="932"/>
      <c r="H788" s="1248"/>
      <c r="I788" s="1249"/>
      <c r="J788" s="995"/>
      <c r="K788" s="392"/>
      <c r="L788" s="995"/>
      <c r="M788" s="934"/>
      <c r="N788" s="1235" t="s">
        <v>617</v>
      </c>
      <c r="O788" s="398" t="e">
        <f>$H$556/#REF!/1000</f>
        <v>#REF!</v>
      </c>
      <c r="P788" s="398" t="e">
        <f>$H$556/#REF!/1000</f>
        <v>#REF!</v>
      </c>
      <c r="Q788" s="398" t="e">
        <f>#REF!/$H$554</f>
        <v>#REF!</v>
      </c>
      <c r="R788" s="471"/>
      <c r="S788" s="398" t="e">
        <f>$I$556/$I$692/1000</f>
        <v>#DIV/0!</v>
      </c>
      <c r="T788" s="398" t="e">
        <f>$I$691/$I$554</f>
        <v>#DIV/0!</v>
      </c>
      <c r="U788" s="601"/>
      <c r="V788" s="246"/>
    </row>
    <row r="789" spans="1:22" hidden="1">
      <c r="A789" s="1043"/>
      <c r="B789" s="1247" t="s">
        <v>855</v>
      </c>
      <c r="C789" s="1041">
        <f>(C795-31)/31</f>
        <v>9.6774193548387094E-2</v>
      </c>
      <c r="D789" s="1049">
        <f>C789</f>
        <v>9.6774193548387094E-2</v>
      </c>
      <c r="E789" s="932"/>
      <c r="F789" s="932"/>
      <c r="G789" s="932"/>
      <c r="H789" s="932"/>
      <c r="I789" s="1448"/>
      <c r="J789" s="1448"/>
      <c r="K789" s="392"/>
      <c r="L789" s="1043"/>
      <c r="M789" s="934"/>
      <c r="N789" s="1235" t="s">
        <v>339</v>
      </c>
      <c r="O789" s="398" t="e">
        <f>$H$551/$H$554</f>
        <v>#DIV/0!</v>
      </c>
      <c r="P789" s="398" t="e">
        <f>$H$551/$H$554</f>
        <v>#DIV/0!</v>
      </c>
      <c r="Q789" s="398" t="e">
        <f>$O$789/#REF!</f>
        <v>#DIV/0!</v>
      </c>
      <c r="R789" s="471"/>
      <c r="S789" s="398" t="e">
        <f>$H$551/$I$554</f>
        <v>#DIV/0!</v>
      </c>
      <c r="T789" s="398" t="e">
        <f>$S$789/$I$486</f>
        <v>#DIV/0!</v>
      </c>
      <c r="U789" s="601"/>
      <c r="V789" s="246"/>
    </row>
    <row r="790" spans="1:22" hidden="1">
      <c r="A790" s="1043"/>
      <c r="B790" s="1247" t="s">
        <v>856</v>
      </c>
      <c r="C790" s="1041">
        <f>(31-C796)/31</f>
        <v>9.6774193548387094E-2</v>
      </c>
      <c r="D790" s="1049">
        <f>C790</f>
        <v>9.6774193548387094E-2</v>
      </c>
      <c r="E790" s="932"/>
      <c r="F790" s="932"/>
      <c r="G790" s="932"/>
      <c r="H790" s="932"/>
      <c r="I790" s="995"/>
      <c r="J790" s="932"/>
      <c r="K790" s="392"/>
      <c r="L790" s="1043"/>
      <c r="M790" s="934"/>
      <c r="N790" s="1235"/>
      <c r="O790" s="471" t="s">
        <v>342</v>
      </c>
      <c r="P790" s="471" t="s">
        <v>342</v>
      </c>
      <c r="Q790" s="471" t="s">
        <v>343</v>
      </c>
      <c r="R790" s="471" t="s">
        <v>344</v>
      </c>
      <c r="S790" s="471" t="s">
        <v>342</v>
      </c>
      <c r="T790" s="471" t="s">
        <v>343</v>
      </c>
      <c r="U790" s="601" t="s">
        <v>344</v>
      </c>
      <c r="V790" s="246"/>
    </row>
    <row r="791" spans="1:22" hidden="1">
      <c r="A791" s="1043"/>
      <c r="B791" s="1047" t="s">
        <v>506</v>
      </c>
      <c r="C791" s="1250">
        <f>IF(C465=60,C793,C795)</f>
        <v>65</v>
      </c>
      <c r="D791" s="1250">
        <f>IF(D465=60,D793,D795)</f>
        <v>65</v>
      </c>
      <c r="E791" s="932"/>
      <c r="F791" s="932"/>
      <c r="G791" s="932"/>
      <c r="H791" s="932"/>
      <c r="I791" s="995"/>
      <c r="J791" s="932"/>
      <c r="K791" s="392"/>
      <c r="L791" s="1043"/>
      <c r="M791" s="934"/>
      <c r="N791" s="1235"/>
      <c r="O791" s="708"/>
      <c r="P791" s="708"/>
      <c r="Q791" s="471"/>
      <c r="R791" s="471"/>
      <c r="S791" s="708"/>
      <c r="T791" s="471"/>
      <c r="U791" s="601"/>
      <c r="V791" s="246"/>
    </row>
    <row r="792" spans="1:22" hidden="1">
      <c r="A792" s="1043"/>
      <c r="B792" s="1047" t="s">
        <v>507</v>
      </c>
      <c r="C792" s="1250">
        <f>IF(C465=60,C794,C796)</f>
        <v>56</v>
      </c>
      <c r="D792" s="1250">
        <f>IF(D465=60,D794,D796)</f>
        <v>56</v>
      </c>
      <c r="E792" s="932"/>
      <c r="F792" s="932"/>
      <c r="G792" s="932"/>
      <c r="H792" s="932"/>
      <c r="I792" s="995"/>
      <c r="J792" s="932"/>
      <c r="K792" s="392"/>
      <c r="L792" s="1043"/>
      <c r="M792" s="934"/>
      <c r="N792" s="1235"/>
      <c r="O792" s="708"/>
      <c r="P792" s="708"/>
      <c r="Q792" s="471"/>
      <c r="R792" s="471"/>
      <c r="S792" s="708"/>
      <c r="T792" s="471"/>
      <c r="U792" s="601"/>
      <c r="V792" s="246"/>
    </row>
    <row r="793" spans="1:22" hidden="1">
      <c r="A793" s="1043"/>
      <c r="B793" s="1247" t="s">
        <v>502</v>
      </c>
      <c r="C793" s="1250">
        <v>65</v>
      </c>
      <c r="D793" s="1251">
        <f t="shared" ref="D793:D803" si="167">C793</f>
        <v>65</v>
      </c>
      <c r="E793" s="932"/>
      <c r="F793" s="932"/>
      <c r="G793" s="932"/>
      <c r="H793" s="932"/>
      <c r="I793" s="995"/>
      <c r="J793" s="932"/>
      <c r="K793" s="392"/>
      <c r="L793" s="1043"/>
      <c r="M793" s="934"/>
      <c r="N793" s="1235"/>
      <c r="O793" s="708"/>
      <c r="P793" s="708"/>
      <c r="Q793" s="471"/>
      <c r="R793" s="471"/>
      <c r="S793" s="708"/>
      <c r="T793" s="471"/>
      <c r="U793" s="601"/>
      <c r="V793" s="246"/>
    </row>
    <row r="794" spans="1:22" hidden="1">
      <c r="A794" s="1043"/>
      <c r="B794" s="1247" t="s">
        <v>503</v>
      </c>
      <c r="C794" s="1250">
        <v>56</v>
      </c>
      <c r="D794" s="1251">
        <f t="shared" si="167"/>
        <v>56</v>
      </c>
      <c r="E794" s="932"/>
      <c r="F794" s="932"/>
      <c r="G794" s="932"/>
      <c r="H794" s="932"/>
      <c r="I794" s="995"/>
      <c r="J794" s="932"/>
      <c r="K794" s="392"/>
      <c r="L794" s="1043"/>
      <c r="M794" s="934"/>
      <c r="N794" s="1235"/>
      <c r="O794" s="708"/>
      <c r="P794" s="708"/>
      <c r="Q794" s="471"/>
      <c r="R794" s="471"/>
      <c r="S794" s="708"/>
      <c r="T794" s="471"/>
      <c r="U794" s="601"/>
      <c r="V794" s="246"/>
    </row>
    <row r="795" spans="1:22" hidden="1">
      <c r="A795" s="1043"/>
      <c r="B795" s="1247" t="s">
        <v>504</v>
      </c>
      <c r="C795" s="1250">
        <v>34</v>
      </c>
      <c r="D795" s="1251">
        <f t="shared" si="167"/>
        <v>34</v>
      </c>
      <c r="E795" s="932"/>
      <c r="F795" s="932"/>
      <c r="G795" s="932"/>
      <c r="H795" s="932"/>
      <c r="I795" s="995"/>
      <c r="J795" s="932"/>
      <c r="K795" s="392"/>
      <c r="L795" s="1043"/>
      <c r="M795" s="934"/>
      <c r="N795" s="1235"/>
      <c r="O795" s="708"/>
      <c r="P795" s="708"/>
      <c r="Q795" s="471"/>
      <c r="R795" s="471"/>
      <c r="S795" s="708"/>
      <c r="T795" s="471"/>
      <c r="U795" s="601"/>
      <c r="V795" s="246"/>
    </row>
    <row r="796" spans="1:22" hidden="1">
      <c r="A796" s="1043"/>
      <c r="B796" s="1247" t="s">
        <v>505</v>
      </c>
      <c r="C796" s="1250">
        <v>28</v>
      </c>
      <c r="D796" s="1251">
        <f t="shared" si="167"/>
        <v>28</v>
      </c>
      <c r="E796" s="932"/>
      <c r="F796" s="932"/>
      <c r="G796" s="932"/>
      <c r="H796" s="932"/>
      <c r="I796" s="995"/>
      <c r="J796" s="932"/>
      <c r="K796" s="392"/>
      <c r="L796" s="1043"/>
      <c r="M796" s="934"/>
      <c r="N796" s="1235"/>
      <c r="O796" s="708"/>
      <c r="P796" s="708"/>
      <c r="Q796" s="471"/>
      <c r="R796" s="471"/>
      <c r="S796" s="708"/>
      <c r="T796" s="471"/>
      <c r="U796" s="601"/>
      <c r="V796" s="246"/>
    </row>
    <row r="797" spans="1:22" hidden="1">
      <c r="A797" s="1043"/>
      <c r="B797" s="1247" t="s">
        <v>6</v>
      </c>
      <c r="C797" s="1252">
        <v>500</v>
      </c>
      <c r="D797" s="1251">
        <f t="shared" si="167"/>
        <v>500</v>
      </c>
      <c r="E797" s="932"/>
      <c r="F797" s="932"/>
      <c r="G797" s="932"/>
      <c r="H797" s="932"/>
      <c r="I797" s="995"/>
      <c r="J797" s="932"/>
      <c r="K797" s="995"/>
      <c r="L797" s="1043"/>
      <c r="M797" s="934"/>
      <c r="N797" s="1235" t="s">
        <v>68</v>
      </c>
      <c r="O797" s="289" t="e">
        <f>#REF!</f>
        <v>#REF!</v>
      </c>
      <c r="P797" s="289" t="e">
        <f>#REF!</f>
        <v>#REF!</v>
      </c>
      <c r="Q797" s="398" t="e">
        <f>PI()/15/O789*#REF!/$C$797*#REF!*#REF!</f>
        <v>#DIV/0!</v>
      </c>
      <c r="R797" s="398" t="e">
        <f>0.1*#REF!/$O$789*#REF!/$C$797/$Q$797*10^6</f>
        <v>#REF!</v>
      </c>
      <c r="S797" s="289">
        <f>I700</f>
        <v>0</v>
      </c>
      <c r="T797" s="398" t="e">
        <f>PI()/15/S789*#REF!/$C$797*#REF!*I700</f>
        <v>#DIV/0!</v>
      </c>
      <c r="U797" s="600" t="e">
        <f>0.1*$I$486/$S$789*#REF!/$C$797/$T$797*10^6</f>
        <v>#DIV/0!</v>
      </c>
      <c r="V797" s="246"/>
    </row>
    <row r="798" spans="1:22" hidden="1">
      <c r="A798" s="1043"/>
      <c r="B798" s="1253" t="s">
        <v>7</v>
      </c>
      <c r="C798" s="252">
        <v>30</v>
      </c>
      <c r="D798" s="1251">
        <f t="shared" si="167"/>
        <v>30</v>
      </c>
      <c r="E798" s="932"/>
      <c r="F798" s="932"/>
      <c r="G798" s="932"/>
      <c r="H798" s="932"/>
      <c r="I798" s="392"/>
      <c r="J798" s="932"/>
      <c r="K798" s="932"/>
      <c r="L798" s="1043"/>
      <c r="M798" s="112"/>
      <c r="N798" s="1235" t="s">
        <v>69</v>
      </c>
      <c r="O798" s="404" t="e">
        <f>15/PI()*$O$789/#REF!*$C$797*$Q$798/#REF!</f>
        <v>#DIV/0!</v>
      </c>
      <c r="P798" s="404" t="e">
        <f>15/PI()*$O$789/#REF!*$C$797*$Q$798/#REF!</f>
        <v>#DIV/0!</v>
      </c>
      <c r="Q798" s="398" t="e">
        <f>200*#REF!/$O$789*#REF!/#REF!</f>
        <v>#REF!</v>
      </c>
      <c r="R798" s="289" t="e">
        <f>#REF!</f>
        <v>#REF!</v>
      </c>
      <c r="S798" s="602" t="e">
        <f>15/PI()*$S$789/#REF!*$C$797*$T$798/#REF!</f>
        <v>#DIV/0!</v>
      </c>
      <c r="T798" s="398" t="e">
        <f>200*$I$486/$S$789*#REF!/$I$698</f>
        <v>#DIV/0!</v>
      </c>
      <c r="U798" s="603">
        <f>I698</f>
        <v>0</v>
      </c>
      <c r="V798" s="246"/>
    </row>
    <row r="799" spans="1:22" hidden="1">
      <c r="A799" s="1043"/>
      <c r="B799" s="1254" t="s">
        <v>8</v>
      </c>
      <c r="C799" s="252">
        <v>40</v>
      </c>
      <c r="D799" s="1251">
        <f t="shared" si="167"/>
        <v>40</v>
      </c>
      <c r="E799" s="932"/>
      <c r="F799" s="932"/>
      <c r="G799" s="932"/>
      <c r="H799" s="995"/>
      <c r="I799" s="1122"/>
      <c r="J799" s="1122"/>
      <c r="K799" s="392"/>
      <c r="L799" s="1043"/>
      <c r="M799" s="112"/>
      <c r="N799" s="1235" t="s">
        <v>618</v>
      </c>
      <c r="O799" s="404" t="e">
        <f>15/PI()*$O$789/#REF!*$C$797*#REF!/#REF!</f>
        <v>#DIV/0!</v>
      </c>
      <c r="P799" s="404" t="e">
        <f>15/PI()*$O$789/#REF!*$C$797*#REF!/#REF!</f>
        <v>#DIV/0!</v>
      </c>
      <c r="Q799" s="604" t="e">
        <f>#REF!</f>
        <v>#REF!</v>
      </c>
      <c r="R799" s="398" t="e">
        <f>0.1*#REF!/$O$789*#REF!/$C$797/#REF!*10^6</f>
        <v>#REF!</v>
      </c>
      <c r="S799" s="602" t="e">
        <f>15/PI()*$S$789/#REF!*$C$797*$I$699/#REF!</f>
        <v>#DIV/0!</v>
      </c>
      <c r="T799" s="604">
        <f>I699</f>
        <v>0</v>
      </c>
      <c r="U799" s="600" t="e">
        <f>0.1*$I$486/$S$789*#REF!/$C$797/$I$699*10^6</f>
        <v>#DIV/0!</v>
      </c>
      <c r="V799" s="246"/>
    </row>
    <row r="800" spans="1:22" hidden="1">
      <c r="A800" s="1043"/>
      <c r="B800" s="1242" t="s">
        <v>9</v>
      </c>
      <c r="C800" s="252">
        <v>1.7</v>
      </c>
      <c r="D800" s="1251">
        <f t="shared" si="167"/>
        <v>1.7</v>
      </c>
      <c r="E800" s="932"/>
      <c r="F800" s="932"/>
      <c r="G800" s="932"/>
      <c r="H800" s="995"/>
      <c r="I800" s="1122"/>
      <c r="J800" s="1122"/>
      <c r="K800" s="392"/>
      <c r="L800" s="1043"/>
      <c r="M800" s="112"/>
      <c r="N800" s="1235" t="s">
        <v>72</v>
      </c>
      <c r="O800" s="289" t="e">
        <f>#REF!</f>
        <v>#REF!</v>
      </c>
      <c r="P800" s="289" t="e">
        <f>#REF!</f>
        <v>#REF!</v>
      </c>
      <c r="Q800" s="430"/>
      <c r="R800" s="430"/>
      <c r="S800" s="289">
        <f>I702</f>
        <v>0</v>
      </c>
      <c r="T800" s="471"/>
      <c r="U800" s="605"/>
      <c r="V800" s="246"/>
    </row>
    <row r="801" spans="1:24" hidden="1">
      <c r="A801" s="1043"/>
      <c r="B801" s="1242" t="s">
        <v>10</v>
      </c>
      <c r="C801" s="252">
        <v>1</v>
      </c>
      <c r="D801" s="1251">
        <f t="shared" si="167"/>
        <v>1</v>
      </c>
      <c r="E801" s="932"/>
      <c r="F801" s="932"/>
      <c r="G801" s="932"/>
      <c r="H801" s="995"/>
      <c r="I801" s="1142"/>
      <c r="J801" s="1142"/>
      <c r="K801" s="392"/>
      <c r="L801" s="1043"/>
      <c r="M801" s="112"/>
      <c r="N801" s="1235" t="s">
        <v>349</v>
      </c>
      <c r="O801" s="404" t="e">
        <f>5/PI()*O789/#REF!*$C$797*#REF!/#REF!</f>
        <v>#DIV/0!</v>
      </c>
      <c r="P801" s="404" t="e">
        <f>5/PI()*P789/#REF!*$C$797*#REF!/#REF!</f>
        <v>#DIV/0!</v>
      </c>
      <c r="Q801" s="404" t="e">
        <f>#REF!/3</f>
        <v>#REF!</v>
      </c>
      <c r="R801" s="606" t="e">
        <f>O801/10</f>
        <v>#DIV/0!</v>
      </c>
      <c r="S801" s="404" t="e">
        <f>5/PI()*S789/#REF!*$C$797*$I$699/$I$700</f>
        <v>#DIV/0!</v>
      </c>
      <c r="T801" s="404" t="e">
        <f>#REF!/3</f>
        <v>#REF!</v>
      </c>
      <c r="U801" s="606" t="e">
        <f>S801/10</f>
        <v>#DIV/0!</v>
      </c>
      <c r="V801" s="246"/>
    </row>
    <row r="802" spans="1:24" hidden="1">
      <c r="A802" s="1043"/>
      <c r="B802" s="1254" t="s">
        <v>11</v>
      </c>
      <c r="C802" s="252">
        <v>1.3</v>
      </c>
      <c r="D802" s="1251">
        <f t="shared" si="167"/>
        <v>1.3</v>
      </c>
      <c r="E802" s="932"/>
      <c r="F802" s="932"/>
      <c r="G802" s="932"/>
      <c r="H802" s="995"/>
      <c r="I802" s="1197"/>
      <c r="J802" s="1197"/>
      <c r="K802" s="1056"/>
      <c r="L802" s="1043"/>
      <c r="M802" s="112"/>
      <c r="N802" s="1235" t="s">
        <v>77</v>
      </c>
      <c r="O802" s="609" t="e">
        <f>#REF!</f>
        <v>#REF!</v>
      </c>
      <c r="P802" s="609" t="e">
        <f>#REF!</f>
        <v>#REF!</v>
      </c>
      <c r="Q802" s="537" t="e">
        <f>#REF!*#REF!/#REF!</f>
        <v>#REF!</v>
      </c>
      <c r="R802" s="471"/>
      <c r="S802" s="609">
        <f>I705</f>
        <v>0</v>
      </c>
      <c r="T802" s="537" t="e">
        <f>$I$700*$I$702/$I$699</f>
        <v>#DIV/0!</v>
      </c>
      <c r="U802" s="601"/>
    </row>
    <row r="803" spans="1:24" hidden="1">
      <c r="A803" s="1043"/>
      <c r="B803" s="1247" t="s">
        <v>12</v>
      </c>
      <c r="C803" s="252">
        <v>0.7</v>
      </c>
      <c r="D803" s="1251">
        <f t="shared" si="167"/>
        <v>0.7</v>
      </c>
      <c r="E803" s="932"/>
      <c r="F803" s="932"/>
      <c r="G803" s="932"/>
      <c r="H803" s="932"/>
      <c r="I803" s="1224"/>
      <c r="J803" s="1224"/>
      <c r="K803" s="1224"/>
      <c r="L803" s="1043"/>
      <c r="N803" s="1235" t="s">
        <v>350</v>
      </c>
      <c r="O803" s="618" t="e">
        <f>#REF!</f>
        <v>#REF!</v>
      </c>
      <c r="P803" s="618" t="e">
        <f>#REF!</f>
        <v>#REF!</v>
      </c>
      <c r="Q803" s="619" t="e">
        <f>10^6/R801/#REF!</f>
        <v>#DIV/0!</v>
      </c>
      <c r="R803" s="620" t="e">
        <f>10^6/O803/#REF!</f>
        <v>#REF!</v>
      </c>
      <c r="S803" s="618">
        <f>I706</f>
        <v>0</v>
      </c>
      <c r="T803" s="619" t="e">
        <f>10^6/U801/$I$699</f>
        <v>#DIV/0!</v>
      </c>
      <c r="U803" s="620" t="e">
        <f>10^6/S803/I699</f>
        <v>#DIV/0!</v>
      </c>
    </row>
    <row r="804" spans="1:24" hidden="1">
      <c r="A804" s="1043"/>
      <c r="B804" s="1010" t="s">
        <v>798</v>
      </c>
      <c r="C804" s="1162"/>
      <c r="D804" s="1163"/>
      <c r="E804" s="932"/>
      <c r="F804" s="932"/>
      <c r="G804" s="932"/>
      <c r="H804" s="995"/>
      <c r="I804" s="1142"/>
      <c r="J804" s="1142"/>
      <c r="K804" s="392"/>
      <c r="L804" s="1043"/>
      <c r="M804" s="112"/>
      <c r="N804" s="1246" t="s">
        <v>619</v>
      </c>
      <c r="O804" s="618" t="e">
        <f>#REF!*33*10^-3</f>
        <v>#REF!</v>
      </c>
      <c r="P804" s="618" t="e">
        <f>#REF!*33*10^-3</f>
        <v>#REF!</v>
      </c>
      <c r="Q804" s="619"/>
      <c r="R804" s="620"/>
      <c r="S804" s="618">
        <f>I699*33*10^-3</f>
        <v>0</v>
      </c>
      <c r="T804" s="619"/>
      <c r="U804" s="621"/>
    </row>
    <row r="805" spans="1:24" ht="14" hidden="1" thickBot="1">
      <c r="A805" s="1043"/>
      <c r="B805" s="314" t="s">
        <v>13</v>
      </c>
      <c r="C805" s="999">
        <f>C15</f>
        <v>-10</v>
      </c>
      <c r="D805" s="1255">
        <f>C805</f>
        <v>-10</v>
      </c>
      <c r="E805" s="932"/>
      <c r="F805" s="932"/>
      <c r="G805" s="932"/>
      <c r="H805" s="1256"/>
      <c r="I805" s="1142"/>
      <c r="J805" s="1142"/>
      <c r="K805" s="392"/>
      <c r="L805" s="1043"/>
      <c r="M805" s="112"/>
      <c r="N805" s="1238" t="s">
        <v>78</v>
      </c>
      <c r="O805" s="610" t="e">
        <f>H536*#REF!</f>
        <v>#REF!</v>
      </c>
      <c r="P805" s="610" t="e">
        <f>I536*#REF!</f>
        <v>#REF!</v>
      </c>
      <c r="Q805" s="610" t="e">
        <f>H537*#REF!</f>
        <v>#REF!</v>
      </c>
      <c r="R805" s="610" t="e">
        <f>H538*#REF!</f>
        <v>#REF!</v>
      </c>
      <c r="S805" s="610">
        <f>I536*$I$702</f>
        <v>0</v>
      </c>
      <c r="T805" s="610">
        <f>I537*$I$702</f>
        <v>0</v>
      </c>
      <c r="U805" s="611">
        <f>I538*$I$702</f>
        <v>0</v>
      </c>
      <c r="X805" s="246"/>
    </row>
    <row r="806" spans="1:24" hidden="1">
      <c r="A806" s="1043"/>
      <c r="B806" s="314" t="s">
        <v>14</v>
      </c>
      <c r="C806" s="999">
        <v>25</v>
      </c>
      <c r="D806" s="1255">
        <f>C806</f>
        <v>25</v>
      </c>
      <c r="E806" s="932"/>
      <c r="F806" s="932"/>
      <c r="G806" s="932"/>
      <c r="H806" s="932"/>
      <c r="I806" s="1410"/>
      <c r="J806" s="1410"/>
      <c r="K806" s="392"/>
      <c r="L806" s="1043"/>
      <c r="M806" s="112"/>
      <c r="X806" s="246"/>
    </row>
    <row r="807" spans="1:24" hidden="1">
      <c r="A807" s="1043"/>
      <c r="B807" s="314" t="s">
        <v>18</v>
      </c>
      <c r="C807" s="999">
        <f>D15</f>
        <v>70</v>
      </c>
      <c r="D807" s="1255">
        <f>C807</f>
        <v>70</v>
      </c>
      <c r="E807" s="932"/>
      <c r="F807" s="932"/>
      <c r="G807" s="932"/>
      <c r="H807" s="932"/>
      <c r="I807" s="1410"/>
      <c r="J807" s="1410"/>
      <c r="K807" s="392"/>
      <c r="L807" s="1043"/>
      <c r="M807" s="112"/>
      <c r="X807" s="246"/>
    </row>
    <row r="808" spans="1:24" hidden="1">
      <c r="A808" s="1043"/>
      <c r="E808" s="932"/>
      <c r="F808" s="932"/>
      <c r="G808" s="932"/>
      <c r="H808" s="932"/>
      <c r="I808" s="1467"/>
      <c r="J808" s="1467"/>
      <c r="K808" s="392"/>
      <c r="L808" s="1043"/>
      <c r="M808" s="112"/>
      <c r="X808" s="246"/>
    </row>
    <row r="809" spans="1:24" hidden="1">
      <c r="A809" s="1043"/>
      <c r="B809" s="1257" t="s">
        <v>869</v>
      </c>
      <c r="C809" s="1258"/>
      <c r="D809" s="1258"/>
      <c r="E809" s="932"/>
      <c r="F809" s="932"/>
      <c r="G809" s="932"/>
      <c r="H809" s="932"/>
      <c r="I809" s="1427"/>
      <c r="J809" s="1427"/>
      <c r="K809" s="392"/>
      <c r="L809" s="1043"/>
      <c r="M809" s="112"/>
      <c r="X809" s="246"/>
    </row>
    <row r="810" spans="1:24" hidden="1">
      <c r="A810" s="1043"/>
      <c r="B810" s="1259" t="s">
        <v>351</v>
      </c>
      <c r="C810" s="1260" t="s">
        <v>352</v>
      </c>
      <c r="E810" s="932"/>
      <c r="F810" s="932"/>
      <c r="G810" s="932"/>
      <c r="H810" s="932"/>
      <c r="I810" s="1467"/>
      <c r="J810" s="1467"/>
      <c r="K810" s="392"/>
      <c r="L810" s="1043"/>
      <c r="M810" s="112"/>
      <c r="N810" s="1175"/>
      <c r="O810" s="29"/>
      <c r="P810" s="29"/>
      <c r="Q810" s="29"/>
      <c r="R810" s="434"/>
      <c r="S810" s="434"/>
      <c r="T810" s="434"/>
      <c r="U810" s="434"/>
      <c r="V810" s="434"/>
      <c r="W810" s="434"/>
      <c r="X810" s="246"/>
    </row>
    <row r="811" spans="1:24" ht="14" hidden="1" thickBot="1">
      <c r="A811" s="1043"/>
      <c r="B811" s="1261"/>
      <c r="C811" s="1260" t="s">
        <v>910</v>
      </c>
      <c r="E811" s="932"/>
      <c r="F811" s="932"/>
      <c r="G811" s="932"/>
      <c r="H811" s="932"/>
      <c r="I811" s="1427"/>
      <c r="J811" s="1427"/>
      <c r="K811" s="392"/>
      <c r="L811" s="1043"/>
      <c r="M811" s="112"/>
      <c r="N811" s="1222" t="s">
        <v>622</v>
      </c>
      <c r="O811" s="29"/>
      <c r="P811" s="29"/>
      <c r="Q811" s="29"/>
      <c r="R811" s="559">
        <v>55</v>
      </c>
      <c r="S811" s="559">
        <v>60</v>
      </c>
      <c r="T811" s="624">
        <v>65</v>
      </c>
      <c r="U811" s="434"/>
      <c r="V811" s="434"/>
      <c r="W811" s="434"/>
      <c r="X811" s="246"/>
    </row>
    <row r="812" spans="1:24" hidden="1">
      <c r="A812" s="1043"/>
      <c r="C812" s="1260" t="s">
        <v>52</v>
      </c>
      <c r="E812" s="932"/>
      <c r="F812" s="932"/>
      <c r="G812" s="932"/>
      <c r="H812" s="932"/>
      <c r="I812" s="1467"/>
      <c r="J812" s="1467"/>
      <c r="K812" s="392"/>
      <c r="L812" s="1043"/>
      <c r="M812" s="112"/>
      <c r="N812" s="1226" t="s">
        <v>623</v>
      </c>
      <c r="O812" s="625"/>
      <c r="P812" s="625"/>
      <c r="Q812" s="626"/>
      <c r="R812" s="627">
        <f>S812</f>
        <v>1</v>
      </c>
      <c r="S812" s="627">
        <f>C319</f>
        <v>1</v>
      </c>
      <c r="T812" s="628">
        <f>S812</f>
        <v>1</v>
      </c>
      <c r="U812" s="627">
        <f>V812</f>
        <v>1</v>
      </c>
      <c r="V812" s="627">
        <f>S812</f>
        <v>1</v>
      </c>
      <c r="W812" s="628">
        <f>V812</f>
        <v>1</v>
      </c>
      <c r="X812" s="246"/>
    </row>
    <row r="813" spans="1:24" hidden="1">
      <c r="A813" s="1043"/>
      <c r="C813" s="1260" t="s">
        <v>911</v>
      </c>
      <c r="E813" s="932"/>
      <c r="F813" s="932"/>
      <c r="G813" s="932"/>
      <c r="H813" s="995"/>
      <c r="I813" s="1142"/>
      <c r="J813" s="1142"/>
      <c r="K813" s="392"/>
      <c r="L813" s="1043"/>
      <c r="M813" s="112"/>
      <c r="N813" s="1262" t="s">
        <v>353</v>
      </c>
      <c r="O813" s="289"/>
      <c r="P813" s="289"/>
      <c r="Q813" s="603"/>
      <c r="R813" s="629">
        <f>S813</f>
        <v>1</v>
      </c>
      <c r="S813" s="629">
        <v>1</v>
      </c>
      <c r="T813" s="630">
        <f>S813</f>
        <v>1</v>
      </c>
      <c r="U813" s="631">
        <f>V813</f>
        <v>0.57999999999999996</v>
      </c>
      <c r="V813" s="629">
        <v>0.57999999999999996</v>
      </c>
      <c r="W813" s="630">
        <f>V813</f>
        <v>0.57999999999999996</v>
      </c>
      <c r="X813" s="246"/>
    </row>
    <row r="814" spans="1:24" hidden="1">
      <c r="A814" s="1043"/>
      <c r="B814" s="1263" t="s">
        <v>947</v>
      </c>
      <c r="C814" s="1264">
        <v>31</v>
      </c>
      <c r="D814" s="1264">
        <v>60</v>
      </c>
      <c r="E814" s="932"/>
      <c r="F814" s="932"/>
      <c r="G814" s="932"/>
      <c r="H814" s="995"/>
      <c r="I814" s="1197"/>
      <c r="J814" s="1197"/>
      <c r="K814" s="1197"/>
      <c r="L814" s="1043"/>
      <c r="M814" s="249"/>
      <c r="N814" s="1262" t="s">
        <v>251</v>
      </c>
      <c r="O814" s="289"/>
      <c r="P814" s="289"/>
      <c r="Q814" s="603"/>
      <c r="R814" s="559">
        <f>S814</f>
        <v>500</v>
      </c>
      <c r="S814" s="559">
        <f>C797</f>
        <v>500</v>
      </c>
      <c r="T814" s="624">
        <f>S814</f>
        <v>500</v>
      </c>
      <c r="U814" s="559">
        <f>V814</f>
        <v>500</v>
      </c>
      <c r="V814" s="559">
        <f>S814</f>
        <v>500</v>
      </c>
      <c r="W814" s="624">
        <f>V814</f>
        <v>500</v>
      </c>
      <c r="X814" s="246"/>
    </row>
    <row r="815" spans="1:24" hidden="1">
      <c r="A815" s="1043"/>
      <c r="B815" s="1166" t="s">
        <v>354</v>
      </c>
      <c r="C815" s="1265" t="s">
        <v>474</v>
      </c>
      <c r="E815" s="932"/>
      <c r="F815" s="932"/>
      <c r="G815" s="932"/>
      <c r="H815" s="932"/>
      <c r="I815" s="1224"/>
      <c r="J815" s="1224"/>
      <c r="K815" s="1224"/>
      <c r="L815" s="1043"/>
      <c r="M815" s="249"/>
      <c r="N815" s="1266" t="s">
        <v>624</v>
      </c>
      <c r="O815" s="289"/>
      <c r="P815" s="289"/>
      <c r="Q815" s="603"/>
      <c r="R815" s="559">
        <v>55</v>
      </c>
      <c r="S815" s="559">
        <v>60</v>
      </c>
      <c r="T815" s="624">
        <v>65</v>
      </c>
      <c r="U815" s="559">
        <v>26</v>
      </c>
      <c r="V815" s="559">
        <v>31</v>
      </c>
      <c r="W815" s="624">
        <v>36</v>
      </c>
      <c r="X815" s="246"/>
    </row>
    <row r="816" spans="1:24" hidden="1">
      <c r="A816" s="1043"/>
      <c r="B816" s="1267"/>
      <c r="C816" s="1265" t="s">
        <v>471</v>
      </c>
      <c r="E816" s="932"/>
      <c r="F816" s="932"/>
      <c r="G816" s="932"/>
      <c r="H816" s="995"/>
      <c r="I816" s="1142"/>
      <c r="J816" s="1142"/>
      <c r="K816" s="392"/>
      <c r="L816" s="1043"/>
      <c r="M816" s="249"/>
      <c r="N816" s="1262" t="s">
        <v>625</v>
      </c>
      <c r="O816" s="289"/>
      <c r="P816" s="289"/>
      <c r="Q816" s="603"/>
      <c r="R816" s="559" t="s">
        <v>626</v>
      </c>
      <c r="S816" s="559" t="s">
        <v>627</v>
      </c>
      <c r="T816" s="624"/>
      <c r="U816" s="559"/>
      <c r="V816" s="559"/>
      <c r="W816" s="624"/>
      <c r="X816" s="246"/>
    </row>
    <row r="817" spans="1:24" ht="14" hidden="1" thickBot="1">
      <c r="A817" s="1043"/>
      <c r="B817" s="1261"/>
      <c r="C817" s="1265" t="s">
        <v>472</v>
      </c>
      <c r="E817" s="932"/>
      <c r="F817" s="932"/>
      <c r="G817" s="932"/>
      <c r="H817" s="1256"/>
      <c r="I817" s="1142"/>
      <c r="J817" s="1142"/>
      <c r="K817" s="392"/>
      <c r="L817" s="1043"/>
      <c r="M817" s="249"/>
      <c r="N817" s="1268" t="s">
        <v>628</v>
      </c>
      <c r="O817" s="632"/>
      <c r="P817" s="632"/>
      <c r="Q817" s="633"/>
      <c r="R817" s="559" t="s">
        <v>952</v>
      </c>
      <c r="S817" s="559" t="s">
        <v>629</v>
      </c>
      <c r="T817" s="624" t="s">
        <v>630</v>
      </c>
      <c r="U817" s="559"/>
      <c r="V817" s="559"/>
      <c r="W817" s="624"/>
      <c r="X817" s="246"/>
    </row>
    <row r="818" spans="1:24" hidden="1">
      <c r="A818" s="1043"/>
      <c r="B818" s="1261"/>
      <c r="C818" s="1269" t="s">
        <v>473</v>
      </c>
      <c r="E818" s="932"/>
      <c r="F818" s="932"/>
      <c r="G818" s="932"/>
      <c r="H818" s="932"/>
      <c r="I818" s="1467"/>
      <c r="J818" s="1467"/>
      <c r="K818" s="392"/>
      <c r="L818" s="1043"/>
      <c r="M818" s="249"/>
      <c r="N818" s="1270" t="s">
        <v>310</v>
      </c>
      <c r="O818" s="634"/>
      <c r="P818" s="634"/>
      <c r="Q818" s="635"/>
      <c r="R818" s="636" t="e">
        <f>#REF!/#REF!*100</f>
        <v>#REF!</v>
      </c>
      <c r="S818" s="636" t="e">
        <f>#REF!/#REF!*100</f>
        <v>#REF!</v>
      </c>
      <c r="T818" s="636" t="e">
        <f>#REF!/#REF!*100</f>
        <v>#REF!</v>
      </c>
      <c r="U818" s="636" t="e">
        <f>#REF!/#REF!*100</f>
        <v>#REF!</v>
      </c>
      <c r="V818" s="636" t="e">
        <f>#REF!/#REF!*100</f>
        <v>#REF!</v>
      </c>
      <c r="W818" s="636" t="e">
        <f>#REF!/#REF!*100</f>
        <v>#REF!</v>
      </c>
      <c r="X818" s="246"/>
    </row>
    <row r="819" spans="1:24" hidden="1">
      <c r="A819" s="1043"/>
      <c r="B819" s="1166" t="s">
        <v>909</v>
      </c>
      <c r="C819" s="1271" t="str">
        <f>IF(C181=C815,C820,IF(C181=C816,D820,IF(C181=C817,C821,D821)))</f>
        <v>Auto-skip</v>
      </c>
      <c r="D819" s="1272"/>
      <c r="E819" s="932"/>
      <c r="F819" s="932"/>
      <c r="G819" s="932"/>
      <c r="H819" s="932"/>
      <c r="I819" s="1410"/>
      <c r="J819" s="1410"/>
      <c r="K819" s="392"/>
      <c r="L819" s="1043"/>
      <c r="M819" s="249"/>
      <c r="N819" s="1273" t="s">
        <v>631</v>
      </c>
      <c r="O819" s="634"/>
      <c r="P819" s="634"/>
      <c r="Q819" s="634"/>
      <c r="R819" s="637" t="e">
        <f>10^6/#REF!</f>
        <v>#REF!</v>
      </c>
      <c r="S819" s="637" t="e">
        <f>10^6/#REF!</f>
        <v>#REF!</v>
      </c>
      <c r="T819" s="637" t="e">
        <f>10^6/#REF!</f>
        <v>#REF!</v>
      </c>
      <c r="U819" s="637" t="e">
        <f>10^6/#REF!</f>
        <v>#REF!</v>
      </c>
      <c r="V819" s="637" t="e">
        <f>10^6/#REF!</f>
        <v>#REF!</v>
      </c>
      <c r="W819" s="637" t="e">
        <f>10^6/#REF!</f>
        <v>#REF!</v>
      </c>
      <c r="X819" s="246"/>
    </row>
    <row r="820" spans="1:24" hidden="1">
      <c r="A820" s="1043"/>
      <c r="B820" s="1182"/>
      <c r="C820" s="1083" t="s">
        <v>355</v>
      </c>
      <c r="D820" s="1274" t="s">
        <v>356</v>
      </c>
      <c r="E820" s="932"/>
      <c r="F820" s="932"/>
      <c r="G820" s="932"/>
      <c r="H820" s="932"/>
      <c r="I820" s="1122"/>
      <c r="J820" s="1122"/>
      <c r="K820" s="392"/>
      <c r="L820" s="1043"/>
      <c r="M820" s="249"/>
      <c r="N820" s="310" t="s">
        <v>632</v>
      </c>
      <c r="R820" s="246">
        <f>S820</f>
        <v>70</v>
      </c>
      <c r="S820" s="246">
        <v>70</v>
      </c>
      <c r="T820" s="246">
        <f>S820</f>
        <v>70</v>
      </c>
      <c r="U820" s="246">
        <f>V820</f>
        <v>70</v>
      </c>
      <c r="V820" s="246">
        <f>S820</f>
        <v>70</v>
      </c>
      <c r="W820" s="246">
        <f>V820</f>
        <v>70</v>
      </c>
    </row>
    <row r="821" spans="1:24" ht="25.8" hidden="1">
      <c r="A821" s="1043"/>
      <c r="B821" s="1185"/>
      <c r="C821" s="1083" t="s">
        <v>357</v>
      </c>
      <c r="D821" s="1083" t="s">
        <v>358</v>
      </c>
      <c r="E821" s="932"/>
      <c r="F821" s="932"/>
      <c r="G821" s="932"/>
      <c r="H821" s="932"/>
      <c r="I821" s="1122"/>
      <c r="J821" s="1122"/>
      <c r="K821" s="392"/>
      <c r="L821" s="1043"/>
      <c r="M821" s="249"/>
      <c r="N821" s="1059"/>
      <c r="O821" s="410"/>
      <c r="P821" s="410"/>
      <c r="Q821" s="410"/>
      <c r="S821" s="2"/>
      <c r="T821" s="2"/>
      <c r="U821" s="246"/>
      <c r="X821" s="30"/>
    </row>
    <row r="822" spans="1:24" hidden="1">
      <c r="A822" s="1043"/>
      <c r="B822" s="1166" t="s">
        <v>359</v>
      </c>
      <c r="C822" s="310" t="str">
        <f>IF(H36=C815,C823,IF(H36=C816,D823,IF(H36=C817,C824,D824)))</f>
        <v>Vocl=60mV, Disable output-discharge</v>
      </c>
      <c r="E822" s="932"/>
      <c r="F822" s="932"/>
      <c r="G822" s="932"/>
      <c r="H822" s="932"/>
      <c r="I822" s="1410"/>
      <c r="J822" s="1410"/>
      <c r="K822" s="392"/>
      <c r="L822" s="1043"/>
      <c r="M822" s="249"/>
      <c r="N822" s="934"/>
      <c r="O822" s="15"/>
      <c r="P822" s="15"/>
      <c r="Q822" s="15"/>
      <c r="R822" s="15"/>
      <c r="S822" s="15"/>
      <c r="T822" s="15"/>
      <c r="U822" s="15"/>
      <c r="V822" s="15"/>
      <c r="W822" s="15"/>
      <c r="X822" s="29"/>
    </row>
    <row r="823" spans="1:24" ht="38.700000000000003" hidden="1">
      <c r="A823" s="1043"/>
      <c r="B823" s="1166"/>
      <c r="C823" s="1083" t="s">
        <v>470</v>
      </c>
      <c r="D823" s="1083" t="s">
        <v>554</v>
      </c>
      <c r="E823" s="932"/>
      <c r="F823" s="932"/>
      <c r="G823" s="932"/>
      <c r="H823" s="932"/>
      <c r="I823" s="392"/>
      <c r="J823" s="392"/>
      <c r="K823" s="392"/>
      <c r="L823" s="1043"/>
      <c r="M823" s="249"/>
      <c r="N823" s="1275" t="s">
        <v>633</v>
      </c>
      <c r="O823" s="638"/>
      <c r="P823" s="638"/>
      <c r="Q823" s="638"/>
      <c r="R823" s="639">
        <f>S823</f>
        <v>1.4</v>
      </c>
      <c r="S823" s="640">
        <v>1.4</v>
      </c>
      <c r="T823" s="641">
        <f>S823</f>
        <v>1.4</v>
      </c>
      <c r="U823" s="639">
        <f>V823</f>
        <v>1.4</v>
      </c>
      <c r="V823" s="640">
        <f>S823</f>
        <v>1.4</v>
      </c>
      <c r="W823" s="641">
        <f>V823</f>
        <v>1.4</v>
      </c>
      <c r="X823" s="29"/>
    </row>
    <row r="824" spans="1:24" ht="39.25" hidden="1" thickBot="1">
      <c r="A824" s="1043"/>
      <c r="B824" s="1126"/>
      <c r="C824" s="1083" t="s">
        <v>555</v>
      </c>
      <c r="D824" s="1083" t="s">
        <v>556</v>
      </c>
      <c r="E824" s="932"/>
      <c r="F824" s="932"/>
      <c r="G824" s="932"/>
      <c r="H824" s="1276"/>
      <c r="I824" s="1142"/>
      <c r="J824" s="1142"/>
      <c r="K824" s="392"/>
      <c r="L824" s="1043"/>
      <c r="M824" s="249"/>
      <c r="N824" s="1268" t="s">
        <v>634</v>
      </c>
      <c r="O824" s="632"/>
      <c r="P824" s="632"/>
      <c r="Q824" s="632"/>
      <c r="R824" s="642" t="e">
        <f>S824</f>
        <v>#REF!</v>
      </c>
      <c r="S824" s="643" t="e">
        <f>S823*Q736</f>
        <v>#REF!</v>
      </c>
      <c r="T824" s="644" t="e">
        <f>S824</f>
        <v>#REF!</v>
      </c>
      <c r="U824" s="642">
        <f>V824</f>
        <v>0</v>
      </c>
      <c r="V824" s="643">
        <f>V823*T736</f>
        <v>0</v>
      </c>
      <c r="W824" s="644">
        <f>V824</f>
        <v>0</v>
      </c>
      <c r="X824" s="30"/>
    </row>
    <row r="825" spans="1:24" hidden="1">
      <c r="A825" s="1043"/>
      <c r="B825" s="1166" t="s">
        <v>360</v>
      </c>
      <c r="C825" s="310" t="str">
        <f>IF(C182=C815,C826,IF(C182=C816,D826,IF(C182=C817,C827,D827)))</f>
        <v>Current mode,  Enable OVP</v>
      </c>
      <c r="E825" s="932"/>
      <c r="F825" s="932"/>
      <c r="G825" s="932"/>
      <c r="H825" s="995"/>
      <c r="I825" s="1197"/>
      <c r="J825" s="1197"/>
      <c r="K825" s="1197"/>
      <c r="L825" s="1043"/>
      <c r="M825" s="249"/>
      <c r="N825" s="1226" t="s">
        <v>635</v>
      </c>
      <c r="O825" s="625"/>
      <c r="P825" s="625"/>
      <c r="Q825" s="625"/>
      <c r="R825" s="570" t="e">
        <f t="shared" ref="R825:W825" si="168">R824+R935*0.5</f>
        <v>#REF!</v>
      </c>
      <c r="S825" s="571" t="e">
        <f t="shared" si="168"/>
        <v>#REF!</v>
      </c>
      <c r="T825" s="572" t="e">
        <f t="shared" si="168"/>
        <v>#REF!</v>
      </c>
      <c r="U825" s="570" t="e">
        <f t="shared" si="168"/>
        <v>#REF!</v>
      </c>
      <c r="V825" s="571" t="e">
        <f t="shared" si="168"/>
        <v>#REF!</v>
      </c>
      <c r="W825" s="572" t="e">
        <f t="shared" si="168"/>
        <v>#REF!</v>
      </c>
      <c r="X825" s="30"/>
    </row>
    <row r="826" spans="1:24" ht="26.35" hidden="1" thickBot="1">
      <c r="A826" s="1043"/>
      <c r="B826" s="1166"/>
      <c r="C826" s="1083" t="s">
        <v>361</v>
      </c>
      <c r="D826" s="1083" t="s">
        <v>362</v>
      </c>
      <c r="E826" s="932"/>
      <c r="F826" s="932"/>
      <c r="G826" s="932"/>
      <c r="H826" s="932"/>
      <c r="I826" s="1228"/>
      <c r="J826" s="1228"/>
      <c r="K826" s="1228"/>
      <c r="L826" s="1043"/>
      <c r="M826" s="249"/>
      <c r="N826" s="1268" t="s">
        <v>636</v>
      </c>
      <c r="O826" s="632"/>
      <c r="P826" s="632"/>
      <c r="Q826" s="632"/>
      <c r="R826" s="645" t="e">
        <f>R825/O736</f>
        <v>#REF!</v>
      </c>
      <c r="S826" s="646" t="e">
        <f>S825/Q736</f>
        <v>#REF!</v>
      </c>
      <c r="T826" s="647" t="e">
        <f>T825/R736</f>
        <v>#REF!</v>
      </c>
      <c r="U826" s="645" t="e">
        <f>U825/S736</f>
        <v>#REF!</v>
      </c>
      <c r="V826" s="646" t="e">
        <f>V825/T736</f>
        <v>#REF!</v>
      </c>
      <c r="W826" s="647" t="e">
        <f>W825/U736</f>
        <v>#REF!</v>
      </c>
      <c r="X826" s="30"/>
    </row>
    <row r="827" spans="1:24" ht="25.8" hidden="1">
      <c r="A827" s="1043"/>
      <c r="B827" s="1126"/>
      <c r="C827" s="1083" t="s">
        <v>363</v>
      </c>
      <c r="D827" s="1083" t="s">
        <v>364</v>
      </c>
      <c r="E827" s="932"/>
      <c r="F827" s="932"/>
      <c r="G827" s="932"/>
      <c r="H827" s="932"/>
      <c r="I827" s="1228"/>
      <c r="J827" s="1228"/>
      <c r="K827" s="1228"/>
      <c r="L827" s="1043"/>
      <c r="M827" s="249"/>
      <c r="N827" s="1277" t="s">
        <v>1008</v>
      </c>
      <c r="O827" s="648"/>
      <c r="P827" s="648"/>
      <c r="Q827" s="625"/>
      <c r="R827" s="571" t="e">
        <f>#REF!</f>
        <v>#REF!</v>
      </c>
      <c r="S827" s="571" t="e">
        <f>#REF!</f>
        <v>#REF!</v>
      </c>
      <c r="T827" s="571" t="e">
        <f>#REF!</f>
        <v>#REF!</v>
      </c>
      <c r="U827" s="571" t="e">
        <f>#REF!</f>
        <v>#REF!</v>
      </c>
      <c r="V827" s="571" t="e">
        <f>#REF!</f>
        <v>#REF!</v>
      </c>
      <c r="W827" s="571" t="e">
        <f>#REF!</f>
        <v>#REF!</v>
      </c>
      <c r="X827" s="30"/>
    </row>
    <row r="828" spans="1:24" hidden="1">
      <c r="A828" s="1043"/>
      <c r="E828" s="932"/>
      <c r="F828" s="932"/>
      <c r="G828" s="932"/>
      <c r="H828" s="932"/>
      <c r="I828" s="1228"/>
      <c r="J828" s="1228"/>
      <c r="K828" s="1228"/>
      <c r="L828" s="1043"/>
      <c r="M828" s="249"/>
      <c r="N828" s="1278" t="s">
        <v>1009</v>
      </c>
      <c r="O828" s="649"/>
      <c r="P828" s="649"/>
      <c r="Q828" s="289"/>
      <c r="R828" s="650"/>
      <c r="S828" s="651" t="e">
        <f>(#REF!-S812)/S812*S827</f>
        <v>#REF!</v>
      </c>
      <c r="T828" s="652"/>
      <c r="U828" s="650"/>
      <c r="V828" s="651" t="e">
        <f>(#REF!-V812)/V812*V827</f>
        <v>#REF!</v>
      </c>
      <c r="W828" s="652"/>
      <c r="X828" s="30"/>
    </row>
    <row r="829" spans="1:24" hidden="1">
      <c r="A829" s="1043"/>
      <c r="B829" s="345" t="e">
        <f>"Recommended ESR, "&amp;TEXT(#REF!,"#")&amp;"V"</f>
        <v>#REF!</v>
      </c>
      <c r="C829" s="1279" t="str">
        <f>"&gt; "&amp;TEXT($C$691*C226^2/C$328/C350,"#.0")&amp;" m-ohm"</f>
        <v>&gt; 3.2 m-ohm</v>
      </c>
      <c r="D829" s="1280" t="e">
        <f>"&gt; "&amp;TEXT($C$691*D226^2/D$328/D350,"#.0")&amp;" m-ohm"</f>
        <v>#DIV/0!</v>
      </c>
      <c r="E829" s="932"/>
      <c r="F829" s="932"/>
      <c r="G829" s="932"/>
      <c r="H829" s="932"/>
      <c r="I829" s="1224"/>
      <c r="J829" s="1224"/>
      <c r="K829" s="1224"/>
      <c r="L829" s="1043"/>
      <c r="M829" s="249"/>
      <c r="N829" s="1278" t="s">
        <v>1010</v>
      </c>
      <c r="O829" s="649"/>
      <c r="P829" s="649"/>
      <c r="Q829" s="289"/>
      <c r="R829" s="651" t="e">
        <f>#REF!</f>
        <v>#REF!</v>
      </c>
      <c r="S829" s="651" t="e">
        <f>#REF!</f>
        <v>#REF!</v>
      </c>
      <c r="T829" s="651" t="e">
        <f>#REF!</f>
        <v>#REF!</v>
      </c>
      <c r="U829" s="651" t="e">
        <f>#REF!</f>
        <v>#REF!</v>
      </c>
      <c r="V829" s="651" t="e">
        <f>#REF!</f>
        <v>#REF!</v>
      </c>
      <c r="W829" s="651" t="e">
        <f>#REF!</f>
        <v>#REF!</v>
      </c>
      <c r="X829" s="30"/>
    </row>
    <row r="830" spans="1:24" hidden="1">
      <c r="A830" s="1043"/>
      <c r="B830" s="345" t="e">
        <f>"Recommended ESR, "&amp;TEXT(#REF!,"#")&amp;"V"</f>
        <v>#REF!</v>
      </c>
      <c r="C830" s="1279" t="str">
        <f>"&gt; "&amp;TEXT($C$691*C226^2/C$329/C351,"#.0")&amp;" m-ohm"</f>
        <v>&gt; 3.0 m-ohm</v>
      </c>
      <c r="D830" s="1280" t="e">
        <f>"&gt; "&amp;TEXT($C$691*D226^2/D$329/D351,"#.0")&amp;" m-ohm"</f>
        <v>#DIV/0!</v>
      </c>
      <c r="E830" s="932"/>
      <c r="F830" s="932"/>
      <c r="G830" s="932"/>
      <c r="H830" s="995"/>
      <c r="I830" s="995"/>
      <c r="J830" s="995"/>
      <c r="K830" s="995"/>
      <c r="L830" s="1043"/>
      <c r="M830" s="249"/>
      <c r="N830" s="1278" t="s">
        <v>637</v>
      </c>
      <c r="O830" s="649"/>
      <c r="P830" s="649"/>
      <c r="Q830" s="289"/>
      <c r="R830" s="653" t="e">
        <f t="shared" ref="R830:W830" si="169">R827/(R827+R829)</f>
        <v>#REF!</v>
      </c>
      <c r="S830" s="651" t="e">
        <f t="shared" si="169"/>
        <v>#REF!</v>
      </c>
      <c r="T830" s="654" t="e">
        <f t="shared" si="169"/>
        <v>#REF!</v>
      </c>
      <c r="U830" s="653" t="e">
        <f t="shared" si="169"/>
        <v>#REF!</v>
      </c>
      <c r="V830" s="651" t="e">
        <f t="shared" si="169"/>
        <v>#REF!</v>
      </c>
      <c r="W830" s="654" t="e">
        <f t="shared" si="169"/>
        <v>#REF!</v>
      </c>
      <c r="X830" s="30"/>
    </row>
    <row r="831" spans="1:24" ht="25.8" hidden="1">
      <c r="A831" s="1043"/>
      <c r="B831" s="345" t="s">
        <v>41</v>
      </c>
      <c r="C831" s="1281" t="str">
        <f>""&amp;TEXT(10^6/(2*PI()*C642*C644),"#.0")&amp;"-kHz &lt; fsw/3("&amp;TEXT(C324/C780,"###")&amp;"-kHz)"</f>
        <v>13.8-kHz &lt; fsw/3(167-kHz)</v>
      </c>
      <c r="D831" s="1281" t="str">
        <f>""&amp;TEXT(10^6/(2*PI()*D642*D644),"#.0")&amp;"-kHz &lt; fsw/3("&amp;TEXT(D324/D780,"###")&amp;"-kHz)"</f>
        <v>16.8-kHz &lt; fsw/3(167-kHz)</v>
      </c>
      <c r="E831" s="932"/>
      <c r="F831" s="932"/>
      <c r="G831" s="932"/>
      <c r="H831" s="995"/>
      <c r="I831" s="995"/>
      <c r="J831" s="995"/>
      <c r="K831" s="995"/>
      <c r="L831" s="995"/>
      <c r="M831" s="249"/>
      <c r="N831" s="1278" t="s">
        <v>365</v>
      </c>
      <c r="O831" s="649"/>
      <c r="P831" s="649"/>
      <c r="Q831" s="289"/>
      <c r="R831" s="631">
        <f t="shared" ref="R831:R838" si="170">S831</f>
        <v>1</v>
      </c>
      <c r="S831" s="655">
        <v>1</v>
      </c>
      <c r="T831" s="630">
        <f t="shared" ref="T831:T838" si="171">S831</f>
        <v>1</v>
      </c>
      <c r="U831" s="631">
        <f t="shared" ref="U831:U838" si="172">V831</f>
        <v>0.57999999999999996</v>
      </c>
      <c r="V831" s="655">
        <v>0.57999999999999996</v>
      </c>
      <c r="W831" s="630">
        <f t="shared" ref="W831:W838" si="173">V831</f>
        <v>0.57999999999999996</v>
      </c>
      <c r="X831" s="30"/>
    </row>
    <row r="832" spans="1:24" hidden="1">
      <c r="A832" s="1043"/>
      <c r="B832" s="307" t="e">
        <f>"Vripple_(mV), "&amp;TEXT(#REF!,"#")&amp;"V"</f>
        <v>#REF!</v>
      </c>
      <c r="C832" s="1113">
        <f t="shared" ref="C832:D834" si="174">C$644*C350</f>
        <v>63.95348837209302</v>
      </c>
      <c r="D832" s="1282" t="e">
        <f t="shared" si="174"/>
        <v>#DIV/0!</v>
      </c>
      <c r="E832" s="932"/>
      <c r="F832" s="932"/>
      <c r="G832" s="932"/>
      <c r="H832" s="995"/>
      <c r="I832" s="1043"/>
      <c r="J832" s="1043"/>
      <c r="K832" s="995"/>
      <c r="L832" s="995"/>
      <c r="M832" s="249"/>
      <c r="N832" s="1278" t="s">
        <v>366</v>
      </c>
      <c r="O832" s="649"/>
      <c r="P832" s="649"/>
      <c r="Q832" s="289"/>
      <c r="R832" s="631">
        <f t="shared" si="170"/>
        <v>1</v>
      </c>
      <c r="S832" s="655">
        <v>1</v>
      </c>
      <c r="T832" s="630">
        <f t="shared" si="171"/>
        <v>1</v>
      </c>
      <c r="U832" s="631">
        <f t="shared" si="172"/>
        <v>0.57999999999999996</v>
      </c>
      <c r="V832" s="655">
        <v>0.57999999999999996</v>
      </c>
      <c r="W832" s="630">
        <f t="shared" si="173"/>
        <v>0.57999999999999996</v>
      </c>
      <c r="X832" s="30"/>
    </row>
    <row r="833" spans="1:57" hidden="1">
      <c r="A833" s="1043"/>
      <c r="B833" s="307" t="e">
        <f>"Vripple_(mV), "&amp;TEXT(#REF!,"#")&amp;"V"</f>
        <v>#REF!</v>
      </c>
      <c r="C833" s="1113">
        <f t="shared" si="174"/>
        <v>64.81481481481481</v>
      </c>
      <c r="D833" s="1282" t="e">
        <f t="shared" si="174"/>
        <v>#DIV/0!</v>
      </c>
      <c r="E833" s="932"/>
      <c r="F833" s="932"/>
      <c r="G833" s="932"/>
      <c r="H833" s="1283"/>
      <c r="I833" s="1181"/>
      <c r="J833" s="1181"/>
      <c r="K833" s="1181"/>
      <c r="L833" s="995"/>
      <c r="M833" s="249"/>
      <c r="N833" s="1262" t="s">
        <v>638</v>
      </c>
      <c r="O833" s="649"/>
      <c r="P833" s="649"/>
      <c r="Q833" s="289"/>
      <c r="R833" s="656" t="e">
        <f t="shared" si="170"/>
        <v>#REF!</v>
      </c>
      <c r="S833" s="657" t="e">
        <f>(1+S829*(100-S831)/(S827*(100+S832))*S812*(100-S813)/100)</f>
        <v>#REF!</v>
      </c>
      <c r="T833" s="658" t="e">
        <f t="shared" si="171"/>
        <v>#REF!</v>
      </c>
      <c r="U833" s="656" t="e">
        <f t="shared" si="172"/>
        <v>#REF!</v>
      </c>
      <c r="V833" s="657" t="e">
        <f>(1+V829*(100-V831)/(V827*(100+V832))*V812*(100-V813)/100)</f>
        <v>#REF!</v>
      </c>
      <c r="W833" s="658" t="e">
        <f t="shared" si="173"/>
        <v>#REF!</v>
      </c>
      <c r="X833" s="30"/>
    </row>
    <row r="834" spans="1:57" s="246" customFormat="1" hidden="1">
      <c r="A834" s="1043"/>
      <c r="B834" s="307" t="e">
        <f>"Vripple_(mV), "&amp;TEXT(#REF!,"#")&amp;"V"</f>
        <v>#REF!</v>
      </c>
      <c r="C834" s="1113">
        <f t="shared" si="174"/>
        <v>65.602836879432616</v>
      </c>
      <c r="D834" s="1282" t="e">
        <f t="shared" si="174"/>
        <v>#DIV/0!</v>
      </c>
      <c r="E834" s="932"/>
      <c r="F834" s="932"/>
      <c r="G834" s="932"/>
      <c r="H834" s="1284"/>
      <c r="I834" s="1197"/>
      <c r="J834" s="1197"/>
      <c r="K834" s="1197"/>
      <c r="L834" s="995"/>
      <c r="M834" s="249"/>
      <c r="N834" s="1262" t="s">
        <v>639</v>
      </c>
      <c r="O834" s="289"/>
      <c r="P834" s="289"/>
      <c r="Q834" s="289"/>
      <c r="R834" s="656" t="e">
        <f t="shared" si="170"/>
        <v>#REF!</v>
      </c>
      <c r="S834" s="657" t="e">
        <f>(1+S829/S827)*S812</f>
        <v>#REF!</v>
      </c>
      <c r="T834" s="658" t="e">
        <f t="shared" si="171"/>
        <v>#REF!</v>
      </c>
      <c r="U834" s="656" t="e">
        <f t="shared" si="172"/>
        <v>#REF!</v>
      </c>
      <c r="V834" s="657" t="e">
        <f>(1+V829/V827)*V812</f>
        <v>#REF!</v>
      </c>
      <c r="W834" s="658" t="e">
        <f t="shared" si="173"/>
        <v>#REF!</v>
      </c>
      <c r="X834" s="30"/>
      <c r="Y834" s="15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</row>
    <row r="835" spans="1:57" hidden="1">
      <c r="A835" s="1043"/>
      <c r="B835" s="307" t="e">
        <f>"Vripple-ramp at VFB_(mV), "&amp;TEXT(#REF!,"#")&amp;"V"</f>
        <v>#REF!</v>
      </c>
      <c r="C835" s="1113">
        <f t="shared" ref="C835:D837" si="175">C$644*C350*C$301/(C$301+C$304)</f>
        <v>12.790697674418604</v>
      </c>
      <c r="D835" s="1282" t="e">
        <f t="shared" si="175"/>
        <v>#DIV/0!</v>
      </c>
      <c r="E835" s="932"/>
      <c r="F835" s="932"/>
      <c r="G835" s="932"/>
      <c r="H835" s="995"/>
      <c r="I835" s="1426"/>
      <c r="J835" s="1426"/>
      <c r="K835" s="1426"/>
      <c r="L835" s="995"/>
      <c r="M835" s="249"/>
      <c r="N835" s="1262" t="s">
        <v>640</v>
      </c>
      <c r="O835" s="289"/>
      <c r="P835" s="289"/>
      <c r="Q835" s="289"/>
      <c r="R835" s="656" t="e">
        <f t="shared" si="170"/>
        <v>#REF!</v>
      </c>
      <c r="S835" s="657" t="e">
        <f>(1+S829*(100+S831)/(S827*(100-S832))*S812*(100+S813)/100)</f>
        <v>#REF!</v>
      </c>
      <c r="T835" s="658" t="e">
        <f t="shared" si="171"/>
        <v>#REF!</v>
      </c>
      <c r="U835" s="656" t="e">
        <f t="shared" si="172"/>
        <v>#REF!</v>
      </c>
      <c r="V835" s="657" t="e">
        <f>(1+V829*(100+V831)/(V827*(100-V832))*V812*(100+V813)/100)</f>
        <v>#REF!</v>
      </c>
      <c r="W835" s="658" t="e">
        <f t="shared" si="173"/>
        <v>#REF!</v>
      </c>
      <c r="X835" s="30"/>
      <c r="AQ835" s="246"/>
      <c r="AR835" s="246"/>
      <c r="AS835" s="246"/>
      <c r="AT835" s="246"/>
      <c r="AU835" s="246"/>
      <c r="AV835" s="246"/>
      <c r="AW835" s="246"/>
      <c r="AX835" s="246"/>
      <c r="AY835" s="246"/>
      <c r="AZ835" s="246"/>
      <c r="BA835" s="246"/>
      <c r="BB835" s="246"/>
      <c r="BC835" s="246"/>
      <c r="BD835" s="246"/>
      <c r="BE835" s="246"/>
    </row>
    <row r="836" spans="1:57" hidden="1">
      <c r="A836" s="1043"/>
      <c r="B836" s="307" t="e">
        <f>"Vripple-ramp at VFB_(mV), "&amp;TEXT(#REF!,"#")&amp;"V"</f>
        <v>#REF!</v>
      </c>
      <c r="C836" s="1113">
        <f t="shared" si="175"/>
        <v>12.96296296296296</v>
      </c>
      <c r="D836" s="1282" t="e">
        <f t="shared" si="175"/>
        <v>#DIV/0!</v>
      </c>
      <c r="E836" s="932"/>
      <c r="F836" s="932"/>
      <c r="G836" s="932"/>
      <c r="H836" s="995"/>
      <c r="I836" s="1503"/>
      <c r="J836" s="1503"/>
      <c r="K836" s="1503"/>
      <c r="M836" s="249"/>
      <c r="N836" s="1262" t="s">
        <v>641</v>
      </c>
      <c r="O836" s="289"/>
      <c r="P836" s="289"/>
      <c r="Q836" s="289"/>
      <c r="R836" s="656" t="e">
        <f t="shared" si="170"/>
        <v>#REF!</v>
      </c>
      <c r="S836" s="657" t="e">
        <f>S833-S1115/1000</f>
        <v>#REF!</v>
      </c>
      <c r="T836" s="658" t="e">
        <f t="shared" si="171"/>
        <v>#REF!</v>
      </c>
      <c r="U836" s="656" t="e">
        <f t="shared" si="172"/>
        <v>#REF!</v>
      </c>
      <c r="V836" s="657" t="e">
        <f>V833-V1115/1000</f>
        <v>#REF!</v>
      </c>
      <c r="W836" s="658" t="e">
        <f t="shared" si="173"/>
        <v>#REF!</v>
      </c>
    </row>
    <row r="837" spans="1:57" hidden="1">
      <c r="A837" s="1043"/>
      <c r="B837" s="307" t="e">
        <f>"Vripple-ramp at VFB_(mV), "&amp;TEXT(#REF!,"#")&amp;"V"</f>
        <v>#REF!</v>
      </c>
      <c r="C837" s="1113">
        <f t="shared" si="175"/>
        <v>13.120567375886523</v>
      </c>
      <c r="D837" s="1282" t="e">
        <f t="shared" si="175"/>
        <v>#DIV/0!</v>
      </c>
      <c r="E837" s="932"/>
      <c r="F837" s="932"/>
      <c r="G837" s="932"/>
      <c r="H837" s="995"/>
      <c r="I837" s="1427"/>
      <c r="J837" s="1427"/>
      <c r="K837" s="1427"/>
      <c r="M837" s="249"/>
      <c r="N837" s="1262" t="s">
        <v>642</v>
      </c>
      <c r="O837" s="289"/>
      <c r="P837" s="289"/>
      <c r="Q837" s="289"/>
      <c r="R837" s="656" t="e">
        <f t="shared" si="170"/>
        <v>#REF!</v>
      </c>
      <c r="S837" s="657" t="e">
        <f>S834-S1115/1000</f>
        <v>#REF!</v>
      </c>
      <c r="T837" s="658" t="e">
        <f t="shared" si="171"/>
        <v>#REF!</v>
      </c>
      <c r="U837" s="656" t="e">
        <f t="shared" si="172"/>
        <v>#REF!</v>
      </c>
      <c r="V837" s="657" t="e">
        <f>V834-V1115/1000</f>
        <v>#REF!</v>
      </c>
      <c r="W837" s="658" t="e">
        <f t="shared" si="173"/>
        <v>#REF!</v>
      </c>
      <c r="X837" s="30"/>
    </row>
    <row r="838" spans="1:57" ht="14" hidden="1" thickBot="1">
      <c r="A838" s="1043"/>
      <c r="E838" s="932"/>
      <c r="F838" s="932"/>
      <c r="G838" s="932"/>
      <c r="H838" s="995"/>
      <c r="I838" s="1425"/>
      <c r="J838" s="1425"/>
      <c r="K838" s="1425"/>
      <c r="M838" s="249"/>
      <c r="N838" s="1262" t="s">
        <v>643</v>
      </c>
      <c r="O838" s="289"/>
      <c r="P838" s="289"/>
      <c r="Q838" s="289"/>
      <c r="R838" s="660" t="e">
        <f t="shared" si="170"/>
        <v>#REF!</v>
      </c>
      <c r="S838" s="661" t="e">
        <f>S835-S1115/1000</f>
        <v>#REF!</v>
      </c>
      <c r="T838" s="662" t="e">
        <f t="shared" si="171"/>
        <v>#REF!</v>
      </c>
      <c r="U838" s="660" t="e">
        <f t="shared" si="172"/>
        <v>#REF!</v>
      </c>
      <c r="V838" s="661" t="e">
        <f>V835-V1115/1000</f>
        <v>#REF!</v>
      </c>
      <c r="W838" s="662" t="e">
        <f t="shared" si="173"/>
        <v>#REF!</v>
      </c>
      <c r="X838" s="30"/>
    </row>
    <row r="839" spans="1:57" hidden="1">
      <c r="A839" s="1043"/>
      <c r="B839" s="314" t="s">
        <v>46</v>
      </c>
      <c r="C839" s="1044">
        <f>IF(C464=$C$810,C472,C$482)</f>
        <v>6.3646000000000003</v>
      </c>
      <c r="D839" s="1286">
        <f>IF(D464=$C$810,D472,D$482)</f>
        <v>34.716000000000001</v>
      </c>
      <c r="E839" s="932"/>
      <c r="F839" s="932"/>
      <c r="G839" s="932"/>
      <c r="H839" s="995"/>
      <c r="I839" s="1285"/>
      <c r="J839" s="1285"/>
      <c r="K839" s="1285"/>
      <c r="M839" s="249"/>
      <c r="N839" s="1277" t="s">
        <v>367</v>
      </c>
      <c r="O839" s="625"/>
      <c r="P839" s="625"/>
      <c r="Q839" s="626"/>
      <c r="R839" s="663"/>
      <c r="S839" s="559" t="str">
        <f>IF(F1259="internal",S840,"n/a")</f>
        <v>n/a</v>
      </c>
      <c r="T839" s="624"/>
      <c r="U839" s="559"/>
      <c r="V839" s="559"/>
      <c r="W839" s="624"/>
      <c r="X839" s="30"/>
    </row>
    <row r="840" spans="1:57" hidden="1">
      <c r="A840" s="1043"/>
      <c r="B840" s="314" t="s">
        <v>871</v>
      </c>
      <c r="C840" s="1032">
        <f>IF(C464=$C$810,C$848,C$483)</f>
        <v>0.22765823496417231</v>
      </c>
      <c r="D840" s="1287">
        <f>IF(D464=$C$810,D$848,D$483)</f>
        <v>0.22765823496417231</v>
      </c>
      <c r="E840" s="932"/>
      <c r="F840" s="932"/>
      <c r="G840" s="932"/>
      <c r="H840" s="995"/>
      <c r="I840" s="1197"/>
      <c r="J840" s="1197"/>
      <c r="K840" s="1197"/>
      <c r="M840" s="249"/>
      <c r="N840" s="1278" t="s">
        <v>368</v>
      </c>
      <c r="O840" s="289"/>
      <c r="P840" s="289"/>
      <c r="Q840" s="603"/>
      <c r="R840" s="663"/>
      <c r="S840" s="559" t="e">
        <f>10^8/#REF!/1000</f>
        <v>#REF!</v>
      </c>
      <c r="T840" s="624"/>
      <c r="U840" s="559"/>
      <c r="V840" s="559"/>
      <c r="W840" s="624"/>
      <c r="X840" s="30"/>
      <c r="Z840" s="246"/>
    </row>
    <row r="841" spans="1:57" hidden="1">
      <c r="A841" s="1043"/>
      <c r="B841" s="314" t="e">
        <f>"Iind(ripple)/Iout(max) at "&amp;TEXT(#REF!,"#")&amp;"V"</f>
        <v>#REF!</v>
      </c>
      <c r="C841" s="1219">
        <f>C352/C$332</f>
        <v>0.29286980749746705</v>
      </c>
      <c r="D841" s="1288" t="e">
        <f>D352/D$332</f>
        <v>#DIV/0!</v>
      </c>
      <c r="E841" s="932"/>
      <c r="F841" s="932"/>
      <c r="G841" s="932"/>
      <c r="H841" s="995"/>
      <c r="I841" s="1228"/>
      <c r="J841" s="1228"/>
      <c r="K841" s="1228"/>
      <c r="M841" s="249"/>
      <c r="N841" s="1278" t="s">
        <v>369</v>
      </c>
      <c r="O841" s="289"/>
      <c r="P841" s="289"/>
      <c r="Q841" s="603"/>
      <c r="R841" s="663"/>
      <c r="S841" s="559" t="e">
        <f>#REF!</f>
        <v>#REF!</v>
      </c>
      <c r="T841" s="624"/>
      <c r="U841" s="559"/>
      <c r="V841" s="559"/>
      <c r="W841" s="624"/>
      <c r="X841" s="29"/>
    </row>
    <row r="842" spans="1:57" ht="14" hidden="1" thickBot="1">
      <c r="A842" s="1043"/>
      <c r="B842" s="314" t="e">
        <f>"Iind(ripple)/Iocl (peak) at "&amp;TEXT(#REF!,"#")&amp;"V"</f>
        <v>#REF!</v>
      </c>
      <c r="C842" s="1289"/>
      <c r="D842" s="1290"/>
      <c r="E842" s="932"/>
      <c r="F842" s="932"/>
      <c r="G842" s="932"/>
      <c r="H842" s="995"/>
      <c r="I842" s="1228"/>
      <c r="J842" s="1228"/>
      <c r="K842" s="1228"/>
      <c r="M842" s="249"/>
      <c r="N842" s="1278" t="s">
        <v>644</v>
      </c>
      <c r="O842" s="289"/>
      <c r="P842" s="289"/>
      <c r="Q842" s="603"/>
      <c r="R842" s="663" t="e">
        <f>S842</f>
        <v>#REF!</v>
      </c>
      <c r="S842" s="559" t="e">
        <f>10^8/#REF!/1000</f>
        <v>#REF!</v>
      </c>
      <c r="T842" s="624" t="e">
        <f>S842</f>
        <v>#REF!</v>
      </c>
      <c r="U842" s="663"/>
      <c r="V842" s="559"/>
      <c r="W842" s="624"/>
      <c r="X842" s="29"/>
    </row>
    <row r="843" spans="1:57" hidden="1">
      <c r="A843" s="1043"/>
      <c r="B843" s="1042" t="s">
        <v>48</v>
      </c>
      <c r="C843" s="1291">
        <f>2*($C$784+C$339)/(C$339+$C$784+MAX(C$339, $C$784))*SQRT(($C$784)^2+(C$339)^2)</f>
        <v>0.26832815729997483</v>
      </c>
      <c r="D843" s="1292">
        <f>2*($C$784+D$339)/(D$339+$C$784+MAX(D$339, $C$784))*SQRT(($C$784)^2+(D$339)^2)</f>
        <v>0.26832815729997483</v>
      </c>
      <c r="E843" s="932"/>
      <c r="F843" s="932"/>
      <c r="G843" s="932"/>
      <c r="H843" s="995"/>
      <c r="I843" s="1410"/>
      <c r="J843" s="1410"/>
      <c r="K843" s="1410"/>
      <c r="M843" s="249"/>
      <c r="N843" s="1293" t="s">
        <v>370</v>
      </c>
      <c r="O843" s="664"/>
      <c r="P843" s="664"/>
      <c r="Q843" s="665"/>
      <c r="R843" s="666">
        <f t="shared" ref="R843:W843" si="176">($S$815-$R$815)/$S$815*100</f>
        <v>8.3333333333333321</v>
      </c>
      <c r="S843" s="666">
        <f t="shared" si="176"/>
        <v>8.3333333333333321</v>
      </c>
      <c r="T843" s="666">
        <f t="shared" si="176"/>
        <v>8.3333333333333321</v>
      </c>
      <c r="U843" s="666">
        <f t="shared" si="176"/>
        <v>8.3333333333333321</v>
      </c>
      <c r="V843" s="666">
        <f t="shared" si="176"/>
        <v>8.3333333333333321</v>
      </c>
      <c r="W843" s="666">
        <f t="shared" si="176"/>
        <v>8.3333333333333321</v>
      </c>
      <c r="X843" s="29"/>
      <c r="AP843" s="246"/>
    </row>
    <row r="844" spans="1:57" hidden="1">
      <c r="A844" s="1043"/>
      <c r="B844" s="314" t="s">
        <v>50</v>
      </c>
      <c r="C844" s="1294">
        <f>IF(C465=60,$C$787,$C$789)</f>
        <v>8.3333333333333329E-2</v>
      </c>
      <c r="D844" s="1295">
        <f>IF(D465=60,$C$787,$C$789)</f>
        <v>8.3333333333333329E-2</v>
      </c>
      <c r="E844" s="932"/>
      <c r="F844" s="932"/>
      <c r="G844" s="932"/>
      <c r="H844" s="995"/>
      <c r="I844" s="1410"/>
      <c r="J844" s="1410"/>
      <c r="K844" s="1410"/>
      <c r="M844" s="249"/>
      <c r="N844" s="1296" t="s">
        <v>645</v>
      </c>
      <c r="O844" s="667"/>
      <c r="P844" s="667"/>
      <c r="Q844" s="668"/>
      <c r="R844" s="623" t="b">
        <f t="shared" ref="R844:R856" si="177">S844</f>
        <v>0</v>
      </c>
      <c r="S844" s="669" t="b">
        <f>IF(H551=V815,U815,IF(H551=S815,R815))</f>
        <v>0</v>
      </c>
      <c r="T844" s="670" t="b">
        <f t="shared" ref="T844:T856" si="178">S844</f>
        <v>0</v>
      </c>
      <c r="U844" s="670" t="b">
        <f t="shared" ref="U844:U856" si="179">V844</f>
        <v>0</v>
      </c>
      <c r="V844" s="670" t="b">
        <f t="shared" ref="V844:V850" si="180">S844</f>
        <v>0</v>
      </c>
      <c r="W844" s="671" t="b">
        <f t="shared" ref="W844:W856" si="181">V844</f>
        <v>0</v>
      </c>
      <c r="X844" s="29"/>
      <c r="AA844" s="246"/>
      <c r="AB844" s="246"/>
      <c r="AC844" s="246"/>
      <c r="AD844" s="246"/>
      <c r="AE844" s="246"/>
      <c r="AF844" s="246"/>
      <c r="AG844" s="246"/>
      <c r="AH844" s="246"/>
      <c r="AI844" s="246"/>
      <c r="AJ844" s="246"/>
      <c r="AK844" s="246"/>
      <c r="AL844" s="246"/>
      <c r="AM844" s="246"/>
      <c r="AO844" s="246"/>
    </row>
    <row r="845" spans="1:57" hidden="1">
      <c r="A845" s="1043"/>
      <c r="B845" s="314" t="s">
        <v>371</v>
      </c>
      <c r="C845" s="1294">
        <f>2*(C$844+C$840)/(C$840+C$844+MAX(C$840, C$844))*SQRT((C$844)^2+(C$840)^2)</f>
        <v>0.27993679521645026</v>
      </c>
      <c r="D845" s="1295">
        <f>2*(D$844+D$840)/(D$840+D$844+MAX(D$840, D$844))*SQRT((D$844)^2+(D$840)^2)</f>
        <v>0.27993679521645026</v>
      </c>
      <c r="E845" s="932"/>
      <c r="F845" s="932"/>
      <c r="G845" s="932"/>
      <c r="H845" s="932"/>
      <c r="I845" s="1410"/>
      <c r="J845" s="1410"/>
      <c r="K845" s="1410"/>
      <c r="M845" s="249"/>
      <c r="N845" s="1297" t="s">
        <v>646</v>
      </c>
      <c r="O845" s="672"/>
      <c r="P845" s="672"/>
      <c r="Q845" s="673"/>
      <c r="R845" s="623">
        <f t="shared" si="177"/>
        <v>0</v>
      </c>
      <c r="S845" s="670">
        <f>H551</f>
        <v>0</v>
      </c>
      <c r="T845" s="670">
        <f t="shared" si="178"/>
        <v>0</v>
      </c>
      <c r="U845" s="670">
        <f t="shared" si="179"/>
        <v>0</v>
      </c>
      <c r="V845" s="670">
        <f t="shared" si="180"/>
        <v>0</v>
      </c>
      <c r="W845" s="671">
        <f t="shared" si="181"/>
        <v>0</v>
      </c>
      <c r="X845" s="29"/>
      <c r="AN845" s="246"/>
    </row>
    <row r="846" spans="1:57" ht="14" hidden="1" thickBot="1">
      <c r="A846" s="1043"/>
      <c r="B846" s="1042" t="s">
        <v>372</v>
      </c>
      <c r="C846" s="1032">
        <f>2*($C$784+C$339+C844+C848)/(C$339+$C$784+C844+C848+MAX(C$339, $C$784,C844,C848))*SQRT(($C$784)^2+(C$339)^2+(C844)^2+(C848)^2)</f>
        <v>0.48055660459140337</v>
      </c>
      <c r="D846" s="1287">
        <f>2*($C$784+D$339+D844+D848)/(D$339+$C$784+D844+D848+MAX(D$339, $C$784,D844,D848))*SQRT(($C$784)^2+(D$339)^2+(D844)^2+(D848)^2)</f>
        <v>0.48055660459140337</v>
      </c>
      <c r="E846" s="932"/>
      <c r="F846" s="932"/>
      <c r="G846" s="932"/>
      <c r="H846" s="932"/>
      <c r="I846" s="1410"/>
      <c r="J846" s="1410"/>
      <c r="K846" s="1410"/>
      <c r="M846" s="249"/>
      <c r="N846" s="1298" t="s">
        <v>647</v>
      </c>
      <c r="O846" s="674"/>
      <c r="P846" s="674"/>
      <c r="Q846" s="675"/>
      <c r="R846" s="676" t="b">
        <f t="shared" si="177"/>
        <v>0</v>
      </c>
      <c r="S846" s="677" t="b">
        <f>IF(H551=V815,W815,IF(H551=S815,T815))</f>
        <v>0</v>
      </c>
      <c r="T846" s="677" t="b">
        <f t="shared" si="178"/>
        <v>0</v>
      </c>
      <c r="U846" s="677" t="b">
        <f t="shared" si="179"/>
        <v>0</v>
      </c>
      <c r="V846" s="677" t="b">
        <f t="shared" si="180"/>
        <v>0</v>
      </c>
      <c r="W846" s="678" t="b">
        <f t="shared" si="181"/>
        <v>0</v>
      </c>
      <c r="X846" s="30"/>
    </row>
    <row r="847" spans="1:57" hidden="1">
      <c r="A847" s="1043"/>
      <c r="B847" s="1097" t="s">
        <v>373</v>
      </c>
      <c r="C847" s="1032">
        <f>(1+0.00393*($C$807+C$470-20))/(1+0.00393*($C$806+C$470-20))-1</f>
        <v>0.15282578638091948</v>
      </c>
      <c r="D847" s="1287">
        <f>(1+0.00393*($C$807+D$470-20))/(1+0.00393*($C$806+D$470-20))-1</f>
        <v>0.15282578638091948</v>
      </c>
      <c r="E847" s="932"/>
      <c r="F847" s="932"/>
      <c r="G847" s="932"/>
      <c r="H847" s="932"/>
      <c r="I847" s="1410"/>
      <c r="J847" s="1410"/>
      <c r="K847" s="1410"/>
      <c r="M847" s="249"/>
      <c r="N847" s="1293" t="s">
        <v>374</v>
      </c>
      <c r="O847" s="664"/>
      <c r="P847" s="664"/>
      <c r="Q847" s="665"/>
      <c r="R847" s="666">
        <f t="shared" si="177"/>
        <v>10</v>
      </c>
      <c r="S847" s="666">
        <v>10</v>
      </c>
      <c r="T847" s="666">
        <f t="shared" si="178"/>
        <v>10</v>
      </c>
      <c r="U847" s="666">
        <f t="shared" si="179"/>
        <v>10</v>
      </c>
      <c r="V847" s="679">
        <f t="shared" si="180"/>
        <v>10</v>
      </c>
      <c r="W847" s="680">
        <f t="shared" si="181"/>
        <v>10</v>
      </c>
      <c r="X847" s="30"/>
    </row>
    <row r="848" spans="1:57" hidden="1">
      <c r="A848" s="1043"/>
      <c r="B848" s="1097" t="s">
        <v>375</v>
      </c>
      <c r="C848" s="1032">
        <f>2*(C$469+C$847)/(C$847+C$469+MAX(C$847,C$469))*SQRT((C$469)^2+(C$847)^2)</f>
        <v>0.22765823496417231</v>
      </c>
      <c r="D848" s="1287">
        <f>2*(D$469+D$847)/(D$847+D$469+MAX(D$847,D$469))*SQRT((D$469)^2+(D$847)^2)</f>
        <v>0.22765823496417231</v>
      </c>
      <c r="E848" s="932"/>
      <c r="F848" s="932"/>
      <c r="G848" s="932"/>
      <c r="H848" s="995"/>
      <c r="I848" s="1410"/>
      <c r="J848" s="1410"/>
      <c r="K848" s="1410"/>
      <c r="M848" s="249"/>
      <c r="N848" s="1296" t="s">
        <v>376</v>
      </c>
      <c r="O848" s="667"/>
      <c r="P848" s="667"/>
      <c r="Q848" s="667"/>
      <c r="R848" s="670" t="e">
        <f t="shared" si="177"/>
        <v>#REF!</v>
      </c>
      <c r="S848" s="670" t="e">
        <f>S849*(100-S847)/100</f>
        <v>#REF!</v>
      </c>
      <c r="T848" s="670" t="e">
        <f t="shared" si="178"/>
        <v>#REF!</v>
      </c>
      <c r="U848" s="670" t="e">
        <f t="shared" si="179"/>
        <v>#REF!</v>
      </c>
      <c r="V848" s="670" t="e">
        <f t="shared" si="180"/>
        <v>#REF!</v>
      </c>
      <c r="W848" s="671" t="e">
        <f t="shared" si="181"/>
        <v>#REF!</v>
      </c>
      <c r="X848" s="30"/>
    </row>
    <row r="849" spans="1:29" hidden="1">
      <c r="A849" s="1043"/>
      <c r="B849" s="1299" t="e">
        <f>"Target Rs_Intgrated_error, "&amp;TEXT(#REF!,"#")&amp;"V"</f>
        <v>#REF!</v>
      </c>
      <c r="C849" s="1300" t="e">
        <f>C$465*(1-$Q$730)/(C$332+0.5*C$354*(1+C$843))</f>
        <v>#REF!</v>
      </c>
      <c r="D849" s="1301" t="e">
        <f>D$465*(1-$Q$730)/(D$332+0.5*D$354*(1+D$843))</f>
        <v>#REF!</v>
      </c>
      <c r="E849" s="932"/>
      <c r="F849" s="932"/>
      <c r="G849" s="932"/>
      <c r="H849" s="995"/>
      <c r="I849" s="1197"/>
      <c r="J849" s="1197"/>
      <c r="K849" s="1197"/>
      <c r="M849" s="249"/>
      <c r="N849" s="1297" t="s">
        <v>648</v>
      </c>
      <c r="O849" s="672"/>
      <c r="P849" s="672"/>
      <c r="Q849" s="673"/>
      <c r="R849" s="670" t="e">
        <f t="shared" si="177"/>
        <v>#REF!</v>
      </c>
      <c r="S849" s="670" t="e">
        <f>IF(F1259="internal",S842,#REF!)</f>
        <v>#REF!</v>
      </c>
      <c r="T849" s="670" t="e">
        <f t="shared" si="178"/>
        <v>#REF!</v>
      </c>
      <c r="U849" s="670" t="e">
        <f t="shared" si="179"/>
        <v>#REF!</v>
      </c>
      <c r="V849" s="670" t="e">
        <f t="shared" si="180"/>
        <v>#REF!</v>
      </c>
      <c r="W849" s="671" t="e">
        <f t="shared" si="181"/>
        <v>#REF!</v>
      </c>
      <c r="X849" s="29"/>
    </row>
    <row r="850" spans="1:29" ht="14" hidden="1" thickBot="1">
      <c r="A850" s="1043"/>
      <c r="B850" s="1299" t="e">
        <f>"Target Rs_Intgrated_error, "&amp;TEXT(#REF!,"#")&amp;"V"</f>
        <v>#REF!</v>
      </c>
      <c r="C850" s="1300" t="e">
        <f>C$465*(1-$Q$730)/(C$332+0.5*C$355*(1+C$843))</f>
        <v>#REF!</v>
      </c>
      <c r="D850" s="1301" t="e">
        <f>D$465*(1-$Q$730)/(D$332+0.5*D$355*(1+D$843))</f>
        <v>#REF!</v>
      </c>
      <c r="E850" s="932"/>
      <c r="F850" s="932"/>
      <c r="G850" s="932"/>
      <c r="H850" s="995"/>
      <c r="I850" s="995"/>
      <c r="J850" s="995"/>
      <c r="K850" s="995"/>
      <c r="M850" s="249"/>
      <c r="N850" s="1298" t="s">
        <v>377</v>
      </c>
      <c r="O850" s="674"/>
      <c r="P850" s="674"/>
      <c r="Q850" s="674"/>
      <c r="R850" s="677" t="e">
        <f t="shared" si="177"/>
        <v>#REF!</v>
      </c>
      <c r="S850" s="677" t="e">
        <f>S849*(100+S847)/100</f>
        <v>#REF!</v>
      </c>
      <c r="T850" s="677" t="e">
        <f t="shared" si="178"/>
        <v>#REF!</v>
      </c>
      <c r="U850" s="677" t="e">
        <f t="shared" si="179"/>
        <v>#REF!</v>
      </c>
      <c r="V850" s="677" t="e">
        <f t="shared" si="180"/>
        <v>#REF!</v>
      </c>
      <c r="W850" s="678" t="e">
        <f t="shared" si="181"/>
        <v>#REF!</v>
      </c>
      <c r="X850" s="29"/>
    </row>
    <row r="851" spans="1:29" hidden="1">
      <c r="A851" s="1043"/>
      <c r="B851" s="1299" t="e">
        <f>"Target Rs_Intgrated_error, "&amp;TEXT(#REF!,"#")&amp;"V"</f>
        <v>#REF!</v>
      </c>
      <c r="C851" s="1300" t="e">
        <f>C$465*(1-$Q$730)/(C$332+0.5*C$356*(1+C$843))</f>
        <v>#REF!</v>
      </c>
      <c r="D851" s="1301" t="e">
        <f>D$465*(1-$Q$730)/(D$332+0.5*D$356*(1+D$843))</f>
        <v>#REF!</v>
      </c>
      <c r="E851" s="932"/>
      <c r="F851" s="932"/>
      <c r="G851" s="932"/>
      <c r="H851" s="995"/>
      <c r="I851" s="995"/>
      <c r="J851" s="995"/>
      <c r="K851" s="995"/>
      <c r="M851" s="249"/>
      <c r="N851" s="1302" t="s">
        <v>378</v>
      </c>
      <c r="O851" s="681"/>
      <c r="P851" s="681"/>
      <c r="Q851" s="682"/>
      <c r="R851" s="683">
        <f t="shared" si="177"/>
        <v>0</v>
      </c>
      <c r="S851" s="666">
        <f>H517</f>
        <v>0</v>
      </c>
      <c r="T851" s="666">
        <f t="shared" si="178"/>
        <v>0</v>
      </c>
      <c r="U851" s="666">
        <f t="shared" si="179"/>
        <v>0</v>
      </c>
      <c r="V851" s="666">
        <f>I517</f>
        <v>0</v>
      </c>
      <c r="W851" s="680">
        <f t="shared" si="181"/>
        <v>0</v>
      </c>
      <c r="X851" s="29"/>
      <c r="Y851" s="15"/>
    </row>
    <row r="852" spans="1:29" hidden="1">
      <c r="A852" s="995"/>
      <c r="E852" s="932"/>
      <c r="F852" s="932"/>
      <c r="G852" s="932"/>
      <c r="H852" s="995"/>
      <c r="I852" s="995"/>
      <c r="J852" s="995"/>
      <c r="K852" s="995"/>
      <c r="M852" s="249"/>
      <c r="N852" s="1297" t="s">
        <v>379</v>
      </c>
      <c r="O852" s="672"/>
      <c r="P852" s="672"/>
      <c r="Q852" s="673"/>
      <c r="R852" s="684">
        <f t="shared" si="177"/>
        <v>0</v>
      </c>
      <c r="S852" s="685">
        <f>S853*(100-S851)/100</f>
        <v>0</v>
      </c>
      <c r="T852" s="685">
        <f t="shared" si="178"/>
        <v>0</v>
      </c>
      <c r="U852" s="685">
        <f t="shared" si="179"/>
        <v>0</v>
      </c>
      <c r="V852" s="685">
        <f>V853*(100-V851)/100</f>
        <v>0</v>
      </c>
      <c r="W852" s="686">
        <f t="shared" si="181"/>
        <v>0</v>
      </c>
      <c r="X852" s="29"/>
    </row>
    <row r="853" spans="1:29" hidden="1">
      <c r="A853" s="310"/>
      <c r="B853" s="1180"/>
      <c r="C853" s="1180"/>
      <c r="D853" s="1303"/>
      <c r="E853" s="932"/>
      <c r="F853" s="932"/>
      <c r="G853" s="932"/>
      <c r="M853" s="249"/>
      <c r="N853" s="1297" t="s">
        <v>380</v>
      </c>
      <c r="O853" s="672"/>
      <c r="P853" s="672"/>
      <c r="Q853" s="673"/>
      <c r="R853" s="684">
        <f t="shared" si="177"/>
        <v>0</v>
      </c>
      <c r="S853" s="685">
        <f>F515</f>
        <v>0</v>
      </c>
      <c r="T853" s="685">
        <f t="shared" si="178"/>
        <v>0</v>
      </c>
      <c r="U853" s="685">
        <f t="shared" si="179"/>
        <v>0</v>
      </c>
      <c r="V853" s="685">
        <f>G515</f>
        <v>0</v>
      </c>
      <c r="W853" s="686">
        <f t="shared" si="181"/>
        <v>0</v>
      </c>
      <c r="X853" s="29"/>
    </row>
    <row r="854" spans="1:29" ht="14" hidden="1" thickBot="1">
      <c r="A854" s="310"/>
      <c r="B854" s="1042" t="s">
        <v>876</v>
      </c>
      <c r="C854" s="1042">
        <v>11.5</v>
      </c>
      <c r="D854" s="1304">
        <v>11.5</v>
      </c>
      <c r="E854" s="932"/>
      <c r="F854" s="932"/>
      <c r="G854" s="932"/>
      <c r="M854" s="249"/>
      <c r="N854" s="1298" t="s">
        <v>381</v>
      </c>
      <c r="O854" s="674"/>
      <c r="P854" s="674"/>
      <c r="Q854" s="675"/>
      <c r="R854" s="687">
        <f t="shared" si="177"/>
        <v>0</v>
      </c>
      <c r="S854" s="688">
        <f>S853*(100+S851)/100</f>
        <v>0</v>
      </c>
      <c r="T854" s="688">
        <f t="shared" si="178"/>
        <v>0</v>
      </c>
      <c r="U854" s="688">
        <f t="shared" si="179"/>
        <v>0</v>
      </c>
      <c r="V854" s="688">
        <f>V853*(100+V851)/100</f>
        <v>0</v>
      </c>
      <c r="W854" s="689">
        <f t="shared" si="181"/>
        <v>0</v>
      </c>
      <c r="X854" s="29"/>
      <c r="Z854" s="246"/>
    </row>
    <row r="855" spans="1:29" hidden="1">
      <c r="A855" s="310"/>
      <c r="B855" s="1042" t="s">
        <v>890</v>
      </c>
      <c r="C855" s="1042"/>
      <c r="D855" s="1304"/>
      <c r="E855" s="932"/>
      <c r="F855" s="932"/>
      <c r="G855" s="932"/>
      <c r="M855" s="249"/>
      <c r="N855" s="1305" t="s">
        <v>382</v>
      </c>
      <c r="O855" s="690"/>
      <c r="P855" s="690"/>
      <c r="Q855" s="690"/>
      <c r="R855" s="685">
        <f t="shared" si="177"/>
        <v>0</v>
      </c>
      <c r="S855" s="685">
        <f>S868*(100-S859)/100</f>
        <v>0</v>
      </c>
      <c r="T855" s="685">
        <f t="shared" si="178"/>
        <v>0</v>
      </c>
      <c r="U855" s="685">
        <f t="shared" si="179"/>
        <v>0</v>
      </c>
      <c r="V855" s="685">
        <f>V868*(100-V859)/100</f>
        <v>0</v>
      </c>
      <c r="W855" s="686">
        <f t="shared" si="181"/>
        <v>0</v>
      </c>
      <c r="X855" s="31"/>
    </row>
    <row r="856" spans="1:29" hidden="1">
      <c r="A856" s="310"/>
      <c r="B856" s="1042" t="s">
        <v>891</v>
      </c>
      <c r="C856" s="1042"/>
      <c r="D856" s="1304"/>
      <c r="E856" s="932"/>
      <c r="F856" s="932"/>
      <c r="G856" s="932"/>
      <c r="I856" s="1306"/>
      <c r="J856" s="1306"/>
      <c r="K856" s="1306"/>
      <c r="M856" s="249"/>
      <c r="N856" s="1305" t="s">
        <v>383</v>
      </c>
      <c r="O856" s="690"/>
      <c r="P856" s="690"/>
      <c r="Q856" s="690"/>
      <c r="R856" s="691">
        <f t="shared" si="177"/>
        <v>0</v>
      </c>
      <c r="S856" s="691">
        <f>S868*(100+S859)/100</f>
        <v>0</v>
      </c>
      <c r="T856" s="691">
        <f t="shared" si="178"/>
        <v>0</v>
      </c>
      <c r="U856" s="691">
        <f t="shared" si="179"/>
        <v>0</v>
      </c>
      <c r="V856" s="691">
        <f>V868*(100+V859)/100</f>
        <v>0</v>
      </c>
      <c r="W856" s="692">
        <f t="shared" si="181"/>
        <v>0</v>
      </c>
      <c r="X856" s="29"/>
    </row>
    <row r="857" spans="1:29" hidden="1">
      <c r="A857" s="310"/>
      <c r="B857" s="1042" t="s">
        <v>877</v>
      </c>
      <c r="C857" s="1042">
        <v>12</v>
      </c>
      <c r="D857" s="1304">
        <v>12</v>
      </c>
      <c r="E857" s="932"/>
      <c r="F857" s="932"/>
      <c r="G857" s="932"/>
      <c r="M857" s="249"/>
      <c r="N857" s="1307"/>
      <c r="O857" s="334"/>
      <c r="P857" s="334"/>
      <c r="Q857" s="334"/>
      <c r="R857" s="693"/>
      <c r="S857" s="693"/>
      <c r="T857" s="693"/>
      <c r="U857" s="693"/>
      <c r="V857" s="693"/>
      <c r="W857" s="694"/>
      <c r="X857" s="29"/>
    </row>
    <row r="858" spans="1:29" hidden="1">
      <c r="A858" s="310"/>
      <c r="B858" s="1042" t="s">
        <v>878</v>
      </c>
      <c r="C858" s="1042">
        <v>12</v>
      </c>
      <c r="D858" s="1304">
        <v>12</v>
      </c>
      <c r="E858" s="932"/>
      <c r="F858" s="932"/>
      <c r="G858" s="932"/>
      <c r="M858" s="249"/>
      <c r="N858" s="1308"/>
      <c r="X858" s="29"/>
      <c r="AA858" s="246"/>
      <c r="AB858" s="246"/>
      <c r="AC858" s="246"/>
    </row>
    <row r="859" spans="1:29" hidden="1">
      <c r="A859" s="310"/>
      <c r="B859" s="314" t="s">
        <v>1001</v>
      </c>
      <c r="C859" s="314">
        <v>66</v>
      </c>
      <c r="D859" s="1040">
        <v>66</v>
      </c>
      <c r="E859" s="932"/>
      <c r="F859" s="932"/>
      <c r="G859" s="932"/>
      <c r="M859" s="249"/>
      <c r="N859" s="1221" t="s">
        <v>649</v>
      </c>
      <c r="O859" s="514"/>
      <c r="P859" s="514"/>
      <c r="Q859" s="514"/>
      <c r="R859" s="431">
        <f>$H$555</f>
        <v>0</v>
      </c>
      <c r="S859" s="431">
        <f>$H$555</f>
        <v>0</v>
      </c>
      <c r="T859" s="431">
        <f>$H$555</f>
        <v>0</v>
      </c>
      <c r="U859" s="431">
        <f>$I$555</f>
        <v>0</v>
      </c>
      <c r="V859" s="431">
        <f>$I$555</f>
        <v>0</v>
      </c>
      <c r="W859" s="431">
        <f>$I$555</f>
        <v>0</v>
      </c>
      <c r="X859" s="29"/>
    </row>
    <row r="860" spans="1:29" hidden="1">
      <c r="A860" s="310"/>
      <c r="B860" s="314" t="s">
        <v>830</v>
      </c>
      <c r="C860" s="314"/>
      <c r="D860" s="1040"/>
      <c r="E860" s="932"/>
      <c r="F860" s="932"/>
      <c r="G860" s="932"/>
      <c r="M860" s="249"/>
      <c r="N860" s="931" t="s">
        <v>650</v>
      </c>
      <c r="O860" s="695"/>
      <c r="P860" s="695"/>
      <c r="Q860" s="696"/>
      <c r="R860" s="526">
        <f>2*($D$785+$H$555)/(2*$D$785+$H$555)*SQRT(($D$785)^2+($H$555)^2)</f>
        <v>8.3333333333333329E-2</v>
      </c>
      <c r="S860" s="526">
        <f>2*($D$785+$H$555)/(2*$D$785+$H$555)*SQRT(($D$785)^2+($H$555)^2)</f>
        <v>8.3333333333333329E-2</v>
      </c>
      <c r="T860" s="526">
        <f>2*($D$785+$H$555)/(2*$D$785+$H$555)*SQRT(($D$785)^2+($H$555)^2)</f>
        <v>8.3333333333333329E-2</v>
      </c>
      <c r="U860" s="526">
        <f>2*($D$785+$I$555)/(2*$D$785+$I$555)*SQRT(($D$785)^2+($I$555)^2)</f>
        <v>8.3333333333333329E-2</v>
      </c>
      <c r="V860" s="526">
        <f>2*($D$785+$I$555)/(2*$D$785+$I$555)*SQRT(($D$785)^2+($I$555)^2)</f>
        <v>8.3333333333333329E-2</v>
      </c>
      <c r="W860" s="526">
        <f>2*($D$785+$I$555)/(2*$D$785+$I$555)*SQRT(($D$785)^2+($I$555)^2)</f>
        <v>8.3333333333333329E-2</v>
      </c>
      <c r="X860" s="29"/>
    </row>
    <row r="861" spans="1:29" hidden="1">
      <c r="A861" s="310"/>
      <c r="B861" s="314" t="s">
        <v>893</v>
      </c>
      <c r="C861" s="314"/>
      <c r="D861" s="1040"/>
      <c r="E861" s="932"/>
      <c r="F861" s="932"/>
      <c r="G861" s="932"/>
      <c r="M861" s="249"/>
      <c r="N861" s="345" t="s">
        <v>868</v>
      </c>
      <c r="O861" s="514"/>
      <c r="P861" s="514"/>
      <c r="Q861" s="547"/>
      <c r="R861" s="526">
        <f>2*($C$784+$H$517)/(2*$H$517+$C$784)*SQRT(($C$784)^2+($H$517)^2)</f>
        <v>0.2</v>
      </c>
      <c r="S861" s="526">
        <f>2*($C$784+$H$517)/(2*$H$517+$C$784)*SQRT(($C$784)^2+($H$517)^2)</f>
        <v>0.2</v>
      </c>
      <c r="T861" s="526">
        <f>2*($C$784+$H$517)/(2*$H$517+$C$784)*SQRT(($C$784)^2+($H$517)^2)</f>
        <v>0.2</v>
      </c>
      <c r="U861" s="526">
        <f>2*($C$784+$I$517)/(2*$I$517+$C$784)*SQRT(($C$784)^2+($I$517)^2)</f>
        <v>0.2</v>
      </c>
      <c r="V861" s="526">
        <f>2*($C$784+$I$517)/(2*$I$517+$C$784)*SQRT(($C$784)^2+($I$517)^2)</f>
        <v>0.2</v>
      </c>
      <c r="W861" s="526">
        <f>2*($C$784+$I$517)/(2*$I$517+$C$784)*SQRT(($C$784)^2+($I$517)^2)</f>
        <v>0.2</v>
      </c>
      <c r="X861" s="29"/>
    </row>
    <row r="862" spans="1:29" hidden="1">
      <c r="A862" s="310"/>
      <c r="B862" s="314" t="s">
        <v>894</v>
      </c>
      <c r="C862" s="314"/>
      <c r="D862" s="1040"/>
      <c r="E862" s="932"/>
      <c r="F862" s="932"/>
      <c r="G862" s="932"/>
      <c r="M862" s="249"/>
      <c r="N862" s="1309" t="s">
        <v>651</v>
      </c>
      <c r="O862" s="282"/>
      <c r="P862" s="282"/>
      <c r="Q862" s="697"/>
      <c r="R862" s="431">
        <f>$H$516</f>
        <v>0</v>
      </c>
      <c r="S862" s="431">
        <f>$H$516</f>
        <v>0</v>
      </c>
      <c r="T862" s="431">
        <f>$H$516</f>
        <v>0</v>
      </c>
      <c r="U862" s="431">
        <f>$I$516</f>
        <v>0</v>
      </c>
      <c r="V862" s="431">
        <f>$I$516</f>
        <v>0</v>
      </c>
      <c r="W862" s="431">
        <f>$I$516</f>
        <v>0</v>
      </c>
      <c r="X862" s="29"/>
    </row>
    <row r="863" spans="1:29" hidden="1">
      <c r="A863" s="310"/>
      <c r="B863" s="314" t="s">
        <v>895</v>
      </c>
      <c r="C863" s="314"/>
      <c r="D863" s="1040"/>
      <c r="E863" s="932"/>
      <c r="F863" s="932"/>
      <c r="G863" s="932"/>
      <c r="M863" s="249"/>
      <c r="X863" s="29"/>
    </row>
    <row r="864" spans="1:29" hidden="1">
      <c r="A864" s="310"/>
      <c r="B864" s="314" t="s">
        <v>896</v>
      </c>
      <c r="C864" s="314"/>
      <c r="D864" s="1040"/>
      <c r="E864" s="932"/>
      <c r="F864" s="932"/>
      <c r="G864" s="932"/>
      <c r="M864" s="249"/>
      <c r="X864" s="29"/>
    </row>
    <row r="865" spans="1:24" hidden="1">
      <c r="A865" s="310"/>
      <c r="B865" s="1042" t="s">
        <v>384</v>
      </c>
      <c r="C865" s="1042"/>
      <c r="D865" s="1304"/>
      <c r="E865" s="932"/>
      <c r="F865" s="932"/>
      <c r="G865" s="932"/>
      <c r="M865" s="249"/>
      <c r="X865" s="29"/>
    </row>
    <row r="866" spans="1:24" hidden="1">
      <c r="A866" s="310"/>
      <c r="B866" s="1042" t="s">
        <v>385</v>
      </c>
      <c r="C866" s="1180"/>
      <c r="D866" s="1303"/>
      <c r="E866" s="932"/>
      <c r="F866" s="932"/>
      <c r="G866" s="932"/>
      <c r="M866" s="249"/>
      <c r="X866" s="29"/>
    </row>
    <row r="867" spans="1:24" hidden="1">
      <c r="A867" s="310"/>
      <c r="B867" s="1042" t="s">
        <v>386</v>
      </c>
      <c r="C867" s="1239"/>
      <c r="D867" s="1310"/>
      <c r="E867" s="932"/>
      <c r="F867" s="932"/>
      <c r="G867" s="932"/>
      <c r="M867" s="249"/>
      <c r="X867" s="29"/>
    </row>
    <row r="868" spans="1:24" hidden="1">
      <c r="A868" s="310"/>
      <c r="B868" s="1042" t="s">
        <v>387</v>
      </c>
      <c r="C868" s="1239"/>
      <c r="D868" s="1310"/>
      <c r="E868" s="932"/>
      <c r="F868" s="932"/>
      <c r="G868" s="932"/>
      <c r="M868" s="249"/>
      <c r="N868" s="1221" t="s">
        <v>388</v>
      </c>
      <c r="O868" s="514"/>
      <c r="P868" s="514"/>
      <c r="Q868" s="547"/>
      <c r="R868" s="698">
        <f>$H$554</f>
        <v>0</v>
      </c>
      <c r="S868" s="698">
        <f>$H$554</f>
        <v>0</v>
      </c>
      <c r="T868" s="698">
        <f>$H$554</f>
        <v>0</v>
      </c>
      <c r="U868" s="698">
        <f>$I$554</f>
        <v>0</v>
      </c>
      <c r="V868" s="698">
        <f>$I$554</f>
        <v>0</v>
      </c>
      <c r="W868" s="698">
        <f>$I$554</f>
        <v>0</v>
      </c>
      <c r="X868" s="29"/>
    </row>
    <row r="869" spans="1:24" hidden="1">
      <c r="A869" s="310"/>
      <c r="B869" s="1042" t="s">
        <v>892</v>
      </c>
      <c r="C869" s="1180"/>
      <c r="D869" s="1303"/>
      <c r="E869" s="932"/>
      <c r="F869" s="932"/>
      <c r="G869" s="932"/>
      <c r="M869" s="249"/>
      <c r="N869" s="345" t="s">
        <v>389</v>
      </c>
      <c r="O869" s="514"/>
      <c r="P869" s="514"/>
      <c r="Q869" s="547"/>
      <c r="R869" s="471" t="e">
        <f>R845/R868*(100-R860)/100-0.5*H536*(100+R861)/100</f>
        <v>#DIV/0!</v>
      </c>
      <c r="S869" s="471" t="e">
        <f>S845/S868*(100-S860)/100-0.5*H537*(100+S861)/100</f>
        <v>#DIV/0!</v>
      </c>
      <c r="T869" s="471" t="e">
        <f>T845/T868*(100-T860)/100-0.5*H538*(100+T861)/100</f>
        <v>#DIV/0!</v>
      </c>
      <c r="U869" s="471" t="e">
        <f>U845/U868*(100-U860)/100-0.5*I536*(100+U861)/100</f>
        <v>#DIV/0!</v>
      </c>
      <c r="V869" s="471" t="e">
        <f>V845/V868*(100-V860)/100-0.5*I537*(100+V861)/100</f>
        <v>#DIV/0!</v>
      </c>
      <c r="W869" s="471" t="e">
        <f>W845/W868*(100-W860)/100-0.5*I538*(100+W861)/100</f>
        <v>#DIV/0!</v>
      </c>
      <c r="X869" s="29"/>
    </row>
    <row r="870" spans="1:24" hidden="1">
      <c r="A870" s="310"/>
      <c r="B870" s="1042" t="s">
        <v>928</v>
      </c>
      <c r="C870" s="1239"/>
      <c r="D870" s="1310"/>
      <c r="E870" s="932"/>
      <c r="F870" s="932"/>
      <c r="G870" s="932"/>
      <c r="M870" s="249"/>
      <c r="X870" s="29"/>
    </row>
    <row r="871" spans="1:24" hidden="1">
      <c r="A871" s="310"/>
      <c r="B871" s="1042" t="s">
        <v>929</v>
      </c>
      <c r="C871" s="1239"/>
      <c r="D871" s="1310"/>
      <c r="E871" s="932"/>
      <c r="F871" s="932"/>
      <c r="G871" s="932"/>
      <c r="M871" s="249"/>
      <c r="N871" s="345" t="s">
        <v>390</v>
      </c>
      <c r="O871" s="514"/>
      <c r="P871" s="514"/>
      <c r="Q871" s="514"/>
      <c r="R871" s="471" t="e">
        <f>R845/R868*(100+R860)/100-0.5*H536*(100-R861)/100</f>
        <v>#DIV/0!</v>
      </c>
      <c r="S871" s="471" t="e">
        <f>S845/S868*(100+S860)/100-0.5*H537*(100-S861)/100</f>
        <v>#DIV/0!</v>
      </c>
      <c r="T871" s="471" t="e">
        <f>T845/T868*(100+T860)/100-0.5*H538*(100-T861)/100</f>
        <v>#DIV/0!</v>
      </c>
      <c r="U871" s="471" t="e">
        <f>U845/U868*(100+U860)/100-0.5*I536*(100-U861)/100</f>
        <v>#DIV/0!</v>
      </c>
      <c r="V871" s="471" t="e">
        <f>V845/V868*(100+V860)/100-0.5*I537*(100-V861)/100</f>
        <v>#DIV/0!</v>
      </c>
      <c r="W871" s="471" t="e">
        <f>W845/W868*(100+W860)/100-0.5*I538*(100-W861)/100</f>
        <v>#DIV/0!</v>
      </c>
      <c r="X871" s="29"/>
    </row>
    <row r="872" spans="1:24" hidden="1">
      <c r="A872" s="310"/>
      <c r="E872" s="932"/>
      <c r="F872" s="932"/>
      <c r="G872" s="932"/>
      <c r="M872" s="249"/>
      <c r="N872" s="345" t="s">
        <v>391</v>
      </c>
      <c r="O872" s="514"/>
      <c r="P872" s="514"/>
      <c r="Q872" s="514"/>
      <c r="R872" s="396" t="e">
        <f t="shared" ref="R872:W872" si="182">R845/R868</f>
        <v>#DIV/0!</v>
      </c>
      <c r="S872" s="32" t="e">
        <f t="shared" si="182"/>
        <v>#DIV/0!</v>
      </c>
      <c r="T872" s="396" t="e">
        <f t="shared" si="182"/>
        <v>#DIV/0!</v>
      </c>
      <c r="U872" s="396" t="e">
        <f t="shared" si="182"/>
        <v>#DIV/0!</v>
      </c>
      <c r="V872" s="32" t="e">
        <f t="shared" si="182"/>
        <v>#DIV/0!</v>
      </c>
      <c r="W872" s="396" t="e">
        <f t="shared" si="182"/>
        <v>#DIV/0!</v>
      </c>
      <c r="X872" s="29"/>
    </row>
    <row r="873" spans="1:24" hidden="1">
      <c r="A873" s="310"/>
      <c r="B873" s="932"/>
      <c r="C873" s="932"/>
      <c r="D873" s="932"/>
      <c r="E873" s="932"/>
      <c r="F873" s="932"/>
      <c r="G873" s="932"/>
      <c r="M873" s="249"/>
      <c r="N873" s="314" t="s">
        <v>652</v>
      </c>
      <c r="O873" s="430"/>
      <c r="P873" s="430"/>
      <c r="Q873" s="430"/>
      <c r="R873" s="396"/>
      <c r="S873" s="396" t="e">
        <f>S872/Q736</f>
        <v>#DIV/0!</v>
      </c>
      <c r="T873" s="396"/>
      <c r="U873" s="33"/>
      <c r="V873" s="396" t="e">
        <f>V872/T736</f>
        <v>#DIV/0!</v>
      </c>
      <c r="W873" s="33"/>
      <c r="X873" s="29"/>
    </row>
    <row r="874" spans="1:24" hidden="1">
      <c r="A874" s="310"/>
      <c r="B874" s="314"/>
      <c r="C874" s="314"/>
      <c r="D874" s="1040"/>
      <c r="E874" s="932"/>
      <c r="F874" s="932"/>
      <c r="G874" s="932"/>
      <c r="M874" s="249"/>
      <c r="N874" s="1311" t="s">
        <v>392</v>
      </c>
      <c r="O874" s="695"/>
      <c r="P874" s="695"/>
      <c r="Q874" s="696"/>
      <c r="R874" s="699"/>
      <c r="S874" s="700" t="e">
        <f>#REF!</f>
        <v>#REF!</v>
      </c>
      <c r="T874" s="700"/>
      <c r="U874" s="700"/>
      <c r="V874" s="700">
        <f>I691</f>
        <v>0</v>
      </c>
      <c r="W874" s="700"/>
      <c r="X874" s="29"/>
    </row>
    <row r="875" spans="1:24" hidden="1">
      <c r="A875" s="310"/>
      <c r="B875" s="1042" t="s">
        <v>74</v>
      </c>
      <c r="C875" s="1042">
        <v>11.5</v>
      </c>
      <c r="D875" s="1304">
        <v>11.5</v>
      </c>
      <c r="E875" s="932"/>
      <c r="F875" s="932"/>
      <c r="G875" s="932"/>
      <c r="M875" s="249"/>
      <c r="N875" s="1221" t="s">
        <v>653</v>
      </c>
      <c r="O875" s="514"/>
      <c r="P875" s="514"/>
      <c r="Q875" s="547"/>
      <c r="R875" s="701"/>
      <c r="S875" s="431">
        <f>H556</f>
        <v>0</v>
      </c>
      <c r="T875" s="702"/>
      <c r="U875" s="702"/>
      <c r="V875" s="431">
        <f>I556</f>
        <v>0</v>
      </c>
      <c r="W875" s="702"/>
      <c r="X875" s="29"/>
    </row>
    <row r="876" spans="1:24" hidden="1">
      <c r="A876" s="310"/>
      <c r="B876" s="1042" t="s">
        <v>877</v>
      </c>
      <c r="C876" s="1042">
        <v>12</v>
      </c>
      <c r="D876" s="1304">
        <v>12</v>
      </c>
      <c r="E876" s="932"/>
      <c r="F876" s="932"/>
      <c r="G876" s="932"/>
      <c r="M876" s="249"/>
      <c r="N876" s="1221" t="s">
        <v>654</v>
      </c>
      <c r="O876" s="514"/>
      <c r="P876" s="514"/>
      <c r="Q876" s="547"/>
      <c r="R876" s="701"/>
      <c r="S876" s="703" t="e">
        <f>S874/S868/S875*1000</f>
        <v>#REF!</v>
      </c>
      <c r="T876" s="702"/>
      <c r="U876" s="702"/>
      <c r="V876" s="703" t="e">
        <f>V874/V868/V875*1000</f>
        <v>#DIV/0!</v>
      </c>
      <c r="W876" s="702"/>
      <c r="X876" s="29"/>
    </row>
    <row r="877" spans="1:24" hidden="1">
      <c r="A877" s="310"/>
      <c r="B877" s="1042" t="s">
        <v>878</v>
      </c>
      <c r="C877" s="1042">
        <v>12</v>
      </c>
      <c r="D877" s="1304">
        <v>12</v>
      </c>
      <c r="E877" s="932"/>
      <c r="F877" s="932"/>
      <c r="G877" s="932"/>
      <c r="M877" s="249"/>
      <c r="N877" s="1221" t="s">
        <v>655</v>
      </c>
      <c r="O877" s="514"/>
      <c r="P877" s="514"/>
      <c r="Q877" s="547"/>
      <c r="R877" s="702"/>
      <c r="S877" s="703" t="e">
        <f>#REF!</f>
        <v>#REF!</v>
      </c>
      <c r="T877" s="702"/>
      <c r="U877" s="702"/>
      <c r="V877" s="703">
        <f>I713</f>
        <v>0</v>
      </c>
      <c r="W877" s="702"/>
      <c r="X877" s="29"/>
    </row>
    <row r="878" spans="1:24" hidden="1">
      <c r="A878" s="310"/>
      <c r="B878" s="314" t="s">
        <v>1001</v>
      </c>
      <c r="C878" s="314">
        <v>66</v>
      </c>
      <c r="D878" s="1040">
        <v>66</v>
      </c>
      <c r="E878" s="932"/>
      <c r="F878" s="932"/>
      <c r="G878" s="932"/>
      <c r="M878" s="249"/>
      <c r="N878" s="1221" t="s">
        <v>393</v>
      </c>
      <c r="O878" s="514"/>
      <c r="P878" s="514"/>
      <c r="Q878" s="547"/>
      <c r="R878" s="431">
        <f>S878</f>
        <v>0</v>
      </c>
      <c r="S878" s="703">
        <f>H552</f>
        <v>0</v>
      </c>
      <c r="T878" s="431">
        <f>S878</f>
        <v>0</v>
      </c>
      <c r="U878" s="431">
        <f>V878</f>
        <v>0</v>
      </c>
      <c r="V878" s="703">
        <f>I552</f>
        <v>0</v>
      </c>
      <c r="W878" s="431">
        <f>V878</f>
        <v>0</v>
      </c>
      <c r="X878" s="29"/>
    </row>
    <row r="879" spans="1:24" hidden="1">
      <c r="A879" s="310"/>
      <c r="B879" s="314" t="s">
        <v>830</v>
      </c>
      <c r="C879" s="314">
        <v>0.75</v>
      </c>
      <c r="D879" s="1040">
        <v>0.75</v>
      </c>
      <c r="E879" s="932"/>
      <c r="F879" s="932"/>
      <c r="G879" s="932"/>
      <c r="M879" s="249"/>
      <c r="N879" s="1221" t="s">
        <v>394</v>
      </c>
      <c r="O879" s="514"/>
      <c r="P879" s="514"/>
      <c r="Q879" s="547"/>
      <c r="R879" s="701"/>
      <c r="S879" s="703" t="e">
        <f>S868*S877/(S878-S868)</f>
        <v>#REF!</v>
      </c>
      <c r="T879" s="702"/>
      <c r="U879" s="702"/>
      <c r="V879" s="703" t="e">
        <f>V868*V877/(V878-V868)</f>
        <v>#DIV/0!</v>
      </c>
      <c r="W879" s="702"/>
      <c r="X879" s="29"/>
    </row>
    <row r="880" spans="1:24" hidden="1">
      <c r="A880" s="310"/>
      <c r="B880" s="1042" t="s">
        <v>881</v>
      </c>
      <c r="C880" s="1312">
        <f>C332^2*C854*10^-3*C226/C330</f>
        <v>0.40088510638297881</v>
      </c>
      <c r="D880" s="1313" t="e">
        <f>D332^2*D854*10^-3*D226/D330</f>
        <v>#DIV/0!</v>
      </c>
      <c r="E880" s="932"/>
      <c r="F880" s="932"/>
      <c r="G880" s="932"/>
      <c r="M880" s="249"/>
      <c r="N880" s="1221" t="s">
        <v>395</v>
      </c>
      <c r="O880" s="514"/>
      <c r="P880" s="514"/>
      <c r="Q880" s="547"/>
      <c r="R880" s="702"/>
      <c r="S880" s="703" t="e">
        <f>#REF!</f>
        <v>#REF!</v>
      </c>
      <c r="T880" s="702"/>
      <c r="U880" s="702"/>
      <c r="V880" s="703">
        <f>I725</f>
        <v>0</v>
      </c>
      <c r="W880" s="702"/>
      <c r="X880" s="29"/>
    </row>
    <row r="881" spans="1:24" hidden="1">
      <c r="A881" s="310"/>
      <c r="B881" s="1042" t="s">
        <v>882</v>
      </c>
      <c r="C881" s="1312">
        <f>0.5*C330*C324*((C332-C352/2)*C857+(C332+C352/2)*C858)*10^-6</f>
        <v>1.8048000000000002</v>
      </c>
      <c r="D881" s="1313" t="e">
        <f>0.5*D330*D324*((D332-D352/2)*D857+(D332+D352/2)*D858)*10^-6</f>
        <v>#DIV/0!</v>
      </c>
      <c r="E881" s="932"/>
      <c r="F881" s="932"/>
      <c r="G881" s="932"/>
      <c r="M881" s="249"/>
      <c r="N881" s="1221" t="s">
        <v>396</v>
      </c>
      <c r="O881" s="514"/>
      <c r="P881" s="514"/>
      <c r="Q881" s="547"/>
      <c r="R881" s="431" t="e">
        <f>S881</f>
        <v>#REF!</v>
      </c>
      <c r="S881" s="703" t="e">
        <f>S878*S880/(S877+S880)</f>
        <v>#REF!</v>
      </c>
      <c r="T881" s="431" t="e">
        <f>S881</f>
        <v>#REF!</v>
      </c>
      <c r="U881" s="431" t="e">
        <f>V881</f>
        <v>#DIV/0!</v>
      </c>
      <c r="V881" s="703" t="e">
        <f>V878*V880/(V877+V880)</f>
        <v>#DIV/0!</v>
      </c>
      <c r="W881" s="431" t="e">
        <f>V881</f>
        <v>#DIV/0!</v>
      </c>
      <c r="X881" s="29"/>
    </row>
    <row r="882" spans="1:24" hidden="1">
      <c r="A882" s="310"/>
      <c r="B882" s="1042" t="s">
        <v>930</v>
      </c>
      <c r="C882" s="1312"/>
      <c r="D882" s="1313"/>
      <c r="E882" s="932"/>
      <c r="F882" s="932"/>
      <c r="G882" s="932"/>
      <c r="M882" s="249"/>
      <c r="N882" s="345" t="s">
        <v>389</v>
      </c>
      <c r="O882" s="514"/>
      <c r="P882" s="514"/>
      <c r="Q882" s="547"/>
      <c r="R882" s="471" t="e">
        <f>R845/R881*(100-R860)/100-0.5*H536*(100+R861)/100</f>
        <v>#REF!</v>
      </c>
      <c r="S882" s="471" t="e">
        <f>S845/S881*(100-S860)/100-0.5*H537*(100+S861)/100</f>
        <v>#REF!</v>
      </c>
      <c r="T882" s="471" t="e">
        <f>T845/T881*(100-T860)/100-0.5*H538*(100+T861)/100</f>
        <v>#REF!</v>
      </c>
      <c r="U882" s="471" t="e">
        <f>U845/U881*(100-U860)/100-0.5*I536*(100+U861)/100</f>
        <v>#DIV/0!</v>
      </c>
      <c r="V882" s="471" t="e">
        <f>V845/V881*(100-V860)/100-0.5*I537*(100+V861)/100</f>
        <v>#DIV/0!</v>
      </c>
      <c r="W882" s="471" t="e">
        <f>W845/W881*(100-W860)/100-0.5*I538*(100+W861)/100</f>
        <v>#DIV/0!</v>
      </c>
      <c r="X882" s="29"/>
    </row>
    <row r="883" spans="1:24" hidden="1">
      <c r="A883" s="310"/>
      <c r="B883" s="1042" t="s">
        <v>883</v>
      </c>
      <c r="C883" s="1314">
        <f>C880+C881</f>
        <v>2.2056851063829788</v>
      </c>
      <c r="D883" s="1315" t="e">
        <f>D880+D881</f>
        <v>#DIV/0!</v>
      </c>
      <c r="E883" s="932"/>
      <c r="F883" s="932"/>
      <c r="G883" s="932"/>
      <c r="M883" s="249"/>
      <c r="N883" s="345" t="s">
        <v>337</v>
      </c>
      <c r="O883" s="514"/>
      <c r="P883" s="514"/>
      <c r="Q883" s="547"/>
      <c r="R883" s="471" t="e">
        <f>R845/R881-0.5*H536</f>
        <v>#REF!</v>
      </c>
      <c r="S883" s="471" t="e">
        <f>S845/S881-0.5*H537</f>
        <v>#REF!</v>
      </c>
      <c r="T883" s="471" t="e">
        <f>T845/T881-0.5*H538</f>
        <v>#REF!</v>
      </c>
      <c r="U883" s="471" t="e">
        <f>U845/U881-0.5*I536</f>
        <v>#DIV/0!</v>
      </c>
      <c r="V883" s="471" t="e">
        <f>V845/V881-0.5*I537</f>
        <v>#DIV/0!</v>
      </c>
      <c r="W883" s="471" t="e">
        <f>W845/W881-0.5*I538</f>
        <v>#DIV/0!</v>
      </c>
      <c r="X883" s="29"/>
    </row>
    <row r="884" spans="1:24" hidden="1">
      <c r="A884" s="310"/>
      <c r="B884" s="1239" t="s">
        <v>615</v>
      </c>
      <c r="C884" s="1316">
        <f>C883*C859</f>
        <v>145.57521702127659</v>
      </c>
      <c r="D884" s="1317" t="e">
        <f>D883*D859</f>
        <v>#DIV/0!</v>
      </c>
      <c r="E884" s="932"/>
      <c r="F884" s="932"/>
      <c r="G884" s="932"/>
      <c r="M884" s="249"/>
      <c r="N884" s="345" t="s">
        <v>390</v>
      </c>
      <c r="O884" s="514"/>
      <c r="P884" s="514"/>
      <c r="Q884" s="514"/>
      <c r="R884" s="471" t="e">
        <f>R845/R881*(100+R860)/100-0.5*H536*(100-R861)/100</f>
        <v>#REF!</v>
      </c>
      <c r="S884" s="471" t="e">
        <f>S845/S881*(100+S860)/100-0.5*H537*(100-S861)/100</f>
        <v>#REF!</v>
      </c>
      <c r="T884" s="471" t="e">
        <f>T845/T881*(100+T860)/100-0.5*H538*(100-T861)/100</f>
        <v>#REF!</v>
      </c>
      <c r="U884" s="471" t="e">
        <f>U845/U881*(100+U860)/100-0.5*I536*(100-U861)/100</f>
        <v>#DIV/0!</v>
      </c>
      <c r="V884" s="471" t="e">
        <f>V845/V881*(100+V860)/100-0.5*I537*(100-V861)/100</f>
        <v>#DIV/0!</v>
      </c>
      <c r="W884" s="471" t="e">
        <f>W845/W881*(100+W860)/100-0.5*I538*(100-W861)/100</f>
        <v>#DIV/0!</v>
      </c>
      <c r="X884" s="29"/>
    </row>
    <row r="885" spans="1:24" hidden="1">
      <c r="A885" s="310"/>
      <c r="B885" s="1239" t="s">
        <v>933</v>
      </c>
      <c r="C885" s="1316"/>
      <c r="D885" s="1317"/>
      <c r="M885" s="249"/>
      <c r="N885" s="345" t="s">
        <v>391</v>
      </c>
      <c r="O885" s="514"/>
      <c r="P885" s="514"/>
      <c r="Q885" s="514"/>
      <c r="R885" s="32" t="e">
        <f t="shared" ref="R885:W885" si="183">R845/R881</f>
        <v>#REF!</v>
      </c>
      <c r="S885" s="32" t="e">
        <f t="shared" si="183"/>
        <v>#REF!</v>
      </c>
      <c r="T885" s="32" t="e">
        <f t="shared" si="183"/>
        <v>#REF!</v>
      </c>
      <c r="U885" s="32" t="e">
        <f t="shared" si="183"/>
        <v>#DIV/0!</v>
      </c>
      <c r="V885" s="32" t="e">
        <f t="shared" si="183"/>
        <v>#DIV/0!</v>
      </c>
      <c r="W885" s="32" t="e">
        <f t="shared" si="183"/>
        <v>#DIV/0!</v>
      </c>
      <c r="X885" s="29"/>
    </row>
    <row r="886" spans="1:24" hidden="1">
      <c r="A886" s="310"/>
      <c r="B886" s="1042" t="s">
        <v>884</v>
      </c>
      <c r="C886" s="1318">
        <f>C332^2*C875*10^-3*(1-C226/C330)</f>
        <v>1.4832748936170215</v>
      </c>
      <c r="D886" s="1319" t="e">
        <f>D332^2*D875*10^-3*(1-D226/D330)</f>
        <v>#DIV/0!</v>
      </c>
      <c r="M886" s="249"/>
      <c r="N886" s="314" t="s">
        <v>652</v>
      </c>
      <c r="O886" s="430"/>
      <c r="P886" s="430"/>
      <c r="Q886" s="430"/>
      <c r="R886" s="396"/>
      <c r="S886" s="396" t="e">
        <f>S885/Q736</f>
        <v>#REF!</v>
      </c>
      <c r="T886" s="396"/>
      <c r="U886" s="33"/>
      <c r="V886" s="396" t="e">
        <f>V885/T736</f>
        <v>#DIV/0!</v>
      </c>
      <c r="W886" s="33"/>
      <c r="X886" s="29"/>
    </row>
    <row r="887" spans="1:24" hidden="1">
      <c r="A887" s="310"/>
      <c r="B887" s="1042" t="s">
        <v>831</v>
      </c>
      <c r="C887" s="1318">
        <f>C879*($C$798*(C332+C352/2)*C324+$C$799*(C332-C352/2)*C324)*10^-6</f>
        <v>0.32897112462006078</v>
      </c>
      <c r="D887" s="1319" t="e">
        <f>D879*($C$798*(D332+D352/2)*D324+$C$799*(D332-D352/2)*D324)*10^-6</f>
        <v>#DIV/0!</v>
      </c>
      <c r="M887" s="249"/>
      <c r="N887" s="1059"/>
      <c r="O887" s="410"/>
      <c r="P887" s="410"/>
      <c r="Q887" s="410"/>
      <c r="R887" s="505"/>
      <c r="S887" s="505"/>
      <c r="T887" s="505"/>
      <c r="U887" s="34"/>
      <c r="V887" s="505"/>
      <c r="W887" s="34"/>
      <c r="X887" s="29"/>
    </row>
    <row r="888" spans="1:24" hidden="1">
      <c r="A888" s="310"/>
      <c r="B888" s="1042" t="s">
        <v>832</v>
      </c>
      <c r="C888" s="1318">
        <f>C886+C887</f>
        <v>1.8122460182370823</v>
      </c>
      <c r="D888" s="1319" t="e">
        <f>D886+D887</f>
        <v>#DIV/0!</v>
      </c>
      <c r="M888" s="249"/>
      <c r="N888" s="1320" t="s">
        <v>656</v>
      </c>
      <c r="O888" s="704"/>
      <c r="P888" s="704"/>
      <c r="Q888" s="704"/>
      <c r="R888" s="505"/>
      <c r="S888" s="505"/>
      <c r="T888" s="505"/>
      <c r="U888" s="34"/>
      <c r="V888" s="505"/>
      <c r="W888" s="34"/>
      <c r="X888" s="29"/>
    </row>
    <row r="889" spans="1:24" hidden="1">
      <c r="A889" s="310"/>
      <c r="B889" s="1239" t="s">
        <v>1002</v>
      </c>
      <c r="C889" s="1321">
        <f>C888*C878</f>
        <v>119.60823720364743</v>
      </c>
      <c r="D889" s="1322" t="e">
        <f>D888*D878</f>
        <v>#DIV/0!</v>
      </c>
      <c r="M889" s="249"/>
      <c r="N889" s="1323" t="s">
        <v>657</v>
      </c>
      <c r="S889" s="704">
        <v>6.6</v>
      </c>
      <c r="T889" s="505"/>
      <c r="U889" s="34"/>
      <c r="V889" s="505"/>
      <c r="W889" s="34"/>
      <c r="X889" s="29"/>
    </row>
    <row r="890" spans="1:24" hidden="1">
      <c r="A890" s="310"/>
      <c r="B890" s="1042" t="s">
        <v>885</v>
      </c>
      <c r="C890" s="1312">
        <f>C332^2*C854*10^-3*C226/C328</f>
        <v>0.43817674418604657</v>
      </c>
      <c r="D890" s="1313" t="e">
        <f>D332^2*D854*10^-3*D226/D328</f>
        <v>#DIV/0!</v>
      </c>
      <c r="M890" s="249"/>
      <c r="N890" s="1323" t="s">
        <v>658</v>
      </c>
      <c r="S890" s="704">
        <v>0</v>
      </c>
      <c r="T890" s="505"/>
      <c r="U890" s="34"/>
      <c r="V890" s="505"/>
      <c r="W890" s="34"/>
      <c r="X890" s="29"/>
    </row>
    <row r="891" spans="1:24" hidden="1">
      <c r="A891" s="310"/>
      <c r="B891" s="1042" t="s">
        <v>886</v>
      </c>
      <c r="C891" s="1312">
        <f>0.5*C328*C324*((C332-C350/2)*C857+(C332+C350/2)*C858)*10^-6</f>
        <v>1.6512000000000002</v>
      </c>
      <c r="D891" s="1313" t="e">
        <f>0.5*D328*D324*((D332-D350/2)*D857+(D332+D350/2)*D858)*10^-6</f>
        <v>#DIV/0!</v>
      </c>
      <c r="M891" s="249"/>
      <c r="N891" s="1323" t="s">
        <v>659</v>
      </c>
      <c r="S891" s="704">
        <v>0</v>
      </c>
      <c r="T891" s="505"/>
      <c r="U891" s="34"/>
      <c r="V891" s="505"/>
      <c r="W891" s="34"/>
      <c r="X891" s="29"/>
    </row>
    <row r="892" spans="1:24" hidden="1">
      <c r="A892" s="310"/>
      <c r="B892" s="1042" t="s">
        <v>931</v>
      </c>
      <c r="C892" s="1312"/>
      <c r="D892" s="1313"/>
      <c r="M892" s="249"/>
      <c r="N892" s="1323" t="s">
        <v>660</v>
      </c>
      <c r="S892" s="705">
        <f>S889*(1+S893*(S890+S891-20))</f>
        <v>6.0812399999999993</v>
      </c>
      <c r="T892" s="505"/>
      <c r="U892" s="34"/>
      <c r="V892" s="505"/>
      <c r="W892" s="34"/>
      <c r="X892" s="29"/>
    </row>
    <row r="893" spans="1:24" hidden="1">
      <c r="A893" s="310"/>
      <c r="B893" s="1042" t="s">
        <v>887</v>
      </c>
      <c r="C893" s="1314">
        <f>C890+C891</f>
        <v>2.0893767441860467</v>
      </c>
      <c r="D893" s="1315" t="e">
        <f>D890+D891</f>
        <v>#DIV/0!</v>
      </c>
      <c r="E893" s="1059"/>
      <c r="F893" s="1059"/>
      <c r="G893" s="250"/>
      <c r="H893" s="1059"/>
      <c r="I893" s="1059"/>
      <c r="J893" s="1059"/>
      <c r="K893" s="1059"/>
      <c r="M893" s="249"/>
      <c r="N893" s="1323" t="s">
        <v>661</v>
      </c>
      <c r="S893" s="704">
        <v>3.9300000000000003E-3</v>
      </c>
      <c r="T893" s="505"/>
      <c r="U893" s="34"/>
      <c r="V893" s="505"/>
      <c r="W893" s="34"/>
      <c r="X893" s="29"/>
    </row>
    <row r="894" spans="1:24" hidden="1">
      <c r="A894" s="310"/>
      <c r="B894" s="1239" t="s">
        <v>615</v>
      </c>
      <c r="C894" s="1316">
        <f>C893*C859</f>
        <v>137.89886511627907</v>
      </c>
      <c r="D894" s="1317" t="e">
        <f>D893*D859</f>
        <v>#DIV/0!</v>
      </c>
      <c r="E894" s="1059"/>
      <c r="F894" s="1059"/>
      <c r="G894" s="250"/>
      <c r="H894" s="1059"/>
      <c r="I894" s="1059"/>
      <c r="J894" s="1059"/>
      <c r="K894" s="1059"/>
      <c r="M894" s="249"/>
      <c r="N894" s="1059"/>
      <c r="O894" s="410"/>
      <c r="P894" s="410"/>
      <c r="Q894" s="410"/>
      <c r="R894" s="505"/>
      <c r="S894" s="505"/>
      <c r="T894" s="505"/>
      <c r="U894" s="34"/>
      <c r="V894" s="505"/>
      <c r="W894" s="34"/>
      <c r="X894" s="29"/>
    </row>
    <row r="895" spans="1:24" hidden="1">
      <c r="A895" s="310"/>
      <c r="B895" s="1239" t="s">
        <v>933</v>
      </c>
      <c r="C895" s="1316"/>
      <c r="D895" s="1317"/>
      <c r="E895" s="995"/>
      <c r="F895" s="995"/>
      <c r="G895" s="250"/>
      <c r="H895" s="1324"/>
      <c r="I895" s="995"/>
      <c r="J895" s="995"/>
      <c r="K895" s="995"/>
      <c r="M895" s="249"/>
      <c r="N895" s="1059"/>
      <c r="O895" s="410"/>
      <c r="P895" s="410"/>
      <c r="Q895" s="410"/>
      <c r="R895" s="505"/>
      <c r="S895" s="505"/>
      <c r="T895" s="505"/>
      <c r="U895" s="34"/>
      <c r="V895" s="505"/>
      <c r="W895" s="34"/>
      <c r="X895" s="29"/>
    </row>
    <row r="896" spans="1:24" hidden="1">
      <c r="A896" s="1325"/>
      <c r="B896" s="1042" t="s">
        <v>1000</v>
      </c>
      <c r="C896" s="1318">
        <f>C332^2*C875*10^-3*(1-C226/C328)</f>
        <v>1.4459832558139538</v>
      </c>
      <c r="D896" s="1319" t="e">
        <f>D332^2*D875*10^-3*(1-D226/D328)</f>
        <v>#DIV/0!</v>
      </c>
      <c r="E896" s="1056"/>
      <c r="F896" s="1056"/>
      <c r="G896" s="250"/>
      <c r="H896" s="995"/>
      <c r="I896" s="1056"/>
      <c r="J896" s="1056"/>
      <c r="K896" s="1056"/>
      <c r="M896" s="249"/>
      <c r="N896" s="1059"/>
      <c r="O896" s="410"/>
      <c r="P896" s="410"/>
      <c r="Q896" s="410"/>
      <c r="R896" s="505"/>
      <c r="S896" s="505"/>
      <c r="T896" s="505"/>
      <c r="U896" s="34"/>
      <c r="V896" s="505"/>
      <c r="W896" s="34"/>
      <c r="X896" s="29"/>
    </row>
    <row r="897" spans="1:25" hidden="1">
      <c r="A897" s="310"/>
      <c r="B897" s="1042" t="s">
        <v>620</v>
      </c>
      <c r="C897" s="1318">
        <f>($C$798*(C332+C350/2)*C324+$C$799*(C332-C350/2)*C324)*10^-6</f>
        <v>0.43886378737541532</v>
      </c>
      <c r="D897" s="1319" t="e">
        <f>($C$798*(D332+D350/2)*D324+$C$799*(D332-D350/2)*D324)*10^-6</f>
        <v>#DIV/0!</v>
      </c>
      <c r="E897" s="1197"/>
      <c r="F897" s="1197"/>
      <c r="G897" s="250"/>
      <c r="H897" s="1037"/>
      <c r="I897" s="1448"/>
      <c r="J897" s="1448"/>
      <c r="K897" s="1448"/>
      <c r="M897" s="249"/>
      <c r="N897" s="1059"/>
      <c r="O897" s="410"/>
      <c r="P897" s="410"/>
      <c r="Q897" s="410"/>
      <c r="R897" s="505"/>
      <c r="S897" s="505"/>
      <c r="T897" s="505"/>
      <c r="U897" s="34"/>
      <c r="V897" s="505"/>
      <c r="W897" s="34"/>
      <c r="X897" s="29"/>
    </row>
    <row r="898" spans="1:25" hidden="1">
      <c r="A898" s="310"/>
      <c r="B898" s="1042" t="s">
        <v>621</v>
      </c>
      <c r="C898" s="1318">
        <f>C896+C897</f>
        <v>1.8848470431893691</v>
      </c>
      <c r="D898" s="1319" t="e">
        <f>D896+D897</f>
        <v>#DIV/0!</v>
      </c>
      <c r="E898" s="1056"/>
      <c r="F898" s="1056"/>
      <c r="G898" s="250"/>
      <c r="H898" s="995"/>
      <c r="I898" s="1410"/>
      <c r="J898" s="1410"/>
      <c r="K898" s="1410"/>
      <c r="M898" s="249"/>
      <c r="N898" s="1059"/>
      <c r="O898" s="410"/>
      <c r="P898" s="410"/>
      <c r="Q898" s="410"/>
      <c r="R898" s="505"/>
      <c r="S898" s="505"/>
      <c r="T898" s="505"/>
      <c r="U898" s="34"/>
      <c r="V898" s="505"/>
      <c r="W898" s="34"/>
      <c r="X898" s="29"/>
    </row>
    <row r="899" spans="1:25" hidden="1">
      <c r="A899" s="310"/>
      <c r="B899" s="1239" t="s">
        <v>1002</v>
      </c>
      <c r="C899" s="315">
        <f>C898*C878</f>
        <v>124.39990485049836</v>
      </c>
      <c r="D899" s="1326" t="e">
        <f>D898*D878</f>
        <v>#DIV/0!</v>
      </c>
      <c r="E899" s="1056"/>
      <c r="F899" s="1056"/>
      <c r="G899" s="250"/>
      <c r="H899" s="995"/>
      <c r="I899" s="1410"/>
      <c r="J899" s="1410"/>
      <c r="K899" s="1410"/>
      <c r="M899" s="249"/>
      <c r="N899" s="1059"/>
      <c r="O899" s="410"/>
      <c r="P899" s="410"/>
      <c r="Q899" s="410"/>
      <c r="R899" s="505"/>
      <c r="S899" s="505"/>
      <c r="T899" s="505"/>
      <c r="U899" s="34"/>
      <c r="V899" s="505"/>
      <c r="W899" s="34"/>
      <c r="X899" s="29"/>
    </row>
    <row r="900" spans="1:25" hidden="1">
      <c r="A900" s="310"/>
      <c r="B900" s="932"/>
      <c r="C900" s="932"/>
      <c r="D900" s="932"/>
      <c r="E900" s="1056"/>
      <c r="F900" s="1056"/>
      <c r="G900" s="250"/>
      <c r="H900" s="1059"/>
      <c r="I900" s="1059"/>
      <c r="J900" s="1059"/>
      <c r="K900" s="1059"/>
      <c r="M900" s="249"/>
      <c r="N900" s="1059"/>
      <c r="O900" s="410"/>
      <c r="P900" s="410"/>
      <c r="Q900" s="410"/>
      <c r="R900" s="505"/>
      <c r="S900" s="505"/>
      <c r="T900" s="505"/>
      <c r="U900" s="34"/>
      <c r="V900" s="505"/>
      <c r="W900" s="34"/>
      <c r="X900" s="29"/>
    </row>
    <row r="901" spans="1:25" hidden="1">
      <c r="A901" s="310"/>
      <c r="B901" s="932"/>
      <c r="C901" s="932"/>
      <c r="D901" s="932"/>
      <c r="E901" s="1327"/>
      <c r="F901" s="1327"/>
      <c r="G901" s="250"/>
      <c r="H901" s="1059"/>
      <c r="I901" s="1327"/>
      <c r="J901" s="1327"/>
      <c r="K901" s="1327"/>
      <c r="M901" s="249"/>
      <c r="N901" s="1059"/>
      <c r="O901" s="410"/>
      <c r="P901" s="410"/>
      <c r="Q901" s="410"/>
      <c r="R901" s="505"/>
      <c r="S901" s="505"/>
      <c r="T901" s="505"/>
      <c r="U901" s="34"/>
      <c r="V901" s="505"/>
      <c r="W901" s="34"/>
      <c r="X901" s="29"/>
    </row>
    <row r="902" spans="1:25" hidden="1">
      <c r="A902" s="310"/>
      <c r="B902" s="932"/>
      <c r="C902" s="932"/>
      <c r="D902" s="932"/>
      <c r="E902" s="1327"/>
      <c r="F902" s="1327"/>
      <c r="G902" s="250"/>
      <c r="H902" s="1059"/>
      <c r="I902" s="1327"/>
      <c r="J902" s="1327"/>
      <c r="K902" s="1327"/>
      <c r="M902" s="249"/>
      <c r="N902" s="1059"/>
      <c r="O902" s="410"/>
      <c r="P902" s="410"/>
      <c r="Q902" s="410"/>
      <c r="R902" s="505"/>
      <c r="S902" s="505"/>
      <c r="T902" s="505"/>
      <c r="U902" s="34"/>
      <c r="V902" s="505"/>
      <c r="W902" s="34"/>
      <c r="X902" s="29"/>
    </row>
    <row r="903" spans="1:25" hidden="1">
      <c r="A903" s="310"/>
      <c r="B903" s="932"/>
      <c r="C903" s="932"/>
      <c r="D903" s="932"/>
      <c r="E903" s="1327"/>
      <c r="F903" s="1327"/>
      <c r="G903" s="250"/>
      <c r="H903" s="1059"/>
      <c r="I903" s="1115"/>
      <c r="J903" s="1115"/>
      <c r="K903" s="1115"/>
      <c r="M903" s="249"/>
      <c r="N903" s="250"/>
      <c r="O903" s="282"/>
      <c r="P903" s="282"/>
      <c r="Q903" s="282"/>
      <c r="R903" s="706"/>
      <c r="S903" s="707"/>
      <c r="T903" s="706"/>
      <c r="U903" s="706"/>
      <c r="V903" s="707"/>
      <c r="W903" s="706"/>
      <c r="X903" s="35"/>
    </row>
    <row r="904" spans="1:25" hidden="1">
      <c r="A904" s="310"/>
      <c r="B904" s="932"/>
      <c r="C904" s="932"/>
      <c r="D904" s="932"/>
      <c r="E904" s="1328"/>
      <c r="F904" s="1328"/>
      <c r="G904" s="250"/>
      <c r="H904" s="1059"/>
      <c r="I904" s="1447"/>
      <c r="J904" s="1447"/>
      <c r="K904" s="1447"/>
      <c r="M904" s="249"/>
      <c r="N904" s="250"/>
      <c r="O904" s="282"/>
      <c r="P904" s="282"/>
      <c r="Q904" s="282"/>
      <c r="R904" s="706"/>
      <c r="S904" s="707"/>
      <c r="T904" s="706"/>
      <c r="U904" s="706"/>
      <c r="V904" s="707"/>
      <c r="W904" s="706"/>
      <c r="X904" s="29"/>
    </row>
    <row r="905" spans="1:25" hidden="1">
      <c r="A905" s="310"/>
      <c r="B905" s="932"/>
      <c r="C905" s="932"/>
      <c r="D905" s="932"/>
      <c r="E905" s="1328"/>
      <c r="F905" s="1328"/>
      <c r="G905" s="250"/>
      <c r="H905" s="1059"/>
      <c r="I905" s="1447"/>
      <c r="J905" s="1447"/>
      <c r="K905" s="1447"/>
      <c r="M905" s="249"/>
      <c r="N905" s="279"/>
      <c r="O905" s="282"/>
      <c r="P905" s="282"/>
      <c r="Q905" s="282"/>
      <c r="R905" s="708"/>
      <c r="S905" s="708"/>
      <c r="T905" s="708"/>
      <c r="U905" s="708"/>
      <c r="V905" s="708"/>
      <c r="W905" s="708"/>
      <c r="X905" s="29"/>
    </row>
    <row r="906" spans="1:25" hidden="1">
      <c r="B906" s="932"/>
      <c r="C906" s="932"/>
      <c r="D906" s="932"/>
      <c r="E906" s="1059"/>
      <c r="F906" s="1059"/>
      <c r="G906" s="250"/>
      <c r="H906" s="1059"/>
      <c r="I906" s="1059"/>
      <c r="J906" s="1059"/>
      <c r="K906" s="1059"/>
      <c r="M906" s="249"/>
      <c r="N906" s="307" t="s">
        <v>400</v>
      </c>
      <c r="O906" s="336"/>
      <c r="P906" s="336"/>
      <c r="Q906" s="336"/>
      <c r="R906" s="431" t="e">
        <f>O781+H536/2</f>
        <v>#REF!</v>
      </c>
      <c r="S906" s="431" t="e">
        <f>Q781+H537/2</f>
        <v>#REF!</v>
      </c>
      <c r="T906" s="431" t="e">
        <f>R781+H538/2</f>
        <v>#REF!</v>
      </c>
      <c r="U906" s="431">
        <f>S781+I536/2</f>
        <v>0</v>
      </c>
      <c r="V906" s="431">
        <f>T781+I537/2</f>
        <v>0</v>
      </c>
      <c r="W906" s="431">
        <f>U781+I538/2</f>
        <v>0</v>
      </c>
      <c r="X906" s="29"/>
    </row>
    <row r="907" spans="1:25" hidden="1">
      <c r="B907" s="932"/>
      <c r="C907" s="932"/>
      <c r="D907" s="932"/>
      <c r="E907" s="995"/>
      <c r="F907" s="995"/>
      <c r="G907" s="250"/>
      <c r="H907" s="1324"/>
      <c r="I907" s="995"/>
      <c r="J907" s="995"/>
      <c r="K907" s="995"/>
      <c r="M907" s="249"/>
      <c r="N907" s="366" t="s">
        <v>662</v>
      </c>
      <c r="O907" s="282"/>
      <c r="P907" s="282"/>
      <c r="Q907" s="282"/>
      <c r="R907" s="698">
        <f>S907</f>
        <v>0</v>
      </c>
      <c r="S907" s="709">
        <f>F515</f>
        <v>0</v>
      </c>
      <c r="T907" s="698">
        <f>S907</f>
        <v>0</v>
      </c>
      <c r="U907" s="698">
        <f>V907</f>
        <v>0</v>
      </c>
      <c r="V907" s="709">
        <f>G515</f>
        <v>0</v>
      </c>
      <c r="W907" s="710">
        <f>V907</f>
        <v>0</v>
      </c>
      <c r="X907" s="29"/>
    </row>
    <row r="908" spans="1:25" hidden="1">
      <c r="B908" s="932"/>
      <c r="C908" s="932"/>
      <c r="D908" s="932"/>
      <c r="E908" s="1056"/>
      <c r="F908" s="1056"/>
      <c r="G908" s="250"/>
      <c r="H908" s="995"/>
      <c r="I908" s="1056"/>
      <c r="J908" s="1056"/>
      <c r="K908" s="1056"/>
      <c r="M908" s="249"/>
      <c r="N908" s="360" t="s">
        <v>401</v>
      </c>
      <c r="O908" s="282"/>
      <c r="P908" s="282"/>
      <c r="Q908" s="282"/>
      <c r="R908" s="431" t="e">
        <f>(O735-R834)/(R907*10^-6)*(R834/O735*100)/(R849*10^5)</f>
        <v>#REF!</v>
      </c>
      <c r="S908" s="431" t="e">
        <f>(Q735-S834)/(S907*10^-6)*(S834/Q735*100)/(S849*10^5)</f>
        <v>#REF!</v>
      </c>
      <c r="T908" s="431" t="e">
        <f>(R735-T834)/(T907*10^-6)*(T834/R735*100)/(T849*10^5)</f>
        <v>#REF!</v>
      </c>
      <c r="U908" s="431" t="e">
        <f>(S735-U834)/(U907*10^-6)*(U834/S735*100)/(U849*10^5)</f>
        <v>#REF!</v>
      </c>
      <c r="V908" s="431" t="e">
        <f>(T735-V834)/(V907*10^-6)*(V834/T735*100)/(V849*10^5)</f>
        <v>#REF!</v>
      </c>
      <c r="W908" s="596" t="e">
        <f>(U735-W834)/(W907*10^-6)*(W834/U735*100)/(W849*10^5)</f>
        <v>#REF!</v>
      </c>
      <c r="X908" s="29"/>
    </row>
    <row r="909" spans="1:25" ht="14" hidden="1" thickBot="1">
      <c r="E909" s="1197"/>
      <c r="F909" s="1197"/>
      <c r="G909" s="250"/>
      <c r="H909" s="1037"/>
      <c r="I909" s="1448"/>
      <c r="J909" s="1448"/>
      <c r="K909" s="1448"/>
      <c r="M909" s="249"/>
      <c r="N909" s="1238" t="s">
        <v>402</v>
      </c>
      <c r="O909" s="711"/>
      <c r="P909" s="711"/>
      <c r="Q909" s="711"/>
      <c r="R909" s="431" t="e">
        <f>O736+R908/2</f>
        <v>#REF!</v>
      </c>
      <c r="S909" s="431" t="e">
        <f>Q736+S908/2</f>
        <v>#REF!</v>
      </c>
      <c r="T909" s="431" t="e">
        <f>R736+T908/2</f>
        <v>#REF!</v>
      </c>
      <c r="U909" s="431" t="e">
        <f>S736+U908/2</f>
        <v>#REF!</v>
      </c>
      <c r="V909" s="431" t="e">
        <f>T736+V908/2</f>
        <v>#REF!</v>
      </c>
      <c r="W909" s="596" t="e">
        <f>U736+W908/2</f>
        <v>#REF!</v>
      </c>
      <c r="X909" s="29"/>
    </row>
    <row r="910" spans="1:25" hidden="1">
      <c r="E910" s="1056"/>
      <c r="F910" s="1056"/>
      <c r="G910" s="250"/>
      <c r="H910" s="995"/>
      <c r="I910" s="1410"/>
      <c r="J910" s="1410"/>
      <c r="K910" s="1410"/>
      <c r="M910" s="249"/>
      <c r="N910" s="360" t="s">
        <v>663</v>
      </c>
      <c r="O910" s="282"/>
      <c r="P910" s="282"/>
      <c r="Q910" s="282"/>
      <c r="R910" s="431" t="e">
        <f>R845/R906*0.9*0.95</f>
        <v>#REF!</v>
      </c>
      <c r="S910" s="431" t="e">
        <f>S845/S906*0.9*0.95</f>
        <v>#REF!</v>
      </c>
      <c r="T910" s="431" t="e">
        <f>T845/T906*0.9*0.95</f>
        <v>#REF!</v>
      </c>
      <c r="U910" s="431" t="e">
        <f>U845/U906*0.89*0.95</f>
        <v>#DIV/0!</v>
      </c>
      <c r="V910" s="431" t="e">
        <f>V845/V906*0.89*0.95</f>
        <v>#DIV/0!</v>
      </c>
      <c r="W910" s="596" t="e">
        <f>W845/W906*0.89*0.95</f>
        <v>#DIV/0!</v>
      </c>
      <c r="X910" s="29"/>
    </row>
    <row r="911" spans="1:25" hidden="1">
      <c r="E911" s="1056"/>
      <c r="F911" s="1056"/>
      <c r="G911" s="250"/>
      <c r="H911" s="995"/>
      <c r="I911" s="1410"/>
      <c r="J911" s="1410"/>
      <c r="K911" s="1410"/>
      <c r="M911" s="249"/>
      <c r="N911" s="360" t="s">
        <v>664</v>
      </c>
      <c r="O911" s="282"/>
      <c r="P911" s="282"/>
      <c r="Q911" s="282"/>
      <c r="R911" s="431" t="e">
        <f t="shared" ref="R911:W911" si="184">R845/R906</f>
        <v>#REF!</v>
      </c>
      <c r="S911" s="431" t="e">
        <f t="shared" si="184"/>
        <v>#REF!</v>
      </c>
      <c r="T911" s="431" t="e">
        <f t="shared" si="184"/>
        <v>#REF!</v>
      </c>
      <c r="U911" s="431" t="e">
        <f t="shared" si="184"/>
        <v>#DIV/0!</v>
      </c>
      <c r="V911" s="431" t="e">
        <f t="shared" si="184"/>
        <v>#DIV/0!</v>
      </c>
      <c r="W911" s="596" t="e">
        <f t="shared" si="184"/>
        <v>#DIV/0!</v>
      </c>
      <c r="X911" s="29"/>
    </row>
    <row r="912" spans="1:25" hidden="1">
      <c r="E912" s="1329"/>
      <c r="F912" s="1329"/>
      <c r="G912" s="250"/>
      <c r="H912" s="1059"/>
      <c r="I912" s="1329"/>
      <c r="J912" s="1329"/>
      <c r="K912" s="1329"/>
      <c r="M912" s="249"/>
      <c r="N912" s="360" t="s">
        <v>665</v>
      </c>
      <c r="O912" s="282"/>
      <c r="P912" s="282"/>
      <c r="Q912" s="282"/>
      <c r="R912" s="698" t="e">
        <f>R845/R868-H536/2</f>
        <v>#DIV/0!</v>
      </c>
      <c r="S912" s="698" t="e">
        <f>S845/S868-H537/2</f>
        <v>#DIV/0!</v>
      </c>
      <c r="T912" s="36" t="e">
        <f>T845/T868-H538/2</f>
        <v>#DIV/0!</v>
      </c>
      <c r="U912" s="698"/>
      <c r="V912" s="698"/>
      <c r="W912" s="710"/>
      <c r="X912" s="29"/>
      <c r="Y912" s="246"/>
    </row>
    <row r="913" spans="2:25" hidden="1">
      <c r="E913" s="1327"/>
      <c r="F913" s="1327"/>
      <c r="G913" s="250"/>
      <c r="H913" s="1059"/>
      <c r="I913" s="1327"/>
      <c r="J913" s="1327"/>
      <c r="K913" s="1327"/>
      <c r="M913" s="249"/>
      <c r="N913" s="360" t="s">
        <v>666</v>
      </c>
      <c r="O913" s="282"/>
      <c r="P913" s="282"/>
      <c r="Q913" s="282"/>
      <c r="R913" s="698" t="e">
        <f>R845*(100-R915)/100/R868-H536/2</f>
        <v>#DIV/0!</v>
      </c>
      <c r="S913" s="698" t="e">
        <f>S845*(100-S915)/100/S868-H537/2</f>
        <v>#DIV/0!</v>
      </c>
      <c r="T913" s="36" t="e">
        <f>T845*(100-T915)/100/T868-H538/2</f>
        <v>#DIV/0!</v>
      </c>
      <c r="U913" s="698"/>
      <c r="V913" s="698"/>
      <c r="W913" s="710"/>
      <c r="X913" s="29"/>
    </row>
    <row r="914" spans="2:25" ht="14" hidden="1" thickBot="1">
      <c r="E914" s="1327"/>
      <c r="F914" s="1327"/>
      <c r="G914" s="250"/>
      <c r="H914" s="1059"/>
      <c r="I914" s="1327"/>
      <c r="J914" s="1327"/>
      <c r="K914" s="1327"/>
      <c r="M914" s="249"/>
      <c r="N914" s="360" t="s">
        <v>667</v>
      </c>
      <c r="O914" s="282"/>
      <c r="P914" s="282"/>
      <c r="Q914" s="282"/>
      <c r="R914" s="698" t="e">
        <f>R845*(100+R915)/100/R868-H536/2</f>
        <v>#DIV/0!</v>
      </c>
      <c r="S914" s="698" t="e">
        <f>S845*(100+S915)/100/S868-H537/2</f>
        <v>#DIV/0!</v>
      </c>
      <c r="T914" s="36" t="e">
        <f>T845*(100+T915)/100/T868-H538/2</f>
        <v>#DIV/0!</v>
      </c>
      <c r="U914" s="698"/>
      <c r="V914" s="698"/>
      <c r="W914" s="710"/>
      <c r="X914" s="29"/>
    </row>
    <row r="915" spans="2:25" ht="14" hidden="1" thickBot="1">
      <c r="E915" s="1327"/>
      <c r="F915" s="1327"/>
      <c r="G915" s="250"/>
      <c r="H915" s="1059"/>
      <c r="I915" s="1327"/>
      <c r="J915" s="1327"/>
      <c r="K915" s="1327"/>
      <c r="M915" s="249"/>
      <c r="N915" s="1330" t="s">
        <v>668</v>
      </c>
      <c r="O915" s="712"/>
      <c r="P915" s="712"/>
      <c r="Q915" s="712"/>
      <c r="R915" s="713">
        <f>S915</f>
        <v>8.3333333333333321</v>
      </c>
      <c r="S915" s="713">
        <f>SQRT((S843)^2+(S859)^2)</f>
        <v>8.3333333333333321</v>
      </c>
      <c r="T915" s="713">
        <f>S915</f>
        <v>8.3333333333333321</v>
      </c>
      <c r="U915" s="713">
        <f>V915</f>
        <v>8.3333333333333321</v>
      </c>
      <c r="V915" s="713">
        <f>SQRT((V843)^2+(V859)^2)</f>
        <v>8.3333333333333321</v>
      </c>
      <c r="W915" s="714">
        <f>V915</f>
        <v>8.3333333333333321</v>
      </c>
      <c r="X915" s="29"/>
    </row>
    <row r="916" spans="2:25" hidden="1">
      <c r="E916" s="1328"/>
      <c r="F916" s="1328"/>
      <c r="G916" s="250"/>
      <c r="H916" s="1059"/>
      <c r="I916" s="1447"/>
      <c r="J916" s="1447"/>
      <c r="K916" s="1447"/>
      <c r="M916" s="249"/>
      <c r="N916" s="1330" t="s">
        <v>669</v>
      </c>
      <c r="O916" s="712"/>
      <c r="P916" s="712"/>
      <c r="Q916" s="712"/>
      <c r="R916" s="713">
        <f>S916</f>
        <v>10</v>
      </c>
      <c r="S916" s="713">
        <f>SQRT((S847)^2+(S851)^2)</f>
        <v>10</v>
      </c>
      <c r="T916" s="713">
        <f>S916</f>
        <v>10</v>
      </c>
      <c r="U916" s="713">
        <f>V916</f>
        <v>10</v>
      </c>
      <c r="V916" s="713">
        <f>SQRT((V847)^2+(V851)^2)</f>
        <v>10</v>
      </c>
      <c r="W916" s="714">
        <f>V916</f>
        <v>10</v>
      </c>
      <c r="X916" s="29"/>
    </row>
    <row r="917" spans="2:25" hidden="1">
      <c r="B917" s="1331"/>
      <c r="C917" s="1059"/>
      <c r="D917" s="1059"/>
      <c r="E917" s="1328"/>
      <c r="F917" s="1328"/>
      <c r="G917" s="250"/>
      <c r="H917" s="1059"/>
      <c r="I917" s="1447"/>
      <c r="J917" s="1447"/>
      <c r="K917" s="1447"/>
      <c r="M917" s="249"/>
      <c r="N917" s="1235" t="s">
        <v>670</v>
      </c>
      <c r="O917" s="282"/>
      <c r="P917" s="282"/>
      <c r="Q917" s="282"/>
      <c r="R917" s="431" t="e">
        <f>S917</f>
        <v>#REF!</v>
      </c>
      <c r="S917" s="431" t="e">
        <f>Q736*(100+S915)/100</f>
        <v>#REF!</v>
      </c>
      <c r="T917" s="431" t="e">
        <f>S917</f>
        <v>#REF!</v>
      </c>
      <c r="U917" s="431">
        <f>V917</f>
        <v>0</v>
      </c>
      <c r="V917" s="431">
        <f>T736*(100+V915)/100</f>
        <v>0</v>
      </c>
      <c r="W917" s="596">
        <f>V917</f>
        <v>0</v>
      </c>
      <c r="X917" s="29"/>
    </row>
    <row r="918" spans="2:25" hidden="1">
      <c r="B918" s="1059"/>
      <c r="C918" s="1059"/>
      <c r="D918" s="1059"/>
      <c r="E918" s="1059"/>
      <c r="F918" s="1059"/>
      <c r="G918" s="250"/>
      <c r="H918" s="1059"/>
      <c r="I918" s="1059"/>
      <c r="J918" s="1059"/>
      <c r="K918" s="1059"/>
      <c r="L918" s="108"/>
      <c r="M918" s="249"/>
      <c r="N918" s="1235" t="s">
        <v>403</v>
      </c>
      <c r="O918" s="282"/>
      <c r="P918" s="282"/>
      <c r="Q918" s="282"/>
      <c r="R918" s="431" t="e">
        <f>R917+H536/2</f>
        <v>#REF!</v>
      </c>
      <c r="S918" s="431" t="e">
        <f>S917+H537/2</f>
        <v>#REF!</v>
      </c>
      <c r="T918" s="431" t="e">
        <f>T917+H538/2</f>
        <v>#REF!</v>
      </c>
      <c r="U918" s="431">
        <f>U917+I536/2</f>
        <v>0</v>
      </c>
      <c r="V918" s="431">
        <f>V917+I537/2</f>
        <v>0</v>
      </c>
      <c r="W918" s="596">
        <f>W917+I538/2</f>
        <v>0</v>
      </c>
      <c r="X918" s="29"/>
    </row>
    <row r="919" spans="2:25" hidden="1">
      <c r="B919" s="1324"/>
      <c r="C919" s="995"/>
      <c r="D919" s="995"/>
      <c r="E919" s="1327"/>
      <c r="F919" s="1327"/>
      <c r="G919" s="250"/>
      <c r="H919" s="1059"/>
      <c r="I919" s="1327"/>
      <c r="J919" s="1327"/>
      <c r="K919" s="1327"/>
      <c r="L919" s="108"/>
      <c r="M919" s="249"/>
      <c r="N919" s="1332" t="s">
        <v>671</v>
      </c>
      <c r="O919" s="690"/>
      <c r="P919" s="690"/>
      <c r="Q919" s="690"/>
      <c r="R919" s="691" t="e">
        <f>R845*(100-R860)/100/(O736+H536/2*(100+R861)/100)</f>
        <v>#REF!</v>
      </c>
      <c r="S919" s="691" t="e">
        <f>S845*(100-S860)/100/(Q736+H537/2*(100+S861)/100)</f>
        <v>#REF!</v>
      </c>
      <c r="T919" s="691" t="e">
        <f>T845*(100-T860)/100/(R736+H538/2*(100+T861)/100)</f>
        <v>#REF!</v>
      </c>
      <c r="U919" s="691" t="e">
        <f>U845*(100-U860)/100/(S736+I536/2*(100+U861)/100)</f>
        <v>#DIV/0!</v>
      </c>
      <c r="V919" s="691" t="e">
        <f>V845*(100-V860)/100/(T736+I537/2*(100+V861)/100)</f>
        <v>#DIV/0!</v>
      </c>
      <c r="W919" s="691" t="e">
        <f>W845*(100-W860)/100/(U736+I538/2*(100+W861)/100)</f>
        <v>#DIV/0!</v>
      </c>
      <c r="X919" s="29"/>
    </row>
    <row r="920" spans="2:25" hidden="1">
      <c r="B920" s="995"/>
      <c r="C920" s="1056"/>
      <c r="D920" s="1056"/>
      <c r="E920" s="1327"/>
      <c r="F920" s="1327"/>
      <c r="G920" s="250"/>
      <c r="H920" s="1059"/>
      <c r="I920" s="1327"/>
      <c r="J920" s="1327"/>
      <c r="K920" s="1327"/>
      <c r="L920" s="108"/>
      <c r="M920" s="249"/>
      <c r="N920" s="1332" t="s">
        <v>672</v>
      </c>
      <c r="O920" s="690"/>
      <c r="P920" s="690"/>
      <c r="Q920" s="690"/>
      <c r="R920" s="691" t="e">
        <f>R845/(O736+H536/2)</f>
        <v>#REF!</v>
      </c>
      <c r="S920" s="691" t="e">
        <f>S845/(Q736+H537/2)</f>
        <v>#REF!</v>
      </c>
      <c r="T920" s="691" t="e">
        <f>T845/(R736+H538/2)</f>
        <v>#REF!</v>
      </c>
      <c r="U920" s="691" t="e">
        <f>U845/(S736+I536/2)</f>
        <v>#DIV/0!</v>
      </c>
      <c r="V920" s="691" t="e">
        <f>V845/(T736+I537/2)</f>
        <v>#DIV/0!</v>
      </c>
      <c r="W920" s="691" t="e">
        <f>W845/(U736+I538/2)</f>
        <v>#DIV/0!</v>
      </c>
      <c r="X920" s="29"/>
    </row>
    <row r="921" spans="2:25" hidden="1">
      <c r="B921" s="1037"/>
      <c r="C921" s="1197"/>
      <c r="D921" s="1197"/>
      <c r="E921" s="1327"/>
      <c r="F921" s="1327"/>
      <c r="G921" s="250"/>
      <c r="H921" s="1059"/>
      <c r="I921" s="1327"/>
      <c r="J921" s="1327"/>
      <c r="K921" s="1327"/>
      <c r="L921" s="108"/>
      <c r="M921" s="249"/>
      <c r="N921" s="1332" t="s">
        <v>673</v>
      </c>
      <c r="O921" s="690"/>
      <c r="P921" s="690"/>
      <c r="Q921" s="690"/>
      <c r="R921" s="691" t="e">
        <f>R845*(100+R860)/100/(O736+H536/2*(100-R861)/100)</f>
        <v>#REF!</v>
      </c>
      <c r="S921" s="691" t="e">
        <f>S845*(100+S860)/100/(Q736+H537/2*(100-S861)/100)</f>
        <v>#REF!</v>
      </c>
      <c r="T921" s="691" t="e">
        <f>T845*(100+T860)/100/(R736+H538/2*(100-T861)/100)</f>
        <v>#REF!</v>
      </c>
      <c r="U921" s="691" t="e">
        <f>U845*(100+U860)/100/(S736+I536/2*(100-U861)/100)</f>
        <v>#DIV/0!</v>
      </c>
      <c r="V921" s="691" t="e">
        <f>V845*(100+V860)/100/(T736+I537/2*(100-V861)/100)</f>
        <v>#DIV/0!</v>
      </c>
      <c r="W921" s="691" t="e">
        <f>W845*(100+W860)/100/(U736+I538/2*(100-W861)/100)</f>
        <v>#DIV/0!</v>
      </c>
      <c r="X921" s="29"/>
    </row>
    <row r="922" spans="2:25" hidden="1">
      <c r="B922" s="995"/>
      <c r="C922" s="1056"/>
      <c r="D922" s="1056"/>
      <c r="E922" s="1333"/>
      <c r="F922" s="1333"/>
      <c r="I922" s="1333"/>
      <c r="J922" s="1333"/>
      <c r="K922" s="1333"/>
      <c r="L922" s="108"/>
      <c r="M922" s="249"/>
      <c r="N922" s="1305" t="s">
        <v>674</v>
      </c>
      <c r="O922" s="690"/>
      <c r="P922" s="690"/>
      <c r="Q922" s="690"/>
      <c r="R922" s="691" t="e">
        <f>R845/R868*(100-R860)/100-H536/2*(100+R861)/100</f>
        <v>#DIV/0!</v>
      </c>
      <c r="S922" s="691" t="e">
        <f>S845/S868*(100-S860)/100-H537/2*(100+S861)/100</f>
        <v>#DIV/0!</v>
      </c>
      <c r="T922" s="691" t="e">
        <f>T845/T868*(100-T860)/100-H538/2*(100+T861)/100</f>
        <v>#DIV/0!</v>
      </c>
      <c r="U922" s="691" t="e">
        <f>U845/U868*(100-U860)/100-I536/2*(100+U861)/100</f>
        <v>#DIV/0!</v>
      </c>
      <c r="V922" s="691" t="e">
        <f>V845/V868*(100-V860)/100-I537/2*(100+V861)/100</f>
        <v>#DIV/0!</v>
      </c>
      <c r="W922" s="691" t="e">
        <f>W845/W868*(100-W860)/100-I538/2*(100+W861)/100</f>
        <v>#DIV/0!</v>
      </c>
      <c r="X922" s="29"/>
    </row>
    <row r="923" spans="2:25" hidden="1">
      <c r="B923" s="995"/>
      <c r="C923" s="1056"/>
      <c r="D923" s="1056"/>
      <c r="E923" s="1333"/>
      <c r="F923" s="1333"/>
      <c r="G923" s="108"/>
      <c r="H923" s="934"/>
      <c r="I923" s="1334"/>
      <c r="J923" s="1334"/>
      <c r="K923" s="1334"/>
      <c r="L923" s="108"/>
      <c r="M923" s="249"/>
      <c r="N923" s="1305" t="s">
        <v>665</v>
      </c>
      <c r="O923" s="690"/>
      <c r="P923" s="690"/>
      <c r="Q923" s="690"/>
      <c r="R923" s="691" t="e">
        <f>R845/R868-H536/2</f>
        <v>#DIV/0!</v>
      </c>
      <c r="S923" s="691" t="e">
        <f>S845/S868-H537/2</f>
        <v>#DIV/0!</v>
      </c>
      <c r="T923" s="691" t="e">
        <f>T845/T868-H538/2</f>
        <v>#DIV/0!</v>
      </c>
      <c r="U923" s="691" t="e">
        <f>U845/U868-I536/2</f>
        <v>#DIV/0!</v>
      </c>
      <c r="V923" s="691" t="e">
        <f>V845/V868-I537/2</f>
        <v>#DIV/0!</v>
      </c>
      <c r="W923" s="691" t="e">
        <f>W845/W868-I538/2</f>
        <v>#DIV/0!</v>
      </c>
      <c r="X923" s="29"/>
    </row>
    <row r="924" spans="2:25" hidden="1">
      <c r="B924" s="995"/>
      <c r="C924" s="1056"/>
      <c r="D924" s="1056"/>
      <c r="L924" s="108"/>
      <c r="M924" s="249"/>
      <c r="N924" s="1305" t="s">
        <v>667</v>
      </c>
      <c r="O924" s="690"/>
      <c r="P924" s="690"/>
      <c r="Q924" s="690"/>
      <c r="R924" s="691" t="e">
        <f>R845/R868*(100+R860)/100-H536/2*(100-R861)/100</f>
        <v>#DIV/0!</v>
      </c>
      <c r="S924" s="691" t="e">
        <f>S845/S868*(100+S860)/100-H537/2*(100-S861)/100</f>
        <v>#DIV/0!</v>
      </c>
      <c r="T924" s="691" t="e">
        <f>T845/T868*(100+T860)/100-H538/2*(100-T861)/100</f>
        <v>#DIV/0!</v>
      </c>
      <c r="U924" s="691" t="e">
        <f>U845/U868*(100+U860)/100-I536/2*(100-U861)/100</f>
        <v>#DIV/0!</v>
      </c>
      <c r="V924" s="691" t="e">
        <f>V845/V868*(100+V860)/100-I537/2*(100-V861)/100</f>
        <v>#DIV/0!</v>
      </c>
      <c r="W924" s="691" t="e">
        <f>W845/W868*(100+W860)/100-I538/2*(100-W861)/100</f>
        <v>#DIV/0!</v>
      </c>
      <c r="X924" s="29"/>
    </row>
    <row r="925" spans="2:25" hidden="1">
      <c r="B925" s="995"/>
      <c r="C925" s="1327"/>
      <c r="D925" s="1327"/>
      <c r="L925" s="108"/>
      <c r="N925" s="1335"/>
      <c r="O925" s="690"/>
      <c r="P925" s="690"/>
      <c r="Q925" s="690"/>
      <c r="R925" s="691"/>
      <c r="S925" s="691"/>
      <c r="T925" s="691"/>
      <c r="U925" s="691"/>
      <c r="V925" s="691"/>
      <c r="W925" s="692"/>
      <c r="X925" s="29"/>
    </row>
    <row r="926" spans="2:25" hidden="1">
      <c r="B926" s="995"/>
      <c r="C926" s="1327"/>
      <c r="D926" s="1327"/>
      <c r="L926" s="108"/>
      <c r="N926" s="1335"/>
      <c r="O926" s="690"/>
      <c r="P926" s="690"/>
      <c r="Q926" s="690"/>
      <c r="R926" s="691"/>
      <c r="S926" s="691"/>
      <c r="T926" s="691"/>
      <c r="U926" s="691"/>
      <c r="V926" s="691"/>
      <c r="W926" s="692"/>
      <c r="X926" s="29"/>
      <c r="Y926" s="246"/>
    </row>
    <row r="927" spans="2:25" ht="14" hidden="1" thickBot="1">
      <c r="B927" s="995"/>
      <c r="C927" s="1327"/>
      <c r="D927" s="1327"/>
      <c r="L927" s="108"/>
      <c r="M927" s="249"/>
      <c r="N927" s="1298"/>
      <c r="O927" s="674"/>
      <c r="P927" s="674"/>
      <c r="Q927" s="674"/>
      <c r="R927" s="688"/>
      <c r="S927" s="688"/>
      <c r="T927" s="688"/>
      <c r="U927" s="688"/>
      <c r="V927" s="688"/>
      <c r="W927" s="689"/>
      <c r="X927" s="29"/>
    </row>
    <row r="928" spans="2:25" hidden="1">
      <c r="B928" s="1059"/>
      <c r="C928" s="1328"/>
      <c r="D928" s="1328"/>
      <c r="L928" s="108"/>
      <c r="M928" s="249"/>
      <c r="N928" s="1262" t="s">
        <v>675</v>
      </c>
      <c r="O928" s="289"/>
      <c r="P928" s="289"/>
      <c r="Q928" s="603"/>
      <c r="R928" s="559"/>
      <c r="S928" s="559">
        <v>3</v>
      </c>
      <c r="T928" s="624"/>
      <c r="U928" s="559"/>
      <c r="V928" s="559">
        <v>3</v>
      </c>
      <c r="W928" s="624"/>
      <c r="X928" s="29"/>
    </row>
    <row r="929" spans="2:24" hidden="1">
      <c r="B929" s="1059"/>
      <c r="C929" s="1328"/>
      <c r="D929" s="1328"/>
      <c r="L929" s="108"/>
      <c r="M929" s="249"/>
      <c r="N929" s="1270" t="s">
        <v>404</v>
      </c>
      <c r="O929" s="634"/>
      <c r="P929" s="634"/>
      <c r="Q929" s="635"/>
      <c r="R929" s="715"/>
      <c r="S929" s="716" t="e">
        <f>S849/S928</f>
        <v>#REF!</v>
      </c>
      <c r="T929" s="717"/>
      <c r="U929" s="718"/>
      <c r="V929" s="716" t="e">
        <f>V849/V928</f>
        <v>#REF!</v>
      </c>
      <c r="W929" s="717"/>
      <c r="X929" s="30"/>
    </row>
    <row r="930" spans="2:24" hidden="1">
      <c r="B930" s="1059"/>
      <c r="C930" s="1059"/>
      <c r="D930" s="1059"/>
      <c r="L930" s="108"/>
      <c r="M930" s="249"/>
      <c r="N930" s="1336" t="s">
        <v>676</v>
      </c>
      <c r="O930" s="289"/>
      <c r="P930" s="289"/>
      <c r="Q930" s="603"/>
      <c r="R930" s="37" t="e">
        <f>"More than "&amp;TEXT(MIN(R738,O738),"#.##")&amp;"-uH, Less than"&amp;TEXT(MAX(R738,O738),"#.##")&amp;"-uH"</f>
        <v>#REF!</v>
      </c>
      <c r="S930" s="37"/>
      <c r="T930" s="38"/>
      <c r="U930" s="1452" t="e">
        <f>"More than "&amp;TEXT(MIN(U738,S738),"#.##")&amp;"-uH, Less than"&amp;TEXT(MAX(U738,S738),"#.##")&amp;"-uH"</f>
        <v>#REF!</v>
      </c>
      <c r="V930" s="1439"/>
      <c r="W930" s="1440"/>
      <c r="X930" s="29"/>
    </row>
    <row r="931" spans="2:24" hidden="1">
      <c r="B931" s="1324"/>
      <c r="C931" s="995"/>
      <c r="D931" s="995"/>
      <c r="L931" s="108"/>
      <c r="M931" s="249"/>
      <c r="N931" s="1262" t="s">
        <v>677</v>
      </c>
      <c r="O931" s="289"/>
      <c r="P931" s="289"/>
      <c r="Q931" s="603"/>
      <c r="R931" s="40"/>
      <c r="S931" s="41" t="e">
        <f>(O738+R738)/2</f>
        <v>#REF!</v>
      </c>
      <c r="T931" s="42"/>
      <c r="U931" s="43"/>
      <c r="V931" s="41" t="e">
        <f>(S738+U738)/2</f>
        <v>#REF!</v>
      </c>
      <c r="W931" s="42"/>
      <c r="X931" s="29"/>
    </row>
    <row r="932" spans="2:24" hidden="1">
      <c r="B932" s="995"/>
      <c r="C932" s="1056"/>
      <c r="D932" s="1056"/>
      <c r="L932" s="108"/>
      <c r="M932" s="249"/>
      <c r="N932" s="1262" t="s">
        <v>677</v>
      </c>
      <c r="O932" s="289"/>
      <c r="P932" s="289"/>
      <c r="Q932" s="603"/>
      <c r="R932" s="43" t="e">
        <f>"Approx. "&amp;TEXT(S931,"#.#")&amp;"-uH"</f>
        <v>#REF!</v>
      </c>
      <c r="S932" s="40"/>
      <c r="T932" s="42"/>
      <c r="U932" s="1444" t="e">
        <f>"Approx. "&amp;TEXT(V931,"#.#")&amp;"-uH"</f>
        <v>#REF!</v>
      </c>
      <c r="V932" s="1445"/>
      <c r="W932" s="1446"/>
      <c r="X932" s="29"/>
    </row>
    <row r="933" spans="2:24" hidden="1">
      <c r="B933" s="1037"/>
      <c r="C933" s="1197"/>
      <c r="D933" s="1197"/>
      <c r="L933" s="108"/>
      <c r="M933" s="249"/>
      <c r="N933" s="360" t="s">
        <v>405</v>
      </c>
      <c r="O933" s="282"/>
      <c r="P933" s="282"/>
      <c r="Q933" s="719"/>
      <c r="R933" s="720" t="e">
        <f>(O735-R834)/(R852*10^-6)*(R834/O735*100)/(R849*10^5)</f>
        <v>#REF!</v>
      </c>
      <c r="S933" s="720" t="e">
        <f>(Q735-S834)/(S852*10^-6)*(S834/Q735*100)/(S849*10^5)</f>
        <v>#REF!</v>
      </c>
      <c r="T933" s="720" t="e">
        <f>(R735-T834)/(T852*10^-6)*(T834/R735*100)/(T849*10^5)</f>
        <v>#REF!</v>
      </c>
      <c r="U933" s="720" t="e">
        <f>(S735-U834)/(U852*10^-6)*(U834/S735*100)/(U849*10^5)</f>
        <v>#REF!</v>
      </c>
      <c r="V933" s="720" t="e">
        <f>(T735-V834)/(V852*10^-6)*(V834/T735*100)/(V849*10^5)</f>
        <v>#REF!</v>
      </c>
      <c r="W933" s="720" t="e">
        <f>(U735-W834)/(W852*10^-6)*(W834/U735*100)/(W849*10^5)</f>
        <v>#REF!</v>
      </c>
      <c r="X933" s="29"/>
    </row>
    <row r="934" spans="2:24" ht="14" hidden="1" thickBot="1">
      <c r="B934" s="995"/>
      <c r="C934" s="1056"/>
      <c r="D934" s="1056"/>
      <c r="L934" s="108"/>
      <c r="M934" s="249"/>
      <c r="N934" s="360" t="s">
        <v>406</v>
      </c>
      <c r="O934" s="282"/>
      <c r="P934" s="282"/>
      <c r="Q934" s="719"/>
      <c r="R934" s="720" t="e">
        <f>(O735-R834)/(R854*10^-6)*(R834/O735*100)/(R849*10^5)</f>
        <v>#REF!</v>
      </c>
      <c r="S934" s="720" t="e">
        <f>(Q735-S834)/(S854*10^-6)*(S834/Q735*100)/(S849*10^5)</f>
        <v>#REF!</v>
      </c>
      <c r="T934" s="720" t="e">
        <f>(R735-T834)/(T854*10^-6)*(T834/R735*100)/(T849*10^5)</f>
        <v>#REF!</v>
      </c>
      <c r="U934" s="720" t="e">
        <f>(S735-U834)/(U854*10^-6)*(U834/S735*100)/(U849*10^5)</f>
        <v>#REF!</v>
      </c>
      <c r="V934" s="720" t="e">
        <f>(T735-V834)/(V854*10^-6)*(V834/T735*100)/(V849*10^5)</f>
        <v>#REF!</v>
      </c>
      <c r="W934" s="720" t="e">
        <f>(U735-W834)/(W854*10^-6)*(W834/U735*100)/(W849*10^5)</f>
        <v>#REF!</v>
      </c>
      <c r="X934" s="29"/>
    </row>
    <row r="935" spans="2:24" hidden="1">
      <c r="B935" s="995"/>
      <c r="C935" s="1056"/>
      <c r="D935" s="1056"/>
      <c r="L935" s="108"/>
      <c r="M935" s="249"/>
      <c r="N935" s="1262" t="s">
        <v>407</v>
      </c>
      <c r="O935" s="289"/>
      <c r="P935" s="289"/>
      <c r="Q935" s="603"/>
      <c r="R935" s="721" t="e">
        <f>(O735-R834)/(R853*10^-6)*(R834/O735*100)/(R849*10^5)</f>
        <v>#REF!</v>
      </c>
      <c r="S935" s="722" t="e">
        <f>(Q735-S834)/(S853*10^-6)*(S834/Q735*100)/(S849*10^5)</f>
        <v>#REF!</v>
      </c>
      <c r="T935" s="723" t="e">
        <f>(R735-T834)/(T853*10^-6)*(T834/R735*100)/(T849*10^5)</f>
        <v>#REF!</v>
      </c>
      <c r="U935" s="724" t="e">
        <f>(S735-U834)/(U853*10^-6)*(U834/S735*100)/(U849*10^5)</f>
        <v>#REF!</v>
      </c>
      <c r="V935" s="722" t="e">
        <f>(T735-V834)/(V853*10^-6)*(V834/T735*100)/(V849*10^5)</f>
        <v>#REF!</v>
      </c>
      <c r="W935" s="723" t="e">
        <f>(U735-W834)/(W853*10^-6)*(W834/U735*100)/(W849*10^5)</f>
        <v>#REF!</v>
      </c>
      <c r="X935" s="29"/>
    </row>
    <row r="936" spans="2:24" hidden="1">
      <c r="B936" s="1059"/>
      <c r="C936" s="1329"/>
      <c r="D936" s="1329"/>
      <c r="L936" s="108"/>
      <c r="M936" s="249"/>
      <c r="N936" s="360" t="s">
        <v>408</v>
      </c>
      <c r="O936" s="282"/>
      <c r="P936" s="282"/>
      <c r="Q936" s="719"/>
      <c r="R936" s="720" t="e">
        <f>(O735-R834)/(R853*10^-6)*(R834/O735*100)/(R848*10^5)</f>
        <v>#REF!</v>
      </c>
      <c r="S936" s="720" t="e">
        <f>(Q735-S834)/(S853*10^-6)*(S834/Q735*100)/(S848*10^5)</f>
        <v>#REF!</v>
      </c>
      <c r="T936" s="720" t="e">
        <f>(R735-T834)/(T853*10^-6)*(T834/R735*100)/(T848*10^5)</f>
        <v>#REF!</v>
      </c>
      <c r="U936" s="720" t="e">
        <f>(S735-U834)/(U853*10^-6)*(U834/S735*100)/(U848*10^5)</f>
        <v>#REF!</v>
      </c>
      <c r="V936" s="720" t="e">
        <f>(T735-V834)/(V853*10^-6)*(V834/T735*100)/(V848*10^5)</f>
        <v>#REF!</v>
      </c>
      <c r="W936" s="720" t="e">
        <f>(U735-W834)/(W853*10^-6)*(W834/U735*100)/(W848*10^5)</f>
        <v>#REF!</v>
      </c>
      <c r="X936" s="29"/>
    </row>
    <row r="937" spans="2:24" hidden="1">
      <c r="B937" s="1059"/>
      <c r="C937" s="1327"/>
      <c r="D937" s="1327"/>
      <c r="L937" s="108"/>
      <c r="M937" s="249"/>
      <c r="N937" s="360" t="s">
        <v>409</v>
      </c>
      <c r="O937" s="282"/>
      <c r="P937" s="282"/>
      <c r="Q937" s="719"/>
      <c r="R937" s="720" t="e">
        <f>(O735-R834)/(R853*10^-6)*(R834/O735*100)/(R850*10^5)</f>
        <v>#REF!</v>
      </c>
      <c r="S937" s="720" t="e">
        <f>(Q735-S834)/(S853*10^-6)*(S834/Q735*100)/(S850*10^5)</f>
        <v>#REF!</v>
      </c>
      <c r="T937" s="720" t="e">
        <f>(R735-T834)/(T853*10^-6)*(T834/R735*100)/(T850*10^5)</f>
        <v>#REF!</v>
      </c>
      <c r="U937" s="720" t="e">
        <f>(S735-U834)/(U853*10^-6)*(U834/S735*100)/(U850*10^5)</f>
        <v>#REF!</v>
      </c>
      <c r="V937" s="720" t="e">
        <f>(T735-V834)/(V853*10^-6)*(V834/T735*100)/(V850*10^5)</f>
        <v>#REF!</v>
      </c>
      <c r="W937" s="720" t="e">
        <f>(U735-W834)/(W853*10^-6)*(W834/U735*100)/(W850*10^5)</f>
        <v>#REF!</v>
      </c>
      <c r="X937" s="29"/>
    </row>
    <row r="938" spans="2:24" hidden="1">
      <c r="B938" s="1059"/>
      <c r="C938" s="1327"/>
      <c r="D938" s="1327"/>
      <c r="L938" s="108"/>
      <c r="M938" s="249"/>
      <c r="N938" s="360" t="s">
        <v>410</v>
      </c>
      <c r="O938" s="282"/>
      <c r="P938" s="282"/>
      <c r="Q938" s="719"/>
      <c r="R938" s="720" t="e">
        <f>(O735-R834)/(R854*10^-6)*(R834/O735*100)/(R850*10^5)</f>
        <v>#REF!</v>
      </c>
      <c r="S938" s="720" t="e">
        <f>(Q735-S834)/(S854*10^-6)*(S834/Q735*100)/(S850*10^5)</f>
        <v>#REF!</v>
      </c>
      <c r="T938" s="720" t="e">
        <f>(R735-T834)/(T854*10^-6)*(T834/R735*100)/(T850*10^5)</f>
        <v>#REF!</v>
      </c>
      <c r="U938" s="720" t="e">
        <f>(S735-U834)/(U854*10^-6)*(U834/S735*100)/(U850*10^5)</f>
        <v>#REF!</v>
      </c>
      <c r="V938" s="720" t="e">
        <f>(T735-V834)/(V854*10^-6)*(V834/T735*100)/(V850*10^5)</f>
        <v>#REF!</v>
      </c>
      <c r="W938" s="720" t="e">
        <f>(U735-W834)/(W854*10^-6)*(W834/U735*100)/(W850*10^5)</f>
        <v>#REF!</v>
      </c>
      <c r="X938" s="29"/>
    </row>
    <row r="939" spans="2:24" hidden="1">
      <c r="B939" s="995"/>
      <c r="C939" s="1327"/>
      <c r="D939" s="1327"/>
      <c r="L939" s="108"/>
      <c r="M939" s="249"/>
      <c r="N939" s="360" t="s">
        <v>411</v>
      </c>
      <c r="O939" s="282"/>
      <c r="P939" s="282"/>
      <c r="Q939" s="719"/>
      <c r="R939" s="720" t="e">
        <f>(O735-R834)/(R852*10^-6)*(R834/O735*100)/(R848*10^5)</f>
        <v>#REF!</v>
      </c>
      <c r="S939" s="720" t="e">
        <f>(Q735-S834)/(S852*10^-6)*(S834/Q735*100)/(S848*10^5)</f>
        <v>#REF!</v>
      </c>
      <c r="T939" s="720" t="e">
        <f>(R735-T834)/(T852*10^-6)*(T834/R735*100)/(T848*10^5)</f>
        <v>#REF!</v>
      </c>
      <c r="U939" s="720" t="e">
        <f>(S735-U834)/(U852*10^-6)*(U834/S735*100)/(U848*10^5)</f>
        <v>#REF!</v>
      </c>
      <c r="V939" s="720" t="e">
        <f>(T735-V834)/(V852*10^-6)*(V834/T735*100)/(V848*10^5)</f>
        <v>#REF!</v>
      </c>
      <c r="W939" s="720" t="e">
        <f>(U735-W834)/(W852*10^-6)*(W834/U735*100)/(W848*10^5)</f>
        <v>#REF!</v>
      </c>
      <c r="X939" s="29"/>
    </row>
    <row r="940" spans="2:24" hidden="1">
      <c r="B940" s="1059"/>
      <c r="C940" s="1328"/>
      <c r="D940" s="1328"/>
      <c r="L940" s="108"/>
      <c r="M940" s="249"/>
      <c r="N940" s="1262" t="s">
        <v>412</v>
      </c>
      <c r="O940" s="289"/>
      <c r="P940" s="289"/>
      <c r="Q940" s="603"/>
      <c r="R940" s="725" t="e">
        <f>R935/O736*100</f>
        <v>#REF!</v>
      </c>
      <c r="S940" s="726" t="e">
        <f>S935/Q736*100</f>
        <v>#REF!</v>
      </c>
      <c r="T940" s="727" t="e">
        <f>T935/R736*100</f>
        <v>#REF!</v>
      </c>
      <c r="U940" s="728" t="e">
        <f>U935/S736*100</f>
        <v>#REF!</v>
      </c>
      <c r="V940" s="726" t="e">
        <f>V935/T736*100</f>
        <v>#REF!</v>
      </c>
      <c r="W940" s="727" t="e">
        <f>W935/U736*100</f>
        <v>#REF!</v>
      </c>
      <c r="X940" s="29"/>
    </row>
    <row r="941" spans="2:24" hidden="1">
      <c r="B941" s="1059"/>
      <c r="C941" s="1328"/>
      <c r="D941" s="1328"/>
      <c r="L941" s="108"/>
      <c r="M941" s="249"/>
      <c r="N941" s="1262"/>
      <c r="O941" s="289"/>
      <c r="P941" s="289"/>
      <c r="Q941" s="603"/>
      <c r="R941" s="729" t="e">
        <f>TEXT(R940,"#")&amp;"% at VIN(min)"</f>
        <v>#REF!</v>
      </c>
      <c r="S941" s="729" t="e">
        <f>TEXT(S940,"#")&amp;"% at VIN(typ)"</f>
        <v>#REF!</v>
      </c>
      <c r="T941" s="729" t="e">
        <f>"IIND(ripple)/Iout="&amp;TEXT(H538,"#")&amp;"% at "&amp;TEXT(#REF!,"#")&amp;"V"</f>
        <v>#REF!</v>
      </c>
      <c r="U941" s="729" t="e">
        <f>TEXT(U940,"#")&amp;"% at VIN(min)"</f>
        <v>#REF!</v>
      </c>
      <c r="V941" s="729" t="e">
        <f>TEXT(V940,"#")&amp;"% at VIN(typ)"</f>
        <v>#REF!</v>
      </c>
      <c r="W941" s="729" t="e">
        <f>"IIND(ripple)/Iout; "&amp;TEXT(W940,"#")&amp;"% at VIN(max)"</f>
        <v>#REF!</v>
      </c>
      <c r="X941" s="29"/>
    </row>
    <row r="942" spans="2:24" hidden="1">
      <c r="B942" s="1059"/>
      <c r="C942" s="1059"/>
      <c r="D942" s="1059"/>
      <c r="L942" s="108"/>
      <c r="M942" s="249"/>
      <c r="N942" s="1262" t="s">
        <v>413</v>
      </c>
      <c r="O942" s="289"/>
      <c r="P942" s="289"/>
      <c r="Q942" s="603"/>
      <c r="R942" s="725" t="e">
        <f>R834*(O735-R834)/(2*R853*R849*O735)*1000</f>
        <v>#REF!</v>
      </c>
      <c r="S942" s="726" t="e">
        <f>S834*(Q735-S834)/(2*S853*S849*Q735)*1000</f>
        <v>#REF!</v>
      </c>
      <c r="T942" s="727" t="e">
        <f>T834*(R735-T834)/(2*T853*T849*R735)*1000</f>
        <v>#REF!</v>
      </c>
      <c r="U942" s="728" t="e">
        <f>U834*(S735-U834)/(2*U853*U849*S735)*1000</f>
        <v>#REF!</v>
      </c>
      <c r="V942" s="726" t="e">
        <f>V834*(T735-V834)/(2*V853*V849*T735)*1000</f>
        <v>#REF!</v>
      </c>
      <c r="W942" s="727" t="e">
        <f>W834*(U735-W834)/(2*W853*W849*U735)*1000</f>
        <v>#REF!</v>
      </c>
      <c r="X942" s="29"/>
    </row>
    <row r="943" spans="2:24" ht="14" hidden="1" thickBot="1">
      <c r="B943" s="1059"/>
      <c r="C943" s="1327"/>
      <c r="D943" s="1327"/>
      <c r="L943" s="108"/>
      <c r="M943" s="249"/>
      <c r="N943" s="1268" t="s">
        <v>414</v>
      </c>
      <c r="O943" s="632"/>
      <c r="P943" s="632"/>
      <c r="Q943" s="633"/>
      <c r="R943" s="730" t="e">
        <f>R942/O736*100</f>
        <v>#REF!</v>
      </c>
      <c r="S943" s="731" t="e">
        <f>S942/Q736*100</f>
        <v>#REF!</v>
      </c>
      <c r="T943" s="732" t="e">
        <f>T942/R736*100</f>
        <v>#REF!</v>
      </c>
      <c r="U943" s="733" t="e">
        <f>U942/S736*100</f>
        <v>#REF!</v>
      </c>
      <c r="V943" s="731" t="e">
        <f>V942/T736*100</f>
        <v>#REF!</v>
      </c>
      <c r="W943" s="732" t="e">
        <f>W942/U736*100</f>
        <v>#REF!</v>
      </c>
      <c r="X943" s="29"/>
    </row>
    <row r="944" spans="2:24" hidden="1">
      <c r="B944" s="1059"/>
      <c r="C944" s="1327"/>
      <c r="D944" s="1327"/>
      <c r="L944" s="108"/>
      <c r="M944" s="249"/>
      <c r="N944" s="1270" t="s">
        <v>415</v>
      </c>
      <c r="O944" s="634"/>
      <c r="P944" s="634"/>
      <c r="Q944" s="635"/>
      <c r="R944" s="734" t="e">
        <f>(O735-R834)/(R853*10^-6)*R682*10^-6</f>
        <v>#REF!</v>
      </c>
      <c r="S944" s="734" t="e">
        <f>(Q735-S834)/(S853*10^-6)*S682*10^-6</f>
        <v>#REF!</v>
      </c>
      <c r="T944" s="734" t="e">
        <f>(R735-T834)/(T853*10^-6)*T681*10^-6</f>
        <v>#REF!</v>
      </c>
      <c r="U944" s="734" t="e">
        <f>(S735-U834)/(U853*10^-6)*U681*10^-6</f>
        <v>#REF!</v>
      </c>
      <c r="V944" s="734" t="e">
        <f>(T735-V834)/(V853*10^-6)*V681*10^-6</f>
        <v>#REF!</v>
      </c>
      <c r="W944" s="734" t="e">
        <f>(U735-W834)/(W853*10^-6)*W681*10^-6</f>
        <v>#REF!</v>
      </c>
      <c r="X944" s="29"/>
    </row>
    <row r="945" spans="2:24" hidden="1">
      <c r="B945" s="1059"/>
      <c r="C945" s="1327"/>
      <c r="D945" s="1327"/>
      <c r="L945" s="108"/>
      <c r="M945" s="249"/>
      <c r="N945" s="1270" t="s">
        <v>416</v>
      </c>
      <c r="O945" s="634"/>
      <c r="P945" s="634"/>
      <c r="Q945" s="634"/>
      <c r="R945" s="735" t="e">
        <f>R944+O736</f>
        <v>#REF!</v>
      </c>
      <c r="S945" s="735" t="e">
        <f>S944+Q736</f>
        <v>#REF!</v>
      </c>
      <c r="T945" s="735" t="e">
        <f>T944+R736</f>
        <v>#REF!</v>
      </c>
      <c r="U945" s="735" t="e">
        <f>U944+S736</f>
        <v>#REF!</v>
      </c>
      <c r="V945" s="735" t="e">
        <f>V944+T736</f>
        <v>#REF!</v>
      </c>
      <c r="W945" s="735" t="e">
        <f>W944+U736</f>
        <v>#REF!</v>
      </c>
      <c r="X945" s="29"/>
    </row>
    <row r="946" spans="2:24" ht="14" hidden="1" thickBot="1">
      <c r="C946" s="1333"/>
      <c r="D946" s="1333"/>
      <c r="L946" s="108"/>
      <c r="M946" s="249"/>
      <c r="N946" s="1337" t="s">
        <v>678</v>
      </c>
      <c r="O946" s="289"/>
      <c r="P946" s="289"/>
      <c r="Q946" s="289"/>
      <c r="R946" s="559"/>
      <c r="S946" s="559"/>
      <c r="T946" s="559"/>
      <c r="U946" s="559"/>
      <c r="V946" s="559"/>
      <c r="W946" s="624"/>
      <c r="X946" s="29"/>
    </row>
    <row r="947" spans="2:24" hidden="1">
      <c r="C947" s="1333"/>
      <c r="D947" s="1333"/>
      <c r="L947" s="108"/>
      <c r="M947" s="249"/>
      <c r="N947" s="1338" t="s">
        <v>417</v>
      </c>
      <c r="O947" s="736"/>
      <c r="P947" s="736"/>
      <c r="Q947" s="737"/>
      <c r="R947" s="738" t="e">
        <f t="shared" ref="R947:W947" si="185">R845/R868-R935*0.5</f>
        <v>#DIV/0!</v>
      </c>
      <c r="S947" s="44" t="e">
        <f t="shared" si="185"/>
        <v>#DIV/0!</v>
      </c>
      <c r="T947" s="612" t="e">
        <f t="shared" si="185"/>
        <v>#DIV/0!</v>
      </c>
      <c r="U947" s="612" t="e">
        <f t="shared" si="185"/>
        <v>#DIV/0!</v>
      </c>
      <c r="V947" s="44" t="e">
        <f t="shared" si="185"/>
        <v>#DIV/0!</v>
      </c>
      <c r="W947" s="613" t="e">
        <f t="shared" si="185"/>
        <v>#DIV/0!</v>
      </c>
      <c r="X947" s="29"/>
    </row>
    <row r="948" spans="2:24" hidden="1">
      <c r="L948" s="108"/>
      <c r="M948" s="249"/>
      <c r="N948" s="358" t="s">
        <v>418</v>
      </c>
      <c r="O948" s="514"/>
      <c r="P948" s="514"/>
      <c r="Q948" s="547"/>
      <c r="R948" s="739" t="e">
        <f t="shared" ref="R948:W948" si="186">R845/R868</f>
        <v>#DIV/0!</v>
      </c>
      <c r="S948" s="431" t="e">
        <f t="shared" si="186"/>
        <v>#DIV/0!</v>
      </c>
      <c r="T948" s="431" t="e">
        <f t="shared" si="186"/>
        <v>#DIV/0!</v>
      </c>
      <c r="U948" s="431" t="e">
        <f t="shared" si="186"/>
        <v>#DIV/0!</v>
      </c>
      <c r="V948" s="431" t="e">
        <f t="shared" si="186"/>
        <v>#DIV/0!</v>
      </c>
      <c r="W948" s="596" t="e">
        <f t="shared" si="186"/>
        <v>#DIV/0!</v>
      </c>
      <c r="X948" s="29"/>
    </row>
    <row r="949" spans="2:24" hidden="1">
      <c r="L949" s="108"/>
      <c r="M949" s="249"/>
      <c r="N949" s="360" t="s">
        <v>419</v>
      </c>
      <c r="O949" s="282"/>
      <c r="P949" s="282"/>
      <c r="Q949" s="697"/>
      <c r="R949" s="739" t="e">
        <f t="shared" ref="R949:W949" si="187">R844/R856-R939*0.5</f>
        <v>#DIV/0!</v>
      </c>
      <c r="S949" s="45" t="e">
        <f t="shared" si="187"/>
        <v>#DIV/0!</v>
      </c>
      <c r="T949" s="431" t="e">
        <f t="shared" si="187"/>
        <v>#DIV/0!</v>
      </c>
      <c r="U949" s="431" t="e">
        <f t="shared" si="187"/>
        <v>#DIV/0!</v>
      </c>
      <c r="V949" s="45" t="e">
        <f t="shared" si="187"/>
        <v>#DIV/0!</v>
      </c>
      <c r="W949" s="596" t="e">
        <f t="shared" si="187"/>
        <v>#DIV/0!</v>
      </c>
      <c r="X949" s="29"/>
    </row>
    <row r="950" spans="2:24" hidden="1">
      <c r="L950" s="108"/>
      <c r="M950" s="249"/>
      <c r="N950" s="358" t="s">
        <v>420</v>
      </c>
      <c r="O950" s="514"/>
      <c r="P950" s="514"/>
      <c r="Q950" s="547"/>
      <c r="R950" s="739" t="e">
        <f t="shared" ref="R950:W950" si="188">R844/R856</f>
        <v>#DIV/0!</v>
      </c>
      <c r="S950" s="431" t="e">
        <f t="shared" si="188"/>
        <v>#DIV/0!</v>
      </c>
      <c r="T950" s="431" t="e">
        <f t="shared" si="188"/>
        <v>#DIV/0!</v>
      </c>
      <c r="U950" s="431" t="e">
        <f t="shared" si="188"/>
        <v>#DIV/0!</v>
      </c>
      <c r="V950" s="431" t="e">
        <f t="shared" si="188"/>
        <v>#DIV/0!</v>
      </c>
      <c r="W950" s="596" t="e">
        <f t="shared" si="188"/>
        <v>#DIV/0!</v>
      </c>
      <c r="X950" s="29"/>
    </row>
    <row r="951" spans="2:24" hidden="1">
      <c r="L951" s="108"/>
      <c r="M951" s="249"/>
      <c r="N951" s="358" t="s">
        <v>421</v>
      </c>
      <c r="O951" s="514"/>
      <c r="P951" s="514"/>
      <c r="Q951" s="547"/>
      <c r="R951" s="739" t="e">
        <f t="shared" ref="R951:W951" si="189">R846/R855-R938*0.5</f>
        <v>#DIV/0!</v>
      </c>
      <c r="S951" s="45" t="e">
        <f t="shared" si="189"/>
        <v>#DIV/0!</v>
      </c>
      <c r="T951" s="431" t="e">
        <f t="shared" si="189"/>
        <v>#DIV/0!</v>
      </c>
      <c r="U951" s="431" t="e">
        <f t="shared" si="189"/>
        <v>#DIV/0!</v>
      </c>
      <c r="V951" s="45" t="e">
        <f t="shared" si="189"/>
        <v>#DIV/0!</v>
      </c>
      <c r="W951" s="596" t="e">
        <f t="shared" si="189"/>
        <v>#DIV/0!</v>
      </c>
      <c r="X951" s="29"/>
    </row>
    <row r="952" spans="2:24" ht="14" hidden="1" thickBot="1">
      <c r="L952" s="108"/>
      <c r="M952" s="249"/>
      <c r="N952" s="375" t="s">
        <v>422</v>
      </c>
      <c r="O952" s="711"/>
      <c r="P952" s="711"/>
      <c r="Q952" s="740"/>
      <c r="R952" s="741" t="e">
        <f t="shared" ref="R952:W952" si="190">R846/R855</f>
        <v>#DIV/0!</v>
      </c>
      <c r="S952" s="742" t="e">
        <f t="shared" si="190"/>
        <v>#DIV/0!</v>
      </c>
      <c r="T952" s="742" t="e">
        <f t="shared" si="190"/>
        <v>#DIV/0!</v>
      </c>
      <c r="U952" s="742" t="e">
        <f t="shared" si="190"/>
        <v>#DIV/0!</v>
      </c>
      <c r="V952" s="742" t="e">
        <f t="shared" si="190"/>
        <v>#DIV/0!</v>
      </c>
      <c r="W952" s="743" t="e">
        <f t="shared" si="190"/>
        <v>#DIV/0!</v>
      </c>
      <c r="X952" s="29"/>
    </row>
    <row r="953" spans="2:24" hidden="1">
      <c r="L953" s="108"/>
      <c r="M953" s="249"/>
      <c r="N953" s="1338" t="s">
        <v>423</v>
      </c>
      <c r="O953" s="736"/>
      <c r="P953" s="736"/>
      <c r="Q953" s="737"/>
      <c r="R953" s="738" t="e">
        <f t="shared" ref="R953:W953" si="191">R845/R855-R935*0.5</f>
        <v>#DIV/0!</v>
      </c>
      <c r="S953" s="612" t="e">
        <f t="shared" si="191"/>
        <v>#DIV/0!</v>
      </c>
      <c r="T953" s="612" t="e">
        <f t="shared" si="191"/>
        <v>#DIV/0!</v>
      </c>
      <c r="U953" s="612" t="e">
        <f t="shared" si="191"/>
        <v>#DIV/0!</v>
      </c>
      <c r="V953" s="612" t="e">
        <f t="shared" si="191"/>
        <v>#DIV/0!</v>
      </c>
      <c r="W953" s="613" t="e">
        <f t="shared" si="191"/>
        <v>#DIV/0!</v>
      </c>
      <c r="X953" s="29"/>
    </row>
    <row r="954" spans="2:24" hidden="1">
      <c r="L954" s="108"/>
      <c r="M954" s="249"/>
      <c r="N954" s="366"/>
      <c r="O954" s="744"/>
      <c r="P954" s="744"/>
      <c r="Q954" s="745"/>
      <c r="R954" s="746" t="e">
        <f t="shared" ref="R954:W954" si="192">(R953-R947)/R947*100</f>
        <v>#DIV/0!</v>
      </c>
      <c r="S954" s="747" t="e">
        <f t="shared" si="192"/>
        <v>#DIV/0!</v>
      </c>
      <c r="T954" s="747" t="e">
        <f t="shared" si="192"/>
        <v>#DIV/0!</v>
      </c>
      <c r="U954" s="747" t="e">
        <f t="shared" si="192"/>
        <v>#DIV/0!</v>
      </c>
      <c r="V954" s="747" t="e">
        <f t="shared" si="192"/>
        <v>#DIV/0!</v>
      </c>
      <c r="W954" s="748" t="e">
        <f t="shared" si="192"/>
        <v>#DIV/0!</v>
      </c>
      <c r="X954" s="29"/>
    </row>
    <row r="955" spans="2:24" hidden="1">
      <c r="L955" s="108"/>
      <c r="M955" s="249"/>
      <c r="N955" s="1227" t="s">
        <v>424</v>
      </c>
      <c r="O955" s="695"/>
      <c r="P955" s="695"/>
      <c r="Q955" s="696"/>
      <c r="R955" s="749" t="e">
        <f t="shared" ref="R955:W955" si="193">R845/R855</f>
        <v>#DIV/0!</v>
      </c>
      <c r="S955" s="698" t="e">
        <f t="shared" si="193"/>
        <v>#DIV/0!</v>
      </c>
      <c r="T955" s="698" t="e">
        <f t="shared" si="193"/>
        <v>#DIV/0!</v>
      </c>
      <c r="U955" s="698" t="e">
        <f t="shared" si="193"/>
        <v>#DIV/0!</v>
      </c>
      <c r="V955" s="698" t="e">
        <f t="shared" si="193"/>
        <v>#DIV/0!</v>
      </c>
      <c r="W955" s="710" t="e">
        <f t="shared" si="193"/>
        <v>#DIV/0!</v>
      </c>
      <c r="X955" s="29"/>
    </row>
    <row r="956" spans="2:24" hidden="1">
      <c r="L956" s="108"/>
      <c r="M956" s="249"/>
      <c r="N956" s="366"/>
      <c r="O956" s="744"/>
      <c r="P956" s="744"/>
      <c r="Q956" s="745"/>
      <c r="R956" s="746" t="e">
        <f t="shared" ref="R956:W956" si="194">(R955-R947)/R947*100</f>
        <v>#DIV/0!</v>
      </c>
      <c r="S956" s="747" t="e">
        <f t="shared" si="194"/>
        <v>#DIV/0!</v>
      </c>
      <c r="T956" s="747" t="e">
        <f t="shared" si="194"/>
        <v>#DIV/0!</v>
      </c>
      <c r="U956" s="747" t="e">
        <f t="shared" si="194"/>
        <v>#DIV/0!</v>
      </c>
      <c r="V956" s="747" t="e">
        <f t="shared" si="194"/>
        <v>#DIV/0!</v>
      </c>
      <c r="W956" s="748" t="e">
        <f t="shared" si="194"/>
        <v>#DIV/0!</v>
      </c>
      <c r="X956" s="29"/>
    </row>
    <row r="957" spans="2:24" hidden="1">
      <c r="L957" s="108"/>
      <c r="M957" s="249"/>
      <c r="N957" s="1227" t="s">
        <v>425</v>
      </c>
      <c r="O957" s="695"/>
      <c r="P957" s="695"/>
      <c r="Q957" s="696"/>
      <c r="R957" s="749" t="e">
        <f t="shared" ref="R957:W957" si="195">R845/R856-R935*0.5</f>
        <v>#DIV/0!</v>
      </c>
      <c r="S957" s="698" t="e">
        <f t="shared" si="195"/>
        <v>#DIV/0!</v>
      </c>
      <c r="T957" s="698" t="e">
        <f t="shared" si="195"/>
        <v>#DIV/0!</v>
      </c>
      <c r="U957" s="698" t="e">
        <f t="shared" si="195"/>
        <v>#DIV/0!</v>
      </c>
      <c r="V957" s="698" t="e">
        <f t="shared" si="195"/>
        <v>#DIV/0!</v>
      </c>
      <c r="W957" s="710" t="e">
        <f t="shared" si="195"/>
        <v>#DIV/0!</v>
      </c>
      <c r="X957" s="29"/>
    </row>
    <row r="958" spans="2:24" hidden="1">
      <c r="L958" s="108"/>
      <c r="M958" s="249"/>
      <c r="N958" s="366"/>
      <c r="O958" s="744"/>
      <c r="P958" s="744"/>
      <c r="Q958" s="745"/>
      <c r="R958" s="746" t="e">
        <f t="shared" ref="R958:W958" si="196">(R957-R947)/R947*100</f>
        <v>#DIV/0!</v>
      </c>
      <c r="S958" s="747" t="e">
        <f t="shared" si="196"/>
        <v>#DIV/0!</v>
      </c>
      <c r="T958" s="747" t="e">
        <f t="shared" si="196"/>
        <v>#DIV/0!</v>
      </c>
      <c r="U958" s="747" t="e">
        <f t="shared" si="196"/>
        <v>#DIV/0!</v>
      </c>
      <c r="V958" s="747" t="e">
        <f t="shared" si="196"/>
        <v>#DIV/0!</v>
      </c>
      <c r="W958" s="748" t="e">
        <f t="shared" si="196"/>
        <v>#DIV/0!</v>
      </c>
      <c r="X958" s="29"/>
    </row>
    <row r="959" spans="2:24" hidden="1">
      <c r="L959" s="108"/>
      <c r="M959" s="249"/>
      <c r="N959" s="1227" t="s">
        <v>426</v>
      </c>
      <c r="O959" s="695"/>
      <c r="P959" s="695"/>
      <c r="Q959" s="696"/>
      <c r="R959" s="749" t="e">
        <f t="shared" ref="R959:W959" si="197">R845/R856</f>
        <v>#DIV/0!</v>
      </c>
      <c r="S959" s="698" t="e">
        <f t="shared" si="197"/>
        <v>#DIV/0!</v>
      </c>
      <c r="T959" s="698" t="e">
        <f t="shared" si="197"/>
        <v>#DIV/0!</v>
      </c>
      <c r="U959" s="698" t="e">
        <f t="shared" si="197"/>
        <v>#DIV/0!</v>
      </c>
      <c r="V959" s="698" t="e">
        <f t="shared" si="197"/>
        <v>#DIV/0!</v>
      </c>
      <c r="W959" s="710" t="e">
        <f t="shared" si="197"/>
        <v>#DIV/0!</v>
      </c>
      <c r="X959" s="29"/>
    </row>
    <row r="960" spans="2:24" ht="14" hidden="1" thickBot="1">
      <c r="L960" s="108"/>
      <c r="M960" s="249"/>
      <c r="N960" s="375"/>
      <c r="O960" s="711"/>
      <c r="P960" s="711"/>
      <c r="Q960" s="740"/>
      <c r="R960" s="750" t="e">
        <f t="shared" ref="R960:W960" si="198">(R959-R947)/R947*100</f>
        <v>#DIV/0!</v>
      </c>
      <c r="S960" s="751" t="e">
        <f t="shared" si="198"/>
        <v>#DIV/0!</v>
      </c>
      <c r="T960" s="751" t="e">
        <f t="shared" si="198"/>
        <v>#DIV/0!</v>
      </c>
      <c r="U960" s="751" t="e">
        <f t="shared" si="198"/>
        <v>#DIV/0!</v>
      </c>
      <c r="V960" s="751" t="e">
        <f t="shared" si="198"/>
        <v>#DIV/0!</v>
      </c>
      <c r="W960" s="752" t="e">
        <f t="shared" si="198"/>
        <v>#DIV/0!</v>
      </c>
      <c r="X960" s="29"/>
    </row>
    <row r="961" spans="1:24" hidden="1">
      <c r="L961" s="108"/>
      <c r="M961" s="249"/>
      <c r="N961" s="1338" t="s">
        <v>427</v>
      </c>
      <c r="O961" s="736"/>
      <c r="P961" s="736"/>
      <c r="Q961" s="737"/>
      <c r="R961" s="738" t="e">
        <f t="shared" ref="R961:W961" si="199">R845/R868-R933*0.5</f>
        <v>#DIV/0!</v>
      </c>
      <c r="S961" s="612" t="e">
        <f t="shared" si="199"/>
        <v>#DIV/0!</v>
      </c>
      <c r="T961" s="612" t="e">
        <f t="shared" si="199"/>
        <v>#DIV/0!</v>
      </c>
      <c r="U961" s="612" t="e">
        <f t="shared" si="199"/>
        <v>#DIV/0!</v>
      </c>
      <c r="V961" s="612" t="e">
        <f t="shared" si="199"/>
        <v>#DIV/0!</v>
      </c>
      <c r="W961" s="613" t="e">
        <f t="shared" si="199"/>
        <v>#DIV/0!</v>
      </c>
      <c r="X961" s="29"/>
    </row>
    <row r="962" spans="1:24" hidden="1">
      <c r="L962" s="108"/>
      <c r="M962" s="249"/>
      <c r="N962" s="360"/>
      <c r="O962" s="282"/>
      <c r="P962" s="282"/>
      <c r="Q962" s="697"/>
      <c r="R962" s="746" t="e">
        <f t="shared" ref="R962:W962" si="200">(R961-R947)/R947*100</f>
        <v>#DIV/0!</v>
      </c>
      <c r="S962" s="747" t="e">
        <f t="shared" si="200"/>
        <v>#DIV/0!</v>
      </c>
      <c r="T962" s="747" t="e">
        <f t="shared" si="200"/>
        <v>#DIV/0!</v>
      </c>
      <c r="U962" s="747" t="e">
        <f t="shared" si="200"/>
        <v>#DIV/0!</v>
      </c>
      <c r="V962" s="747" t="e">
        <f t="shared" si="200"/>
        <v>#DIV/0!</v>
      </c>
      <c r="W962" s="748" t="e">
        <f t="shared" si="200"/>
        <v>#DIV/0!</v>
      </c>
      <c r="X962" s="29"/>
    </row>
    <row r="963" spans="1:24" hidden="1">
      <c r="L963" s="108"/>
      <c r="M963" s="249"/>
      <c r="N963" s="1227" t="s">
        <v>428</v>
      </c>
      <c r="O963" s="695"/>
      <c r="P963" s="695"/>
      <c r="Q963" s="696"/>
      <c r="R963" s="749" t="e">
        <f t="shared" ref="R963:W963" si="201">R845/R868</f>
        <v>#DIV/0!</v>
      </c>
      <c r="S963" s="698" t="e">
        <f t="shared" si="201"/>
        <v>#DIV/0!</v>
      </c>
      <c r="T963" s="698" t="e">
        <f t="shared" si="201"/>
        <v>#DIV/0!</v>
      </c>
      <c r="U963" s="698" t="e">
        <f t="shared" si="201"/>
        <v>#DIV/0!</v>
      </c>
      <c r="V963" s="698" t="e">
        <f t="shared" si="201"/>
        <v>#DIV/0!</v>
      </c>
      <c r="W963" s="710" t="e">
        <f t="shared" si="201"/>
        <v>#DIV/0!</v>
      </c>
      <c r="X963" s="29"/>
    </row>
    <row r="964" spans="1:24" hidden="1">
      <c r="L964" s="108"/>
      <c r="M964" s="249"/>
      <c r="N964" s="366"/>
      <c r="O964" s="744"/>
      <c r="P964" s="744"/>
      <c r="Q964" s="745"/>
      <c r="R964" s="746" t="e">
        <f t="shared" ref="R964:W964" si="202">(R963-R947)/R947*100</f>
        <v>#DIV/0!</v>
      </c>
      <c r="S964" s="747" t="e">
        <f t="shared" si="202"/>
        <v>#DIV/0!</v>
      </c>
      <c r="T964" s="747" t="e">
        <f t="shared" si="202"/>
        <v>#DIV/0!</v>
      </c>
      <c r="U964" s="747" t="e">
        <f t="shared" si="202"/>
        <v>#DIV/0!</v>
      </c>
      <c r="V964" s="747" t="e">
        <f t="shared" si="202"/>
        <v>#DIV/0!</v>
      </c>
      <c r="W964" s="748" t="e">
        <f t="shared" si="202"/>
        <v>#DIV/0!</v>
      </c>
      <c r="X964" s="29"/>
    </row>
    <row r="965" spans="1:24" hidden="1">
      <c r="L965" s="108"/>
      <c r="M965" s="249"/>
      <c r="N965" s="1227" t="s">
        <v>429</v>
      </c>
      <c r="O965" s="695"/>
      <c r="P965" s="695"/>
      <c r="Q965" s="696"/>
      <c r="R965" s="749" t="e">
        <f t="shared" ref="R965:W965" si="203">R845/R868-R934*0.5</f>
        <v>#DIV/0!</v>
      </c>
      <c r="S965" s="698" t="e">
        <f t="shared" si="203"/>
        <v>#DIV/0!</v>
      </c>
      <c r="T965" s="698" t="e">
        <f t="shared" si="203"/>
        <v>#DIV/0!</v>
      </c>
      <c r="U965" s="698" t="e">
        <f t="shared" si="203"/>
        <v>#DIV/0!</v>
      </c>
      <c r="V965" s="698" t="e">
        <f t="shared" si="203"/>
        <v>#DIV/0!</v>
      </c>
      <c r="W965" s="710" t="e">
        <f t="shared" si="203"/>
        <v>#DIV/0!</v>
      </c>
      <c r="X965" s="29"/>
    </row>
    <row r="966" spans="1:24" hidden="1">
      <c r="L966" s="108"/>
      <c r="M966" s="249"/>
      <c r="N966" s="366"/>
      <c r="O966" s="744"/>
      <c r="P966" s="744"/>
      <c r="Q966" s="745"/>
      <c r="R966" s="746" t="e">
        <f t="shared" ref="R966:W966" si="204">(R965-R947)/R947*100</f>
        <v>#DIV/0!</v>
      </c>
      <c r="S966" s="747" t="e">
        <f t="shared" si="204"/>
        <v>#DIV/0!</v>
      </c>
      <c r="T966" s="747" t="e">
        <f t="shared" si="204"/>
        <v>#DIV/0!</v>
      </c>
      <c r="U966" s="747" t="e">
        <f t="shared" si="204"/>
        <v>#DIV/0!</v>
      </c>
      <c r="V966" s="747" t="e">
        <f t="shared" si="204"/>
        <v>#DIV/0!</v>
      </c>
      <c r="W966" s="748" t="e">
        <f t="shared" si="204"/>
        <v>#DIV/0!</v>
      </c>
      <c r="X966" s="29"/>
    </row>
    <row r="967" spans="1:24" hidden="1">
      <c r="L967" s="108"/>
      <c r="N967" s="360" t="s">
        <v>430</v>
      </c>
      <c r="O967" s="282"/>
      <c r="P967" s="282"/>
      <c r="Q967" s="697"/>
      <c r="R967" s="749" t="e">
        <f t="shared" ref="R967:W967" si="205">R845/R868</f>
        <v>#DIV/0!</v>
      </c>
      <c r="S967" s="698" t="e">
        <f t="shared" si="205"/>
        <v>#DIV/0!</v>
      </c>
      <c r="T967" s="698" t="e">
        <f t="shared" si="205"/>
        <v>#DIV/0!</v>
      </c>
      <c r="U967" s="698" t="e">
        <f t="shared" si="205"/>
        <v>#DIV/0!</v>
      </c>
      <c r="V967" s="698" t="e">
        <f t="shared" si="205"/>
        <v>#DIV/0!</v>
      </c>
      <c r="W967" s="710" t="e">
        <f t="shared" si="205"/>
        <v>#DIV/0!</v>
      </c>
      <c r="X967" s="29"/>
    </row>
    <row r="968" spans="1:24" ht="14" hidden="1" thickBot="1">
      <c r="L968" s="108"/>
      <c r="N968" s="375"/>
      <c r="O968" s="711"/>
      <c r="P968" s="711"/>
      <c r="Q968" s="740"/>
      <c r="R968" s="750" t="e">
        <f t="shared" ref="R968:W968" si="206">(R967-R947)/R947*100</f>
        <v>#DIV/0!</v>
      </c>
      <c r="S968" s="751" t="e">
        <f t="shared" si="206"/>
        <v>#DIV/0!</v>
      </c>
      <c r="T968" s="751" t="e">
        <f t="shared" si="206"/>
        <v>#DIV/0!</v>
      </c>
      <c r="U968" s="751" t="e">
        <f t="shared" si="206"/>
        <v>#DIV/0!</v>
      </c>
      <c r="V968" s="751" t="e">
        <f t="shared" si="206"/>
        <v>#DIV/0!</v>
      </c>
      <c r="W968" s="752" t="e">
        <f t="shared" si="206"/>
        <v>#DIV/0!</v>
      </c>
      <c r="X968" s="29"/>
    </row>
    <row r="969" spans="1:24" hidden="1">
      <c r="L969" s="108"/>
      <c r="N969" s="1338" t="s">
        <v>431</v>
      </c>
      <c r="O969" s="736"/>
      <c r="P969" s="736"/>
      <c r="Q969" s="737"/>
      <c r="R969" s="738" t="e">
        <f t="shared" ref="R969:W969" si="207">R845/R868-R936*0.5</f>
        <v>#DIV/0!</v>
      </c>
      <c r="S969" s="612" t="e">
        <f t="shared" si="207"/>
        <v>#DIV/0!</v>
      </c>
      <c r="T969" s="612" t="e">
        <f t="shared" si="207"/>
        <v>#DIV/0!</v>
      </c>
      <c r="U969" s="612" t="e">
        <f t="shared" si="207"/>
        <v>#DIV/0!</v>
      </c>
      <c r="V969" s="612" t="e">
        <f t="shared" si="207"/>
        <v>#DIV/0!</v>
      </c>
      <c r="W969" s="613" t="e">
        <f t="shared" si="207"/>
        <v>#DIV/0!</v>
      </c>
      <c r="X969" s="29"/>
    </row>
    <row r="970" spans="1:24" hidden="1">
      <c r="L970" s="108"/>
      <c r="N970" s="360"/>
      <c r="O970" s="282"/>
      <c r="P970" s="282"/>
      <c r="Q970" s="697"/>
      <c r="R970" s="746" t="e">
        <f t="shared" ref="R970:W970" si="208">(R969-R947)/R947*100</f>
        <v>#DIV/0!</v>
      </c>
      <c r="S970" s="747" t="e">
        <f t="shared" si="208"/>
        <v>#DIV/0!</v>
      </c>
      <c r="T970" s="747" t="e">
        <f t="shared" si="208"/>
        <v>#DIV/0!</v>
      </c>
      <c r="U970" s="747" t="e">
        <f t="shared" si="208"/>
        <v>#DIV/0!</v>
      </c>
      <c r="V970" s="747" t="e">
        <f t="shared" si="208"/>
        <v>#DIV/0!</v>
      </c>
      <c r="W970" s="748" t="e">
        <f t="shared" si="208"/>
        <v>#DIV/0!</v>
      </c>
      <c r="X970" s="29"/>
    </row>
    <row r="971" spans="1:24" hidden="1">
      <c r="E971" s="934"/>
      <c r="F971" s="934"/>
      <c r="L971" s="108"/>
      <c r="N971" s="1227" t="s">
        <v>432</v>
      </c>
      <c r="O971" s="695"/>
      <c r="P971" s="695"/>
      <c r="Q971" s="696"/>
      <c r="R971" s="749" t="e">
        <f t="shared" ref="R971:W971" si="209">R845/R868</f>
        <v>#DIV/0!</v>
      </c>
      <c r="S971" s="698" t="e">
        <f t="shared" si="209"/>
        <v>#DIV/0!</v>
      </c>
      <c r="T971" s="698" t="e">
        <f t="shared" si="209"/>
        <v>#DIV/0!</v>
      </c>
      <c r="U971" s="698" t="e">
        <f t="shared" si="209"/>
        <v>#DIV/0!</v>
      </c>
      <c r="V971" s="698" t="e">
        <f t="shared" si="209"/>
        <v>#DIV/0!</v>
      </c>
      <c r="W971" s="710" t="e">
        <f t="shared" si="209"/>
        <v>#DIV/0!</v>
      </c>
      <c r="X971" s="29"/>
    </row>
    <row r="972" spans="1:24" hidden="1">
      <c r="L972" s="108"/>
      <c r="M972" s="249"/>
      <c r="N972" s="366"/>
      <c r="O972" s="744"/>
      <c r="P972" s="744"/>
      <c r="Q972" s="745"/>
      <c r="R972" s="746" t="e">
        <f t="shared" ref="R972:W972" si="210">(R971-R947)/R947*100</f>
        <v>#DIV/0!</v>
      </c>
      <c r="S972" s="747" t="e">
        <f t="shared" si="210"/>
        <v>#DIV/0!</v>
      </c>
      <c r="T972" s="747" t="e">
        <f t="shared" si="210"/>
        <v>#DIV/0!</v>
      </c>
      <c r="U972" s="747" t="e">
        <f t="shared" si="210"/>
        <v>#DIV/0!</v>
      </c>
      <c r="V972" s="747" t="e">
        <f t="shared" si="210"/>
        <v>#DIV/0!</v>
      </c>
      <c r="W972" s="748" t="e">
        <f t="shared" si="210"/>
        <v>#DIV/0!</v>
      </c>
      <c r="X972" s="29"/>
    </row>
    <row r="973" spans="1:24" hidden="1">
      <c r="A973" s="934"/>
      <c r="L973" s="108"/>
      <c r="M973" s="249"/>
      <c r="N973" s="1227" t="s">
        <v>433</v>
      </c>
      <c r="O973" s="695"/>
      <c r="P973" s="695"/>
      <c r="Q973" s="696"/>
      <c r="R973" s="749" t="e">
        <f t="shared" ref="R973:W973" si="211">R845/R868-R937*0.5</f>
        <v>#DIV/0!</v>
      </c>
      <c r="S973" s="698" t="e">
        <f t="shared" si="211"/>
        <v>#DIV/0!</v>
      </c>
      <c r="T973" s="698" t="e">
        <f t="shared" si="211"/>
        <v>#DIV/0!</v>
      </c>
      <c r="U973" s="698" t="e">
        <f t="shared" si="211"/>
        <v>#DIV/0!</v>
      </c>
      <c r="V973" s="698" t="e">
        <f t="shared" si="211"/>
        <v>#DIV/0!</v>
      </c>
      <c r="W973" s="710" t="e">
        <f t="shared" si="211"/>
        <v>#DIV/0!</v>
      </c>
      <c r="X973" s="29"/>
    </row>
    <row r="974" spans="1:24" hidden="1">
      <c r="L974" s="108"/>
      <c r="M974" s="249"/>
      <c r="N974" s="366"/>
      <c r="O974" s="744"/>
      <c r="P974" s="744"/>
      <c r="Q974" s="745"/>
      <c r="R974" s="746" t="e">
        <f t="shared" ref="R974:W974" si="212">(R973-R947)/R947*100</f>
        <v>#DIV/0!</v>
      </c>
      <c r="S974" s="747" t="e">
        <f t="shared" si="212"/>
        <v>#DIV/0!</v>
      </c>
      <c r="T974" s="747" t="e">
        <f t="shared" si="212"/>
        <v>#DIV/0!</v>
      </c>
      <c r="U974" s="747" t="e">
        <f t="shared" si="212"/>
        <v>#DIV/0!</v>
      </c>
      <c r="V974" s="747" t="e">
        <f t="shared" si="212"/>
        <v>#DIV/0!</v>
      </c>
      <c r="W974" s="748" t="e">
        <f t="shared" si="212"/>
        <v>#DIV/0!</v>
      </c>
      <c r="X974" s="29"/>
    </row>
    <row r="975" spans="1:24" hidden="1">
      <c r="L975" s="108"/>
      <c r="M975" s="249"/>
      <c r="N975" s="360" t="s">
        <v>434</v>
      </c>
      <c r="O975" s="282"/>
      <c r="P975" s="282"/>
      <c r="Q975" s="697"/>
      <c r="R975" s="749" t="e">
        <f t="shared" ref="R975:W975" si="213">R845/R868</f>
        <v>#DIV/0!</v>
      </c>
      <c r="S975" s="698" t="e">
        <f t="shared" si="213"/>
        <v>#DIV/0!</v>
      </c>
      <c r="T975" s="698" t="e">
        <f t="shared" si="213"/>
        <v>#DIV/0!</v>
      </c>
      <c r="U975" s="698" t="e">
        <f t="shared" si="213"/>
        <v>#DIV/0!</v>
      </c>
      <c r="V975" s="698" t="e">
        <f t="shared" si="213"/>
        <v>#DIV/0!</v>
      </c>
      <c r="W975" s="710" t="e">
        <f t="shared" si="213"/>
        <v>#DIV/0!</v>
      </c>
      <c r="X975" s="29"/>
    </row>
    <row r="976" spans="1:24" ht="14" hidden="1" thickBot="1">
      <c r="L976" s="108"/>
      <c r="M976" s="249"/>
      <c r="N976" s="375"/>
      <c r="O976" s="711"/>
      <c r="P976" s="711"/>
      <c r="Q976" s="740"/>
      <c r="R976" s="750" t="e">
        <f t="shared" ref="R976:W976" si="214">(R975-R947)/R947*100</f>
        <v>#DIV/0!</v>
      </c>
      <c r="S976" s="751" t="e">
        <f t="shared" si="214"/>
        <v>#DIV/0!</v>
      </c>
      <c r="T976" s="751" t="e">
        <f t="shared" si="214"/>
        <v>#DIV/0!</v>
      </c>
      <c r="U976" s="751" t="e">
        <f t="shared" si="214"/>
        <v>#DIV/0!</v>
      </c>
      <c r="V976" s="751" t="e">
        <f t="shared" si="214"/>
        <v>#DIV/0!</v>
      </c>
      <c r="W976" s="752" t="e">
        <f t="shared" si="214"/>
        <v>#DIV/0!</v>
      </c>
      <c r="X976" s="29"/>
    </row>
    <row r="977" spans="1:24" hidden="1">
      <c r="L977" s="108"/>
      <c r="M977" s="249"/>
      <c r="N977" s="1338" t="s">
        <v>435</v>
      </c>
      <c r="O977" s="736"/>
      <c r="P977" s="736"/>
      <c r="Q977" s="737"/>
      <c r="R977" s="738" t="e">
        <f t="shared" ref="R977:W977" si="215">R844/R868-R935*0.5</f>
        <v>#DIV/0!</v>
      </c>
      <c r="S977" s="612" t="e">
        <f t="shared" si="215"/>
        <v>#DIV/0!</v>
      </c>
      <c r="T977" s="753" t="e">
        <f t="shared" si="215"/>
        <v>#DIV/0!</v>
      </c>
      <c r="U977" s="612" t="e">
        <f t="shared" si="215"/>
        <v>#DIV/0!</v>
      </c>
      <c r="V977" s="612" t="e">
        <f t="shared" si="215"/>
        <v>#DIV/0!</v>
      </c>
      <c r="W977" s="613" t="e">
        <f t="shared" si="215"/>
        <v>#DIV/0!</v>
      </c>
      <c r="X977" s="29"/>
    </row>
    <row r="978" spans="1:24" hidden="1">
      <c r="L978" s="108"/>
      <c r="M978" s="249"/>
      <c r="N978" s="360"/>
      <c r="O978" s="282"/>
      <c r="P978" s="282"/>
      <c r="Q978" s="697"/>
      <c r="R978" s="746" t="e">
        <f t="shared" ref="R978:W978" si="216">(R977-R947)/R947*100</f>
        <v>#DIV/0!</v>
      </c>
      <c r="S978" s="747" t="e">
        <f t="shared" si="216"/>
        <v>#DIV/0!</v>
      </c>
      <c r="T978" s="747" t="e">
        <f t="shared" si="216"/>
        <v>#DIV/0!</v>
      </c>
      <c r="U978" s="747" t="e">
        <f t="shared" si="216"/>
        <v>#DIV/0!</v>
      </c>
      <c r="V978" s="747" t="e">
        <f t="shared" si="216"/>
        <v>#DIV/0!</v>
      </c>
      <c r="W978" s="748" t="e">
        <f t="shared" si="216"/>
        <v>#DIV/0!</v>
      </c>
      <c r="X978" s="29"/>
    </row>
    <row r="979" spans="1:24" hidden="1">
      <c r="L979" s="108"/>
      <c r="M979" s="249"/>
      <c r="N979" s="1227" t="s">
        <v>436</v>
      </c>
      <c r="O979" s="695"/>
      <c r="P979" s="695"/>
      <c r="Q979" s="696"/>
      <c r="R979" s="749" t="e">
        <f t="shared" ref="R979:W979" si="217">R844/R868</f>
        <v>#DIV/0!</v>
      </c>
      <c r="S979" s="698" t="e">
        <f t="shared" si="217"/>
        <v>#DIV/0!</v>
      </c>
      <c r="T979" s="698" t="e">
        <f t="shared" si="217"/>
        <v>#DIV/0!</v>
      </c>
      <c r="U979" s="698" t="e">
        <f t="shared" si="217"/>
        <v>#DIV/0!</v>
      </c>
      <c r="V979" s="698" t="e">
        <f t="shared" si="217"/>
        <v>#DIV/0!</v>
      </c>
      <c r="W979" s="710" t="e">
        <f t="shared" si="217"/>
        <v>#DIV/0!</v>
      </c>
      <c r="X979" s="29"/>
    </row>
    <row r="980" spans="1:24" hidden="1">
      <c r="L980" s="108"/>
      <c r="M980" s="249"/>
      <c r="N980" s="360"/>
      <c r="O980" s="282"/>
      <c r="P980" s="282"/>
      <c r="Q980" s="697"/>
      <c r="R980" s="746" t="e">
        <f t="shared" ref="R980:W980" si="218">(R979-R947)/R947*100</f>
        <v>#DIV/0!</v>
      </c>
      <c r="S980" s="747" t="e">
        <f t="shared" si="218"/>
        <v>#DIV/0!</v>
      </c>
      <c r="T980" s="747" t="e">
        <f t="shared" si="218"/>
        <v>#DIV/0!</v>
      </c>
      <c r="U980" s="747" t="e">
        <f t="shared" si="218"/>
        <v>#DIV/0!</v>
      </c>
      <c r="V980" s="747" t="e">
        <f t="shared" si="218"/>
        <v>#DIV/0!</v>
      </c>
      <c r="W980" s="748" t="e">
        <f t="shared" si="218"/>
        <v>#DIV/0!</v>
      </c>
      <c r="X980" s="29"/>
    </row>
    <row r="981" spans="1:24" hidden="1">
      <c r="G981" s="108"/>
      <c r="H981" s="934"/>
      <c r="I981" s="934"/>
      <c r="J981" s="934"/>
      <c r="K981" s="934"/>
      <c r="L981" s="108"/>
      <c r="M981" s="249"/>
      <c r="N981" s="1227" t="s">
        <v>437</v>
      </c>
      <c r="O981" s="695"/>
      <c r="P981" s="695"/>
      <c r="Q981" s="696"/>
      <c r="R981" s="749" t="e">
        <f t="shared" ref="R981:W981" si="219">R846/R868-R935*0.5</f>
        <v>#DIV/0!</v>
      </c>
      <c r="S981" s="698" t="e">
        <f t="shared" si="219"/>
        <v>#DIV/0!</v>
      </c>
      <c r="T981" s="698" t="e">
        <f t="shared" si="219"/>
        <v>#DIV/0!</v>
      </c>
      <c r="U981" s="698" t="e">
        <f t="shared" si="219"/>
        <v>#DIV/0!</v>
      </c>
      <c r="V981" s="698" t="e">
        <f t="shared" si="219"/>
        <v>#DIV/0!</v>
      </c>
      <c r="W981" s="710" t="e">
        <f t="shared" si="219"/>
        <v>#DIV/0!</v>
      </c>
      <c r="X981" s="29"/>
    </row>
    <row r="982" spans="1:24" hidden="1">
      <c r="L982" s="108"/>
      <c r="M982" s="249"/>
      <c r="N982" s="366"/>
      <c r="O982" s="744"/>
      <c r="P982" s="744"/>
      <c r="Q982" s="745"/>
      <c r="R982" s="746" t="e">
        <f t="shared" ref="R982:W982" si="220">(R981-R947)/R947*100</f>
        <v>#DIV/0!</v>
      </c>
      <c r="S982" s="747" t="e">
        <f t="shared" si="220"/>
        <v>#DIV/0!</v>
      </c>
      <c r="T982" s="747" t="e">
        <f t="shared" si="220"/>
        <v>#DIV/0!</v>
      </c>
      <c r="U982" s="747" t="e">
        <f t="shared" si="220"/>
        <v>#DIV/0!</v>
      </c>
      <c r="V982" s="747" t="e">
        <f t="shared" si="220"/>
        <v>#DIV/0!</v>
      </c>
      <c r="W982" s="748" t="e">
        <f t="shared" si="220"/>
        <v>#DIV/0!</v>
      </c>
      <c r="X982" s="29"/>
    </row>
    <row r="983" spans="1:24" hidden="1">
      <c r="L983" s="108"/>
      <c r="M983" s="249"/>
      <c r="N983" s="360" t="s">
        <v>438</v>
      </c>
      <c r="O983" s="282"/>
      <c r="P983" s="282"/>
      <c r="Q983" s="697"/>
      <c r="R983" s="749" t="e">
        <f t="shared" ref="R983:W983" si="221">R846/R868</f>
        <v>#DIV/0!</v>
      </c>
      <c r="S983" s="698" t="e">
        <f t="shared" si="221"/>
        <v>#DIV/0!</v>
      </c>
      <c r="T983" s="698" t="e">
        <f t="shared" si="221"/>
        <v>#DIV/0!</v>
      </c>
      <c r="U983" s="698" t="e">
        <f t="shared" si="221"/>
        <v>#DIV/0!</v>
      </c>
      <c r="V983" s="698" t="e">
        <f t="shared" si="221"/>
        <v>#DIV/0!</v>
      </c>
      <c r="W983" s="710" t="e">
        <f t="shared" si="221"/>
        <v>#DIV/0!</v>
      </c>
      <c r="X983" s="29"/>
    </row>
    <row r="984" spans="1:24" ht="14" hidden="1" thickBot="1">
      <c r="L984" s="108"/>
      <c r="M984" s="249"/>
      <c r="N984" s="375"/>
      <c r="O984" s="711"/>
      <c r="P984" s="711"/>
      <c r="Q984" s="740"/>
      <c r="R984" s="750" t="e">
        <f t="shared" ref="R984:W984" si="222">(R983-R947)/R947*100</f>
        <v>#DIV/0!</v>
      </c>
      <c r="S984" s="751" t="e">
        <f t="shared" si="222"/>
        <v>#DIV/0!</v>
      </c>
      <c r="T984" s="751" t="e">
        <f t="shared" si="222"/>
        <v>#DIV/0!</v>
      </c>
      <c r="U984" s="751" t="e">
        <f t="shared" si="222"/>
        <v>#DIV/0!</v>
      </c>
      <c r="V984" s="751" t="e">
        <f t="shared" si="222"/>
        <v>#DIV/0!</v>
      </c>
      <c r="W984" s="752" t="e">
        <f t="shared" si="222"/>
        <v>#DIV/0!</v>
      </c>
      <c r="X984" s="29"/>
    </row>
    <row r="985" spans="1:24" hidden="1">
      <c r="L985" s="108"/>
      <c r="M985" s="249"/>
      <c r="N985" s="1262" t="s">
        <v>679</v>
      </c>
      <c r="O985" s="289"/>
      <c r="P985" s="289"/>
      <c r="Q985" s="289"/>
      <c r="R985" s="754" t="e">
        <f>S985</f>
        <v>#REF!</v>
      </c>
      <c r="S985" s="754" t="e">
        <f>#REF!</f>
        <v>#REF!</v>
      </c>
      <c r="T985" s="754" t="e">
        <f>S985</f>
        <v>#REF!</v>
      </c>
      <c r="U985" s="754">
        <f>V985</f>
        <v>0</v>
      </c>
      <c r="V985" s="754">
        <f>I757</f>
        <v>0</v>
      </c>
      <c r="W985" s="754">
        <f>V985</f>
        <v>0</v>
      </c>
      <c r="X985" s="29"/>
    </row>
    <row r="986" spans="1:24" hidden="1">
      <c r="L986" s="108"/>
      <c r="M986" s="249"/>
      <c r="N986" s="360" t="s">
        <v>439</v>
      </c>
      <c r="O986" s="282"/>
      <c r="P986" s="282"/>
      <c r="Q986" s="282"/>
      <c r="R986" s="755" t="e">
        <f>(100+R989)/100*(O736+R935/2)</f>
        <v>#REF!</v>
      </c>
      <c r="S986" s="755" t="e">
        <f>(100+S989)/100*(Q736+S935/2)</f>
        <v>#REF!</v>
      </c>
      <c r="T986" s="755" t="e">
        <f>(100+T989)/100*(R736+T935/2)</f>
        <v>#REF!</v>
      </c>
      <c r="U986" s="755" t="e">
        <f>(100+U989)/100*(S736+U935/2)</f>
        <v>#REF!</v>
      </c>
      <c r="V986" s="755" t="e">
        <f>(100+V989)/100*(T736+V935/2)</f>
        <v>#REF!</v>
      </c>
      <c r="W986" s="755" t="e">
        <f>(100+W989)/100*(U736+W935/2)</f>
        <v>#REF!</v>
      </c>
      <c r="X986" s="29"/>
    </row>
    <row r="987" spans="1:24" hidden="1">
      <c r="L987" s="108"/>
      <c r="M987" s="249"/>
      <c r="N987" s="1262" t="s">
        <v>680</v>
      </c>
      <c r="O987" s="289"/>
      <c r="P987" s="289"/>
      <c r="Q987" s="289"/>
      <c r="R987" s="756" t="e">
        <f t="shared" ref="R987:W987" si="223">R845/R986</f>
        <v>#REF!</v>
      </c>
      <c r="S987" s="756" t="e">
        <f t="shared" si="223"/>
        <v>#REF!</v>
      </c>
      <c r="T987" s="756" t="e">
        <f t="shared" si="223"/>
        <v>#REF!</v>
      </c>
      <c r="U987" s="756" t="e">
        <f t="shared" si="223"/>
        <v>#REF!</v>
      </c>
      <c r="V987" s="756" t="e">
        <f t="shared" si="223"/>
        <v>#REF!</v>
      </c>
      <c r="W987" s="756" t="e">
        <f t="shared" si="223"/>
        <v>#REF!</v>
      </c>
      <c r="X987" s="29"/>
    </row>
    <row r="988" spans="1:24" hidden="1">
      <c r="E988" s="934"/>
      <c r="F988" s="934"/>
      <c r="L988" s="108"/>
      <c r="M988" s="249"/>
      <c r="N988" s="1262" t="s">
        <v>681</v>
      </c>
      <c r="O988" s="289"/>
      <c r="P988" s="289"/>
      <c r="Q988" s="289"/>
      <c r="R988" s="39" t="e">
        <f>"Less than "&amp;TEXT(T987,"#.##")&amp;"-mohm"</f>
        <v>#REF!</v>
      </c>
      <c r="S988" s="37"/>
      <c r="T988" s="38"/>
      <c r="U988" s="1452" t="e">
        <f>"Less than "&amp;TEXT(W987,"#.##")&amp;"-mohm"</f>
        <v>#REF!</v>
      </c>
      <c r="V988" s="1439"/>
      <c r="W988" s="1440"/>
      <c r="X988" s="29"/>
    </row>
    <row r="989" spans="1:24" hidden="1">
      <c r="L989" s="108"/>
      <c r="M989" s="249"/>
      <c r="N989" s="1339" t="s">
        <v>440</v>
      </c>
      <c r="O989" s="757"/>
      <c r="P989" s="757"/>
      <c r="Q989" s="757"/>
      <c r="R989" s="758">
        <f>S989</f>
        <v>13.017082793177757</v>
      </c>
      <c r="S989" s="759">
        <f>SQRT(S859^2+S851^2+S843^2+S847^2)</f>
        <v>13.017082793177757</v>
      </c>
      <c r="T989" s="760">
        <f>S989</f>
        <v>13.017082793177757</v>
      </c>
      <c r="U989" s="758">
        <f>V989</f>
        <v>13.017082793177757</v>
      </c>
      <c r="V989" s="759">
        <f>SQRT(V859^2+V851^2+V843^2+V847^2)</f>
        <v>13.017082793177757</v>
      </c>
      <c r="W989" s="760">
        <f>V989</f>
        <v>13.017082793177757</v>
      </c>
      <c r="X989" s="29"/>
    </row>
    <row r="990" spans="1:24" hidden="1">
      <c r="A990" s="934"/>
      <c r="L990" s="108"/>
      <c r="M990" s="249"/>
      <c r="N990" s="1339" t="s">
        <v>440</v>
      </c>
      <c r="O990" s="757"/>
      <c r="P990" s="757"/>
      <c r="Q990" s="757"/>
      <c r="R990" s="758"/>
      <c r="S990" s="759">
        <f>S859*0.2+S851*0.2+S843*0.4+S847*0.2</f>
        <v>5.333333333333333</v>
      </c>
      <c r="T990" s="760"/>
      <c r="U990" s="758"/>
      <c r="V990" s="759"/>
      <c r="W990" s="760"/>
      <c r="X990" s="29"/>
    </row>
    <row r="991" spans="1:24" hidden="1">
      <c r="L991" s="108"/>
      <c r="M991" s="249"/>
      <c r="X991" s="29"/>
    </row>
    <row r="992" spans="1:24" hidden="1">
      <c r="L992" s="108"/>
      <c r="M992" s="249"/>
      <c r="X992" s="29"/>
    </row>
    <row r="993" spans="2:24" hidden="1">
      <c r="L993" s="108"/>
      <c r="M993" s="249"/>
      <c r="X993" s="29"/>
    </row>
    <row r="994" spans="2:24" hidden="1">
      <c r="L994" s="108"/>
      <c r="M994" s="249"/>
      <c r="N994" s="1262" t="s">
        <v>441</v>
      </c>
      <c r="O994" s="289"/>
      <c r="P994" s="289"/>
      <c r="Q994" s="289"/>
      <c r="R994" s="761" t="e">
        <f t="shared" ref="R994:W994" si="224">R845/R868</f>
        <v>#DIV/0!</v>
      </c>
      <c r="S994" s="762" t="e">
        <f t="shared" si="224"/>
        <v>#DIV/0!</v>
      </c>
      <c r="T994" s="763" t="e">
        <f t="shared" si="224"/>
        <v>#DIV/0!</v>
      </c>
      <c r="U994" s="761" t="e">
        <f t="shared" si="224"/>
        <v>#DIV/0!</v>
      </c>
      <c r="V994" s="762" t="e">
        <f t="shared" si="224"/>
        <v>#DIV/0!</v>
      </c>
      <c r="W994" s="763" t="e">
        <f t="shared" si="224"/>
        <v>#DIV/0!</v>
      </c>
      <c r="X994" s="29"/>
    </row>
    <row r="995" spans="2:24" hidden="1">
      <c r="B995" s="934"/>
      <c r="C995" s="934"/>
      <c r="D995" s="934"/>
      <c r="L995" s="108"/>
      <c r="M995" s="249"/>
      <c r="N995" s="1340" t="s">
        <v>442</v>
      </c>
      <c r="O995" s="764"/>
      <c r="P995" s="764"/>
      <c r="Q995" s="765"/>
      <c r="R995" s="766" t="e">
        <f t="shared" ref="R995:W995" si="225">R947*(100-R989)/100</f>
        <v>#DIV/0!</v>
      </c>
      <c r="S995" s="766" t="e">
        <f t="shared" si="225"/>
        <v>#DIV/0!</v>
      </c>
      <c r="T995" s="766" t="e">
        <f t="shared" si="225"/>
        <v>#DIV/0!</v>
      </c>
      <c r="U995" s="766" t="e">
        <f t="shared" si="225"/>
        <v>#DIV/0!</v>
      </c>
      <c r="V995" s="766" t="e">
        <f t="shared" si="225"/>
        <v>#DIV/0!</v>
      </c>
      <c r="W995" s="766" t="e">
        <f t="shared" si="225"/>
        <v>#DIV/0!</v>
      </c>
      <c r="X995" s="29"/>
    </row>
    <row r="996" spans="2:24" hidden="1">
      <c r="L996" s="108"/>
      <c r="M996" s="249"/>
      <c r="N996" s="1341" t="s">
        <v>443</v>
      </c>
      <c r="O996" s="634"/>
      <c r="P996" s="634"/>
      <c r="Q996" s="767"/>
      <c r="R996" s="766" t="e">
        <f t="shared" ref="R996:W996" si="226">R948*(100-R989)/100</f>
        <v>#DIV/0!</v>
      </c>
      <c r="S996" s="766" t="e">
        <f t="shared" si="226"/>
        <v>#DIV/0!</v>
      </c>
      <c r="T996" s="766" t="e">
        <f t="shared" si="226"/>
        <v>#DIV/0!</v>
      </c>
      <c r="U996" s="766" t="e">
        <f t="shared" si="226"/>
        <v>#DIV/0!</v>
      </c>
      <c r="V996" s="766" t="e">
        <f t="shared" si="226"/>
        <v>#DIV/0!</v>
      </c>
      <c r="W996" s="766" t="e">
        <f t="shared" si="226"/>
        <v>#DIV/0!</v>
      </c>
      <c r="X996" s="29"/>
    </row>
    <row r="997" spans="2:24" hidden="1">
      <c r="L997" s="108"/>
      <c r="M997" s="249"/>
      <c r="N997" s="1340" t="s">
        <v>442</v>
      </c>
      <c r="O997" s="764"/>
      <c r="P997" s="764"/>
      <c r="Q997" s="765"/>
      <c r="R997" s="766" t="e">
        <f t="shared" ref="R997:W997" si="227">R947*(100+R989)/100</f>
        <v>#DIV/0!</v>
      </c>
      <c r="S997" s="766" t="e">
        <f t="shared" si="227"/>
        <v>#DIV/0!</v>
      </c>
      <c r="T997" s="766" t="e">
        <f t="shared" si="227"/>
        <v>#DIV/0!</v>
      </c>
      <c r="U997" s="766" t="e">
        <f t="shared" si="227"/>
        <v>#DIV/0!</v>
      </c>
      <c r="V997" s="766" t="e">
        <f t="shared" si="227"/>
        <v>#DIV/0!</v>
      </c>
      <c r="W997" s="766" t="e">
        <f t="shared" si="227"/>
        <v>#DIV/0!</v>
      </c>
      <c r="X997" s="29"/>
    </row>
    <row r="998" spans="2:24" hidden="1">
      <c r="G998" s="108"/>
      <c r="H998" s="934"/>
      <c r="I998" s="934"/>
      <c r="J998" s="934"/>
      <c r="K998" s="934"/>
      <c r="L998" s="108"/>
      <c r="M998" s="249"/>
      <c r="N998" s="1341" t="s">
        <v>443</v>
      </c>
      <c r="O998" s="634"/>
      <c r="P998" s="634"/>
      <c r="Q998" s="767"/>
      <c r="R998" s="766" t="e">
        <f t="shared" ref="R998:W998" si="228">R948*(100+R989)/100</f>
        <v>#DIV/0!</v>
      </c>
      <c r="S998" s="766" t="e">
        <f t="shared" si="228"/>
        <v>#DIV/0!</v>
      </c>
      <c r="T998" s="766" t="e">
        <f t="shared" si="228"/>
        <v>#DIV/0!</v>
      </c>
      <c r="U998" s="766" t="e">
        <f t="shared" si="228"/>
        <v>#DIV/0!</v>
      </c>
      <c r="V998" s="766" t="e">
        <f t="shared" si="228"/>
        <v>#DIV/0!</v>
      </c>
      <c r="W998" s="766" t="e">
        <f t="shared" si="228"/>
        <v>#DIV/0!</v>
      </c>
      <c r="X998" s="29"/>
    </row>
    <row r="999" spans="2:24" hidden="1">
      <c r="L999" s="108"/>
      <c r="M999" s="249"/>
      <c r="N999" s="1221" t="s">
        <v>444</v>
      </c>
      <c r="O999" s="514"/>
      <c r="P999" s="514"/>
      <c r="Q999" s="547"/>
      <c r="R999" s="45" t="e">
        <f t="shared" ref="R999:W999" si="229">R846/R856-R935*0.5</f>
        <v>#DIV/0!</v>
      </c>
      <c r="S999" s="431" t="e">
        <f t="shared" si="229"/>
        <v>#DIV/0!</v>
      </c>
      <c r="T999" s="431" t="e">
        <f t="shared" si="229"/>
        <v>#DIV/0!</v>
      </c>
      <c r="U999" s="431" t="e">
        <f t="shared" si="229"/>
        <v>#DIV/0!</v>
      </c>
      <c r="V999" s="431" t="e">
        <f t="shared" si="229"/>
        <v>#DIV/0!</v>
      </c>
      <c r="W999" s="431" t="e">
        <f t="shared" si="229"/>
        <v>#DIV/0!</v>
      </c>
      <c r="X999" s="29"/>
    </row>
    <row r="1000" spans="2:24" hidden="1">
      <c r="L1000" s="108"/>
      <c r="M1000" s="249"/>
      <c r="N1000" s="1342" t="s">
        <v>445</v>
      </c>
      <c r="O1000" s="744"/>
      <c r="P1000" s="744"/>
      <c r="Q1000" s="745"/>
      <c r="R1000" s="431" t="e">
        <f t="shared" ref="R1000:W1000" si="230">R846/R856</f>
        <v>#DIV/0!</v>
      </c>
      <c r="S1000" s="431" t="e">
        <f t="shared" si="230"/>
        <v>#DIV/0!</v>
      </c>
      <c r="T1000" s="431" t="e">
        <f t="shared" si="230"/>
        <v>#DIV/0!</v>
      </c>
      <c r="U1000" s="431" t="e">
        <f t="shared" si="230"/>
        <v>#DIV/0!</v>
      </c>
      <c r="V1000" s="431" t="e">
        <f t="shared" si="230"/>
        <v>#DIV/0!</v>
      </c>
      <c r="W1000" s="431" t="e">
        <f t="shared" si="230"/>
        <v>#DIV/0!</v>
      </c>
      <c r="X1000" s="29"/>
    </row>
    <row r="1001" spans="2:24" hidden="1">
      <c r="L1001" s="108"/>
      <c r="M1001" s="108"/>
      <c r="N1001" s="1262" t="s">
        <v>682</v>
      </c>
      <c r="O1001" s="289"/>
      <c r="P1001" s="289"/>
      <c r="Q1001" s="289"/>
      <c r="R1001" s="768" t="e">
        <f>R947/O736*100</f>
        <v>#DIV/0!</v>
      </c>
      <c r="S1001" s="768" t="e">
        <f>S947/Q736*100</f>
        <v>#DIV/0!</v>
      </c>
      <c r="T1001" s="768" t="e">
        <f>T947/R736*100</f>
        <v>#DIV/0!</v>
      </c>
      <c r="U1001" s="768" t="e">
        <f>U947/S736*100</f>
        <v>#DIV/0!</v>
      </c>
      <c r="V1001" s="768" t="e">
        <f>V947/T736*100</f>
        <v>#DIV/0!</v>
      </c>
      <c r="W1001" s="768" t="e">
        <f>W947/U736*100</f>
        <v>#DIV/0!</v>
      </c>
      <c r="X1001" s="29"/>
    </row>
    <row r="1002" spans="2:24" hidden="1">
      <c r="L1002" s="108"/>
      <c r="M1002" s="249"/>
      <c r="N1002" s="1262" t="s">
        <v>652</v>
      </c>
      <c r="O1002" s="289"/>
      <c r="P1002" s="289"/>
      <c r="Q1002" s="289"/>
      <c r="R1002" s="756" t="e">
        <f>R994/O736</f>
        <v>#DIV/0!</v>
      </c>
      <c r="S1002" s="756" t="e">
        <f>S994/Q736</f>
        <v>#DIV/0!</v>
      </c>
      <c r="T1002" s="756" t="e">
        <f>T994/R736</f>
        <v>#DIV/0!</v>
      </c>
      <c r="U1002" s="756" t="e">
        <f>U994/S736</f>
        <v>#DIV/0!</v>
      </c>
      <c r="V1002" s="756" t="e">
        <f>V994/T736</f>
        <v>#DIV/0!</v>
      </c>
      <c r="W1002" s="756" t="e">
        <f>W994/U736</f>
        <v>#DIV/0!</v>
      </c>
      <c r="X1002" s="29"/>
    </row>
    <row r="1003" spans="2:24" hidden="1">
      <c r="L1003" s="108"/>
      <c r="M1003" s="120"/>
      <c r="N1003" s="1262" t="s">
        <v>683</v>
      </c>
      <c r="O1003" s="289"/>
      <c r="P1003" s="289"/>
      <c r="Q1003" s="289"/>
      <c r="R1003" s="769" t="e">
        <f>"Itrip / Iout="&amp;TEXT(S1002,"#.00")&amp;" should be approximately 1.5 to 1.7"</f>
        <v>#DIV/0!</v>
      </c>
      <c r="S1003" s="770"/>
      <c r="T1003" s="771"/>
      <c r="U1003" s="1449" t="e">
        <f>"Itrip / Iout="&amp;TEXT(V1002,"#.00")&amp;" should be approximately 1.5 to 1.7"</f>
        <v>#DIV/0!</v>
      </c>
      <c r="V1003" s="1450"/>
      <c r="W1003" s="1451"/>
      <c r="X1003" s="29"/>
    </row>
    <row r="1004" spans="2:24" hidden="1">
      <c r="L1004" s="108"/>
      <c r="M1004" s="120"/>
      <c r="N1004" s="1262" t="s">
        <v>446</v>
      </c>
      <c r="O1004" s="289"/>
      <c r="P1004" s="289"/>
      <c r="Q1004" s="289"/>
      <c r="R1004" s="761" t="e">
        <f>R994*(0.33-0.2*R834/O735)</f>
        <v>#DIV/0!</v>
      </c>
      <c r="S1004" s="762" t="e">
        <f>S994*(0.33-0.2*S834/Q735)</f>
        <v>#DIV/0!</v>
      </c>
      <c r="T1004" s="763" t="e">
        <f>T994*(0.33-0.2*T834/R735)</f>
        <v>#DIV/0!</v>
      </c>
      <c r="U1004" s="761" t="e">
        <f>U994*(0.33-0.2*U834/S735)</f>
        <v>#DIV/0!</v>
      </c>
      <c r="V1004" s="762" t="e">
        <f>V994*(0.33-0.2*V834/T735)</f>
        <v>#DIV/0!</v>
      </c>
      <c r="W1004" s="763" t="e">
        <f>W994*(0.33-0.2*W834/U735)</f>
        <v>#DIV/0!</v>
      </c>
      <c r="X1004" s="29"/>
    </row>
    <row r="1005" spans="2:24" hidden="1">
      <c r="L1005" s="108"/>
      <c r="M1005" s="120"/>
      <c r="N1005" s="1262" t="s">
        <v>447</v>
      </c>
      <c r="O1005" s="289"/>
      <c r="P1005" s="289"/>
      <c r="Q1005" s="289"/>
      <c r="R1005" s="761" t="e">
        <f t="shared" ref="R1005:W1005" si="231">R1004-R935*0.5</f>
        <v>#DIV/0!</v>
      </c>
      <c r="S1005" s="762" t="e">
        <f t="shared" si="231"/>
        <v>#DIV/0!</v>
      </c>
      <c r="T1005" s="763" t="e">
        <f t="shared" si="231"/>
        <v>#DIV/0!</v>
      </c>
      <c r="U1005" s="761" t="e">
        <f t="shared" si="231"/>
        <v>#DIV/0!</v>
      </c>
      <c r="V1005" s="762" t="e">
        <f t="shared" si="231"/>
        <v>#DIV/0!</v>
      </c>
      <c r="W1005" s="763" t="e">
        <f t="shared" si="231"/>
        <v>#DIV/0!</v>
      </c>
      <c r="X1005" s="29"/>
    </row>
    <row r="1006" spans="2:24" hidden="1">
      <c r="L1006" s="108"/>
      <c r="M1006" s="120"/>
      <c r="N1006" s="1262" t="s">
        <v>684</v>
      </c>
      <c r="O1006" s="289"/>
      <c r="P1006" s="289"/>
      <c r="Q1006" s="289"/>
      <c r="R1006" s="772" t="e">
        <f>O736^2*R868</f>
        <v>#REF!</v>
      </c>
      <c r="S1006" s="773" t="e">
        <f>Q736^2*S868</f>
        <v>#REF!</v>
      </c>
      <c r="T1006" s="774" t="e">
        <f>R736^2*T868</f>
        <v>#REF!</v>
      </c>
      <c r="U1006" s="772">
        <f>S736^2*U868</f>
        <v>0</v>
      </c>
      <c r="V1006" s="773">
        <f>T736^2*V868</f>
        <v>0</v>
      </c>
      <c r="W1006" s="774">
        <f>U736^2*W868</f>
        <v>0</v>
      </c>
      <c r="X1006" s="29"/>
    </row>
    <row r="1007" spans="2:24" hidden="1">
      <c r="L1007" s="108"/>
      <c r="M1007" s="120"/>
      <c r="N1007" s="1270" t="s">
        <v>685</v>
      </c>
      <c r="O1007" s="634"/>
      <c r="P1007" s="634"/>
      <c r="Q1007" s="634"/>
      <c r="R1007" s="775"/>
      <c r="S1007" s="776">
        <f>H579</f>
        <v>0</v>
      </c>
      <c r="T1007" s="777"/>
      <c r="U1007" s="778"/>
      <c r="V1007" s="779">
        <f>BQ579</f>
        <v>50</v>
      </c>
      <c r="W1007" s="780"/>
      <c r="X1007" s="29"/>
    </row>
    <row r="1008" spans="2:24" hidden="1">
      <c r="L1008" s="108"/>
      <c r="M1008" s="249"/>
      <c r="N1008" s="1270" t="s">
        <v>686</v>
      </c>
      <c r="O1008" s="634"/>
      <c r="P1008" s="634"/>
      <c r="Q1008" s="634"/>
      <c r="R1008" s="781" t="e">
        <f>S1008</f>
        <v>#REF!</v>
      </c>
      <c r="S1008" s="716" t="e">
        <f>0.1*Q736/S994/S830/(S814*S1007*10^-9)/1000</f>
        <v>#REF!</v>
      </c>
      <c r="T1008" s="782" t="e">
        <f>S1008</f>
        <v>#REF!</v>
      </c>
      <c r="U1008" s="728" t="e">
        <f>V1008</f>
        <v>#DIV/0!</v>
      </c>
      <c r="V1008" s="726" t="e">
        <f>0.1*T736/V994/V830/(V814*V1007*10^-9)/1000</f>
        <v>#DIV/0!</v>
      </c>
      <c r="W1008" s="727" t="e">
        <f>V1008</f>
        <v>#DIV/0!</v>
      </c>
      <c r="X1008" s="29"/>
    </row>
    <row r="1009" spans="2:24" hidden="1">
      <c r="L1009" s="108"/>
      <c r="M1009" s="249"/>
      <c r="N1009" s="1270" t="s">
        <v>687</v>
      </c>
      <c r="O1009" s="634"/>
      <c r="P1009" s="634"/>
      <c r="Q1009" s="634"/>
      <c r="R1009" s="781">
        <f>S1009</f>
        <v>0</v>
      </c>
      <c r="S1009" s="716">
        <f>H581</f>
        <v>0</v>
      </c>
      <c r="T1009" s="782">
        <f>S1009</f>
        <v>0</v>
      </c>
      <c r="U1009" s="728">
        <f>V1009</f>
        <v>2.2000000000000002</v>
      </c>
      <c r="V1009" s="726">
        <f>BQ581</f>
        <v>2.2000000000000002</v>
      </c>
      <c r="W1009" s="727">
        <f>V1009</f>
        <v>2.2000000000000002</v>
      </c>
      <c r="X1009" s="29"/>
    </row>
    <row r="1010" spans="2:24" hidden="1">
      <c r="L1010" s="108"/>
      <c r="M1010" s="249"/>
      <c r="N1010" s="1270" t="s">
        <v>688</v>
      </c>
      <c r="O1010" s="634"/>
      <c r="P1010" s="634"/>
      <c r="Q1010" s="634"/>
      <c r="R1010" s="781" t="e">
        <f>0.1*O736/R994/R830/(R814*R1009*10^-9)/1000</f>
        <v>#REF!</v>
      </c>
      <c r="S1010" s="716" t="e">
        <f>0.1*Q736/S994/S830/(S814*S1009*10^-9)/1000</f>
        <v>#REF!</v>
      </c>
      <c r="T1010" s="782" t="e">
        <f>0.1*R736/T994/T830/(T814*T1009*10^-9)/1000</f>
        <v>#REF!</v>
      </c>
      <c r="U1010" s="728" t="e">
        <f>0.1*S736/U994/U830/(U814*U1009*10^-9)/1000</f>
        <v>#DIV/0!</v>
      </c>
      <c r="V1010" s="726" t="e">
        <f>0.1*T736/V994/V830/(V814*V1009*10^-9)/1000</f>
        <v>#DIV/0!</v>
      </c>
      <c r="W1010" s="727" t="e">
        <f>0.1*U736/W994/W830/(W814*W1009*10^-9)/1000</f>
        <v>#DIV/0!</v>
      </c>
      <c r="X1010" s="29"/>
    </row>
    <row r="1011" spans="2:24" hidden="1">
      <c r="L1011" s="108"/>
      <c r="M1011" s="298"/>
      <c r="N1011" s="1270" t="s">
        <v>689</v>
      </c>
      <c r="O1011" s="634"/>
      <c r="P1011" s="634"/>
      <c r="Q1011" s="634"/>
      <c r="R1011" s="718"/>
      <c r="S1011" s="716">
        <f>H583</f>
        <v>0</v>
      </c>
      <c r="T1011" s="717"/>
      <c r="U1011" s="650"/>
      <c r="V1011" s="726">
        <f>BQ583</f>
        <v>120</v>
      </c>
      <c r="W1011" s="652"/>
      <c r="X1011" s="29"/>
    </row>
    <row r="1012" spans="2:24" hidden="1">
      <c r="B1012" s="934"/>
      <c r="C1012" s="934"/>
      <c r="D1012" s="934"/>
      <c r="L1012" s="108"/>
      <c r="M1012" s="249"/>
      <c r="N1012" s="1270" t="s">
        <v>690</v>
      </c>
      <c r="O1012" s="634"/>
      <c r="P1012" s="634"/>
      <c r="Q1012" s="634"/>
      <c r="R1012" s="781">
        <f>S1012</f>
        <v>0</v>
      </c>
      <c r="S1012" s="716">
        <f>H585</f>
        <v>0</v>
      </c>
      <c r="T1012" s="782">
        <f>S1012</f>
        <v>0</v>
      </c>
      <c r="U1012" s="728">
        <f>V1012</f>
        <v>37.303920454545455</v>
      </c>
      <c r="V1012" s="726">
        <f>BQ587</f>
        <v>37.303920454545455</v>
      </c>
      <c r="W1012" s="727">
        <f>V1012</f>
        <v>37.303920454545455</v>
      </c>
      <c r="X1012" s="46"/>
    </row>
    <row r="1013" spans="2:24" hidden="1">
      <c r="L1013" s="108"/>
      <c r="M1013" s="249"/>
      <c r="N1013" s="1270" t="s">
        <v>78</v>
      </c>
      <c r="O1013" s="634"/>
      <c r="P1013" s="634"/>
      <c r="Q1013" s="634"/>
      <c r="R1013" s="781" t="e">
        <f t="shared" ref="R1013:W1013" si="232">R935*R1012</f>
        <v>#REF!</v>
      </c>
      <c r="S1013" s="716" t="e">
        <f t="shared" si="232"/>
        <v>#REF!</v>
      </c>
      <c r="T1013" s="782" t="e">
        <f t="shared" si="232"/>
        <v>#REF!</v>
      </c>
      <c r="U1013" s="728" t="e">
        <f t="shared" si="232"/>
        <v>#REF!</v>
      </c>
      <c r="V1013" s="726" t="e">
        <f t="shared" si="232"/>
        <v>#REF!</v>
      </c>
      <c r="W1013" s="727" t="e">
        <f t="shared" si="232"/>
        <v>#REF!</v>
      </c>
      <c r="X1013" s="29"/>
    </row>
    <row r="1014" spans="2:24" hidden="1">
      <c r="L1014" s="108"/>
      <c r="M1014" s="249"/>
      <c r="N1014" s="1270" t="s">
        <v>691</v>
      </c>
      <c r="O1014" s="634"/>
      <c r="P1014" s="634"/>
      <c r="Q1014" s="634"/>
      <c r="R1014" s="718"/>
      <c r="S1014" s="716" t="e">
        <f>5/PI()*S994*S830*S814*S1009/S1011</f>
        <v>#DIV/0!</v>
      </c>
      <c r="T1014" s="717"/>
      <c r="U1014" s="650"/>
      <c r="V1014" s="726" t="e">
        <f>5/PI()*V994*V830*V814*V1009/V1011</f>
        <v>#DIV/0!</v>
      </c>
      <c r="W1014" s="652"/>
      <c r="X1014" s="29"/>
    </row>
    <row r="1015" spans="2:24" hidden="1">
      <c r="L1015" s="108"/>
      <c r="M1015" s="249"/>
      <c r="N1015" s="1270"/>
      <c r="O1015" s="634"/>
      <c r="P1015" s="634"/>
      <c r="Q1015" s="634"/>
      <c r="R1015" s="718" t="e">
        <f>"fo("&amp;TEXT(S1014,"#.0")&amp;"-kHz) should be less than fsw/3("&amp;TEXT(S929,"###")&amp;"-kHz)"</f>
        <v>#DIV/0!</v>
      </c>
      <c r="S1015" s="716"/>
      <c r="T1015" s="717"/>
      <c r="U1015" s="650" t="e">
        <f>"fo("&amp;TEXT(V1014,"#.0")&amp;"-kHz) should be less than fsw/3("&amp;TEXT(V929,"###")&amp;"-kHz)"</f>
        <v>#DIV/0!</v>
      </c>
      <c r="V1015" s="726"/>
      <c r="W1015" s="652"/>
      <c r="X1015" s="29"/>
    </row>
    <row r="1016" spans="2:24" hidden="1">
      <c r="L1016" s="108"/>
      <c r="M1016" s="249"/>
      <c r="N1016" s="1270" t="s">
        <v>692</v>
      </c>
      <c r="O1016" s="634"/>
      <c r="P1016" s="634"/>
      <c r="Q1016" s="634"/>
      <c r="R1016" s="781" t="e">
        <f t="shared" ref="R1016:W1016" si="233">15/PI()*R994*R830*R814*R1009/R849</f>
        <v>#DIV/0!</v>
      </c>
      <c r="S1016" s="716" t="e">
        <f t="shared" si="233"/>
        <v>#DIV/0!</v>
      </c>
      <c r="T1016" s="782" t="e">
        <f t="shared" si="233"/>
        <v>#DIV/0!</v>
      </c>
      <c r="U1016" s="728" t="e">
        <f t="shared" si="233"/>
        <v>#DIV/0!</v>
      </c>
      <c r="V1016" s="726" t="e">
        <f t="shared" si="233"/>
        <v>#DIV/0!</v>
      </c>
      <c r="W1016" s="727" t="e">
        <f t="shared" si="233"/>
        <v>#DIV/0!</v>
      </c>
      <c r="X1016" s="29"/>
    </row>
    <row r="1017" spans="2:24" hidden="1">
      <c r="L1017" s="108"/>
      <c r="M1017" s="249"/>
      <c r="N1017" s="1270" t="s">
        <v>693</v>
      </c>
      <c r="O1017" s="634"/>
      <c r="P1017" s="634"/>
      <c r="Q1017" s="634"/>
      <c r="R1017" s="88" t="e">
        <f>"More than "&amp;TEXT(T1016,"#.0")&amp;"-uF"</f>
        <v>#DIV/0!</v>
      </c>
      <c r="S1017" s="89"/>
      <c r="T1017" s="90"/>
      <c r="U1017" s="1444" t="e">
        <f>"More than "&amp;TEXT(W1016,"#.0")&amp;"-uF"</f>
        <v>#DIV/0!</v>
      </c>
      <c r="V1017" s="1445"/>
      <c r="W1017" s="1446"/>
      <c r="X1017" s="29"/>
    </row>
    <row r="1018" spans="2:24" ht="14" hidden="1" thickBot="1">
      <c r="L1018" s="108"/>
      <c r="M1018" s="249"/>
      <c r="N1018" s="1270" t="s">
        <v>694</v>
      </c>
      <c r="O1018" s="634"/>
      <c r="P1018" s="634"/>
      <c r="Q1018" s="634"/>
      <c r="R1018" s="783"/>
      <c r="S1018" s="784" t="e">
        <f>S1011*S1012/S1009</f>
        <v>#DIV/0!</v>
      </c>
      <c r="T1018" s="785"/>
      <c r="U1018" s="567"/>
      <c r="V1018" s="568">
        <f>V1011*V1012/V1009</f>
        <v>2034.7592975206608</v>
      </c>
      <c r="W1018" s="569"/>
      <c r="X1018" s="29"/>
    </row>
    <row r="1019" spans="2:24" ht="14" hidden="1" thickBot="1">
      <c r="L1019" s="108"/>
      <c r="M1019" s="249"/>
      <c r="N1019" s="1343" t="s">
        <v>695</v>
      </c>
      <c r="O1019" s="786"/>
      <c r="P1019" s="786"/>
      <c r="Q1019" s="786"/>
      <c r="R1019" s="787"/>
      <c r="S1019" s="787"/>
      <c r="T1019" s="787"/>
      <c r="U1019" s="787"/>
      <c r="V1019" s="787"/>
      <c r="W1019" s="788"/>
      <c r="X1019" s="29"/>
    </row>
    <row r="1020" spans="2:24" hidden="1">
      <c r="L1020" s="108"/>
      <c r="M1020" s="249"/>
      <c r="N1020" s="1262" t="s">
        <v>696</v>
      </c>
      <c r="O1020" s="289"/>
      <c r="P1020" s="289"/>
      <c r="Q1020" s="289"/>
      <c r="R1020" s="789">
        <f>S1020</f>
        <v>0</v>
      </c>
      <c r="S1020" s="754">
        <f>S853</f>
        <v>0</v>
      </c>
      <c r="T1020" s="790">
        <f>S1020</f>
        <v>0</v>
      </c>
      <c r="U1020" s="789">
        <f>V1020</f>
        <v>0</v>
      </c>
      <c r="V1020" s="754">
        <f>V853</f>
        <v>0</v>
      </c>
      <c r="W1020" s="790">
        <f>V1020</f>
        <v>0</v>
      </c>
      <c r="X1020" s="29"/>
    </row>
    <row r="1021" spans="2:24" hidden="1">
      <c r="L1021" s="108"/>
      <c r="M1021" s="249"/>
      <c r="N1021" s="1339" t="s">
        <v>448</v>
      </c>
      <c r="O1021" s="757"/>
      <c r="P1021" s="757"/>
      <c r="Q1021" s="757"/>
      <c r="R1021" s="791" t="e">
        <f>S1021</f>
        <v>#REF!</v>
      </c>
      <c r="S1021" s="622" t="e">
        <f>#REF!</f>
        <v>#REF!</v>
      </c>
      <c r="T1021" s="528" t="e">
        <f>S1021</f>
        <v>#REF!</v>
      </c>
      <c r="U1021" s="791">
        <f>V1021</f>
        <v>0</v>
      </c>
      <c r="V1021" s="622">
        <f>I762</f>
        <v>0</v>
      </c>
      <c r="W1021" s="528">
        <f>V1021</f>
        <v>0</v>
      </c>
      <c r="X1021" s="29"/>
    </row>
    <row r="1022" spans="2:24" hidden="1">
      <c r="L1022" s="108"/>
      <c r="M1022" s="249"/>
      <c r="N1022" s="1262" t="s">
        <v>449</v>
      </c>
      <c r="O1022" s="289"/>
      <c r="P1022" s="289"/>
      <c r="Q1022" s="289"/>
      <c r="R1022" s="728" t="e">
        <f>S1022</f>
        <v>#REF!</v>
      </c>
      <c r="S1022" s="726" t="e">
        <f>H552+S1021</f>
        <v>#REF!</v>
      </c>
      <c r="T1022" s="727" t="e">
        <f>S1022</f>
        <v>#REF!</v>
      </c>
      <c r="U1022" s="728">
        <f>V1022</f>
        <v>0</v>
      </c>
      <c r="V1022" s="726">
        <f>I552+V1021</f>
        <v>0</v>
      </c>
      <c r="W1022" s="727">
        <f>V1022</f>
        <v>0</v>
      </c>
      <c r="X1022" s="29"/>
    </row>
    <row r="1023" spans="2:24" hidden="1">
      <c r="L1023" s="108"/>
      <c r="M1023" s="249"/>
      <c r="N1023" s="1262" t="s">
        <v>697</v>
      </c>
      <c r="O1023" s="289"/>
      <c r="P1023" s="289"/>
      <c r="Q1023" s="289"/>
      <c r="R1023" s="792" t="e">
        <f t="shared" ref="R1023:W1023" si="234">R845/R1022</f>
        <v>#REF!</v>
      </c>
      <c r="S1023" s="598" t="e">
        <f t="shared" si="234"/>
        <v>#REF!</v>
      </c>
      <c r="T1023" s="793" t="e">
        <f t="shared" si="234"/>
        <v>#REF!</v>
      </c>
      <c r="U1023" s="792" t="e">
        <f t="shared" si="234"/>
        <v>#DIV/0!</v>
      </c>
      <c r="V1023" s="598" t="e">
        <f t="shared" si="234"/>
        <v>#DIV/0!</v>
      </c>
      <c r="W1023" s="793" t="e">
        <f t="shared" si="234"/>
        <v>#DIV/0!</v>
      </c>
      <c r="X1023" s="30"/>
    </row>
    <row r="1024" spans="2:24" hidden="1">
      <c r="L1024" s="108"/>
      <c r="M1024" s="249"/>
      <c r="N1024" s="1262" t="s">
        <v>450</v>
      </c>
      <c r="O1024" s="289"/>
      <c r="P1024" s="289"/>
      <c r="Q1024" s="289"/>
      <c r="R1024" s="778" t="e">
        <f>R1030/O736*100</f>
        <v>#REF!</v>
      </c>
      <c r="S1024" s="779" t="e">
        <f>S1030/Q736*100</f>
        <v>#REF!</v>
      </c>
      <c r="T1024" s="780" t="e">
        <f>T1030/R736*100</f>
        <v>#REF!</v>
      </c>
      <c r="U1024" s="778" t="e">
        <f>U1030/S736*100</f>
        <v>#DIV/0!</v>
      </c>
      <c r="V1024" s="779" t="e">
        <f>V1030/T736*100</f>
        <v>#DIV/0!</v>
      </c>
      <c r="W1024" s="780" t="e">
        <f>W1030/U736*100</f>
        <v>#DIV/0!</v>
      </c>
      <c r="X1024" s="246"/>
    </row>
    <row r="1025" spans="12:24" hidden="1">
      <c r="L1025" s="108"/>
      <c r="M1025" s="249"/>
      <c r="N1025" s="1262" t="s">
        <v>451</v>
      </c>
      <c r="O1025" s="289"/>
      <c r="P1025" s="289"/>
      <c r="Q1025" s="289"/>
      <c r="R1025" s="728" t="e">
        <f>S1025</f>
        <v>#REF!</v>
      </c>
      <c r="S1025" s="726" t="e">
        <f>#REF!</f>
        <v>#REF!</v>
      </c>
      <c r="T1025" s="727" t="e">
        <f>S1025</f>
        <v>#REF!</v>
      </c>
      <c r="U1025" s="728">
        <f>V1025</f>
        <v>0</v>
      </c>
      <c r="V1025" s="726">
        <f>I728</f>
        <v>0</v>
      </c>
      <c r="W1025" s="727">
        <f>V1025</f>
        <v>0</v>
      </c>
      <c r="X1025" s="246"/>
    </row>
    <row r="1026" spans="12:24" hidden="1">
      <c r="L1026" s="108"/>
      <c r="M1026" s="249"/>
      <c r="N1026" s="360" t="s">
        <v>698</v>
      </c>
      <c r="O1026" s="282"/>
      <c r="P1026" s="282"/>
      <c r="Q1026" s="282"/>
      <c r="R1026" s="794" t="e">
        <f t="shared" ref="R1026:W1026" si="235">R845/R1025</f>
        <v>#REF!</v>
      </c>
      <c r="S1026" s="702" t="e">
        <f t="shared" si="235"/>
        <v>#REF!</v>
      </c>
      <c r="T1026" s="795" t="e">
        <f t="shared" si="235"/>
        <v>#REF!</v>
      </c>
      <c r="U1026" s="794" t="e">
        <f t="shared" si="235"/>
        <v>#DIV/0!</v>
      </c>
      <c r="V1026" s="702" t="e">
        <f t="shared" si="235"/>
        <v>#DIV/0!</v>
      </c>
      <c r="W1026" s="795" t="e">
        <f t="shared" si="235"/>
        <v>#DIV/0!</v>
      </c>
      <c r="X1026" s="15"/>
    </row>
    <row r="1027" spans="12:24" hidden="1">
      <c r="L1027" s="108"/>
      <c r="M1027" s="249"/>
      <c r="N1027" s="360" t="s">
        <v>452</v>
      </c>
      <c r="O1027" s="282"/>
      <c r="P1027" s="282"/>
      <c r="Q1027" s="282"/>
      <c r="R1027" s="796" t="e">
        <f t="shared" ref="R1027:W1027" si="236">R845/R1025-R935*0.5</f>
        <v>#REF!</v>
      </c>
      <c r="S1027" s="431" t="e">
        <f t="shared" si="236"/>
        <v>#REF!</v>
      </c>
      <c r="T1027" s="596" t="e">
        <f t="shared" si="236"/>
        <v>#REF!</v>
      </c>
      <c r="U1027" s="796" t="e">
        <f t="shared" si="236"/>
        <v>#DIV/0!</v>
      </c>
      <c r="V1027" s="431" t="e">
        <f t="shared" si="236"/>
        <v>#DIV/0!</v>
      </c>
      <c r="W1027" s="596" t="e">
        <f t="shared" si="236"/>
        <v>#DIV/0!</v>
      </c>
      <c r="X1027" s="15"/>
    </row>
    <row r="1028" spans="12:24" ht="14" hidden="1" thickBot="1">
      <c r="L1028" s="108"/>
      <c r="M1028" s="249"/>
      <c r="N1028" s="360" t="s">
        <v>453</v>
      </c>
      <c r="O1028" s="282"/>
      <c r="P1028" s="282"/>
      <c r="Q1028" s="282"/>
      <c r="R1028" s="797" t="e">
        <f>R1027/O736*100</f>
        <v>#REF!</v>
      </c>
      <c r="S1028" s="798" t="e">
        <f>S1027/Q736*100</f>
        <v>#REF!</v>
      </c>
      <c r="T1028" s="799" t="e">
        <f>T1027/R736*100</f>
        <v>#REF!</v>
      </c>
      <c r="U1028" s="797" t="e">
        <f>U1027/S736*100</f>
        <v>#DIV/0!</v>
      </c>
      <c r="V1028" s="798" t="e">
        <f>V1027/T736*100</f>
        <v>#DIV/0!</v>
      </c>
      <c r="W1028" s="799" t="e">
        <f>W1027/U736*100</f>
        <v>#DIV/0!</v>
      </c>
      <c r="X1028" s="15"/>
    </row>
    <row r="1029" spans="12:24" hidden="1">
      <c r="L1029" s="108"/>
      <c r="M1029" s="249"/>
      <c r="N1029" s="1338" t="s">
        <v>454</v>
      </c>
      <c r="O1029" s="736"/>
      <c r="P1029" s="736"/>
      <c r="Q1029" s="736"/>
      <c r="R1029" s="800" t="e">
        <f t="shared" ref="R1029:W1029" si="237">R845/R1022-R933*0.5</f>
        <v>#REF!</v>
      </c>
      <c r="S1029" s="612" t="e">
        <f t="shared" si="237"/>
        <v>#REF!</v>
      </c>
      <c r="T1029" s="613" t="e">
        <f t="shared" si="237"/>
        <v>#REF!</v>
      </c>
      <c r="U1029" s="738" t="e">
        <f t="shared" si="237"/>
        <v>#DIV/0!</v>
      </c>
      <c r="V1029" s="612" t="e">
        <f t="shared" si="237"/>
        <v>#DIV/0!</v>
      </c>
      <c r="W1029" s="613" t="e">
        <f t="shared" si="237"/>
        <v>#DIV/0!</v>
      </c>
      <c r="X1029" s="15"/>
    </row>
    <row r="1030" spans="12:24" hidden="1">
      <c r="L1030" s="108"/>
      <c r="M1030" s="249"/>
      <c r="N1030" s="360" t="s">
        <v>455</v>
      </c>
      <c r="O1030" s="282"/>
      <c r="P1030" s="282"/>
      <c r="Q1030" s="282"/>
      <c r="R1030" s="796" t="e">
        <f t="shared" ref="R1030:W1030" si="238">R845/R1022-R935*0.5</f>
        <v>#REF!</v>
      </c>
      <c r="S1030" s="431" t="e">
        <f t="shared" si="238"/>
        <v>#REF!</v>
      </c>
      <c r="T1030" s="596" t="e">
        <f t="shared" si="238"/>
        <v>#REF!</v>
      </c>
      <c r="U1030" s="739" t="e">
        <f t="shared" si="238"/>
        <v>#DIV/0!</v>
      </c>
      <c r="V1030" s="431" t="e">
        <f t="shared" si="238"/>
        <v>#DIV/0!</v>
      </c>
      <c r="W1030" s="596" t="e">
        <f t="shared" si="238"/>
        <v>#DIV/0!</v>
      </c>
      <c r="X1030" s="15"/>
    </row>
    <row r="1031" spans="12:24" ht="14" hidden="1" thickBot="1">
      <c r="L1031" s="108"/>
      <c r="M1031" s="249"/>
      <c r="N1031" s="375" t="s">
        <v>456</v>
      </c>
      <c r="O1031" s="711"/>
      <c r="P1031" s="711"/>
      <c r="Q1031" s="711"/>
      <c r="R1031" s="801" t="e">
        <f t="shared" ref="R1031:W1031" si="239">R845/R1022-R934*0.5</f>
        <v>#REF!</v>
      </c>
      <c r="S1031" s="742" t="e">
        <f t="shared" si="239"/>
        <v>#REF!</v>
      </c>
      <c r="T1031" s="743" t="e">
        <f t="shared" si="239"/>
        <v>#REF!</v>
      </c>
      <c r="U1031" s="741" t="e">
        <f t="shared" si="239"/>
        <v>#DIV/0!</v>
      </c>
      <c r="V1031" s="742" t="e">
        <f t="shared" si="239"/>
        <v>#DIV/0!</v>
      </c>
      <c r="W1031" s="743" t="e">
        <f t="shared" si="239"/>
        <v>#DIV/0!</v>
      </c>
      <c r="X1031" s="15"/>
    </row>
    <row r="1032" spans="12:24" hidden="1">
      <c r="L1032" s="108"/>
      <c r="M1032" s="249"/>
      <c r="N1032" s="1262" t="s">
        <v>699</v>
      </c>
      <c r="O1032" s="289"/>
      <c r="P1032" s="289"/>
      <c r="Q1032" s="289"/>
      <c r="R1032" s="802" t="e">
        <f>R1023*(0.33-0.2*R834/O735)</f>
        <v>#REF!</v>
      </c>
      <c r="S1032" s="756" t="e">
        <f>S1023*(0.33-0.2*S834/Q735)</f>
        <v>#REF!</v>
      </c>
      <c r="T1032" s="803" t="e">
        <f>T1023*(0.33-0.2*T834/R735)</f>
        <v>#REF!</v>
      </c>
      <c r="U1032" s="802" t="e">
        <f>U1023*(0.33-0.2*U834/S735)</f>
        <v>#DIV/0!</v>
      </c>
      <c r="V1032" s="756" t="e">
        <f>V1023*(0.33-0.2*V834/T735)</f>
        <v>#DIV/0!</v>
      </c>
      <c r="W1032" s="803" t="e">
        <f>W1023*(0.33-0.2*W834/U735)</f>
        <v>#DIV/0!</v>
      </c>
      <c r="X1032" s="15"/>
    </row>
    <row r="1033" spans="12:24" hidden="1">
      <c r="L1033" s="108"/>
      <c r="M1033" s="249"/>
      <c r="N1033" s="1262" t="s">
        <v>457</v>
      </c>
      <c r="O1033" s="289"/>
      <c r="P1033" s="289"/>
      <c r="Q1033" s="289"/>
      <c r="R1033" s="792" t="e">
        <f t="shared" ref="R1033:W1033" si="240">R1081*0.33</f>
        <v>#REF!</v>
      </c>
      <c r="S1033" s="598" t="e">
        <f t="shared" si="240"/>
        <v>#REF!</v>
      </c>
      <c r="T1033" s="793" t="e">
        <f t="shared" si="240"/>
        <v>#REF!</v>
      </c>
      <c r="U1033" s="792" t="e">
        <f t="shared" si="240"/>
        <v>#DIV/0!</v>
      </c>
      <c r="V1033" s="598" t="e">
        <f t="shared" si="240"/>
        <v>#DIV/0!</v>
      </c>
      <c r="W1033" s="793" t="e">
        <f t="shared" si="240"/>
        <v>#DIV/0!</v>
      </c>
      <c r="X1033" s="15"/>
    </row>
    <row r="1034" spans="12:24" hidden="1">
      <c r="L1034" s="108"/>
      <c r="M1034" s="249"/>
      <c r="N1034" s="1262" t="s">
        <v>700</v>
      </c>
      <c r="O1034" s="289"/>
      <c r="P1034" s="289"/>
      <c r="Q1034" s="289"/>
      <c r="R1034" s="792" t="e">
        <f>R1081*(0.33-0.2*R834/O735)</f>
        <v>#REF!</v>
      </c>
      <c r="S1034" s="598" t="e">
        <f>S1081*(0.33-0.2*S834/Q735)</f>
        <v>#REF!</v>
      </c>
      <c r="T1034" s="793" t="e">
        <f>T1081*(0.33-0.2*T834/R735)</f>
        <v>#REF!</v>
      </c>
      <c r="U1034" s="792" t="e">
        <f>U1081*(0.33-0.2*U834/S735)</f>
        <v>#DIV/0!</v>
      </c>
      <c r="V1034" s="598" t="e">
        <f>V1081*(0.33-0.2*V834/T735)</f>
        <v>#DIV/0!</v>
      </c>
      <c r="W1034" s="793" t="e">
        <f>W1081*(0.33-0.2*W834/U735)</f>
        <v>#DIV/0!</v>
      </c>
      <c r="X1034" s="15"/>
    </row>
    <row r="1035" spans="12:24" hidden="1">
      <c r="L1035" s="108"/>
      <c r="M1035" s="249"/>
      <c r="N1035" s="1262" t="s">
        <v>447</v>
      </c>
      <c r="O1035" s="289"/>
      <c r="P1035" s="289"/>
      <c r="Q1035" s="289"/>
      <c r="R1035" s="792" t="e">
        <f t="shared" ref="R1035:W1035" si="241">R1032-R935*0.5</f>
        <v>#REF!</v>
      </c>
      <c r="S1035" s="598" t="e">
        <f t="shared" si="241"/>
        <v>#REF!</v>
      </c>
      <c r="T1035" s="793" t="e">
        <f t="shared" si="241"/>
        <v>#REF!</v>
      </c>
      <c r="U1035" s="792" t="e">
        <f t="shared" si="241"/>
        <v>#DIV/0!</v>
      </c>
      <c r="V1035" s="598" t="e">
        <f t="shared" si="241"/>
        <v>#DIV/0!</v>
      </c>
      <c r="W1035" s="793" t="e">
        <f t="shared" si="241"/>
        <v>#DIV/0!</v>
      </c>
    </row>
    <row r="1036" spans="12:24" hidden="1">
      <c r="L1036" s="108"/>
      <c r="M1036" s="249"/>
      <c r="N1036" s="1262" t="s">
        <v>652</v>
      </c>
      <c r="O1036" s="289"/>
      <c r="P1036" s="289"/>
      <c r="Q1036" s="289"/>
      <c r="R1036" s="756" t="e">
        <f>R1023/O736</f>
        <v>#REF!</v>
      </c>
      <c r="S1036" s="756" t="e">
        <f>S1023/Q736</f>
        <v>#REF!</v>
      </c>
      <c r="T1036" s="756" t="e">
        <f>T1023/R736</f>
        <v>#REF!</v>
      </c>
      <c r="U1036" s="756" t="e">
        <f>U1023/S736</f>
        <v>#DIV/0!</v>
      </c>
      <c r="V1036" s="756" t="e">
        <f>V1023/T736</f>
        <v>#DIV/0!</v>
      </c>
      <c r="W1036" s="756" t="e">
        <f>W1023/U736</f>
        <v>#DIV/0!</v>
      </c>
    </row>
    <row r="1037" spans="12:24" hidden="1">
      <c r="L1037" s="108"/>
      <c r="M1037" s="249"/>
      <c r="N1037" s="1262" t="s">
        <v>683</v>
      </c>
      <c r="O1037" s="289"/>
      <c r="P1037" s="289"/>
      <c r="Q1037" s="289"/>
      <c r="R1037" s="769" t="e">
        <f>"Itrip / Iout="&amp;TEXT(S1036,"#.00")&amp;" should be approximately 1.5 to 1.7"</f>
        <v>#REF!</v>
      </c>
      <c r="S1037" s="770"/>
      <c r="T1037" s="771"/>
      <c r="U1037" s="1449" t="e">
        <f>"Itrip / Iout="&amp;TEXT(V1036,"#.00")&amp;" should be approximately 1.5 to 1.7"</f>
        <v>#DIV/0!</v>
      </c>
      <c r="V1037" s="1450"/>
      <c r="W1037" s="1451"/>
    </row>
    <row r="1038" spans="12:24" hidden="1">
      <c r="L1038" s="108"/>
      <c r="M1038" s="249"/>
      <c r="N1038" s="1262" t="s">
        <v>653</v>
      </c>
      <c r="O1038" s="289"/>
      <c r="P1038" s="289"/>
      <c r="Q1038" s="289"/>
      <c r="R1038" s="650">
        <f>S1038</f>
        <v>0</v>
      </c>
      <c r="S1038" s="754">
        <f>H556</f>
        <v>0</v>
      </c>
      <c r="T1038" s="652">
        <f>S1038</f>
        <v>0</v>
      </c>
      <c r="U1038" s="650">
        <f>V1038</f>
        <v>0</v>
      </c>
      <c r="V1038" s="754">
        <f>I556</f>
        <v>0</v>
      </c>
      <c r="W1038" s="652">
        <f>V1038</f>
        <v>0</v>
      </c>
    </row>
    <row r="1039" spans="12:24" hidden="1">
      <c r="L1039" s="108"/>
      <c r="M1039" s="249"/>
      <c r="N1039" s="1262" t="s">
        <v>654</v>
      </c>
      <c r="O1039" s="289"/>
      <c r="P1039" s="289"/>
      <c r="Q1039" s="289"/>
      <c r="R1039" s="598" t="e">
        <f t="shared" ref="R1039:W1039" si="242">R1020/R1022/R1038*1000</f>
        <v>#REF!</v>
      </c>
      <c r="S1039" s="598" t="e">
        <f t="shared" si="242"/>
        <v>#REF!</v>
      </c>
      <c r="T1039" s="598" t="e">
        <f t="shared" si="242"/>
        <v>#REF!</v>
      </c>
      <c r="U1039" s="598" t="e">
        <f t="shared" si="242"/>
        <v>#DIV/0!</v>
      </c>
      <c r="V1039" s="598" t="e">
        <f t="shared" si="242"/>
        <v>#DIV/0!</v>
      </c>
      <c r="W1039" s="598" t="e">
        <f t="shared" si="242"/>
        <v>#DIV/0!</v>
      </c>
    </row>
    <row r="1040" spans="12:24" hidden="1">
      <c r="L1040" s="108"/>
      <c r="M1040" s="249"/>
      <c r="N1040" s="1262" t="s">
        <v>701</v>
      </c>
      <c r="O1040" s="289"/>
      <c r="P1040" s="289"/>
      <c r="Q1040" s="289"/>
      <c r="R1040" s="804"/>
      <c r="S1040" s="598" t="e">
        <f>#REF!</f>
        <v>#REF!</v>
      </c>
      <c r="T1040" s="805"/>
      <c r="U1040" s="804"/>
      <c r="V1040" s="598">
        <f>I731</f>
        <v>0</v>
      </c>
      <c r="W1040" s="805"/>
    </row>
    <row r="1041" spans="1:24" hidden="1">
      <c r="L1041" s="108"/>
      <c r="M1041" s="249"/>
      <c r="N1041" s="1262" t="s">
        <v>702</v>
      </c>
      <c r="O1041" s="289"/>
      <c r="P1041" s="289"/>
      <c r="Q1041" s="289"/>
      <c r="R1041" s="804"/>
      <c r="S1041" s="598" t="e">
        <f>S1020/S1022</f>
        <v>#REF!</v>
      </c>
      <c r="T1041" s="805"/>
      <c r="U1041" s="804"/>
      <c r="V1041" s="598" t="e">
        <f>V1020/V1022</f>
        <v>#DIV/0!</v>
      </c>
      <c r="W1041" s="805"/>
    </row>
    <row r="1042" spans="1:24" hidden="1">
      <c r="L1042" s="108"/>
      <c r="M1042" s="249"/>
      <c r="N1042" s="1262" t="s">
        <v>703</v>
      </c>
      <c r="O1042" s="289"/>
      <c r="P1042" s="289"/>
      <c r="Q1042" s="289"/>
      <c r="R1042" s="804"/>
      <c r="S1042" s="598" t="e">
        <f>S1038*S1040/1000</f>
        <v>#REF!</v>
      </c>
      <c r="T1042" s="805"/>
      <c r="U1042" s="804"/>
      <c r="V1042" s="598">
        <f>V1038*V1040/1000</f>
        <v>0</v>
      </c>
      <c r="W1042" s="805"/>
    </row>
    <row r="1043" spans="1:24" hidden="1">
      <c r="L1043" s="108"/>
      <c r="M1043" s="249"/>
      <c r="N1043" s="360" t="s">
        <v>685</v>
      </c>
      <c r="O1043" s="282"/>
      <c r="P1043" s="282"/>
      <c r="Q1043" s="282"/>
      <c r="R1043" s="778"/>
      <c r="S1043" s="779">
        <f>H579</f>
        <v>0</v>
      </c>
      <c r="T1043" s="780"/>
      <c r="U1043" s="778"/>
      <c r="V1043" s="779">
        <f>BQ579</f>
        <v>50</v>
      </c>
      <c r="W1043" s="780"/>
    </row>
    <row r="1044" spans="1:24" hidden="1">
      <c r="L1044" s="108"/>
      <c r="M1044" s="249"/>
      <c r="N1044" s="360" t="s">
        <v>686</v>
      </c>
      <c r="O1044" s="282"/>
      <c r="P1044" s="282"/>
      <c r="Q1044" s="282"/>
      <c r="R1044" s="728" t="e">
        <f>S1044</f>
        <v>#REF!</v>
      </c>
      <c r="S1044" s="726" t="e">
        <f>0.1*Q736/S1023/S830/(S814*S1043*10^-9)/1000</f>
        <v>#REF!</v>
      </c>
      <c r="T1044" s="727" t="e">
        <f>S1044</f>
        <v>#REF!</v>
      </c>
      <c r="U1044" s="728" t="e">
        <f>V1044</f>
        <v>#DIV/0!</v>
      </c>
      <c r="V1044" s="726" t="e">
        <f>0.1*T736/V1023/V830/(V814*V1043*10^-9)/1000</f>
        <v>#DIV/0!</v>
      </c>
      <c r="W1044" s="727" t="e">
        <f>V1044</f>
        <v>#DIV/0!</v>
      </c>
    </row>
    <row r="1045" spans="1:24" hidden="1">
      <c r="L1045" s="108"/>
      <c r="M1045" s="249"/>
      <c r="N1045" s="360" t="s">
        <v>687</v>
      </c>
      <c r="O1045" s="282"/>
      <c r="P1045" s="282"/>
      <c r="Q1045" s="282"/>
      <c r="R1045" s="728">
        <f>S1045</f>
        <v>0</v>
      </c>
      <c r="S1045" s="726">
        <f>H581</f>
        <v>0</v>
      </c>
      <c r="T1045" s="727">
        <f>S1045</f>
        <v>0</v>
      </c>
      <c r="U1045" s="728">
        <f>V1045</f>
        <v>2.2000000000000002</v>
      </c>
      <c r="V1045" s="726">
        <f>BQ581</f>
        <v>2.2000000000000002</v>
      </c>
      <c r="W1045" s="727">
        <f>V1045</f>
        <v>2.2000000000000002</v>
      </c>
    </row>
    <row r="1046" spans="1:24" hidden="1">
      <c r="L1046" s="108"/>
      <c r="M1046" s="249"/>
      <c r="N1046" s="360" t="s">
        <v>688</v>
      </c>
      <c r="O1046" s="282"/>
      <c r="P1046" s="282"/>
      <c r="Q1046" s="282"/>
      <c r="R1046" s="726" t="e">
        <f>0.1*O736/R1023/R830/(R814*R1045*10^-9)/1000</f>
        <v>#REF!</v>
      </c>
      <c r="S1046" s="726" t="e">
        <f>0.1*Q736/S1023/S830/(S814*S1045*10^-9)/1000</f>
        <v>#REF!</v>
      </c>
      <c r="T1046" s="726" t="e">
        <f>0.1*R736/T1023/T830/(T814*T1045*10^-9)/1000</f>
        <v>#REF!</v>
      </c>
      <c r="U1046" s="726" t="e">
        <f>0.1*S736/U1023/U830/(U814*U1045*10^-9)/1000</f>
        <v>#DIV/0!</v>
      </c>
      <c r="V1046" s="726" t="e">
        <f>0.1*T736/V1023/V830/(V814*V1045*10^-9)/1000</f>
        <v>#DIV/0!</v>
      </c>
      <c r="W1046" s="726" t="e">
        <f>0.1*U736/W1023/W830/(W814*W1045*10^-9)/1000</f>
        <v>#DIV/0!</v>
      </c>
    </row>
    <row r="1047" spans="1:24" hidden="1">
      <c r="L1047" s="108"/>
      <c r="M1047" s="249"/>
      <c r="N1047" s="360" t="s">
        <v>689</v>
      </c>
      <c r="O1047" s="282"/>
      <c r="P1047" s="282"/>
      <c r="Q1047" s="282"/>
      <c r="R1047" s="650">
        <f>S1047</f>
        <v>0</v>
      </c>
      <c r="S1047" s="726">
        <f>H583</f>
        <v>0</v>
      </c>
      <c r="T1047" s="652">
        <f>S1047</f>
        <v>0</v>
      </c>
      <c r="U1047" s="650">
        <f>V1047</f>
        <v>120</v>
      </c>
      <c r="V1047" s="726">
        <f>BQ583</f>
        <v>120</v>
      </c>
      <c r="W1047" s="652">
        <f>V1047</f>
        <v>120</v>
      </c>
    </row>
    <row r="1048" spans="1:24" hidden="1">
      <c r="L1048" s="108"/>
      <c r="M1048" s="250"/>
      <c r="N1048" s="360" t="s">
        <v>690</v>
      </c>
      <c r="O1048" s="282"/>
      <c r="P1048" s="282"/>
      <c r="Q1048" s="282"/>
      <c r="R1048" s="650">
        <f>S1048</f>
        <v>0</v>
      </c>
      <c r="S1048" s="726">
        <f>H585</f>
        <v>0</v>
      </c>
      <c r="T1048" s="652">
        <f>S1048</f>
        <v>0</v>
      </c>
      <c r="U1048" s="650">
        <f>V1048</f>
        <v>37.303920454545455</v>
      </c>
      <c r="V1048" s="726">
        <f>BQ587</f>
        <v>37.303920454545455</v>
      </c>
      <c r="W1048" s="652">
        <f>V1048</f>
        <v>37.303920454545455</v>
      </c>
    </row>
    <row r="1049" spans="1:24" hidden="1">
      <c r="L1049" s="108"/>
      <c r="M1049" s="249"/>
      <c r="N1049" s="360" t="s">
        <v>78</v>
      </c>
      <c r="O1049" s="282"/>
      <c r="P1049" s="282"/>
      <c r="Q1049" s="282"/>
      <c r="R1049" s="726" t="e">
        <f t="shared" ref="R1049:W1049" si="243">R935*R1048</f>
        <v>#REF!</v>
      </c>
      <c r="S1049" s="726" t="e">
        <f t="shared" si="243"/>
        <v>#REF!</v>
      </c>
      <c r="T1049" s="726" t="e">
        <f t="shared" si="243"/>
        <v>#REF!</v>
      </c>
      <c r="U1049" s="726" t="e">
        <f t="shared" si="243"/>
        <v>#REF!</v>
      </c>
      <c r="V1049" s="726" t="e">
        <f t="shared" si="243"/>
        <v>#REF!</v>
      </c>
      <c r="W1049" s="726" t="e">
        <f t="shared" si="243"/>
        <v>#REF!</v>
      </c>
    </row>
    <row r="1050" spans="1:24" hidden="1">
      <c r="L1050" s="108"/>
      <c r="M1050" s="249"/>
      <c r="N1050" s="360" t="s">
        <v>691</v>
      </c>
      <c r="O1050" s="282"/>
      <c r="P1050" s="282"/>
      <c r="Q1050" s="282"/>
      <c r="R1050" s="726" t="e">
        <f t="shared" ref="R1050:W1050" si="244">5/PI()*R1023*R830*R814*R1045/R1047</f>
        <v>#REF!</v>
      </c>
      <c r="S1050" s="726" t="e">
        <f t="shared" si="244"/>
        <v>#REF!</v>
      </c>
      <c r="T1050" s="726" t="e">
        <f t="shared" si="244"/>
        <v>#REF!</v>
      </c>
      <c r="U1050" s="726" t="e">
        <f t="shared" si="244"/>
        <v>#DIV/0!</v>
      </c>
      <c r="V1050" s="726" t="e">
        <f t="shared" si="244"/>
        <v>#DIV/0!</v>
      </c>
      <c r="W1050" s="726" t="e">
        <f t="shared" si="244"/>
        <v>#DIV/0!</v>
      </c>
    </row>
    <row r="1051" spans="1:24" hidden="1">
      <c r="A1051" s="310"/>
      <c r="L1051" s="108"/>
      <c r="M1051" s="249"/>
      <c r="N1051" s="360"/>
      <c r="O1051" s="282"/>
      <c r="P1051" s="282"/>
      <c r="Q1051" s="282"/>
      <c r="R1051" s="650" t="e">
        <f>"fo("&amp;TEXT(S1050,"#.0")&amp;"-kHz) should be less than fsw/3("&amp;TEXT(S929,"###")&amp;"-kHz)"</f>
        <v>#REF!</v>
      </c>
      <c r="S1051" s="726"/>
      <c r="T1051" s="652"/>
      <c r="U1051" s="650" t="e">
        <f>"fo("&amp;TEXT(V1050,"#.0")&amp;"-kHz) should be less than fsw/3("&amp;TEXT(V929,"###")&amp;"-kHz)"</f>
        <v>#DIV/0!</v>
      </c>
      <c r="V1051" s="726"/>
      <c r="W1051" s="652"/>
    </row>
    <row r="1052" spans="1:24" hidden="1">
      <c r="L1052" s="108"/>
      <c r="M1052" s="249"/>
      <c r="N1052" s="360" t="s">
        <v>692</v>
      </c>
      <c r="O1052" s="282"/>
      <c r="P1052" s="282"/>
      <c r="Q1052" s="282"/>
      <c r="R1052" s="726" t="e">
        <f t="shared" ref="R1052:W1052" si="245">15/PI()*R1023*R830*R814*R1045/R849</f>
        <v>#REF!</v>
      </c>
      <c r="S1052" s="726" t="e">
        <f t="shared" si="245"/>
        <v>#REF!</v>
      </c>
      <c r="T1052" s="726" t="e">
        <f t="shared" si="245"/>
        <v>#REF!</v>
      </c>
      <c r="U1052" s="726" t="e">
        <f t="shared" si="245"/>
        <v>#DIV/0!</v>
      </c>
      <c r="V1052" s="726" t="e">
        <f t="shared" si="245"/>
        <v>#DIV/0!</v>
      </c>
      <c r="W1052" s="726" t="e">
        <f t="shared" si="245"/>
        <v>#DIV/0!</v>
      </c>
    </row>
    <row r="1053" spans="1:24" hidden="1">
      <c r="L1053" s="108"/>
      <c r="M1053" s="249"/>
      <c r="N1053" s="360" t="s">
        <v>693</v>
      </c>
      <c r="O1053" s="282"/>
      <c r="P1053" s="282"/>
      <c r="Q1053" s="282"/>
      <c r="R1053" s="43" t="e">
        <f>"More than "&amp;TEXT(T1052,"#.0")&amp;"-uF"</f>
        <v>#REF!</v>
      </c>
      <c r="S1053" s="40"/>
      <c r="T1053" s="42"/>
      <c r="U1053" s="1444" t="e">
        <f>"More than "&amp;TEXT(W1052,"#.0")&amp;"-uF"</f>
        <v>#DIV/0!</v>
      </c>
      <c r="V1053" s="1445"/>
      <c r="W1053" s="1446"/>
    </row>
    <row r="1054" spans="1:24" ht="14" hidden="1" thickBot="1">
      <c r="L1054" s="108"/>
      <c r="M1054" s="120"/>
      <c r="N1054" s="360" t="s">
        <v>694</v>
      </c>
      <c r="O1054" s="282"/>
      <c r="P1054" s="282"/>
      <c r="Q1054" s="282"/>
      <c r="R1054" s="733" t="e">
        <f t="shared" ref="R1054:W1054" si="246">R1047*R1048/R1045</f>
        <v>#DIV/0!</v>
      </c>
      <c r="S1054" s="731" t="e">
        <f t="shared" si="246"/>
        <v>#DIV/0!</v>
      </c>
      <c r="T1054" s="732" t="e">
        <f t="shared" si="246"/>
        <v>#DIV/0!</v>
      </c>
      <c r="U1054" s="733">
        <f t="shared" si="246"/>
        <v>2034.7592975206608</v>
      </c>
      <c r="V1054" s="731">
        <f t="shared" si="246"/>
        <v>2034.7592975206608</v>
      </c>
      <c r="W1054" s="732">
        <f t="shared" si="246"/>
        <v>2034.7592975206608</v>
      </c>
    </row>
    <row r="1055" spans="1:24" ht="14" hidden="1" thickBot="1">
      <c r="L1055" s="108"/>
      <c r="M1055" s="120"/>
      <c r="N1055" s="1344" t="s">
        <v>704</v>
      </c>
      <c r="O1055" s="806"/>
      <c r="P1055" s="806"/>
      <c r="Q1055" s="806"/>
      <c r="R1055" s="807"/>
      <c r="S1055" s="807"/>
      <c r="T1055" s="807"/>
      <c r="U1055" s="807"/>
      <c r="V1055" s="807"/>
      <c r="W1055" s="808"/>
      <c r="X1055" s="15"/>
    </row>
    <row r="1056" spans="1:24" hidden="1">
      <c r="L1056" s="108"/>
      <c r="M1056" s="120"/>
      <c r="N1056" s="1345" t="s">
        <v>705</v>
      </c>
      <c r="O1056" s="282"/>
      <c r="P1056" s="282"/>
      <c r="Q1056" s="282"/>
      <c r="R1056" s="809" t="e">
        <f>S1056</f>
        <v>#REF!</v>
      </c>
      <c r="S1056" s="571" t="e">
        <f>#REF!</f>
        <v>#REF!</v>
      </c>
      <c r="T1056" s="810" t="e">
        <f>S1056</f>
        <v>#REF!</v>
      </c>
      <c r="U1056" s="809">
        <f>V1056</f>
        <v>0</v>
      </c>
      <c r="V1056" s="571">
        <f>I757</f>
        <v>0</v>
      </c>
      <c r="W1056" s="810">
        <f>V1056</f>
        <v>0</v>
      </c>
    </row>
    <row r="1057" spans="12:24" hidden="1">
      <c r="L1057" s="108"/>
      <c r="M1057" s="120"/>
      <c r="N1057" s="1345" t="s">
        <v>706</v>
      </c>
      <c r="O1057" s="282"/>
      <c r="P1057" s="282"/>
      <c r="Q1057" s="282"/>
      <c r="R1057" s="653" t="e">
        <f t="shared" ref="R1057:W1057" si="247">R845/(R1056+R935*0.5)</f>
        <v>#REF!</v>
      </c>
      <c r="S1057" s="651" t="e">
        <f t="shared" si="247"/>
        <v>#REF!</v>
      </c>
      <c r="T1057" s="654" t="e">
        <f t="shared" si="247"/>
        <v>#REF!</v>
      </c>
      <c r="U1057" s="653" t="e">
        <f t="shared" si="247"/>
        <v>#REF!</v>
      </c>
      <c r="V1057" s="651" t="e">
        <f t="shared" si="247"/>
        <v>#REF!</v>
      </c>
      <c r="W1057" s="654" t="e">
        <f t="shared" si="247"/>
        <v>#REF!</v>
      </c>
    </row>
    <row r="1058" spans="12:24" hidden="1">
      <c r="L1058" s="108"/>
      <c r="M1058" s="120"/>
      <c r="N1058" s="1345" t="s">
        <v>707</v>
      </c>
      <c r="O1058" s="282"/>
      <c r="P1058" s="282"/>
      <c r="Q1058" s="282"/>
      <c r="R1058" s="655" t="e">
        <f t="shared" ref="R1058:W1058" si="248">R1020/R1022/R1038*1000</f>
        <v>#REF!</v>
      </c>
      <c r="S1058" s="655" t="e">
        <f t="shared" si="248"/>
        <v>#REF!</v>
      </c>
      <c r="T1058" s="655" t="e">
        <f t="shared" si="248"/>
        <v>#REF!</v>
      </c>
      <c r="U1058" s="655" t="e">
        <f t="shared" si="248"/>
        <v>#DIV/0!</v>
      </c>
      <c r="V1058" s="655" t="e">
        <f t="shared" si="248"/>
        <v>#DIV/0!</v>
      </c>
      <c r="W1058" s="655" t="e">
        <f t="shared" si="248"/>
        <v>#DIV/0!</v>
      </c>
    </row>
    <row r="1059" spans="12:24" hidden="1">
      <c r="M1059" s="108"/>
      <c r="N1059" s="1345" t="s">
        <v>708</v>
      </c>
      <c r="O1059" s="282"/>
      <c r="P1059" s="282"/>
      <c r="Q1059" s="282"/>
      <c r="R1059" s="811" t="e">
        <f t="shared" ref="R1059:W1059" si="249">R1057/R1022</f>
        <v>#REF!</v>
      </c>
      <c r="S1059" s="655" t="e">
        <f t="shared" si="249"/>
        <v>#REF!</v>
      </c>
      <c r="T1059" s="812" t="e">
        <f t="shared" si="249"/>
        <v>#REF!</v>
      </c>
      <c r="U1059" s="811" t="e">
        <f t="shared" si="249"/>
        <v>#REF!</v>
      </c>
      <c r="V1059" s="655" t="e">
        <f t="shared" si="249"/>
        <v>#REF!</v>
      </c>
      <c r="W1059" s="812" t="e">
        <f t="shared" si="249"/>
        <v>#REF!</v>
      </c>
      <c r="X1059" s="246"/>
    </row>
    <row r="1060" spans="12:24" hidden="1">
      <c r="M1060" s="108"/>
      <c r="N1060" s="1346" t="s">
        <v>709</v>
      </c>
      <c r="O1060" s="282"/>
      <c r="P1060" s="282"/>
      <c r="Q1060" s="282"/>
      <c r="R1060" s="655" t="e">
        <f t="shared" ref="R1060:W1060" si="250">R1057/R1022</f>
        <v>#REF!</v>
      </c>
      <c r="S1060" s="655" t="e">
        <f t="shared" si="250"/>
        <v>#REF!</v>
      </c>
      <c r="T1060" s="655" t="e">
        <f t="shared" si="250"/>
        <v>#REF!</v>
      </c>
      <c r="U1060" s="655" t="e">
        <f t="shared" si="250"/>
        <v>#REF!</v>
      </c>
      <c r="V1060" s="655" t="e">
        <f t="shared" si="250"/>
        <v>#REF!</v>
      </c>
      <c r="W1060" s="655" t="e">
        <f t="shared" si="250"/>
        <v>#REF!</v>
      </c>
      <c r="X1060" s="246"/>
    </row>
    <row r="1061" spans="12:24" hidden="1">
      <c r="M1061" s="108"/>
      <c r="N1061" s="1346" t="s">
        <v>710</v>
      </c>
      <c r="O1061" s="282"/>
      <c r="P1061" s="282"/>
      <c r="Q1061" s="282"/>
      <c r="R1061" s="655"/>
      <c r="S1061" s="655" t="e">
        <f>S1020/S1022/S1038*1000</f>
        <v>#REF!</v>
      </c>
      <c r="T1061" s="655" t="e">
        <f>T1020/T1022/T1038*1000</f>
        <v>#REF!</v>
      </c>
      <c r="U1061" s="655"/>
      <c r="V1061" s="655" t="e">
        <f>V1020/V1022/V1038*1000</f>
        <v>#DIV/0!</v>
      </c>
      <c r="W1061" s="655"/>
      <c r="X1061" s="246"/>
    </row>
    <row r="1062" spans="12:24" hidden="1">
      <c r="M1062" s="108"/>
      <c r="N1062" s="1346" t="s">
        <v>711</v>
      </c>
      <c r="O1062" s="47"/>
      <c r="P1062" s="47"/>
      <c r="Q1062" s="47"/>
      <c r="R1062" s="651"/>
      <c r="S1062" s="655" t="e">
        <f>S1061/T1060</f>
        <v>#REF!</v>
      </c>
      <c r="T1062" s="813" t="e">
        <f>T1020/T1057/T1038</f>
        <v>#REF!</v>
      </c>
      <c r="U1062" s="651"/>
      <c r="V1062" s="655" t="e">
        <f>V1061/W1060</f>
        <v>#DIV/0!</v>
      </c>
      <c r="W1062" s="651"/>
      <c r="X1062" s="29"/>
    </row>
    <row r="1063" spans="12:24" hidden="1">
      <c r="M1063" s="249"/>
      <c r="N1063" s="1346" t="s">
        <v>712</v>
      </c>
      <c r="O1063" s="47"/>
      <c r="P1063" s="47"/>
      <c r="Q1063" s="47"/>
      <c r="R1063" s="814" t="e">
        <f>S1063</f>
        <v>#REF!</v>
      </c>
      <c r="S1063" s="655" t="e">
        <f>#REF!</f>
        <v>#REF!</v>
      </c>
      <c r="T1063" s="815" t="e">
        <f>S1063</f>
        <v>#REF!</v>
      </c>
      <c r="U1063" s="814">
        <f>V1063</f>
        <v>0</v>
      </c>
      <c r="V1063" s="655">
        <f>I731</f>
        <v>0</v>
      </c>
      <c r="W1063" s="815">
        <f>V1063</f>
        <v>0</v>
      </c>
      <c r="X1063" s="246"/>
    </row>
    <row r="1064" spans="12:24" hidden="1">
      <c r="M1064" s="249"/>
      <c r="N1064" s="1346" t="s">
        <v>713</v>
      </c>
      <c r="O1064" s="47"/>
      <c r="P1064" s="47"/>
      <c r="Q1064" s="47"/>
      <c r="R1064" s="651"/>
      <c r="S1064" s="651" t="e">
        <f>S1063*T1060/(1-T1060)</f>
        <v>#REF!</v>
      </c>
      <c r="T1064" s="651"/>
      <c r="U1064" s="651"/>
      <c r="V1064" s="651" t="e">
        <f>V1063*W1060/(1-W1060)</f>
        <v>#REF!</v>
      </c>
      <c r="W1064" s="651"/>
      <c r="X1064" s="246"/>
    </row>
    <row r="1065" spans="12:24" hidden="1">
      <c r="M1065" s="249"/>
      <c r="N1065" s="1346" t="s">
        <v>714</v>
      </c>
      <c r="O1065" s="47"/>
      <c r="P1065" s="47"/>
      <c r="Q1065" s="47"/>
      <c r="R1065" s="651"/>
      <c r="S1065" s="651" t="e">
        <f>S1061*S1063/(S1063-S1061)</f>
        <v>#REF!</v>
      </c>
      <c r="T1065" s="651"/>
      <c r="U1065" s="651"/>
      <c r="V1065" s="651" t="e">
        <f>V1061*V1063/(V1063-V1061)</f>
        <v>#DIV/0!</v>
      </c>
      <c r="W1065" s="651"/>
      <c r="X1065" s="29"/>
    </row>
    <row r="1066" spans="12:24" hidden="1">
      <c r="M1066" s="249"/>
      <c r="N1066" s="1346" t="s">
        <v>715</v>
      </c>
      <c r="O1066" s="47"/>
      <c r="P1066" s="47"/>
      <c r="Q1066" s="47"/>
      <c r="R1066" s="816" t="e">
        <f>S1066</f>
        <v>#REF!</v>
      </c>
      <c r="S1066" s="651" t="e">
        <f>#REF!</f>
        <v>#REF!</v>
      </c>
      <c r="T1066" s="817" t="e">
        <f>S1066</f>
        <v>#REF!</v>
      </c>
      <c r="U1066" s="816">
        <f>V1066</f>
        <v>0</v>
      </c>
      <c r="V1066" s="651">
        <f>I733</f>
        <v>0</v>
      </c>
      <c r="W1066" s="817">
        <f>V1066</f>
        <v>0</v>
      </c>
      <c r="X1066" s="29"/>
    </row>
    <row r="1067" spans="12:24" hidden="1">
      <c r="M1067" s="249"/>
      <c r="N1067" s="1346" t="s">
        <v>716</v>
      </c>
      <c r="O1067" s="47"/>
      <c r="P1067" s="47"/>
      <c r="Q1067" s="47"/>
      <c r="R1067" s="814" t="e">
        <f>S1067</f>
        <v>#REF!</v>
      </c>
      <c r="S1067" s="655" t="e">
        <f>S1066/(S1066+S1063)*S1022</f>
        <v>#REF!</v>
      </c>
      <c r="T1067" s="815" t="e">
        <f>S1067</f>
        <v>#REF!</v>
      </c>
      <c r="U1067" s="814" t="e">
        <f>V1067</f>
        <v>#DIV/0!</v>
      </c>
      <c r="V1067" s="655" t="e">
        <f>V1066/(V1066+V1063)*V1022</f>
        <v>#DIV/0!</v>
      </c>
      <c r="W1067" s="815" t="e">
        <f>V1067</f>
        <v>#DIV/0!</v>
      </c>
      <c r="X1067" s="29"/>
    </row>
    <row r="1068" spans="12:24" ht="14" hidden="1" thickBot="1">
      <c r="M1068" s="249"/>
      <c r="N1068" s="1346" t="s">
        <v>717</v>
      </c>
      <c r="O1068" s="47"/>
      <c r="P1068" s="47"/>
      <c r="Q1068" s="47"/>
      <c r="R1068" s="651" t="e">
        <f t="shared" ref="R1068:W1068" si="251">R845/R1067</f>
        <v>#REF!</v>
      </c>
      <c r="S1068" s="651" t="e">
        <f t="shared" si="251"/>
        <v>#REF!</v>
      </c>
      <c r="T1068" s="651" t="e">
        <f t="shared" si="251"/>
        <v>#REF!</v>
      </c>
      <c r="U1068" s="651" t="e">
        <f t="shared" si="251"/>
        <v>#DIV/0!</v>
      </c>
      <c r="V1068" s="651" t="e">
        <f t="shared" si="251"/>
        <v>#DIV/0!</v>
      </c>
      <c r="W1068" s="651" t="e">
        <f t="shared" si="251"/>
        <v>#DIV/0!</v>
      </c>
      <c r="X1068" s="29"/>
    </row>
    <row r="1069" spans="12:24" hidden="1">
      <c r="M1069" s="249"/>
      <c r="N1069" s="1347"/>
      <c r="O1069" s="48"/>
      <c r="P1069" s="48"/>
      <c r="Q1069" s="48"/>
      <c r="R1069" s="818" t="e">
        <f t="shared" ref="R1069:W1069" si="252">R845/R1067-R934*0.5</f>
        <v>#REF!</v>
      </c>
      <c r="S1069" s="818" t="e">
        <f t="shared" si="252"/>
        <v>#REF!</v>
      </c>
      <c r="T1069" s="818" t="e">
        <f t="shared" si="252"/>
        <v>#REF!</v>
      </c>
      <c r="U1069" s="818" t="e">
        <f t="shared" si="252"/>
        <v>#DIV/0!</v>
      </c>
      <c r="V1069" s="818" t="e">
        <f t="shared" si="252"/>
        <v>#DIV/0!</v>
      </c>
      <c r="W1069" s="818" t="e">
        <f t="shared" si="252"/>
        <v>#DIV/0!</v>
      </c>
      <c r="X1069" s="29"/>
    </row>
    <row r="1070" spans="12:24" hidden="1">
      <c r="M1070" s="249"/>
      <c r="N1070" s="1346" t="s">
        <v>718</v>
      </c>
      <c r="O1070" s="47"/>
      <c r="P1070" s="47"/>
      <c r="Q1070" s="47"/>
      <c r="R1070" s="819" t="e">
        <f t="shared" ref="R1070:W1070" si="253">R845/R1067-R935*0.5</f>
        <v>#REF!</v>
      </c>
      <c r="S1070" s="819" t="e">
        <f t="shared" si="253"/>
        <v>#REF!</v>
      </c>
      <c r="T1070" s="819" t="e">
        <f t="shared" si="253"/>
        <v>#REF!</v>
      </c>
      <c r="U1070" s="819" t="e">
        <f t="shared" si="253"/>
        <v>#DIV/0!</v>
      </c>
      <c r="V1070" s="819" t="e">
        <f t="shared" si="253"/>
        <v>#DIV/0!</v>
      </c>
      <c r="W1070" s="820" t="e">
        <f t="shared" si="253"/>
        <v>#DIV/0!</v>
      </c>
      <c r="X1070" s="29"/>
    </row>
    <row r="1071" spans="12:24" ht="14" hidden="1" thickBot="1">
      <c r="M1071" s="249"/>
      <c r="N1071" s="1348"/>
      <c r="O1071" s="49"/>
      <c r="P1071" s="49"/>
      <c r="Q1071" s="49"/>
      <c r="R1071" s="821" t="e">
        <f t="shared" ref="R1071:W1071" si="254">R845/R1067-R933*0.5</f>
        <v>#REF!</v>
      </c>
      <c r="S1071" s="821" t="e">
        <f t="shared" si="254"/>
        <v>#REF!</v>
      </c>
      <c r="T1071" s="821" t="e">
        <f t="shared" si="254"/>
        <v>#REF!</v>
      </c>
      <c r="U1071" s="821" t="e">
        <f t="shared" si="254"/>
        <v>#DIV/0!</v>
      </c>
      <c r="V1071" s="821" t="e">
        <f t="shared" si="254"/>
        <v>#DIV/0!</v>
      </c>
      <c r="W1071" s="821" t="e">
        <f t="shared" si="254"/>
        <v>#DIV/0!</v>
      </c>
      <c r="X1071" s="29"/>
    </row>
    <row r="1072" spans="12:24" hidden="1">
      <c r="M1072" s="249"/>
      <c r="N1072" s="1345" t="s">
        <v>719</v>
      </c>
      <c r="O1072" s="282"/>
      <c r="P1072" s="282"/>
      <c r="Q1072" s="282"/>
      <c r="R1072" s="653" t="e">
        <f t="shared" ref="R1072:W1072" si="255">1/(1-R1059)*R1020/(R1022*R1038)*1000</f>
        <v>#REF!</v>
      </c>
      <c r="S1072" s="651" t="e">
        <f t="shared" si="255"/>
        <v>#REF!</v>
      </c>
      <c r="T1072" s="654" t="e">
        <f t="shared" si="255"/>
        <v>#REF!</v>
      </c>
      <c r="U1072" s="653" t="e">
        <f t="shared" si="255"/>
        <v>#REF!</v>
      </c>
      <c r="V1072" s="651" t="e">
        <f t="shared" si="255"/>
        <v>#REF!</v>
      </c>
      <c r="W1072" s="654" t="e">
        <f t="shared" si="255"/>
        <v>#REF!</v>
      </c>
      <c r="X1072" s="29"/>
    </row>
    <row r="1073" spans="13:24" hidden="1">
      <c r="M1073" s="108"/>
      <c r="N1073" s="1345" t="s">
        <v>715</v>
      </c>
      <c r="O1073" s="282"/>
      <c r="P1073" s="282"/>
      <c r="Q1073" s="282"/>
      <c r="R1073" s="653" t="e">
        <f>S1073</f>
        <v>#REF!</v>
      </c>
      <c r="S1073" s="651" t="e">
        <f>#REF!</f>
        <v>#REF!</v>
      </c>
      <c r="T1073" s="654" t="e">
        <f>S1073</f>
        <v>#REF!</v>
      </c>
      <c r="U1073" s="653">
        <f>V1073</f>
        <v>0</v>
      </c>
      <c r="V1073" s="651">
        <f>I733</f>
        <v>0</v>
      </c>
      <c r="W1073" s="654">
        <f>V1073</f>
        <v>0</v>
      </c>
      <c r="X1073" s="29"/>
    </row>
    <row r="1074" spans="13:24" hidden="1">
      <c r="M1074" s="249"/>
      <c r="N1074" s="1345" t="s">
        <v>711</v>
      </c>
      <c r="O1074" s="282"/>
      <c r="P1074" s="282"/>
      <c r="Q1074" s="282"/>
      <c r="R1074" s="653" t="e">
        <f t="shared" ref="R1074:W1074" si="256">(1-R1059)/R1059*R1073</f>
        <v>#REF!</v>
      </c>
      <c r="S1074" s="651" t="e">
        <f t="shared" si="256"/>
        <v>#REF!</v>
      </c>
      <c r="T1074" s="654" t="e">
        <f t="shared" si="256"/>
        <v>#REF!</v>
      </c>
      <c r="U1074" s="653" t="e">
        <f t="shared" si="256"/>
        <v>#REF!</v>
      </c>
      <c r="V1074" s="651" t="e">
        <f t="shared" si="256"/>
        <v>#REF!</v>
      </c>
      <c r="W1074" s="654" t="e">
        <f t="shared" si="256"/>
        <v>#REF!</v>
      </c>
      <c r="X1074" s="29"/>
    </row>
    <row r="1075" spans="13:24" hidden="1">
      <c r="M1075" s="249"/>
      <c r="N1075" s="1345" t="s">
        <v>712</v>
      </c>
      <c r="O1075" s="282"/>
      <c r="P1075" s="282"/>
      <c r="Q1075" s="282"/>
      <c r="R1075" s="653" t="e">
        <f>S1075</f>
        <v>#REF!</v>
      </c>
      <c r="S1075" s="651" t="e">
        <f>#REF!</f>
        <v>#REF!</v>
      </c>
      <c r="T1075" s="654" t="e">
        <f>S1075</f>
        <v>#REF!</v>
      </c>
      <c r="U1075" s="653">
        <f>V1075</f>
        <v>0</v>
      </c>
      <c r="V1075" s="651">
        <f>I731</f>
        <v>0</v>
      </c>
      <c r="W1075" s="654">
        <f>V1075</f>
        <v>0</v>
      </c>
      <c r="X1075" s="29"/>
    </row>
    <row r="1076" spans="13:24" hidden="1">
      <c r="M1076" s="249"/>
      <c r="N1076" s="1345" t="s">
        <v>716</v>
      </c>
      <c r="O1076" s="282"/>
      <c r="P1076" s="282"/>
      <c r="Q1076" s="282"/>
      <c r="R1076" s="50" t="e">
        <f>S1076</f>
        <v>#REF!</v>
      </c>
      <c r="S1076" s="51" t="e">
        <f>S1073/(S1073+S1075)*S1022</f>
        <v>#REF!</v>
      </c>
      <c r="T1076" s="52" t="e">
        <f>S1076</f>
        <v>#REF!</v>
      </c>
      <c r="U1076" s="50" t="e">
        <f>V1076</f>
        <v>#DIV/0!</v>
      </c>
      <c r="V1076" s="51" t="e">
        <f>V1073/(V1073+V1075)*V1022</f>
        <v>#DIV/0!</v>
      </c>
      <c r="W1076" s="52" t="e">
        <f>V1076</f>
        <v>#DIV/0!</v>
      </c>
      <c r="X1076" s="246"/>
    </row>
    <row r="1077" spans="13:24" hidden="1">
      <c r="M1077" s="249"/>
      <c r="N1077" s="1349" t="s">
        <v>720</v>
      </c>
      <c r="O1077" s="822"/>
      <c r="P1077" s="822"/>
      <c r="Q1077" s="822"/>
      <c r="R1077" s="823"/>
      <c r="S1077" s="824" t="e">
        <f>S1020/S1022</f>
        <v>#REF!</v>
      </c>
      <c r="T1077" s="825"/>
      <c r="U1077" s="823"/>
      <c r="V1077" s="824" t="e">
        <f>V1020/V1022</f>
        <v>#DIV/0!</v>
      </c>
      <c r="W1077" s="825"/>
      <c r="X1077" s="246"/>
    </row>
    <row r="1078" spans="13:24" hidden="1">
      <c r="N1078" s="1349" t="s">
        <v>721</v>
      </c>
      <c r="O1078" s="822"/>
      <c r="P1078" s="822"/>
      <c r="Q1078" s="822"/>
      <c r="R1078" s="823"/>
      <c r="S1078" s="824" t="e">
        <f>S1038/ (1/S1063+1/S1066)/1000</f>
        <v>#REF!</v>
      </c>
      <c r="T1078" s="825"/>
      <c r="U1078" s="823"/>
      <c r="V1078" s="824" t="e">
        <f>V1038/ (1/V1063+1/V1066)/1000</f>
        <v>#DIV/0!</v>
      </c>
      <c r="W1078" s="825"/>
      <c r="X1078" s="246"/>
    </row>
    <row r="1079" spans="13:24" hidden="1">
      <c r="M1079" s="120"/>
      <c r="N1079" s="1349" t="s">
        <v>722</v>
      </c>
      <c r="O1079" s="822"/>
      <c r="P1079" s="822"/>
      <c r="Q1079" s="822"/>
      <c r="R1079" s="823"/>
      <c r="S1079" s="824" t="e">
        <f>S1078/S1077</f>
        <v>#REF!</v>
      </c>
      <c r="T1079" s="825"/>
      <c r="U1079" s="823"/>
      <c r="V1079" s="824" t="e">
        <f>V1078/V1077</f>
        <v>#DIV/0!</v>
      </c>
      <c r="W1079" s="825"/>
      <c r="X1079" s="246"/>
    </row>
    <row r="1080" spans="13:24" hidden="1">
      <c r="M1080" s="120"/>
      <c r="N1080" s="1345" t="s">
        <v>718</v>
      </c>
      <c r="O1080" s="282"/>
      <c r="P1080" s="282"/>
      <c r="Q1080" s="282"/>
      <c r="R1080" s="653" t="e">
        <f t="shared" ref="R1080:W1080" si="257">R845/R1076-R935*0.5</f>
        <v>#REF!</v>
      </c>
      <c r="S1080" s="651" t="e">
        <f t="shared" si="257"/>
        <v>#REF!</v>
      </c>
      <c r="T1080" s="654" t="e">
        <f t="shared" si="257"/>
        <v>#REF!</v>
      </c>
      <c r="U1080" s="653" t="e">
        <f t="shared" si="257"/>
        <v>#DIV/0!</v>
      </c>
      <c r="V1080" s="651" t="e">
        <f t="shared" si="257"/>
        <v>#DIV/0!</v>
      </c>
      <c r="W1080" s="654" t="e">
        <f t="shared" si="257"/>
        <v>#DIV/0!</v>
      </c>
      <c r="X1080" s="246"/>
    </row>
    <row r="1081" spans="13:24" ht="14" hidden="1" thickBot="1">
      <c r="M1081" s="120"/>
      <c r="N1081" s="1345" t="s">
        <v>717</v>
      </c>
      <c r="O1081" s="282"/>
      <c r="P1081" s="282"/>
      <c r="Q1081" s="282"/>
      <c r="R1081" s="826" t="e">
        <f t="shared" ref="R1081:W1081" si="258">R845/R1076</f>
        <v>#REF!</v>
      </c>
      <c r="S1081" s="643" t="e">
        <f t="shared" si="258"/>
        <v>#REF!</v>
      </c>
      <c r="T1081" s="827" t="e">
        <f t="shared" si="258"/>
        <v>#REF!</v>
      </c>
      <c r="U1081" s="826" t="e">
        <f t="shared" si="258"/>
        <v>#DIV/0!</v>
      </c>
      <c r="V1081" s="643" t="e">
        <f t="shared" si="258"/>
        <v>#DIV/0!</v>
      </c>
      <c r="W1081" s="827" t="e">
        <f t="shared" si="258"/>
        <v>#DIV/0!</v>
      </c>
      <c r="X1081" s="30"/>
    </row>
    <row r="1082" spans="13:24" hidden="1">
      <c r="M1082" s="120"/>
      <c r="N1082" s="1262" t="s">
        <v>652</v>
      </c>
      <c r="O1082" s="289"/>
      <c r="P1082" s="289"/>
      <c r="Q1082" s="289"/>
      <c r="R1082" s="756" t="e">
        <f>(R1070+R935/2)/O736</f>
        <v>#REF!</v>
      </c>
      <c r="S1082" s="756" t="e">
        <f>(S1070+S935/2)/Q736</f>
        <v>#REF!</v>
      </c>
      <c r="T1082" s="756" t="e">
        <f>(T1070+T935/2)/R736</f>
        <v>#REF!</v>
      </c>
      <c r="U1082" s="756" t="e">
        <f>(U1070+U935/2)/S736</f>
        <v>#DIV/0!</v>
      </c>
      <c r="V1082" s="756" t="e">
        <f>(V1070+V935/2)/T736</f>
        <v>#DIV/0!</v>
      </c>
      <c r="W1082" s="756" t="e">
        <f>(W1070+W935/2)/U736</f>
        <v>#DIV/0!</v>
      </c>
      <c r="X1082" s="29"/>
    </row>
    <row r="1083" spans="13:24" hidden="1">
      <c r="M1083" s="120"/>
      <c r="N1083" s="1262" t="s">
        <v>683</v>
      </c>
      <c r="O1083" s="289"/>
      <c r="P1083" s="289"/>
      <c r="Q1083" s="289"/>
      <c r="R1083" s="769" t="e">
        <f>"Itrip / Iout="&amp;TEXT(S1082,"#.00")&amp;" should be approximately 1.5 to 1.7"</f>
        <v>#REF!</v>
      </c>
      <c r="S1083" s="770"/>
      <c r="T1083" s="771"/>
      <c r="U1083" s="1449" t="e">
        <f>"Itrip / Iout="&amp;TEXT(V1082,"#.00")&amp;" should be approximately 1.5 to 1.7"</f>
        <v>#DIV/0!</v>
      </c>
      <c r="V1083" s="1450"/>
      <c r="W1083" s="1451"/>
      <c r="X1083" s="246"/>
    </row>
    <row r="1084" spans="13:24" hidden="1">
      <c r="M1084" s="120"/>
      <c r="N1084" s="1345" t="s">
        <v>723</v>
      </c>
      <c r="O1084" s="282"/>
      <c r="P1084" s="282"/>
      <c r="Q1084" s="282"/>
      <c r="R1084" s="770" t="e">
        <f t="shared" ref="R1084:W1084" si="259">R1073/(R1073+R1075)*R1025</f>
        <v>#REF!</v>
      </c>
      <c r="S1084" s="770" t="e">
        <f t="shared" si="259"/>
        <v>#REF!</v>
      </c>
      <c r="T1084" s="770" t="e">
        <f t="shared" si="259"/>
        <v>#REF!</v>
      </c>
      <c r="U1084" s="770" t="e">
        <f t="shared" si="259"/>
        <v>#DIV/0!</v>
      </c>
      <c r="V1084" s="770" t="e">
        <f t="shared" si="259"/>
        <v>#DIV/0!</v>
      </c>
      <c r="W1084" s="770" t="e">
        <f t="shared" si="259"/>
        <v>#DIV/0!</v>
      </c>
      <c r="X1084" s="246"/>
    </row>
    <row r="1085" spans="13:24" hidden="1">
      <c r="M1085" s="120"/>
      <c r="N1085" s="1345" t="s">
        <v>724</v>
      </c>
      <c r="O1085" s="282"/>
      <c r="P1085" s="282"/>
      <c r="Q1085" s="282"/>
      <c r="R1085" s="770" t="e">
        <f t="shared" ref="R1085:W1085" si="260">R845/R1084-R935*0.5</f>
        <v>#REF!</v>
      </c>
      <c r="S1085" s="770" t="e">
        <f t="shared" si="260"/>
        <v>#REF!</v>
      </c>
      <c r="T1085" s="770" t="e">
        <f t="shared" si="260"/>
        <v>#REF!</v>
      </c>
      <c r="U1085" s="770" t="e">
        <f t="shared" si="260"/>
        <v>#DIV/0!</v>
      </c>
      <c r="V1085" s="770" t="e">
        <f t="shared" si="260"/>
        <v>#DIV/0!</v>
      </c>
      <c r="W1085" s="770" t="e">
        <f t="shared" si="260"/>
        <v>#DIV/0!</v>
      </c>
      <c r="X1085" s="30"/>
    </row>
    <row r="1086" spans="13:24" hidden="1">
      <c r="M1086" s="120"/>
      <c r="N1086" s="360" t="s">
        <v>685</v>
      </c>
      <c r="O1086" s="282"/>
      <c r="P1086" s="282"/>
      <c r="Q1086" s="282"/>
      <c r="R1086" s="778"/>
      <c r="S1086" s="779">
        <f>$H$579</f>
        <v>0</v>
      </c>
      <c r="T1086" s="780"/>
      <c r="U1086" s="778"/>
      <c r="V1086" s="779">
        <f>$BQ$579</f>
        <v>50</v>
      </c>
      <c r="W1086" s="780"/>
      <c r="X1086" s="29"/>
    </row>
    <row r="1087" spans="13:24" hidden="1">
      <c r="M1087" s="120"/>
      <c r="N1087" s="360" t="s">
        <v>686</v>
      </c>
      <c r="O1087" s="282"/>
      <c r="P1087" s="282"/>
      <c r="Q1087" s="282"/>
      <c r="R1087" s="728" t="e">
        <f>S1087</f>
        <v>#REF!</v>
      </c>
      <c r="S1087" s="726" t="e">
        <f>0.1*Q736/S1081/S830/(S814*S1086*10^-9)/1000</f>
        <v>#REF!</v>
      </c>
      <c r="T1087" s="727" t="e">
        <f>S1087</f>
        <v>#REF!</v>
      </c>
      <c r="U1087" s="728" t="e">
        <f>V1087</f>
        <v>#DIV/0!</v>
      </c>
      <c r="V1087" s="726" t="e">
        <f>0.1*T736/V1081/V830/(V814*V1086*10^-9)/1000</f>
        <v>#DIV/0!</v>
      </c>
      <c r="W1087" s="727" t="e">
        <f>V1087</f>
        <v>#DIV/0!</v>
      </c>
      <c r="X1087" s="29"/>
    </row>
    <row r="1088" spans="13:24" hidden="1">
      <c r="M1088" s="120"/>
      <c r="N1088" s="360" t="s">
        <v>687</v>
      </c>
      <c r="O1088" s="282"/>
      <c r="P1088" s="282"/>
      <c r="Q1088" s="282"/>
      <c r="R1088" s="728">
        <f>S1088</f>
        <v>0</v>
      </c>
      <c r="S1088" s="726">
        <f>H581</f>
        <v>0</v>
      </c>
      <c r="T1088" s="727">
        <f>S1088</f>
        <v>0</v>
      </c>
      <c r="U1088" s="728">
        <f>V1088</f>
        <v>2.2000000000000002</v>
      </c>
      <c r="V1088" s="726">
        <f>BQ581</f>
        <v>2.2000000000000002</v>
      </c>
      <c r="W1088" s="727">
        <f>V1088</f>
        <v>2.2000000000000002</v>
      </c>
      <c r="X1088" s="29"/>
    </row>
    <row r="1089" spans="13:24" hidden="1">
      <c r="M1089" s="120"/>
      <c r="N1089" s="360" t="s">
        <v>688</v>
      </c>
      <c r="O1089" s="282"/>
      <c r="P1089" s="282"/>
      <c r="Q1089" s="282"/>
      <c r="R1089" s="728" t="e">
        <f>0.1*O736/R1081/R830/(R814*R1088*10^-9)/1000</f>
        <v>#REF!</v>
      </c>
      <c r="S1089" s="726" t="e">
        <f>0.1*Q736/S1081/S830/(S814*S1088*10^-9)/1000</f>
        <v>#REF!</v>
      </c>
      <c r="T1089" s="727" t="e">
        <f>0.1*R736/T1081/T830/(T814*T1088*10^-9)/1000</f>
        <v>#REF!</v>
      </c>
      <c r="U1089" s="728" t="e">
        <f>0.1*S736/U1081/U830/(U814*U1088*10^-9)/1000</f>
        <v>#DIV/0!</v>
      </c>
      <c r="V1089" s="726" t="e">
        <f>0.1*T736/V1081/V830/(V814*V1088*10^-9)/1000</f>
        <v>#DIV/0!</v>
      </c>
      <c r="W1089" s="727" t="e">
        <f>0.1*U736/W1081/W830/(W814*W1088*10^-9)/1000</f>
        <v>#DIV/0!</v>
      </c>
      <c r="X1089" s="29"/>
    </row>
    <row r="1090" spans="13:24" hidden="1">
      <c r="M1090" s="120"/>
      <c r="N1090" s="1270" t="s">
        <v>458</v>
      </c>
      <c r="O1090" s="634"/>
      <c r="P1090" s="634"/>
      <c r="Q1090" s="634"/>
      <c r="R1090" s="718"/>
      <c r="S1090" s="716" t="e">
        <f>1/S929/10/S1088*10^8</f>
        <v>#REF!</v>
      </c>
      <c r="T1090" s="717"/>
      <c r="U1090" s="718"/>
      <c r="V1090" s="716" t="e">
        <f>1/V929/10/V1088*10^8</f>
        <v>#REF!</v>
      </c>
      <c r="W1090" s="717"/>
      <c r="X1090" s="246"/>
    </row>
    <row r="1091" spans="13:24" hidden="1">
      <c r="M1091" s="120"/>
      <c r="N1091" s="360" t="s">
        <v>689</v>
      </c>
      <c r="O1091" s="282"/>
      <c r="P1091" s="282"/>
      <c r="Q1091" s="282"/>
      <c r="R1091" s="650">
        <f>S1091</f>
        <v>0</v>
      </c>
      <c r="S1091" s="726">
        <f>H583</f>
        <v>0</v>
      </c>
      <c r="T1091" s="652">
        <f>S1091</f>
        <v>0</v>
      </c>
      <c r="U1091" s="650">
        <f>V1091</f>
        <v>120</v>
      </c>
      <c r="V1091" s="726">
        <f>BQ583</f>
        <v>120</v>
      </c>
      <c r="W1091" s="652">
        <f>V1091</f>
        <v>120</v>
      </c>
      <c r="X1091" s="246"/>
    </row>
    <row r="1092" spans="13:24" hidden="1">
      <c r="M1092" s="120"/>
      <c r="N1092" s="360" t="s">
        <v>690</v>
      </c>
      <c r="O1092" s="282"/>
      <c r="P1092" s="282"/>
      <c r="Q1092" s="282"/>
      <c r="R1092" s="728">
        <f>S1092</f>
        <v>0</v>
      </c>
      <c r="S1092" s="726">
        <f>H585</f>
        <v>0</v>
      </c>
      <c r="T1092" s="727">
        <f>S1092</f>
        <v>0</v>
      </c>
      <c r="U1092" s="728">
        <f>V1092</f>
        <v>37.303920454545455</v>
      </c>
      <c r="V1092" s="726">
        <f>BQ587</f>
        <v>37.303920454545455</v>
      </c>
      <c r="W1092" s="727">
        <f>V1092</f>
        <v>37.303920454545455</v>
      </c>
      <c r="X1092" s="30"/>
    </row>
    <row r="1093" spans="13:24" hidden="1">
      <c r="M1093" s="120"/>
      <c r="N1093" s="360" t="s">
        <v>78</v>
      </c>
      <c r="O1093" s="282"/>
      <c r="P1093" s="282"/>
      <c r="Q1093" s="282"/>
      <c r="R1093" s="728" t="e">
        <f t="shared" ref="R1093:W1093" si="261">R935*R1092</f>
        <v>#REF!</v>
      </c>
      <c r="S1093" s="726" t="e">
        <f t="shared" si="261"/>
        <v>#REF!</v>
      </c>
      <c r="T1093" s="727" t="e">
        <f t="shared" si="261"/>
        <v>#REF!</v>
      </c>
      <c r="U1093" s="728" t="e">
        <f t="shared" si="261"/>
        <v>#REF!</v>
      </c>
      <c r="V1093" s="726" t="e">
        <f t="shared" si="261"/>
        <v>#REF!</v>
      </c>
      <c r="W1093" s="727" t="e">
        <f t="shared" si="261"/>
        <v>#REF!</v>
      </c>
      <c r="X1093" s="29"/>
    </row>
    <row r="1094" spans="13:24" hidden="1">
      <c r="M1094" s="120"/>
      <c r="N1094" s="360" t="s">
        <v>691</v>
      </c>
      <c r="O1094" s="282"/>
      <c r="P1094" s="282"/>
      <c r="Q1094" s="282"/>
      <c r="R1094" s="728" t="e">
        <f t="shared" ref="R1094:W1094" si="262">5/PI()*R1081*R830*R814*R1088/R1091</f>
        <v>#REF!</v>
      </c>
      <c r="S1094" s="726" t="e">
        <f t="shared" si="262"/>
        <v>#REF!</v>
      </c>
      <c r="T1094" s="727" t="e">
        <f t="shared" si="262"/>
        <v>#REF!</v>
      </c>
      <c r="U1094" s="728" t="e">
        <f t="shared" si="262"/>
        <v>#DIV/0!</v>
      </c>
      <c r="V1094" s="726" t="e">
        <f t="shared" si="262"/>
        <v>#DIV/0!</v>
      </c>
      <c r="W1094" s="727" t="e">
        <f t="shared" si="262"/>
        <v>#DIV/0!</v>
      </c>
      <c r="X1094" s="29"/>
    </row>
    <row r="1095" spans="13:24" hidden="1">
      <c r="M1095" s="120"/>
      <c r="N1095" s="360" t="s">
        <v>725</v>
      </c>
      <c r="O1095" s="282"/>
      <c r="P1095" s="282"/>
      <c r="Q1095" s="282"/>
      <c r="R1095" s="650" t="e">
        <f>"fo("&amp;TEXT(S1094,"#.0")&amp;"-kHz) should be less than fsw/3("&amp;TEXT(S929,"###")&amp;"-kHz)"</f>
        <v>#REF!</v>
      </c>
      <c r="S1095" s="726"/>
      <c r="T1095" s="652"/>
      <c r="U1095" s="650" t="e">
        <f>"fo("&amp;TEXT(V1094,"#.0")&amp;"-kHz) should be less than fsw/3("&amp;TEXT(V929,"###")&amp;"-kHz)"</f>
        <v>#DIV/0!</v>
      </c>
      <c r="V1095" s="726"/>
      <c r="W1095" s="652"/>
      <c r="X1095" s="29"/>
    </row>
    <row r="1096" spans="13:24" hidden="1">
      <c r="M1096" s="120"/>
      <c r="N1096" s="360" t="s">
        <v>692</v>
      </c>
      <c r="O1096" s="282"/>
      <c r="P1096" s="282"/>
      <c r="Q1096" s="282"/>
      <c r="R1096" s="728" t="e">
        <f t="shared" ref="R1096:W1096" si="263">15/PI()*R1081*R830*R814*R1088/R849</f>
        <v>#REF!</v>
      </c>
      <c r="S1096" s="726" t="e">
        <f t="shared" si="263"/>
        <v>#REF!</v>
      </c>
      <c r="T1096" s="727" t="e">
        <f t="shared" si="263"/>
        <v>#REF!</v>
      </c>
      <c r="U1096" s="728" t="e">
        <f t="shared" si="263"/>
        <v>#DIV/0!</v>
      </c>
      <c r="V1096" s="726" t="e">
        <f t="shared" si="263"/>
        <v>#DIV/0!</v>
      </c>
      <c r="W1096" s="727" t="e">
        <f t="shared" si="263"/>
        <v>#DIV/0!</v>
      </c>
      <c r="X1096" s="29"/>
    </row>
    <row r="1097" spans="13:24" hidden="1">
      <c r="M1097" s="120"/>
      <c r="N1097" s="360" t="s">
        <v>693</v>
      </c>
      <c r="O1097" s="282"/>
      <c r="P1097" s="282"/>
      <c r="Q1097" s="282"/>
      <c r="R1097" s="43" t="e">
        <f>"More than "&amp;TEXT(T1096,"#.0")&amp;"-uF"</f>
        <v>#REF!</v>
      </c>
      <c r="S1097" s="40"/>
      <c r="T1097" s="42"/>
      <c r="U1097" s="1444" t="e">
        <f>"More than "&amp;TEXT(W1096,"#.0")&amp;"-uF"</f>
        <v>#DIV/0!</v>
      </c>
      <c r="V1097" s="1445"/>
      <c r="W1097" s="1446"/>
      <c r="X1097" s="246"/>
    </row>
    <row r="1098" spans="13:24" hidden="1">
      <c r="M1098" s="120"/>
      <c r="N1098" s="360" t="s">
        <v>694</v>
      </c>
      <c r="O1098" s="282"/>
      <c r="P1098" s="282"/>
      <c r="Q1098" s="282"/>
      <c r="R1098" s="567" t="e">
        <f t="shared" ref="R1098:W1098" si="264">R1091*R1092/R1088</f>
        <v>#DIV/0!</v>
      </c>
      <c r="S1098" s="568" t="e">
        <f t="shared" si="264"/>
        <v>#DIV/0!</v>
      </c>
      <c r="T1098" s="569" t="e">
        <f t="shared" si="264"/>
        <v>#DIV/0!</v>
      </c>
      <c r="U1098" s="567">
        <f t="shared" si="264"/>
        <v>2034.7592975206608</v>
      </c>
      <c r="V1098" s="568">
        <f t="shared" si="264"/>
        <v>2034.7592975206608</v>
      </c>
      <c r="W1098" s="569">
        <f t="shared" si="264"/>
        <v>2034.7592975206608</v>
      </c>
      <c r="X1098" s="246"/>
    </row>
    <row r="1099" spans="13:24" hidden="1">
      <c r="M1099" s="120"/>
      <c r="N1099" s="1350" t="s">
        <v>459</v>
      </c>
      <c r="O1099" s="552"/>
      <c r="P1099" s="552"/>
      <c r="Q1099" s="552"/>
      <c r="R1099" s="828"/>
      <c r="S1099" s="602" t="e">
        <f>IF(#REF!=R817,"n/a",IF(#REF!=S817,"n/a",R988))</f>
        <v>#REF!</v>
      </c>
      <c r="T1099" s="829"/>
      <c r="U1099" s="828"/>
      <c r="V1099" s="602" t="e">
        <f>IF(I710=R817,"n/a",IF(I710=S817,"n/a",U988))</f>
        <v>#REF!</v>
      </c>
      <c r="W1099" s="829"/>
      <c r="X1099" s="246"/>
    </row>
    <row r="1100" spans="13:24" hidden="1">
      <c r="M1100" s="120"/>
      <c r="N1100" s="1350" t="s">
        <v>726</v>
      </c>
      <c r="O1100" s="552"/>
      <c r="P1100" s="552"/>
      <c r="Q1100" s="552"/>
      <c r="R1100" s="828"/>
      <c r="S1100" s="602" t="e">
        <f>IF(#REF!=R817,S1039,IF(#REF!=S817,S1062,S876))</f>
        <v>#REF!</v>
      </c>
      <c r="T1100" s="829"/>
      <c r="U1100" s="828"/>
      <c r="V1100" s="602" t="e">
        <f>IF(I710=R817,V1039,IF(I710=S817,V1062,V876))</f>
        <v>#DIV/0!</v>
      </c>
      <c r="W1100" s="829"/>
      <c r="X1100" s="246"/>
    </row>
    <row r="1101" spans="13:24" hidden="1">
      <c r="M1101" s="120"/>
      <c r="N1101" s="1350" t="s">
        <v>460</v>
      </c>
      <c r="O1101" s="552"/>
      <c r="P1101" s="552"/>
      <c r="Q1101" s="552"/>
      <c r="R1101" s="828"/>
      <c r="S1101" s="602" t="e">
        <f>IF(#REF!=R817,"n/a",IF(#REF!=S817,S1065,"n/a"))</f>
        <v>#REF!</v>
      </c>
      <c r="T1101" s="829"/>
      <c r="U1101" s="828"/>
      <c r="V1101" s="602" t="str">
        <f>IF(I710=R817,"n/a",IF(I710=S817,V1065,"n/a"))</f>
        <v>n/a</v>
      </c>
      <c r="W1101" s="829"/>
      <c r="X1101" s="246"/>
    </row>
    <row r="1102" spans="13:24" hidden="1">
      <c r="M1102" s="120"/>
      <c r="N1102" s="1350" t="s">
        <v>461</v>
      </c>
      <c r="O1102" s="552"/>
      <c r="P1102" s="552"/>
      <c r="Q1102" s="552"/>
      <c r="R1102" s="828" t="e">
        <f>S1102</f>
        <v>#REF!</v>
      </c>
      <c r="S1102" s="602" t="e">
        <f>IF(#REF!=R817,S1023,IF(#REF!=S817,S1068,S994))</f>
        <v>#REF!</v>
      </c>
      <c r="T1102" s="829" t="e">
        <f>S1102</f>
        <v>#REF!</v>
      </c>
      <c r="U1102" s="828" t="e">
        <f>V1102</f>
        <v>#DIV/0!</v>
      </c>
      <c r="V1102" s="602" t="e">
        <f>IF(I710=R817,V1023,IF(I710=S817,V1068,V994))</f>
        <v>#DIV/0!</v>
      </c>
      <c r="W1102" s="829" t="e">
        <f>V1102</f>
        <v>#DIV/0!</v>
      </c>
      <c r="X1102" s="246"/>
    </row>
    <row r="1103" spans="13:24" ht="14" hidden="1" thickBot="1">
      <c r="M1103" s="120"/>
      <c r="N1103" s="1350" t="s">
        <v>727</v>
      </c>
      <c r="O1103" s="552"/>
      <c r="P1103" s="552"/>
      <c r="Q1103" s="830"/>
      <c r="R1103" s="831" t="e">
        <f>IF(#REF!=R817,R1037,IF(#REF!=S817,R1083,R1003))</f>
        <v>#REF!</v>
      </c>
      <c r="S1103" s="832"/>
      <c r="T1103" s="833"/>
      <c r="U1103" s="1441" t="e">
        <f>IF(I710=R817,U1037,IF(I710=S817,U1083,U1003))</f>
        <v>#DIV/0!</v>
      </c>
      <c r="V1103" s="1442"/>
      <c r="W1103" s="1443"/>
      <c r="X1103" s="246"/>
    </row>
    <row r="1104" spans="13:24" hidden="1">
      <c r="M1104" s="120"/>
      <c r="N1104" s="1351" t="s">
        <v>462</v>
      </c>
      <c r="O1104" s="835"/>
      <c r="P1104" s="835"/>
      <c r="Q1104" s="835"/>
      <c r="R1104" s="836" t="e">
        <f>IF(#REF!=R817,R1029,IF(#REF!=S817,R1071,R949))</f>
        <v>#REF!</v>
      </c>
      <c r="S1104" s="836" t="e">
        <f>IF(#REF!=R817,S1029,IF(#REF!=S817,S1071,S949))</f>
        <v>#REF!</v>
      </c>
      <c r="T1104" s="836" t="e">
        <f>IF(#REF!=R817,T1029,IF(#REF!=S817,T1071,T949))</f>
        <v>#REF!</v>
      </c>
      <c r="U1104" s="836" t="e">
        <f>IF(I710=R817,U1029,IF(I710=S817,U1071,U949))</f>
        <v>#DIV/0!</v>
      </c>
      <c r="V1104" s="836" t="e">
        <f>IF(I710=R817,V1029,IF(I710=S817,V1071,V949))</f>
        <v>#DIV/0!</v>
      </c>
      <c r="W1104" s="836" t="e">
        <f>IF(I710=R817,W1029,IF(I710=S817,W1071,W949))</f>
        <v>#DIV/0!</v>
      </c>
      <c r="X1104" s="30"/>
    </row>
    <row r="1105" spans="13:24" hidden="1">
      <c r="M1105" s="120"/>
      <c r="N1105" s="1350" t="s">
        <v>463</v>
      </c>
      <c r="O1105" s="552"/>
      <c r="P1105" s="552"/>
      <c r="Q1105" s="552"/>
      <c r="R1105" s="499" t="e">
        <f>IF(#REF!=R817,R1030,IF(#REF!=S817,R1070,R947))</f>
        <v>#REF!</v>
      </c>
      <c r="S1105" s="499" t="e">
        <f>IF(#REF!=R817,S1030,IF(#REF!=S817,S1070,S947))</f>
        <v>#REF!</v>
      </c>
      <c r="T1105" s="499" t="e">
        <f>IF(#REF!=R817,T1030,IF(#REF!=S817,T1070,T947))</f>
        <v>#REF!</v>
      </c>
      <c r="U1105" s="499" t="e">
        <f>IF(I710=R817,U1030,IF(I710=S817,U1070,U947))</f>
        <v>#DIV/0!</v>
      </c>
      <c r="V1105" s="499" t="e">
        <f>IF(I710=R817,V1030,IF(I710=S817,V1070,V947))</f>
        <v>#DIV/0!</v>
      </c>
      <c r="W1105" s="499" t="e">
        <f>IF(I710=R817,W1030,IF(I710=S817,W1070,W947))</f>
        <v>#DIV/0!</v>
      </c>
      <c r="X1105" s="246"/>
    </row>
    <row r="1106" spans="13:24" ht="14" hidden="1" thickBot="1">
      <c r="M1106" s="120"/>
      <c r="N1106" s="1352" t="s">
        <v>464</v>
      </c>
      <c r="O1106" s="837"/>
      <c r="P1106" s="837"/>
      <c r="Q1106" s="837"/>
      <c r="R1106" s="499" t="e">
        <f>IF(#REF!=R817,R1031,IF(#REF!=S817,R1069,R951))</f>
        <v>#REF!</v>
      </c>
      <c r="S1106" s="499" t="e">
        <f>IF(#REF!=R817,S1031,IF(#REF!=S817,S1069,S951))</f>
        <v>#REF!</v>
      </c>
      <c r="T1106" s="499" t="e">
        <f>IF(#REF!=R817,T1031,IF(#REF!=S817,T1069,T951))</f>
        <v>#REF!</v>
      </c>
      <c r="U1106" s="499" t="e">
        <f>IF(I710=R817,U1031,IF(I710=S817,U1069,U951))</f>
        <v>#DIV/0!</v>
      </c>
      <c r="V1106" s="499" t="e">
        <f>IF(I710=R817,V1031,IF(I710=S817,V1069,V951))</f>
        <v>#DIV/0!</v>
      </c>
      <c r="W1106" s="499" t="e">
        <f>IF(I710=R817,W1031,IF(I710=S817,W1069,W951))</f>
        <v>#DIV/0!</v>
      </c>
      <c r="X1106" s="246"/>
    </row>
    <row r="1107" spans="13:24" ht="14" hidden="1" thickBot="1">
      <c r="M1107" s="120"/>
      <c r="N1107" s="1352" t="s">
        <v>465</v>
      </c>
      <c r="O1107" s="837"/>
      <c r="P1107" s="837"/>
      <c r="Q1107" s="837"/>
      <c r="R1107" s="838"/>
      <c r="S1107" s="838" t="e">
        <f>IF(#REF!=R817,S1030,IF(#REF!=S817,S1070,S948))</f>
        <v>#REF!</v>
      </c>
      <c r="T1107" s="838"/>
      <c r="U1107" s="838"/>
      <c r="V1107" s="838" t="e">
        <f>IF(I710=R817,V1030,IF(I710=S817,V1070,V948))</f>
        <v>#DIV/0!</v>
      </c>
      <c r="W1107" s="838"/>
      <c r="X1107" s="246"/>
    </row>
    <row r="1108" spans="13:24" ht="14" hidden="1" thickBot="1">
      <c r="M1108" s="120"/>
      <c r="N1108" s="1352" t="s">
        <v>557</v>
      </c>
      <c r="O1108" s="837"/>
      <c r="P1108" s="837"/>
      <c r="Q1108" s="837"/>
      <c r="R1108" s="838"/>
      <c r="S1108" s="838" t="e">
        <f>IF(#REF!=R817,S1031,IF(#REF!=S817,S1069,S952))</f>
        <v>#REF!</v>
      </c>
      <c r="T1108" s="838"/>
      <c r="U1108" s="838"/>
      <c r="V1108" s="838" t="e">
        <f>IF(I710=R817,V1031,IF(I710=S817,V1069,V952))</f>
        <v>#DIV/0!</v>
      </c>
      <c r="W1108" s="838"/>
      <c r="X1108" s="246"/>
    </row>
    <row r="1109" spans="13:24" hidden="1">
      <c r="M1109" s="120"/>
      <c r="N1109" s="1353" t="s">
        <v>558</v>
      </c>
      <c r="O1109" s="552"/>
      <c r="P1109" s="552"/>
      <c r="Q1109" s="552"/>
      <c r="R1109" s="838">
        <f>S1109</f>
        <v>0.25</v>
      </c>
      <c r="S1109" s="838">
        <v>0.25</v>
      </c>
      <c r="T1109" s="838">
        <f>S1109</f>
        <v>0.25</v>
      </c>
      <c r="U1109" s="838">
        <f>V1109</f>
        <v>0.25</v>
      </c>
      <c r="V1109" s="838">
        <f>S1109</f>
        <v>0.25</v>
      </c>
      <c r="W1109" s="838">
        <f>V1109</f>
        <v>0.25</v>
      </c>
      <c r="X1109" s="246"/>
    </row>
    <row r="1110" spans="13:24" hidden="1">
      <c r="M1110" s="120"/>
      <c r="N1110" s="1353" t="s">
        <v>466</v>
      </c>
      <c r="O1110" s="839"/>
      <c r="P1110" s="839"/>
      <c r="Q1110" s="839"/>
      <c r="R1110" s="813" t="e">
        <f>R1109*R1102*(O735-R834)/(O735-R834+R853*(0.2*R849*R1102)/1000)</f>
        <v>#REF!</v>
      </c>
      <c r="S1110" s="813" t="e">
        <f>S1109*S1102*(Q735-S834)/(Q735-S834+S853*(0.2*S849*S1102)/1000)</f>
        <v>#REF!</v>
      </c>
      <c r="T1110" s="813" t="e">
        <f>T1109*T1102*(R735-T834)/(R735-T834+T853*(0.2*T849*T1102)/1000)</f>
        <v>#REF!</v>
      </c>
      <c r="U1110" s="813" t="e">
        <f>U1109*U1102*(S735-U834)/(S735-U834+U853*(0.2*U849*U1102)/1000)</f>
        <v>#DIV/0!</v>
      </c>
      <c r="V1110" s="813" t="e">
        <f>V1109*V1102*(T735-V834)/(T735-V834+V853*(0.2*V849*V1102)/1000)</f>
        <v>#DIV/0!</v>
      </c>
      <c r="W1110" s="813" t="e">
        <f>W1109*W1102*(U735-W834)/(U735-W834+W853*(0.2*W849*W1102)/1000)</f>
        <v>#DIV/0!</v>
      </c>
      <c r="X1110" s="246"/>
    </row>
    <row r="1111" spans="13:24" hidden="1">
      <c r="M1111" s="120"/>
      <c r="N1111" s="1353" t="s">
        <v>467</v>
      </c>
      <c r="O1111" s="839"/>
      <c r="P1111" s="839"/>
      <c r="Q1111" s="839"/>
      <c r="R1111" s="813" t="e">
        <f>R1110/(O735-R834)*R853</f>
        <v>#REF!</v>
      </c>
      <c r="S1111" s="813" t="e">
        <f>S1110/(Q735-S834)*S853</f>
        <v>#REF!</v>
      </c>
      <c r="T1111" s="813" t="e">
        <f>T1110/(R735-T834)*T853</f>
        <v>#REF!</v>
      </c>
      <c r="U1111" s="813" t="e">
        <f>U1110/(S735-U834)*U853</f>
        <v>#DIV/0!</v>
      </c>
      <c r="V1111" s="813" t="e">
        <f>V1110/(T735-V834)*V853</f>
        <v>#DIV/0!</v>
      </c>
      <c r="W1111" s="813" t="e">
        <f>W1110/(U735-W834)*W853</f>
        <v>#DIV/0!</v>
      </c>
      <c r="X1111" s="246"/>
    </row>
    <row r="1112" spans="13:24" hidden="1">
      <c r="M1112" s="120"/>
      <c r="N1112" s="1270" t="s">
        <v>559</v>
      </c>
      <c r="O1112" s="634"/>
      <c r="P1112" s="634"/>
      <c r="Q1112" s="634"/>
      <c r="R1112" s="840" t="e">
        <f>1/R1110*(O735-R834)*R1113</f>
        <v>#REF!</v>
      </c>
      <c r="S1112" s="840" t="e">
        <f>1/S1110*(Q735-S834)*S1113</f>
        <v>#REF!</v>
      </c>
      <c r="T1112" s="840" t="e">
        <f>1/T1110*(R735-T834)*T1113</f>
        <v>#REF!</v>
      </c>
      <c r="U1112" s="841"/>
      <c r="V1112" s="840"/>
      <c r="W1112" s="841"/>
    </row>
    <row r="1113" spans="13:24" hidden="1">
      <c r="M1113" s="120"/>
      <c r="N1113" s="1270"/>
      <c r="O1113" s="634"/>
      <c r="P1113" s="634"/>
      <c r="Q1113" s="634"/>
      <c r="R1113" s="840">
        <v>2.35</v>
      </c>
      <c r="S1113" s="840">
        <v>1.07</v>
      </c>
      <c r="T1113" s="840">
        <v>0.9</v>
      </c>
      <c r="U1113" s="841"/>
      <c r="V1113" s="840"/>
      <c r="W1113" s="841"/>
      <c r="X1113" s="246"/>
    </row>
    <row r="1114" spans="13:24" ht="14" hidden="1" thickBot="1">
      <c r="M1114" s="120"/>
      <c r="N1114" s="1350" t="s">
        <v>560</v>
      </c>
      <c r="O1114" s="552"/>
      <c r="P1114" s="552"/>
      <c r="Q1114" s="830"/>
      <c r="R1114" s="842"/>
      <c r="S1114" s="843" t="e">
        <f>IF(#REF!=R817,S1044,IF(#REF!=S817,S1087,S1008))</f>
        <v>#REF!</v>
      </c>
      <c r="T1114" s="844"/>
      <c r="U1114" s="842"/>
      <c r="V1114" s="843" t="e">
        <f>IF(I710=R817,V1044,IF(I710=S817,V1087,V1008))</f>
        <v>#DIV/0!</v>
      </c>
      <c r="W1114" s="844"/>
      <c r="X1114" s="246"/>
    </row>
    <row r="1115" spans="13:24" hidden="1">
      <c r="M1115" s="120"/>
      <c r="N1115" s="360" t="s">
        <v>561</v>
      </c>
      <c r="O1115" s="282"/>
      <c r="P1115" s="282"/>
      <c r="Q1115" s="282"/>
      <c r="R1115" s="570"/>
      <c r="S1115" s="571" t="e">
        <f>IF(#REF!=R817,S1046,IF(#REF!=S817,S1089,S1010))</f>
        <v>#REF!</v>
      </c>
      <c r="T1115" s="572"/>
      <c r="U1115" s="570"/>
      <c r="V1115" s="571" t="e">
        <f>IF(I710=R817,V1046,IF(I710=S817,V1089,V1010))</f>
        <v>#DIV/0!</v>
      </c>
      <c r="W1115" s="572"/>
      <c r="X1115" s="246"/>
    </row>
    <row r="1116" spans="13:24" hidden="1">
      <c r="M1116" s="120"/>
      <c r="N1116" s="360" t="s">
        <v>562</v>
      </c>
      <c r="O1116" s="282"/>
      <c r="P1116" s="282"/>
      <c r="Q1116" s="282"/>
      <c r="R1116" s="845" t="e">
        <f>IF(#REF!=R817,R1050,IF(#REF!=S817,R1094,S1014))</f>
        <v>#REF!</v>
      </c>
      <c r="S1116" s="846"/>
      <c r="T1116" s="847"/>
      <c r="U1116" s="1453" t="e">
        <f>IF(I710=R817,U1050,IF(I710=S817,U1094,V1014))</f>
        <v>#DIV/0!</v>
      </c>
      <c r="V1116" s="1454"/>
      <c r="W1116" s="1455"/>
      <c r="X1116" s="246"/>
    </row>
    <row r="1117" spans="13:24" hidden="1">
      <c r="M1117" s="120"/>
      <c r="N1117" s="360" t="s">
        <v>563</v>
      </c>
      <c r="O1117" s="282"/>
      <c r="P1117" s="282"/>
      <c r="Q1117" s="282"/>
      <c r="R1117" s="845" t="e">
        <f>IF(#REF!=R817,R1051,IF(#REF!=S817,R1095,R1015))</f>
        <v>#REF!</v>
      </c>
      <c r="S1117" s="846"/>
      <c r="T1117" s="847"/>
      <c r="U1117" s="1453" t="e">
        <f>IF(I710=R817,U1051,IF(I710=S817,U1095,U1015))</f>
        <v>#DIV/0!</v>
      </c>
      <c r="V1117" s="1454"/>
      <c r="W1117" s="1455"/>
      <c r="X1117" s="246"/>
    </row>
    <row r="1118" spans="13:24" hidden="1">
      <c r="M1118" s="120"/>
      <c r="N1118" s="360" t="s">
        <v>564</v>
      </c>
      <c r="O1118" s="282"/>
      <c r="P1118" s="282"/>
      <c r="Q1118" s="282"/>
      <c r="R1118" s="845" t="e">
        <f>IF(#REF!=R817,R1053,IF(#REF!=S817,R1097,R1017))</f>
        <v>#REF!</v>
      </c>
      <c r="S1118" s="846"/>
      <c r="T1118" s="847"/>
      <c r="U1118" s="1453" t="e">
        <f>IF(I710=R817,U1053,IF(I710=S817,U1097,U1017))</f>
        <v>#DIV/0!</v>
      </c>
      <c r="V1118" s="1454"/>
      <c r="W1118" s="1455"/>
      <c r="X1118" s="246"/>
    </row>
    <row r="1119" spans="13:24" hidden="1">
      <c r="M1119" s="120"/>
      <c r="N1119" s="360" t="s">
        <v>565</v>
      </c>
      <c r="O1119" s="282"/>
      <c r="P1119" s="282"/>
      <c r="Q1119" s="282"/>
      <c r="R1119" s="653"/>
      <c r="S1119" s="651" t="e">
        <f>IF(#REF!=R817,S1054,IF(#REF!=S817,S1098,S1018))</f>
        <v>#REF!</v>
      </c>
      <c r="T1119" s="654"/>
      <c r="U1119" s="653"/>
      <c r="V1119" s="651">
        <f>IF(I710=R817,V1054,IF(I710=S817,V1098,V1018))</f>
        <v>2034.7592975206608</v>
      </c>
      <c r="W1119" s="654"/>
      <c r="X1119" s="246"/>
    </row>
    <row r="1120" spans="13:24" hidden="1">
      <c r="M1120" s="120"/>
      <c r="N1120" s="360" t="s">
        <v>566</v>
      </c>
      <c r="O1120" s="282"/>
      <c r="P1120" s="282"/>
      <c r="Q1120" s="282"/>
      <c r="R1120" s="653" t="e">
        <f>IF(#REF!=R817,R1049,IF(#REF!=S817,R1093,R1013))</f>
        <v>#REF!</v>
      </c>
      <c r="S1120" s="651" t="e">
        <f>IF(#REF!=R817,S1049,IF(#REF!=S817,S1093,S1013))</f>
        <v>#REF!</v>
      </c>
      <c r="T1120" s="654" t="e">
        <f>IF(#REF!=R817,T1049,IF(#REF!=S817,T1093,T1013))</f>
        <v>#REF!</v>
      </c>
      <c r="U1120" s="653" t="e">
        <f>IF(I710=R817,U1049,IF(I710=S817,U1093,U1013))</f>
        <v>#REF!</v>
      </c>
      <c r="V1120" s="651" t="e">
        <f>IF(I710=R817,V1049,IF(I710=S817,V1093,V1013))</f>
        <v>#REF!</v>
      </c>
      <c r="W1120" s="654" t="e">
        <f>IF(I710=R817,W1049,IF(I710=S817,W1093,W1013))</f>
        <v>#REF!</v>
      </c>
      <c r="X1120" s="246"/>
    </row>
    <row r="1121" spans="13:24" ht="14" hidden="1" thickBot="1">
      <c r="M1121" s="120"/>
      <c r="N1121" s="360" t="s">
        <v>567</v>
      </c>
      <c r="O1121" s="282"/>
      <c r="P1121" s="282"/>
      <c r="Q1121" s="282"/>
      <c r="R1121" s="653" t="e">
        <f t="shared" ref="R1121:W1121" si="265">R1120/R834</f>
        <v>#REF!</v>
      </c>
      <c r="S1121" s="651" t="e">
        <f t="shared" si="265"/>
        <v>#REF!</v>
      </c>
      <c r="T1121" s="654" t="e">
        <f t="shared" si="265"/>
        <v>#REF!</v>
      </c>
      <c r="U1121" s="653" t="e">
        <f t="shared" si="265"/>
        <v>#REF!</v>
      </c>
      <c r="V1121" s="651" t="e">
        <f t="shared" si="265"/>
        <v>#REF!</v>
      </c>
      <c r="W1121" s="654" t="e">
        <f t="shared" si="265"/>
        <v>#REF!</v>
      </c>
      <c r="X1121" s="246"/>
    </row>
    <row r="1122" spans="13:24" ht="14" hidden="1" thickBot="1">
      <c r="M1122" s="120"/>
      <c r="N1122" s="1354" t="s">
        <v>37</v>
      </c>
      <c r="O1122" s="848"/>
      <c r="P1122" s="848"/>
      <c r="Q1122" s="848"/>
      <c r="R1122" s="849"/>
      <c r="S1122" s="849"/>
      <c r="T1122" s="849"/>
      <c r="U1122" s="849"/>
      <c r="V1122" s="849"/>
      <c r="W1122" s="850"/>
      <c r="X1122" s="246"/>
    </row>
    <row r="1123" spans="13:24" hidden="1">
      <c r="M1123" s="120"/>
      <c r="N1123" s="360" t="s">
        <v>687</v>
      </c>
      <c r="O1123" s="282"/>
      <c r="P1123" s="282"/>
      <c r="Q1123" s="719"/>
      <c r="R1123" s="728" t="e">
        <f>S1123</f>
        <v>#REF!</v>
      </c>
      <c r="S1123" s="726" t="e">
        <f>#REF!</f>
        <v>#REF!</v>
      </c>
      <c r="T1123" s="727" t="e">
        <f>S1123</f>
        <v>#REF!</v>
      </c>
      <c r="U1123" s="728">
        <f>V1123</f>
        <v>0</v>
      </c>
      <c r="V1123" s="726">
        <f>I818</f>
        <v>0</v>
      </c>
      <c r="W1123" s="727">
        <f>V1123</f>
        <v>0</v>
      </c>
      <c r="X1123" s="246"/>
    </row>
    <row r="1124" spans="13:24" hidden="1">
      <c r="M1124" s="120"/>
      <c r="N1124" s="360" t="s">
        <v>568</v>
      </c>
      <c r="O1124" s="282"/>
      <c r="P1124" s="282"/>
      <c r="Q1124" s="282"/>
      <c r="R1124" s="651" t="e">
        <f t="shared" ref="R1124:W1124" si="266">R935</f>
        <v>#REF!</v>
      </c>
      <c r="S1124" s="651" t="e">
        <f t="shared" si="266"/>
        <v>#REF!</v>
      </c>
      <c r="T1124" s="651" t="e">
        <f t="shared" si="266"/>
        <v>#REF!</v>
      </c>
      <c r="U1124" s="651" t="e">
        <f t="shared" si="266"/>
        <v>#REF!</v>
      </c>
      <c r="V1124" s="651" t="e">
        <f t="shared" si="266"/>
        <v>#REF!</v>
      </c>
      <c r="W1124" s="651" t="e">
        <f t="shared" si="266"/>
        <v>#REF!</v>
      </c>
      <c r="X1124" s="246"/>
    </row>
    <row r="1125" spans="13:24" hidden="1">
      <c r="M1125" s="120"/>
      <c r="N1125" s="360" t="s">
        <v>569</v>
      </c>
      <c r="O1125" s="282"/>
      <c r="P1125" s="282"/>
      <c r="Q1125" s="282"/>
      <c r="R1125" s="651">
        <f>S1125</f>
        <v>30</v>
      </c>
      <c r="S1125" s="651">
        <v>30</v>
      </c>
      <c r="T1125" s="651">
        <f>S1125</f>
        <v>30</v>
      </c>
      <c r="U1125" s="651">
        <f>V1125</f>
        <v>30</v>
      </c>
      <c r="V1125" s="651">
        <f>S1125</f>
        <v>30</v>
      </c>
      <c r="W1125" s="651">
        <f>V1125</f>
        <v>30</v>
      </c>
      <c r="X1125" s="246"/>
    </row>
    <row r="1126" spans="13:24" hidden="1">
      <c r="M1126" s="120"/>
      <c r="N1126" s="360" t="s">
        <v>570</v>
      </c>
      <c r="O1126" s="282"/>
      <c r="P1126" s="282"/>
      <c r="Q1126" s="282"/>
      <c r="R1126" s="754" t="e">
        <f>R1125/R1124*R681*R834/R819</f>
        <v>#REF!</v>
      </c>
      <c r="S1126" s="754" t="e">
        <f>S1125/S1124*S681*S834/S819</f>
        <v>#REF!</v>
      </c>
      <c r="T1126" s="754" t="e">
        <f>T1125/T1124*T680*T834/T819</f>
        <v>#REF!</v>
      </c>
      <c r="U1126" s="754" t="e">
        <f>U1125/U1124*U680*U834/U819</f>
        <v>#REF!</v>
      </c>
      <c r="V1126" s="754" t="e">
        <f>V1125/V1124*V680*V834/V819</f>
        <v>#REF!</v>
      </c>
      <c r="W1126" s="754" t="e">
        <f>W1125/W1124*W680*W834/W819</f>
        <v>#REF!</v>
      </c>
      <c r="X1126" s="246"/>
    </row>
    <row r="1127" spans="13:24" hidden="1">
      <c r="M1127" s="120"/>
      <c r="N1127" s="360" t="s">
        <v>571</v>
      </c>
      <c r="O1127" s="282"/>
      <c r="P1127" s="282"/>
      <c r="Q1127" s="282"/>
      <c r="R1127" s="43" t="e">
        <f>"More than "&amp;TEXT(R1126,"#.0")&amp;" m-ohm for VIN-min"</f>
        <v>#REF!</v>
      </c>
      <c r="S1127" s="40"/>
      <c r="T1127" s="42"/>
      <c r="U1127" s="1444" t="e">
        <f>"More than "&amp;TEXT(U1126,"#.0")&amp;" m-ohm for VIN-min"</f>
        <v>#REF!</v>
      </c>
      <c r="V1127" s="1445"/>
      <c r="W1127" s="1446"/>
      <c r="X1127" s="246"/>
    </row>
    <row r="1128" spans="13:24" hidden="1">
      <c r="M1128" s="120"/>
      <c r="N1128" s="360" t="s">
        <v>571</v>
      </c>
      <c r="O1128" s="282"/>
      <c r="P1128" s="282"/>
      <c r="Q1128" s="282"/>
      <c r="R1128" s="43" t="e">
        <f>"More than "&amp;TEXT(S1126,"#.0")&amp;" mohm for VIN-typ"</f>
        <v>#REF!</v>
      </c>
      <c r="S1128" s="40"/>
      <c r="T1128" s="42"/>
      <c r="U1128" s="1444" t="e">
        <f>"More than "&amp;TEXT(V1126,"#.0")&amp;" mohm for VIN-typ"</f>
        <v>#REF!</v>
      </c>
      <c r="V1128" s="1445"/>
      <c r="W1128" s="1446"/>
      <c r="X1128" s="246"/>
    </row>
    <row r="1129" spans="13:24" hidden="1">
      <c r="M1129" s="120"/>
      <c r="N1129" s="360" t="s">
        <v>572</v>
      </c>
      <c r="O1129" s="282"/>
      <c r="P1129" s="282"/>
      <c r="Q1129" s="282"/>
      <c r="R1129" s="816" t="e">
        <f>S1129</f>
        <v>#REF!</v>
      </c>
      <c r="S1129" s="651" t="e">
        <f>#REF!</f>
        <v>#REF!</v>
      </c>
      <c r="T1129" s="817" t="e">
        <f>S1129</f>
        <v>#REF!</v>
      </c>
      <c r="U1129" s="816">
        <f>V1129</f>
        <v>0</v>
      </c>
      <c r="V1129" s="651">
        <f>I822</f>
        <v>0</v>
      </c>
      <c r="W1129" s="817">
        <f>V1129</f>
        <v>0</v>
      </c>
      <c r="X1129" s="246"/>
    </row>
    <row r="1130" spans="13:24" hidden="1">
      <c r="M1130" s="120"/>
      <c r="N1130" s="360" t="s">
        <v>573</v>
      </c>
      <c r="O1130" s="282"/>
      <c r="P1130" s="282"/>
      <c r="Q1130" s="282"/>
      <c r="R1130" s="651" t="e">
        <f t="shared" ref="R1130:W1130" si="267">R1129*R1124</f>
        <v>#REF!</v>
      </c>
      <c r="S1130" s="651" t="e">
        <f t="shared" si="267"/>
        <v>#REF!</v>
      </c>
      <c r="T1130" s="651" t="e">
        <f t="shared" si="267"/>
        <v>#REF!</v>
      </c>
      <c r="U1130" s="651" t="e">
        <f t="shared" si="267"/>
        <v>#REF!</v>
      </c>
      <c r="V1130" s="651" t="e">
        <f t="shared" si="267"/>
        <v>#REF!</v>
      </c>
      <c r="W1130" s="651" t="e">
        <f t="shared" si="267"/>
        <v>#REF!</v>
      </c>
      <c r="X1130" s="246"/>
    </row>
    <row r="1131" spans="13:24" ht="14" hidden="1" thickBot="1">
      <c r="M1131" s="120"/>
      <c r="N1131" s="360" t="s">
        <v>574</v>
      </c>
      <c r="O1131" s="282"/>
      <c r="P1131" s="282"/>
      <c r="Q1131" s="282"/>
      <c r="R1131" s="643" t="e">
        <f t="shared" ref="R1131:W1131" si="268">R1130/R834</f>
        <v>#REF!</v>
      </c>
      <c r="S1131" s="643" t="e">
        <f t="shared" si="268"/>
        <v>#REF!</v>
      </c>
      <c r="T1131" s="643" t="e">
        <f t="shared" si="268"/>
        <v>#REF!</v>
      </c>
      <c r="U1131" s="643" t="e">
        <f t="shared" si="268"/>
        <v>#REF!</v>
      </c>
      <c r="V1131" s="643" t="e">
        <f t="shared" si="268"/>
        <v>#REF!</v>
      </c>
      <c r="W1131" s="643" t="e">
        <f t="shared" si="268"/>
        <v>#REF!</v>
      </c>
      <c r="X1131" s="246"/>
    </row>
    <row r="1132" spans="13:24" ht="14" hidden="1" thickBot="1">
      <c r="M1132" s="120"/>
      <c r="N1132" s="360" t="s">
        <v>575</v>
      </c>
      <c r="O1132" s="282"/>
      <c r="P1132" s="282"/>
      <c r="Q1132" s="282"/>
      <c r="R1132" s="651" t="e">
        <f>R1131/R681*R819</f>
        <v>#REF!</v>
      </c>
      <c r="S1132" s="651" t="e">
        <f>S1131/S681*S819</f>
        <v>#REF!</v>
      </c>
      <c r="T1132" s="651" t="e">
        <f>T1131/T680*T819</f>
        <v>#REF!</v>
      </c>
      <c r="U1132" s="651" t="e">
        <f>U1131/U680*U819</f>
        <v>#REF!</v>
      </c>
      <c r="V1132" s="651" t="e">
        <f>V1131/V680*V819</f>
        <v>#REF!</v>
      </c>
      <c r="W1132" s="651" t="e">
        <f>W1131/W680*W819</f>
        <v>#REF!</v>
      </c>
      <c r="X1132" s="246"/>
    </row>
    <row r="1133" spans="13:24" hidden="1">
      <c r="M1133" s="120"/>
      <c r="N1133" s="360" t="s">
        <v>689</v>
      </c>
      <c r="O1133" s="282"/>
      <c r="P1133" s="282"/>
      <c r="Q1133" s="719"/>
      <c r="R1133" s="809" t="e">
        <f>S1133</f>
        <v>#REF!</v>
      </c>
      <c r="S1133" s="851" t="e">
        <f>#REF!</f>
        <v>#REF!</v>
      </c>
      <c r="T1133" s="810" t="e">
        <f>S1133</f>
        <v>#REF!</v>
      </c>
      <c r="U1133" s="809">
        <f>V1133</f>
        <v>0</v>
      </c>
      <c r="V1133" s="851">
        <f>I819</f>
        <v>0</v>
      </c>
      <c r="W1133" s="810">
        <f>V1133</f>
        <v>0</v>
      </c>
      <c r="X1133" s="246"/>
    </row>
    <row r="1134" spans="13:24" hidden="1">
      <c r="M1134" s="120"/>
      <c r="N1134" s="360" t="s">
        <v>576</v>
      </c>
      <c r="O1134" s="282"/>
      <c r="P1134" s="282"/>
      <c r="Q1134" s="282"/>
      <c r="R1134" s="651" t="e">
        <f t="shared" ref="R1134:W1134" si="269">10^6/(2*PI()*R1133*R1129)</f>
        <v>#REF!</v>
      </c>
      <c r="S1134" s="651" t="e">
        <f t="shared" si="269"/>
        <v>#REF!</v>
      </c>
      <c r="T1134" s="651" t="e">
        <f t="shared" si="269"/>
        <v>#REF!</v>
      </c>
      <c r="U1134" s="651" t="e">
        <f t="shared" si="269"/>
        <v>#DIV/0!</v>
      </c>
      <c r="V1134" s="651" t="e">
        <f t="shared" si="269"/>
        <v>#DIV/0!</v>
      </c>
      <c r="W1134" s="651" t="e">
        <f t="shared" si="269"/>
        <v>#DIV/0!</v>
      </c>
    </row>
    <row r="1135" spans="13:24" hidden="1">
      <c r="M1135" s="120"/>
      <c r="N1135" s="360" t="s">
        <v>577</v>
      </c>
      <c r="O1135" s="282"/>
      <c r="P1135" s="282"/>
      <c r="Q1135" s="282"/>
      <c r="R1135" s="852">
        <f>S1135</f>
        <v>3</v>
      </c>
      <c r="S1135" s="651">
        <v>3</v>
      </c>
      <c r="T1135" s="852">
        <f>S1135</f>
        <v>3</v>
      </c>
      <c r="U1135" s="852">
        <f>V1135</f>
        <v>3</v>
      </c>
      <c r="V1135" s="651">
        <f>S1135</f>
        <v>3</v>
      </c>
      <c r="W1135" s="852">
        <f>V1135</f>
        <v>3</v>
      </c>
      <c r="X1135" s="246"/>
    </row>
    <row r="1136" spans="13:24" hidden="1">
      <c r="M1136" s="120"/>
      <c r="N1136" s="360" t="s">
        <v>576</v>
      </c>
      <c r="O1136" s="282"/>
      <c r="P1136" s="282"/>
      <c r="Q1136" s="282"/>
      <c r="R1136" s="852" t="e">
        <f>"fo("&amp;TEXT(S1134,"#.0")&amp;"-kHz) should be less than fsw/3("&amp;TEXT(S929,"###")&amp;"-kHz)"</f>
        <v>#REF!</v>
      </c>
      <c r="S1136" s="651"/>
      <c r="T1136" s="852"/>
      <c r="U1136" s="852" t="e">
        <f>"fo("&amp;TEXT(V1134,"#.0")&amp;"-kHz) should be less than fsw/3("&amp;TEXT(V929,"###")&amp;"-kHz)"</f>
        <v>#DIV/0!</v>
      </c>
      <c r="V1136" s="651"/>
      <c r="W1136" s="852"/>
      <c r="X1136" s="246"/>
    </row>
    <row r="1137" spans="13:24" hidden="1">
      <c r="M1137" s="120"/>
      <c r="N1137" s="360" t="s">
        <v>578</v>
      </c>
      <c r="O1137" s="282"/>
      <c r="P1137" s="282"/>
      <c r="Q1137" s="282"/>
      <c r="R1137" s="651" t="e">
        <f t="shared" ref="R1137:W1137" si="270">10^6/(2*PI()*R1129)*R1135/R849</f>
        <v>#REF!</v>
      </c>
      <c r="S1137" s="651" t="e">
        <f t="shared" si="270"/>
        <v>#REF!</v>
      </c>
      <c r="T1137" s="651" t="e">
        <f t="shared" si="270"/>
        <v>#REF!</v>
      </c>
      <c r="U1137" s="651" t="e">
        <f t="shared" si="270"/>
        <v>#DIV/0!</v>
      </c>
      <c r="V1137" s="651" t="e">
        <f t="shared" si="270"/>
        <v>#DIV/0!</v>
      </c>
      <c r="W1137" s="651" t="e">
        <f t="shared" si="270"/>
        <v>#DIV/0!</v>
      </c>
      <c r="X1137" s="246"/>
    </row>
    <row r="1138" spans="13:24" hidden="1">
      <c r="M1138" s="120"/>
      <c r="N1138" s="360" t="s">
        <v>578</v>
      </c>
      <c r="O1138" s="282"/>
      <c r="P1138" s="282"/>
      <c r="Q1138" s="282"/>
      <c r="R1138" s="43" t="e">
        <f>"More than "&amp;TEXT(T1137,"#.0")&amp;"-uF"</f>
        <v>#REF!</v>
      </c>
      <c r="S1138" s="40"/>
      <c r="T1138" s="42"/>
      <c r="U1138" s="1444" t="e">
        <f>"More than "&amp;TEXT(W1137,"#.0")&amp;"-uF"</f>
        <v>#DIV/0!</v>
      </c>
      <c r="V1138" s="1445"/>
      <c r="W1138" s="1446"/>
      <c r="X1138" s="246"/>
    </row>
    <row r="1139" spans="13:24" ht="14" hidden="1" thickBot="1">
      <c r="M1139" s="120"/>
      <c r="N1139" s="360" t="s">
        <v>579</v>
      </c>
      <c r="O1139" s="282"/>
      <c r="P1139" s="282"/>
      <c r="Q1139" s="282"/>
      <c r="R1139" s="53"/>
      <c r="S1139" s="54" t="e">
        <f>S1134/S849*100</f>
        <v>#REF!</v>
      </c>
      <c r="T1139" s="55"/>
      <c r="U1139" s="56"/>
      <c r="V1139" s="54" t="e">
        <f>V1134/V849*100</f>
        <v>#DIV/0!</v>
      </c>
      <c r="W1139" s="55"/>
      <c r="X1139" s="246"/>
    </row>
    <row r="1140" spans="13:24" hidden="1">
      <c r="M1140" s="120"/>
      <c r="N1140" s="1226" t="s">
        <v>580</v>
      </c>
      <c r="O1140" s="625"/>
      <c r="P1140" s="625"/>
      <c r="Q1140" s="626"/>
      <c r="R1140" s="853">
        <f>S1140</f>
        <v>20</v>
      </c>
      <c r="S1140" s="854">
        <v>20</v>
      </c>
      <c r="T1140" s="855">
        <f>S1140</f>
        <v>20</v>
      </c>
      <c r="U1140" s="856">
        <f>V1140</f>
        <v>20</v>
      </c>
      <c r="V1140" s="854">
        <v>20</v>
      </c>
      <c r="W1140" s="855">
        <f>V1140</f>
        <v>20</v>
      </c>
      <c r="X1140" s="246"/>
    </row>
    <row r="1141" spans="13:24" ht="14" hidden="1" thickBot="1">
      <c r="M1141" s="120"/>
      <c r="N1141" s="1268" t="s">
        <v>581</v>
      </c>
      <c r="O1141" s="632"/>
      <c r="P1141" s="632"/>
      <c r="Q1141" s="633"/>
      <c r="R1141" s="642" t="e">
        <f>R935*R834/(R1140*O735*R849)*10^5</f>
        <v>#REF!</v>
      </c>
      <c r="S1141" s="643" t="e">
        <f>S935*S834/(S1140*Q735*S849)*10^5</f>
        <v>#REF!</v>
      </c>
      <c r="T1141" s="644" t="e">
        <f>T935*T834/(T1140*R735*T849)*10^5</f>
        <v>#REF!</v>
      </c>
      <c r="U1141" s="857" t="e">
        <f>U935*U834/(U1140*S735*U849)*10^5</f>
        <v>#REF!</v>
      </c>
      <c r="V1141" s="643" t="e">
        <f>V935*V834/(V1140*T735*V849)*10^5</f>
        <v>#REF!</v>
      </c>
      <c r="W1141" s="644" t="e">
        <f>W935*W834/(W1140*U735*W849)*10^5</f>
        <v>#REF!</v>
      </c>
    </row>
    <row r="1142" spans="13:24" ht="14" hidden="1" thickBot="1">
      <c r="M1142" s="120"/>
      <c r="N1142" s="1355" t="s">
        <v>582</v>
      </c>
      <c r="O1142" s="681"/>
      <c r="P1142" s="681"/>
      <c r="Q1142" s="681"/>
      <c r="R1142" s="858"/>
      <c r="S1142" s="858"/>
      <c r="T1142" s="858"/>
      <c r="U1142" s="858"/>
      <c r="V1142" s="858"/>
      <c r="W1142" s="859"/>
    </row>
    <row r="1143" spans="13:24" hidden="1">
      <c r="M1143" s="120"/>
      <c r="N1143" s="1338" t="s">
        <v>689</v>
      </c>
      <c r="O1143" s="736"/>
      <c r="P1143" s="736"/>
      <c r="Q1143" s="736"/>
      <c r="R1143" s="860" t="e">
        <f>S1143</f>
        <v>#REF!</v>
      </c>
      <c r="S1143" s="861" t="e">
        <f>#REF!</f>
        <v>#REF!</v>
      </c>
      <c r="T1143" s="862" t="e">
        <f>S1143</f>
        <v>#REF!</v>
      </c>
      <c r="U1143" s="861">
        <f>V1143</f>
        <v>0</v>
      </c>
      <c r="V1143" s="861">
        <f>I806</f>
        <v>0</v>
      </c>
      <c r="W1143" s="862">
        <f>V1143</f>
        <v>0</v>
      </c>
    </row>
    <row r="1144" spans="13:24" hidden="1">
      <c r="M1144" s="120"/>
      <c r="N1144" s="360" t="s">
        <v>690</v>
      </c>
      <c r="O1144" s="282"/>
      <c r="P1144" s="282"/>
      <c r="Q1144" s="282"/>
      <c r="R1144" s="863" t="e">
        <f>S1144</f>
        <v>#REF!</v>
      </c>
      <c r="S1144" s="864" t="e">
        <f>#REF!</f>
        <v>#REF!</v>
      </c>
      <c r="T1144" s="865" t="e">
        <f>S1144</f>
        <v>#REF!</v>
      </c>
      <c r="U1144" s="864">
        <f>V1144</f>
        <v>0</v>
      </c>
      <c r="V1144" s="864">
        <f>I807</f>
        <v>0</v>
      </c>
      <c r="W1144" s="865">
        <f>V1144</f>
        <v>0</v>
      </c>
    </row>
    <row r="1145" spans="13:24" hidden="1">
      <c r="M1145" s="120"/>
      <c r="N1145" s="360" t="s">
        <v>583</v>
      </c>
      <c r="O1145" s="282"/>
      <c r="P1145" s="282"/>
      <c r="Q1145" s="282"/>
      <c r="R1145" s="863" t="e">
        <f t="shared" ref="R1145:W1145" si="271">R1102</f>
        <v>#REF!</v>
      </c>
      <c r="S1145" s="864" t="e">
        <f t="shared" si="271"/>
        <v>#REF!</v>
      </c>
      <c r="T1145" s="865" t="e">
        <f t="shared" si="271"/>
        <v>#REF!</v>
      </c>
      <c r="U1145" s="864" t="e">
        <f t="shared" si="271"/>
        <v>#DIV/0!</v>
      </c>
      <c r="V1145" s="864" t="e">
        <f t="shared" si="271"/>
        <v>#DIV/0!</v>
      </c>
      <c r="W1145" s="865" t="e">
        <f t="shared" si="271"/>
        <v>#DIV/0!</v>
      </c>
    </row>
    <row r="1146" spans="13:24" hidden="1">
      <c r="M1146" s="120"/>
      <c r="N1146" s="360" t="s">
        <v>577</v>
      </c>
      <c r="O1146" s="282"/>
      <c r="P1146" s="282"/>
      <c r="Q1146" s="282"/>
      <c r="R1146" s="863">
        <f>S1146</f>
        <v>3</v>
      </c>
      <c r="S1146" s="864">
        <v>3</v>
      </c>
      <c r="T1146" s="865">
        <f>S1146</f>
        <v>3</v>
      </c>
      <c r="U1146" s="864">
        <f>V1146</f>
        <v>3</v>
      </c>
      <c r="V1146" s="864">
        <v>3</v>
      </c>
      <c r="W1146" s="865">
        <f>V1146</f>
        <v>3</v>
      </c>
    </row>
    <row r="1147" spans="13:24" hidden="1">
      <c r="N1147" s="360" t="s">
        <v>584</v>
      </c>
      <c r="O1147" s="282"/>
      <c r="P1147" s="282"/>
      <c r="Q1147" s="282"/>
      <c r="R1147" s="863" t="e">
        <f t="shared" ref="R1147:W1147" si="272">R849/R1146/(5/PI()*R1145*R814/R834/R1143)</f>
        <v>#REF!</v>
      </c>
      <c r="S1147" s="864" t="e">
        <f t="shared" si="272"/>
        <v>#REF!</v>
      </c>
      <c r="T1147" s="865" t="e">
        <f t="shared" si="272"/>
        <v>#REF!</v>
      </c>
      <c r="U1147" s="864" t="e">
        <f t="shared" si="272"/>
        <v>#REF!</v>
      </c>
      <c r="V1147" s="864" t="e">
        <f t="shared" si="272"/>
        <v>#REF!</v>
      </c>
      <c r="W1147" s="865" t="e">
        <f t="shared" si="272"/>
        <v>#REF!</v>
      </c>
      <c r="X1147" s="246"/>
    </row>
    <row r="1148" spans="13:24" hidden="1">
      <c r="M1148" s="120"/>
      <c r="N1148" s="360" t="s">
        <v>585</v>
      </c>
      <c r="O1148" s="282"/>
      <c r="P1148" s="282"/>
      <c r="Q1148" s="282"/>
      <c r="R1148" s="39" t="e">
        <f>"Less than "&amp;TEXT(S1147,"#.0")&amp;" k-ohm"</f>
        <v>#REF!</v>
      </c>
      <c r="S1148" s="37"/>
      <c r="T1148" s="38"/>
      <c r="U1148" s="1439" t="e">
        <f>"Less than "&amp;TEXT(V1147,"#.0")&amp;" k-ohm"</f>
        <v>#REF!</v>
      </c>
      <c r="V1148" s="1439"/>
      <c r="W1148" s="1440"/>
    </row>
    <row r="1149" spans="13:24" hidden="1">
      <c r="M1149" s="120"/>
      <c r="N1149" s="360" t="s">
        <v>687</v>
      </c>
      <c r="O1149" s="282"/>
      <c r="P1149" s="282"/>
      <c r="Q1149" s="282"/>
      <c r="R1149" s="863" t="e">
        <f>S1149</f>
        <v>#REF!</v>
      </c>
      <c r="S1149" s="864" t="e">
        <f>#REF!</f>
        <v>#REF!</v>
      </c>
      <c r="T1149" s="865" t="e">
        <f>S1149</f>
        <v>#REF!</v>
      </c>
      <c r="U1149" s="864">
        <f>V1149</f>
        <v>0</v>
      </c>
      <c r="V1149" s="864">
        <f>I809</f>
        <v>0</v>
      </c>
      <c r="W1149" s="865">
        <f>V1149</f>
        <v>0</v>
      </c>
    </row>
    <row r="1150" spans="13:24" hidden="1">
      <c r="M1150" s="120"/>
      <c r="N1150" s="360" t="s">
        <v>691</v>
      </c>
      <c r="O1150" s="282"/>
      <c r="P1150" s="282"/>
      <c r="Q1150" s="282"/>
      <c r="R1150" s="863" t="e">
        <f t="shared" ref="R1150:W1150" si="273">5/PI()*R1145*R814*R1149/R834/R1143</f>
        <v>#REF!</v>
      </c>
      <c r="S1150" s="864" t="e">
        <f t="shared" si="273"/>
        <v>#REF!</v>
      </c>
      <c r="T1150" s="865" t="e">
        <f t="shared" si="273"/>
        <v>#REF!</v>
      </c>
      <c r="U1150" s="864" t="e">
        <f t="shared" si="273"/>
        <v>#DIV/0!</v>
      </c>
      <c r="V1150" s="864" t="e">
        <f t="shared" si="273"/>
        <v>#DIV/0!</v>
      </c>
      <c r="W1150" s="865" t="e">
        <f t="shared" si="273"/>
        <v>#DIV/0!</v>
      </c>
    </row>
    <row r="1151" spans="13:24" hidden="1">
      <c r="M1151" s="120"/>
      <c r="N1151" s="360" t="s">
        <v>579</v>
      </c>
      <c r="O1151" s="282"/>
      <c r="P1151" s="282"/>
      <c r="Q1151" s="282"/>
      <c r="R1151" s="39"/>
      <c r="S1151" s="57" t="e">
        <f>S1150/S849*100</f>
        <v>#REF!</v>
      </c>
      <c r="T1151" s="38"/>
      <c r="U1151" s="37"/>
      <c r="V1151" s="57" t="e">
        <f>V1150/V849*100</f>
        <v>#DIV/0!</v>
      </c>
      <c r="W1151" s="38"/>
    </row>
    <row r="1152" spans="13:24" hidden="1">
      <c r="M1152" s="120"/>
      <c r="N1152" s="360" t="s">
        <v>586</v>
      </c>
      <c r="O1152" s="282"/>
      <c r="P1152" s="282"/>
      <c r="Q1152" s="282"/>
      <c r="R1152" s="866"/>
      <c r="S1152" s="609" t="e">
        <f>1000/(S1150*S1149)*10</f>
        <v>#REF!</v>
      </c>
      <c r="T1152" s="867"/>
      <c r="U1152" s="609"/>
      <c r="V1152" s="609" t="e">
        <f>1000/(V1150*V1149)*10</f>
        <v>#DIV/0!</v>
      </c>
      <c r="W1152" s="867"/>
    </row>
    <row r="1153" spans="13:24" hidden="1">
      <c r="M1153" s="120"/>
      <c r="N1153" s="360" t="s">
        <v>739</v>
      </c>
      <c r="O1153" s="282"/>
      <c r="P1153" s="282"/>
      <c r="Q1153" s="282"/>
      <c r="R1153" s="39" t="e">
        <f>"More than "&amp;TEXT(S1152,"#.0")&amp;"-nF"</f>
        <v>#REF!</v>
      </c>
      <c r="S1153" s="37"/>
      <c r="T1153" s="38"/>
      <c r="U1153" s="1439" t="e">
        <f>"More than "&amp;TEXT(V1152,"#.0")&amp;"-nF"</f>
        <v>#DIV/0!</v>
      </c>
      <c r="V1153" s="1439"/>
      <c r="W1153" s="1440"/>
    </row>
    <row r="1154" spans="13:24" hidden="1">
      <c r="M1154" s="120"/>
      <c r="N1154" s="360" t="s">
        <v>740</v>
      </c>
      <c r="O1154" s="282"/>
      <c r="P1154" s="282"/>
      <c r="Q1154" s="282"/>
      <c r="R1154" s="863" t="e">
        <f>S1154</f>
        <v>#REF!</v>
      </c>
      <c r="S1154" s="864" t="e">
        <f>#REF!</f>
        <v>#REF!</v>
      </c>
      <c r="T1154" s="865" t="e">
        <f>S1154</f>
        <v>#REF!</v>
      </c>
      <c r="U1154" s="864">
        <f>V1154</f>
        <v>0</v>
      </c>
      <c r="V1154" s="864">
        <f>I811</f>
        <v>0</v>
      </c>
      <c r="W1154" s="865">
        <f>V1154</f>
        <v>0</v>
      </c>
    </row>
    <row r="1155" spans="13:24" hidden="1">
      <c r="M1155" s="120"/>
      <c r="N1155" s="1356" t="s">
        <v>741</v>
      </c>
      <c r="O1155" s="5"/>
      <c r="P1155" s="5"/>
      <c r="Q1155" s="5"/>
      <c r="R1155" s="866"/>
      <c r="S1155" s="609" t="e">
        <f>S1154*S1149/(1000/S1150)</f>
        <v>#REF!</v>
      </c>
      <c r="T1155" s="867"/>
      <c r="U1155" s="58"/>
      <c r="V1155" s="609" t="e">
        <f>V1154*V1149/(1000/V1150)</f>
        <v>#DIV/0!</v>
      </c>
      <c r="W1155" s="59"/>
    </row>
    <row r="1156" spans="13:24" ht="14" hidden="1" thickBot="1">
      <c r="M1156" s="120"/>
      <c r="N1156" s="375" t="s">
        <v>78</v>
      </c>
      <c r="O1156" s="711"/>
      <c r="P1156" s="711"/>
      <c r="Q1156" s="711"/>
      <c r="R1156" s="868" t="e">
        <f t="shared" ref="R1156:W1156" si="274">R1144*R935</f>
        <v>#REF!</v>
      </c>
      <c r="S1156" s="869" t="e">
        <f t="shared" si="274"/>
        <v>#REF!</v>
      </c>
      <c r="T1156" s="870" t="e">
        <f t="shared" si="274"/>
        <v>#REF!</v>
      </c>
      <c r="U1156" s="869" t="e">
        <f t="shared" si="274"/>
        <v>#REF!</v>
      </c>
      <c r="V1156" s="869" t="e">
        <f t="shared" si="274"/>
        <v>#REF!</v>
      </c>
      <c r="W1156" s="870" t="e">
        <f t="shared" si="274"/>
        <v>#REF!</v>
      </c>
    </row>
    <row r="1157" spans="13:24" hidden="1">
      <c r="M1157" s="120"/>
      <c r="N1157" s="995"/>
      <c r="O1157" s="334"/>
      <c r="P1157" s="334"/>
      <c r="Q1157" s="435"/>
      <c r="R1157" s="334"/>
      <c r="S1157" s="435"/>
      <c r="T1157" s="334"/>
      <c r="U1157" s="31"/>
      <c r="V1157" s="15"/>
      <c r="W1157" s="15"/>
      <c r="X1157" s="246"/>
    </row>
    <row r="1158" spans="13:24" hidden="1">
      <c r="M1158" s="120"/>
      <c r="N1158" s="934"/>
      <c r="O1158" s="15"/>
      <c r="P1158" s="15"/>
      <c r="Q1158" s="60" t="s">
        <v>845</v>
      </c>
      <c r="R1158" s="60" t="s">
        <v>742</v>
      </c>
      <c r="S1158" s="659" t="s">
        <v>743</v>
      </c>
      <c r="T1158" s="659" t="s">
        <v>744</v>
      </c>
      <c r="U1158" s="31"/>
      <c r="V1158" s="15"/>
      <c r="W1158" s="15"/>
    </row>
    <row r="1159" spans="13:24" hidden="1">
      <c r="M1159" s="120"/>
      <c r="N1159" s="995" t="s">
        <v>745</v>
      </c>
      <c r="O1159" s="334"/>
      <c r="P1159" s="334"/>
      <c r="Q1159" s="470">
        <v>3.3</v>
      </c>
      <c r="R1159" s="470">
        <v>5.92</v>
      </c>
      <c r="S1159" s="455">
        <v>11.7</v>
      </c>
      <c r="T1159" s="334">
        <v>11.2</v>
      </c>
      <c r="U1159" s="31"/>
      <c r="V1159" s="15"/>
      <c r="W1159" s="15"/>
    </row>
    <row r="1160" spans="13:24" hidden="1">
      <c r="M1160" s="120"/>
      <c r="N1160" s="995" t="s">
        <v>746</v>
      </c>
      <c r="O1160" s="334"/>
      <c r="P1160" s="334"/>
      <c r="Q1160" s="470">
        <v>4.7</v>
      </c>
      <c r="R1160" s="470">
        <v>8.93</v>
      </c>
      <c r="S1160" s="455">
        <v>9.9</v>
      </c>
      <c r="T1160" s="334">
        <v>9.1</v>
      </c>
      <c r="U1160" s="31"/>
      <c r="V1160" s="15"/>
      <c r="W1160" s="15"/>
    </row>
    <row r="1161" spans="13:24" hidden="1">
      <c r="M1161" s="120"/>
      <c r="N1161" s="995" t="s">
        <v>747</v>
      </c>
      <c r="O1161" s="334"/>
      <c r="P1161" s="334"/>
      <c r="Q1161" s="470">
        <v>3.3</v>
      </c>
      <c r="R1161" s="470">
        <v>5.51</v>
      </c>
      <c r="S1161" s="455">
        <v>13.1</v>
      </c>
      <c r="T1161" s="334">
        <v>11.5</v>
      </c>
      <c r="U1161" s="31"/>
      <c r="V1161" s="15"/>
      <c r="W1161" s="15"/>
      <c r="X1161" s="15"/>
    </row>
    <row r="1162" spans="13:24" hidden="1">
      <c r="M1162" s="120"/>
      <c r="N1162" s="995" t="s">
        <v>748</v>
      </c>
      <c r="O1162" s="334"/>
      <c r="P1162" s="334"/>
      <c r="Q1162" s="470">
        <v>4.7</v>
      </c>
      <c r="R1162" s="470">
        <v>7.12</v>
      </c>
      <c r="S1162" s="455">
        <v>11.2</v>
      </c>
      <c r="T1162" s="334">
        <v>10.199999999999999</v>
      </c>
      <c r="U1162" s="31"/>
      <c r="V1162" s="15"/>
      <c r="W1162" s="15"/>
    </row>
    <row r="1163" spans="13:24" hidden="1">
      <c r="M1163" s="120"/>
      <c r="N1163" s="995" t="s">
        <v>749</v>
      </c>
      <c r="O1163" s="334"/>
      <c r="P1163" s="334"/>
      <c r="Q1163" s="470">
        <v>4</v>
      </c>
      <c r="R1163" s="470">
        <v>4.5</v>
      </c>
      <c r="S1163" s="455">
        <v>7.2</v>
      </c>
      <c r="T1163" s="334">
        <v>12.5</v>
      </c>
      <c r="U1163" s="31"/>
      <c r="V1163" s="15"/>
      <c r="W1163" s="15"/>
    </row>
    <row r="1164" spans="13:24" hidden="1">
      <c r="M1164" s="120"/>
      <c r="N1164" s="995"/>
      <c r="O1164" s="334"/>
      <c r="P1164" s="334"/>
      <c r="Q1164" s="435"/>
      <c r="R1164" s="334"/>
      <c r="S1164" s="435"/>
      <c r="T1164" s="334"/>
      <c r="U1164" s="31"/>
      <c r="V1164" s="15"/>
      <c r="W1164" s="15"/>
    </row>
    <row r="1165" spans="13:24" hidden="1">
      <c r="M1165" s="120"/>
      <c r="N1165" s="995"/>
      <c r="O1165" s="334"/>
      <c r="P1165" s="334"/>
      <c r="Q1165" s="334"/>
      <c r="R1165" s="434"/>
      <c r="S1165" s="434"/>
      <c r="T1165" s="434"/>
      <c r="U1165" s="434"/>
      <c r="V1165" s="434"/>
      <c r="W1165" s="434"/>
    </row>
    <row r="1166" spans="13:24" hidden="1">
      <c r="M1166" s="120"/>
      <c r="N1166" s="1357" t="s">
        <v>750</v>
      </c>
      <c r="O1166" s="334"/>
      <c r="P1166" s="334"/>
      <c r="Q1166" s="334"/>
      <c r="R1166" s="434"/>
      <c r="S1166" s="434"/>
      <c r="T1166" s="434"/>
      <c r="U1166" s="434"/>
      <c r="V1166" s="434"/>
      <c r="W1166" s="434"/>
    </row>
    <row r="1167" spans="13:24" ht="14" hidden="1" thickBot="1">
      <c r="M1167" s="120"/>
      <c r="N1167" s="1358" t="s">
        <v>751</v>
      </c>
      <c r="O1167" s="61"/>
      <c r="P1167" s="61"/>
      <c r="Q1167" s="61"/>
      <c r="R1167" s="434"/>
      <c r="S1167" s="434"/>
      <c r="T1167" s="434"/>
      <c r="U1167" s="434"/>
      <c r="V1167" s="434"/>
      <c r="W1167" s="434"/>
    </row>
    <row r="1168" spans="13:24" ht="14" hidden="1" thickBot="1">
      <c r="M1168" s="120"/>
      <c r="N1168" s="1359" t="s">
        <v>607</v>
      </c>
      <c r="O1168" s="433"/>
      <c r="P1168" s="433"/>
      <c r="Q1168" s="433"/>
      <c r="R1168" s="871" t="e">
        <f>SQRT(R818)*O736</f>
        <v>#REF!</v>
      </c>
      <c r="S1168" s="872" t="e">
        <f>SQRT(S818)*Q736</f>
        <v>#REF!</v>
      </c>
      <c r="T1168" s="873" t="e">
        <f>SQRT(T818)*R736</f>
        <v>#REF!</v>
      </c>
      <c r="U1168" s="871" t="e">
        <f>SQRT(U818)*S736</f>
        <v>#REF!</v>
      </c>
      <c r="V1168" s="872" t="e">
        <f>SQRT(V818)*T736</f>
        <v>#REF!</v>
      </c>
      <c r="W1168" s="873" t="e">
        <f>SQRT(W818)*U736</f>
        <v>#REF!</v>
      </c>
    </row>
    <row r="1169" spans="13:24" hidden="1">
      <c r="M1169" s="120"/>
      <c r="N1169" s="1175"/>
      <c r="O1169" s="29"/>
      <c r="P1169" s="29"/>
      <c r="Q1169" s="29"/>
      <c r="R1169" s="434"/>
      <c r="S1169" s="434"/>
      <c r="T1169" s="434"/>
      <c r="U1169" s="434"/>
      <c r="V1169" s="434"/>
      <c r="W1169" s="434"/>
    </row>
    <row r="1170" spans="13:24" ht="14" hidden="1" thickBot="1">
      <c r="M1170" s="120"/>
      <c r="N1170" s="1358" t="s">
        <v>752</v>
      </c>
      <c r="O1170" s="61"/>
      <c r="P1170" s="61"/>
      <c r="Q1170" s="61"/>
      <c r="R1170" s="434"/>
      <c r="S1170" s="434"/>
      <c r="T1170" s="434"/>
      <c r="U1170" s="434"/>
      <c r="V1170" s="434"/>
      <c r="W1170" s="434"/>
    </row>
    <row r="1171" spans="13:24" ht="14" hidden="1" thickBot="1">
      <c r="M1171" s="120"/>
      <c r="N1171" s="1359" t="s">
        <v>608</v>
      </c>
      <c r="O1171" s="433"/>
      <c r="P1171" s="433"/>
      <c r="Q1171" s="433"/>
      <c r="R1171" s="871">
        <f>SQRT(R732)*R853</f>
        <v>0</v>
      </c>
      <c r="S1171" s="874" t="e">
        <f>S1174^2*S1175*(S1176*S1179/S1178+S1180)/(2*S1177*S1179*(S1176*(S1178-S1179)/S1178)-S1180)*1000</f>
        <v>#REF!</v>
      </c>
      <c r="T1171" s="873">
        <f>SQRT(T732)*T853</f>
        <v>0</v>
      </c>
      <c r="U1171" s="871">
        <f>SQRT(U732)*U853</f>
        <v>0</v>
      </c>
      <c r="V1171" s="874" t="e">
        <f>V1174^2*V1175*(V1176*V1179/V1178+V1180)/(2*V1177*V1179*(V1176*(V1178-V1179)/V1178)-V1180)*1000</f>
        <v>#REF!</v>
      </c>
      <c r="W1171" s="873">
        <f>SQRT(W732)*W853</f>
        <v>0</v>
      </c>
    </row>
    <row r="1172" spans="13:24" ht="14" hidden="1" thickBot="1">
      <c r="M1172" s="120"/>
      <c r="N1172" s="1359" t="s">
        <v>609</v>
      </c>
      <c r="O1172" s="410"/>
      <c r="P1172" s="410"/>
      <c r="Q1172" s="410"/>
      <c r="R1172" s="875"/>
      <c r="S1172" s="398" t="e">
        <f>S1174^2*S1175*(S1176*S1179/S1178+S1180)/(2*S1177*S1179*(S1176*(S1178-S1179)/S1178)+S1180)*1000</f>
        <v>#REF!</v>
      </c>
      <c r="T1172" s="875"/>
      <c r="U1172" s="875"/>
      <c r="V1172" s="398" t="e">
        <f>V1174^2*V1175*(V1176*V1179/V1178+V1180)/(2*V1177*V1179*(V1176*(V1178-V1179)/V1178)+V1180)*1000</f>
        <v>#REF!</v>
      </c>
      <c r="W1172" s="875"/>
    </row>
    <row r="1173" spans="13:24" hidden="1">
      <c r="M1173" s="120"/>
      <c r="N1173" s="1059" t="s">
        <v>753</v>
      </c>
      <c r="O1173" s="410"/>
      <c r="P1173" s="410"/>
      <c r="Q1173" s="410"/>
      <c r="R1173" s="875"/>
      <c r="S1173" s="875" t="e">
        <f>S1174^2*S1175/(2*S1177*S1179)*1000</f>
        <v>#REF!</v>
      </c>
      <c r="T1173" s="875"/>
      <c r="U1173" s="875"/>
      <c r="V1173" s="875" t="e">
        <f>V1174^2*V1175/(2*V1177*V1179)*1000</f>
        <v>#REF!</v>
      </c>
      <c r="W1173" s="875"/>
    </row>
    <row r="1174" spans="13:24" hidden="1">
      <c r="M1174" s="120"/>
      <c r="N1174" s="1059" t="s">
        <v>754</v>
      </c>
      <c r="O1174" s="410"/>
      <c r="P1174" s="410"/>
      <c r="Q1174" s="410"/>
      <c r="R1174" s="875"/>
      <c r="S1174" s="875">
        <v>4</v>
      </c>
      <c r="T1174" s="875"/>
      <c r="U1174" s="875"/>
      <c r="V1174" s="875">
        <v>4</v>
      </c>
      <c r="W1174" s="875"/>
    </row>
    <row r="1175" spans="13:24" hidden="1">
      <c r="M1175" s="120"/>
      <c r="N1175" s="1059" t="s">
        <v>1052</v>
      </c>
      <c r="O1175" s="410"/>
      <c r="P1175" s="410"/>
      <c r="Q1175" s="410"/>
      <c r="R1175" s="875"/>
      <c r="S1175" s="875" t="e">
        <f>#REF!</f>
        <v>#REF!</v>
      </c>
      <c r="T1175" s="875"/>
      <c r="U1175" s="875"/>
      <c r="V1175" s="875" t="e">
        <f>#REF!</f>
        <v>#REF!</v>
      </c>
      <c r="W1175" s="875"/>
    </row>
    <row r="1176" spans="13:24" hidden="1">
      <c r="M1176" s="120"/>
      <c r="N1176" s="1059" t="s">
        <v>755</v>
      </c>
      <c r="O1176" s="410"/>
      <c r="P1176" s="410"/>
      <c r="Q1176" s="410"/>
      <c r="R1176" s="875"/>
      <c r="S1176" s="875" t="e">
        <f>1/#REF!*10^3</f>
        <v>#REF!</v>
      </c>
      <c r="T1176" s="875"/>
      <c r="U1176" s="875"/>
      <c r="V1176" s="875" t="e">
        <f>1/#REF!*10^3</f>
        <v>#REF!</v>
      </c>
      <c r="W1176" s="875"/>
    </row>
    <row r="1177" spans="13:24" hidden="1">
      <c r="M1177" s="120"/>
      <c r="N1177" s="1059" t="s">
        <v>964</v>
      </c>
      <c r="O1177" s="410"/>
      <c r="P1177" s="410"/>
      <c r="Q1177" s="410"/>
      <c r="R1177" s="875"/>
      <c r="S1177" s="875" t="e">
        <f>#REF!</f>
        <v>#REF!</v>
      </c>
      <c r="T1177" s="875"/>
      <c r="U1177" s="875"/>
      <c r="V1177" s="875" t="e">
        <f>#REF!</f>
        <v>#REF!</v>
      </c>
      <c r="W1177" s="875"/>
    </row>
    <row r="1178" spans="13:24" hidden="1">
      <c r="M1178" s="120"/>
      <c r="N1178" s="1059" t="s">
        <v>756</v>
      </c>
      <c r="O1178" s="410"/>
      <c r="P1178" s="410"/>
      <c r="Q1178" s="410"/>
      <c r="R1178" s="875"/>
      <c r="S1178" s="875" t="e">
        <f>#REF!</f>
        <v>#REF!</v>
      </c>
      <c r="T1178" s="875"/>
      <c r="U1178" s="875"/>
      <c r="V1178" s="875" t="e">
        <f>S1178</f>
        <v>#REF!</v>
      </c>
      <c r="W1178" s="875"/>
      <c r="X1178" s="15"/>
    </row>
    <row r="1179" spans="13:24" hidden="1">
      <c r="M1179" s="120"/>
      <c r="N1179" s="1059" t="s">
        <v>1083</v>
      </c>
      <c r="O1179" s="410"/>
      <c r="P1179" s="410"/>
      <c r="Q1179" s="410"/>
      <c r="R1179" s="875"/>
      <c r="S1179" s="875" t="e">
        <f>#REF!</f>
        <v>#REF!</v>
      </c>
      <c r="T1179" s="875"/>
      <c r="U1179" s="875"/>
      <c r="V1179" s="875" t="e">
        <f>#REF!</f>
        <v>#REF!</v>
      </c>
      <c r="W1179" s="875"/>
    </row>
    <row r="1180" spans="13:24" hidden="1">
      <c r="M1180" s="120"/>
      <c r="N1180" s="1059" t="s">
        <v>757</v>
      </c>
      <c r="O1180" s="410"/>
      <c r="P1180" s="410"/>
      <c r="Q1180" s="410"/>
      <c r="R1180" s="875"/>
      <c r="S1180" s="875" t="e">
        <f>#REF!</f>
        <v>#REF!</v>
      </c>
      <c r="T1180" s="875"/>
      <c r="U1180" s="875"/>
      <c r="V1180" s="875" t="e">
        <f>#REF!</f>
        <v>#REF!</v>
      </c>
      <c r="W1180" s="875"/>
    </row>
    <row r="1181" spans="13:24" hidden="1">
      <c r="M1181" s="120"/>
      <c r="N1181" s="1059"/>
      <c r="O1181" s="410"/>
      <c r="P1181" s="410"/>
      <c r="Q1181" s="410"/>
      <c r="R1181" s="875"/>
      <c r="S1181" s="875"/>
      <c r="T1181" s="875"/>
      <c r="U1181" s="875"/>
      <c r="V1181" s="875"/>
      <c r="W1181" s="875"/>
    </row>
    <row r="1182" spans="13:24" hidden="1">
      <c r="M1182" s="120"/>
      <c r="N1182" s="1175"/>
      <c r="O1182" s="29"/>
      <c r="P1182" s="29"/>
      <c r="Q1182" s="29"/>
      <c r="R1182" s="434"/>
      <c r="S1182" s="434"/>
      <c r="T1182" s="434"/>
      <c r="U1182" s="434"/>
      <c r="V1182" s="434"/>
      <c r="W1182" s="434"/>
    </row>
    <row r="1183" spans="13:24" ht="14" hidden="1" thickBot="1">
      <c r="M1183" s="120"/>
      <c r="N1183" s="1358" t="s">
        <v>758</v>
      </c>
      <c r="O1183" s="61"/>
      <c r="P1183" s="61"/>
      <c r="Q1183" s="61"/>
      <c r="R1183" s="434"/>
      <c r="S1183" s="434"/>
      <c r="T1183" s="434"/>
      <c r="U1183" s="434"/>
      <c r="V1183" s="434"/>
      <c r="W1183" s="434"/>
    </row>
    <row r="1184" spans="13:24" ht="14" hidden="1" thickBot="1">
      <c r="M1184" s="120"/>
      <c r="N1184" s="1360" t="s">
        <v>759</v>
      </c>
      <c r="O1184" s="876"/>
      <c r="P1184" s="876"/>
      <c r="Q1184" s="876"/>
      <c r="R1184" s="834">
        <f>S1184</f>
        <v>9.3000000000000007</v>
      </c>
      <c r="S1184" s="877">
        <v>9.3000000000000007</v>
      </c>
      <c r="T1184" s="878">
        <f>S1184</f>
        <v>9.3000000000000007</v>
      </c>
      <c r="U1184" s="834">
        <f>V1184</f>
        <v>9.3000000000000007</v>
      </c>
      <c r="V1184" s="877">
        <v>9.3000000000000007</v>
      </c>
      <c r="W1184" s="878">
        <f>V1184</f>
        <v>9.3000000000000007</v>
      </c>
    </row>
    <row r="1185" spans="13:23" ht="14" hidden="1" thickBot="1">
      <c r="M1185" s="120"/>
      <c r="N1185" s="1359" t="s">
        <v>760</v>
      </c>
      <c r="O1185" s="879"/>
      <c r="P1185" s="879"/>
      <c r="Q1185" s="879"/>
      <c r="R1185" s="872" t="e">
        <f>30*2*R1184/(#REF!-0.8)</f>
        <v>#REF!</v>
      </c>
      <c r="S1185" s="872" t="e">
        <f>30*2*S1184/(#REF!-0.8)</f>
        <v>#REF!</v>
      </c>
      <c r="T1185" s="873" t="e">
        <f>30*2*T1184/(#REF!-0.8)</f>
        <v>#REF!</v>
      </c>
      <c r="U1185" s="871" t="e">
        <f>30*2*U1184/(#REF!-0.8)</f>
        <v>#REF!</v>
      </c>
      <c r="V1185" s="872" t="e">
        <f>30*2*V1184/(#REF!-0.8)</f>
        <v>#REF!</v>
      </c>
      <c r="W1185" s="873" t="e">
        <f>30*2*W1184/(#REF!-0.8)</f>
        <v>#REF!</v>
      </c>
    </row>
    <row r="1186" spans="13:23" hidden="1">
      <c r="M1186" s="120"/>
      <c r="N1186" s="1175"/>
      <c r="O1186" s="29"/>
      <c r="P1186" s="29"/>
      <c r="Q1186" s="29"/>
      <c r="R1186" s="434"/>
      <c r="S1186" s="434"/>
      <c r="T1186" s="434"/>
      <c r="U1186" s="434"/>
      <c r="V1186" s="434"/>
      <c r="W1186" s="434"/>
    </row>
    <row r="1187" spans="13:23" ht="14" hidden="1" thickBot="1">
      <c r="M1187" s="120"/>
      <c r="N1187" s="1175" t="s">
        <v>761</v>
      </c>
      <c r="O1187" s="29"/>
      <c r="P1187" s="29"/>
      <c r="Q1187" s="29"/>
      <c r="R1187" s="434"/>
      <c r="S1187" s="434"/>
      <c r="T1187" s="434"/>
      <c r="U1187" s="434"/>
      <c r="V1187" s="434"/>
      <c r="W1187" s="434"/>
    </row>
    <row r="1188" spans="13:23" ht="14" hidden="1" thickBot="1">
      <c r="M1188" s="108"/>
      <c r="N1188" s="1359" t="s">
        <v>762</v>
      </c>
      <c r="O1188" s="877"/>
      <c r="P1188" s="877"/>
      <c r="Q1188" s="877"/>
      <c r="R1188" s="835">
        <f>S1188</f>
        <v>0</v>
      </c>
      <c r="S1188" s="877">
        <v>0</v>
      </c>
      <c r="T1188" s="878">
        <f>S1188</f>
        <v>0</v>
      </c>
      <c r="U1188" s="834">
        <f>V1188</f>
        <v>0</v>
      </c>
      <c r="V1188" s="877">
        <v>0</v>
      </c>
      <c r="W1188" s="878">
        <f>V1188</f>
        <v>0</v>
      </c>
    </row>
    <row r="1189" spans="13:23" ht="14" hidden="1" thickBot="1">
      <c r="M1189" s="108"/>
      <c r="N1189" s="1360" t="s">
        <v>763</v>
      </c>
      <c r="O1189" s="877"/>
      <c r="P1189" s="877"/>
      <c r="Q1189" s="877"/>
      <c r="R1189" s="880" t="e">
        <f>R1168^2*#REF!/1000</f>
        <v>#REF!</v>
      </c>
      <c r="S1189" s="880" t="e">
        <f>S1168^2*R695/1000</f>
        <v>#REF!</v>
      </c>
      <c r="T1189" s="881" t="e">
        <f>T1168^2*T695/1000</f>
        <v>#REF!</v>
      </c>
      <c r="U1189" s="882" t="e">
        <f>U1168^2*U695/1000</f>
        <v>#REF!</v>
      </c>
      <c r="V1189" s="880" t="e">
        <f>V1168^2*V695/1000</f>
        <v>#REF!</v>
      </c>
      <c r="W1189" s="881" t="e">
        <f>W1168^2*W695/1000</f>
        <v>#REF!</v>
      </c>
    </row>
    <row r="1190" spans="13:23" ht="14" hidden="1" thickBot="1">
      <c r="M1190" s="108"/>
      <c r="N1190" s="1359" t="s">
        <v>764</v>
      </c>
      <c r="O1190" s="879"/>
      <c r="P1190" s="879"/>
      <c r="Q1190" s="879"/>
      <c r="R1190" s="883" t="e">
        <f>(O736*(#REF!+#REF!)/(5-0.8)*R1188+#REF!/2)*#REF!*R849*10^-6+R1184*(5-0.8)*R849*10^-6</f>
        <v>#REF!</v>
      </c>
      <c r="S1190" s="883" t="e">
        <f>(Q736*(R703+R704)/(5-0.8)*S1188+R698/2)*#REF!*S849*10^-6+S1184*(5-0.8)*S849*10^-6</f>
        <v>#REF!</v>
      </c>
      <c r="T1190" s="884" t="e">
        <f>(R736*(T703+T704)/(5-0.8)*T1188+T698/2)*#REF!*T849*10^-6+T1184*(5-0.8)*T849*10^-6</f>
        <v>#REF!</v>
      </c>
      <c r="U1190" s="885" t="e">
        <f>(S736*(U703+U704)/(5-0.8)*U1188+U698/2)*#REF!*U849*10^-6+U1184*(5-0.8)*U849*10^-6</f>
        <v>#REF!</v>
      </c>
      <c r="V1190" s="883" t="e">
        <f>(T736*(V703+V704)/(5-0.8)*V1188+V698/2)*#REF!*V849*10^-6+V1184*(5-0.8)*V849*10^-6</f>
        <v>#REF!</v>
      </c>
      <c r="W1190" s="884" t="e">
        <f>(U736*(W704+W699)/(5-0.8)*W1188+W705/2)*#REF!*W849*10^-6+W1184*(5-0.8)*W849*10^-6</f>
        <v>#REF!</v>
      </c>
    </row>
    <row r="1191" spans="13:23" ht="14" hidden="1" thickBot="1">
      <c r="M1191" s="112"/>
      <c r="N1191" s="1361" t="s">
        <v>765</v>
      </c>
      <c r="O1191" s="886"/>
      <c r="P1191" s="886"/>
      <c r="Q1191" s="886"/>
      <c r="R1191" s="887" t="e">
        <f t="shared" ref="R1191:W1191" si="275">R1189+R1190</f>
        <v>#REF!</v>
      </c>
      <c r="S1191" s="887" t="e">
        <f t="shared" si="275"/>
        <v>#REF!</v>
      </c>
      <c r="T1191" s="888" t="e">
        <f t="shared" si="275"/>
        <v>#REF!</v>
      </c>
      <c r="U1191" s="889" t="e">
        <f t="shared" si="275"/>
        <v>#REF!</v>
      </c>
      <c r="V1191" s="887" t="e">
        <f t="shared" si="275"/>
        <v>#REF!</v>
      </c>
      <c r="W1191" s="888" t="e">
        <f t="shared" si="275"/>
        <v>#REF!</v>
      </c>
    </row>
    <row r="1192" spans="13:23" ht="14" hidden="1" thickBot="1">
      <c r="M1192" s="112"/>
      <c r="N1192" s="1359" t="s">
        <v>766</v>
      </c>
      <c r="O1192" s="879"/>
      <c r="P1192" s="879"/>
      <c r="Q1192" s="879"/>
      <c r="R1192" s="872" t="e">
        <f>R1191*#REF!</f>
        <v>#REF!</v>
      </c>
      <c r="S1192" s="872" t="e">
        <f>S1191*R705</f>
        <v>#REF!</v>
      </c>
      <c r="T1192" s="873" t="e">
        <f>T1191*T705</f>
        <v>#REF!</v>
      </c>
      <c r="U1192" s="871" t="e">
        <f>U1191*U705</f>
        <v>#REF!</v>
      </c>
      <c r="V1192" s="872" t="e">
        <f>V1191*V705</f>
        <v>#REF!</v>
      </c>
      <c r="W1192" s="873" t="e">
        <f>W1191*W706</f>
        <v>#REF!</v>
      </c>
    </row>
    <row r="1193" spans="13:23" hidden="1">
      <c r="M1193" s="112"/>
      <c r="N1193" s="1175"/>
      <c r="O1193" s="29"/>
      <c r="P1193" s="29"/>
      <c r="Q1193" s="29"/>
      <c r="R1193" s="434"/>
      <c r="S1193" s="434"/>
      <c r="T1193" s="434"/>
      <c r="U1193" s="434"/>
      <c r="V1193" s="434"/>
      <c r="W1193" s="434"/>
    </row>
    <row r="1194" spans="13:23" ht="14" hidden="1" thickBot="1">
      <c r="M1194" s="112"/>
      <c r="N1194" s="1175" t="s">
        <v>767</v>
      </c>
      <c r="O1194" s="29"/>
      <c r="P1194" s="29"/>
      <c r="Q1194" s="29"/>
      <c r="R1194" s="434"/>
      <c r="S1194" s="434"/>
      <c r="T1194" s="434"/>
      <c r="U1194" s="434"/>
      <c r="V1194" s="434"/>
      <c r="W1194" s="434"/>
    </row>
    <row r="1195" spans="13:23" ht="14" hidden="1" thickBot="1">
      <c r="M1195" s="112"/>
      <c r="N1195" s="1359" t="s">
        <v>762</v>
      </c>
      <c r="O1195" s="876"/>
      <c r="P1195" s="876"/>
      <c r="Q1195" s="876"/>
      <c r="R1195" s="834">
        <f>S1195</f>
        <v>0</v>
      </c>
      <c r="S1195" s="877">
        <v>0</v>
      </c>
      <c r="T1195" s="878">
        <f>S1195</f>
        <v>0</v>
      </c>
      <c r="U1195" s="834">
        <f>V1195</f>
        <v>0</v>
      </c>
      <c r="V1195" s="877">
        <v>0</v>
      </c>
      <c r="W1195" s="878">
        <f>V1195</f>
        <v>0</v>
      </c>
    </row>
    <row r="1196" spans="13:23" ht="14" hidden="1" thickBot="1">
      <c r="M1196" s="112"/>
      <c r="N1196" s="1360" t="s">
        <v>763</v>
      </c>
      <c r="O1196" s="877"/>
      <c r="P1196" s="877"/>
      <c r="Q1196" s="877"/>
      <c r="R1196" s="880" t="e">
        <f>(SQRT(1-R818/100)*O736)^2*#REF!/1000</f>
        <v>#REF!</v>
      </c>
      <c r="S1196" s="880" t="e">
        <f>(SQRT(1-S818/100)*Q736)^2*#REF!/1000</f>
        <v>#REF!</v>
      </c>
      <c r="T1196" s="881" t="e">
        <f>(SQRT(1-T818/100)*R736)^2*#REF!/1000</f>
        <v>#REF!</v>
      </c>
      <c r="U1196" s="882" t="e">
        <f>(SQRT(1-U818/100)*S736)^2*#REF!/1000</f>
        <v>#REF!</v>
      </c>
      <c r="V1196" s="880" t="e">
        <f>(SQRT(1-V818/100)*T736)^2*#REF!/1000</f>
        <v>#REF!</v>
      </c>
      <c r="W1196" s="881" t="e">
        <f>(SQRT(1-W818/100)*U736)^2*#REF!/1000</f>
        <v>#REF!</v>
      </c>
    </row>
    <row r="1197" spans="13:23" ht="14" hidden="1" thickBot="1">
      <c r="M1197" s="112"/>
      <c r="N1197" s="1359" t="s">
        <v>764</v>
      </c>
      <c r="O1197" s="879"/>
      <c r="P1197" s="879"/>
      <c r="Q1197" s="879"/>
      <c r="R1197" s="883" t="e">
        <f>R849*10^-6*((#REF!/2)*#REF!+#REF!*5)</f>
        <v>#REF!</v>
      </c>
      <c r="S1197" s="883" t="e">
        <f>S849*10^-6*((#REF!/2)*#REF!+#REF!*5)</f>
        <v>#REF!</v>
      </c>
      <c r="T1197" s="884" t="e">
        <f>T849*10^-6*((#REF!/2)*#REF!+#REF!*5)</f>
        <v>#REF!</v>
      </c>
      <c r="U1197" s="885" t="e">
        <f>U849*10^-6*((#REF!/2)*#REF!+#REF!*5)</f>
        <v>#REF!</v>
      </c>
      <c r="V1197" s="883" t="e">
        <f>V849*10^-6*((#REF!/2)*#REF!+#REF!*5)</f>
        <v>#REF!</v>
      </c>
      <c r="W1197" s="884" t="e">
        <f>W849*10^-6*((#REF!/2)*#REF!+#REF!*5)</f>
        <v>#REF!</v>
      </c>
    </row>
    <row r="1198" spans="13:23" ht="14" hidden="1" thickBot="1">
      <c r="M1198" s="112"/>
      <c r="N1198" s="1359" t="s">
        <v>765</v>
      </c>
      <c r="O1198" s="886"/>
      <c r="P1198" s="886"/>
      <c r="Q1198" s="886"/>
      <c r="R1198" s="887" t="e">
        <f t="shared" ref="R1198:W1198" si="276">R1196+R1197</f>
        <v>#REF!</v>
      </c>
      <c r="S1198" s="887" t="e">
        <f t="shared" si="276"/>
        <v>#REF!</v>
      </c>
      <c r="T1198" s="888" t="e">
        <f t="shared" si="276"/>
        <v>#REF!</v>
      </c>
      <c r="U1198" s="889" t="e">
        <f t="shared" si="276"/>
        <v>#REF!</v>
      </c>
      <c r="V1198" s="887" t="e">
        <f t="shared" si="276"/>
        <v>#REF!</v>
      </c>
      <c r="W1198" s="888" t="e">
        <f t="shared" si="276"/>
        <v>#REF!</v>
      </c>
    </row>
    <row r="1199" spans="13:23" ht="14" hidden="1" thickBot="1">
      <c r="M1199" s="112"/>
      <c r="N1199" s="1359" t="s">
        <v>766</v>
      </c>
      <c r="O1199" s="433"/>
      <c r="P1199" s="433"/>
      <c r="Q1199" s="433"/>
      <c r="R1199" s="871" t="e">
        <f>R1198*#REF!</f>
        <v>#REF!</v>
      </c>
      <c r="S1199" s="872" t="e">
        <f>S1198*#REF!</f>
        <v>#REF!</v>
      </c>
      <c r="T1199" s="873" t="e">
        <f>T1198*#REF!</f>
        <v>#REF!</v>
      </c>
      <c r="U1199" s="871" t="e">
        <f>U1198*#REF!</f>
        <v>#REF!</v>
      </c>
      <c r="V1199" s="872" t="e">
        <f>V1198*#REF!</f>
        <v>#REF!</v>
      </c>
      <c r="W1199" s="873" t="e">
        <f>W1198*#REF!</f>
        <v>#REF!</v>
      </c>
    </row>
    <row r="1200" spans="13:23" hidden="1">
      <c r="M1200" s="112"/>
    </row>
    <row r="1201" spans="13:23" hidden="1">
      <c r="M1201" s="112"/>
    </row>
    <row r="1202" spans="13:23" hidden="1">
      <c r="M1202" s="112"/>
    </row>
    <row r="1203" spans="13:23" ht="14" hidden="1" thickBot="1">
      <c r="M1203" s="112"/>
      <c r="N1203" s="1175" t="s">
        <v>768</v>
      </c>
      <c r="O1203" s="29"/>
      <c r="P1203" s="29"/>
      <c r="Q1203" s="29"/>
      <c r="R1203" s="434"/>
      <c r="S1203" s="434"/>
      <c r="T1203" s="434"/>
      <c r="U1203" s="434"/>
      <c r="V1203" s="434"/>
      <c r="W1203" s="434"/>
    </row>
    <row r="1204" spans="13:23" ht="14" hidden="1" thickBot="1">
      <c r="M1204" s="112"/>
      <c r="N1204" s="1362"/>
      <c r="O1204" s="68"/>
      <c r="P1204" s="68"/>
      <c r="Q1204" s="68"/>
      <c r="R1204" s="68" t="s">
        <v>20</v>
      </c>
      <c r="S1204" s="890"/>
      <c r="T1204" s="891"/>
      <c r="U1204" s="68" t="s">
        <v>20</v>
      </c>
      <c r="V1204" s="890"/>
      <c r="W1204" s="891"/>
    </row>
    <row r="1205" spans="13:23" hidden="1">
      <c r="M1205" s="112"/>
      <c r="N1205" s="1363" t="s">
        <v>21</v>
      </c>
      <c r="O1205" s="410"/>
      <c r="P1205" s="410"/>
      <c r="Q1205" s="410"/>
      <c r="R1205" s="892">
        <f>S695</f>
        <v>5.8</v>
      </c>
      <c r="T1205" s="893">
        <f>S695</f>
        <v>5.8</v>
      </c>
      <c r="U1205" s="894">
        <f t="shared" ref="U1205:U1211" si="277">V1205</f>
        <v>5.8</v>
      </c>
      <c r="V1205" s="895">
        <v>5.8</v>
      </c>
      <c r="W1205" s="893">
        <f t="shared" ref="W1205:W1211" si="278">V1205</f>
        <v>5.8</v>
      </c>
    </row>
    <row r="1206" spans="13:23" hidden="1">
      <c r="M1206" s="112"/>
      <c r="N1206" s="1363" t="s">
        <v>327</v>
      </c>
      <c r="O1206" s="410"/>
      <c r="P1206" s="410"/>
      <c r="Q1206" s="410"/>
      <c r="R1206" s="896">
        <f>S708</f>
        <v>0</v>
      </c>
      <c r="T1206" s="897">
        <f>S708</f>
        <v>0</v>
      </c>
      <c r="U1206" s="898">
        <f t="shared" si="277"/>
        <v>3900</v>
      </c>
      <c r="V1206" s="442">
        <v>3900</v>
      </c>
      <c r="W1206" s="897">
        <f t="shared" si="278"/>
        <v>3900</v>
      </c>
    </row>
    <row r="1207" spans="13:23" hidden="1">
      <c r="M1207" s="112"/>
      <c r="N1207" s="1363" t="s">
        <v>22</v>
      </c>
      <c r="O1207" s="410"/>
      <c r="P1207" s="410"/>
      <c r="Q1207" s="410"/>
      <c r="R1207" s="892">
        <f>S697</f>
        <v>24</v>
      </c>
      <c r="T1207" s="893">
        <f>S697</f>
        <v>24</v>
      </c>
      <c r="U1207" s="894">
        <f t="shared" si="277"/>
        <v>24</v>
      </c>
      <c r="V1207" s="895">
        <v>24</v>
      </c>
      <c r="W1207" s="893">
        <f t="shared" si="278"/>
        <v>24</v>
      </c>
    </row>
    <row r="1208" spans="13:23" hidden="1">
      <c r="M1208" s="112"/>
      <c r="N1208" s="1363" t="s">
        <v>29</v>
      </c>
      <c r="O1208" s="410"/>
      <c r="P1208" s="410"/>
      <c r="Q1208" s="410"/>
      <c r="R1208" s="892">
        <f>S703</f>
        <v>6.2</v>
      </c>
      <c r="T1208" s="893">
        <f>S703</f>
        <v>6.2</v>
      </c>
      <c r="U1208" s="894">
        <f t="shared" si="277"/>
        <v>6.2</v>
      </c>
      <c r="V1208" s="895">
        <v>6.2</v>
      </c>
      <c r="W1208" s="893">
        <f t="shared" si="278"/>
        <v>6.2</v>
      </c>
    </row>
    <row r="1209" spans="13:23" hidden="1">
      <c r="M1209" s="112"/>
      <c r="N1209" s="1363" t="s">
        <v>31</v>
      </c>
      <c r="O1209" s="410"/>
      <c r="P1209" s="410"/>
      <c r="Q1209" s="410"/>
      <c r="R1209" s="892">
        <f>S704</f>
        <v>2</v>
      </c>
      <c r="T1209" s="893">
        <f>S704</f>
        <v>2</v>
      </c>
      <c r="U1209" s="894">
        <f t="shared" si="277"/>
        <v>2</v>
      </c>
      <c r="V1209" s="895">
        <v>2</v>
      </c>
      <c r="W1209" s="893">
        <f t="shared" si="278"/>
        <v>2</v>
      </c>
    </row>
    <row r="1210" spans="13:23" hidden="1">
      <c r="M1210" s="112"/>
      <c r="N1210" s="1363" t="s">
        <v>23</v>
      </c>
      <c r="O1210" s="410"/>
      <c r="P1210" s="410"/>
      <c r="Q1210" s="410"/>
      <c r="R1210" s="892">
        <f>S698</f>
        <v>10</v>
      </c>
      <c r="T1210" s="893">
        <f>S698</f>
        <v>10</v>
      </c>
      <c r="U1210" s="894">
        <f t="shared" si="277"/>
        <v>10</v>
      </c>
      <c r="V1210" s="895">
        <v>10</v>
      </c>
      <c r="W1210" s="893">
        <f t="shared" si="278"/>
        <v>10</v>
      </c>
    </row>
    <row r="1211" spans="13:23" ht="14" hidden="1" thickBot="1">
      <c r="M1211" s="112"/>
      <c r="N1211" s="1361" t="s">
        <v>32</v>
      </c>
      <c r="O1211" s="886"/>
      <c r="P1211" s="886"/>
      <c r="Q1211" s="886"/>
      <c r="R1211" s="899">
        <f>S705</f>
        <v>50</v>
      </c>
      <c r="T1211" s="900">
        <f>S705</f>
        <v>50</v>
      </c>
      <c r="U1211" s="901">
        <f t="shared" si="277"/>
        <v>50</v>
      </c>
      <c r="V1211" s="902">
        <v>50</v>
      </c>
      <c r="W1211" s="900">
        <f t="shared" si="278"/>
        <v>50</v>
      </c>
    </row>
    <row r="1212" spans="13:23" hidden="1">
      <c r="M1212" s="112"/>
      <c r="N1212" s="112"/>
      <c r="O1212" s="2"/>
      <c r="P1212" s="2"/>
      <c r="Q1212" s="2"/>
      <c r="R1212" s="2"/>
      <c r="S1212" s="2"/>
      <c r="T1212" s="2"/>
    </row>
    <row r="1213" spans="13:23" hidden="1">
      <c r="M1213" s="112"/>
      <c r="N1213" s="112"/>
      <c r="O1213" s="2"/>
      <c r="P1213" s="2"/>
      <c r="Q1213" s="2"/>
      <c r="R1213" s="2"/>
      <c r="S1213" s="2"/>
      <c r="T1213" s="2"/>
    </row>
    <row r="1214" spans="13:23" hidden="1">
      <c r="M1214" s="112"/>
      <c r="N1214" s="112"/>
      <c r="O1214" s="2"/>
      <c r="P1214" s="2"/>
      <c r="Q1214" s="2"/>
      <c r="R1214" s="2" t="e">
        <f>O734</f>
        <v>#REF!</v>
      </c>
      <c r="S1214" s="2" t="e">
        <f>Q734</f>
        <v>#REF!</v>
      </c>
      <c r="T1214" s="2" t="e">
        <f>R734</f>
        <v>#REF!</v>
      </c>
    </row>
    <row r="1215" spans="13:23" hidden="1">
      <c r="N1215" s="1270" t="s">
        <v>466</v>
      </c>
      <c r="O1215" s="634"/>
      <c r="P1215" s="634"/>
      <c r="Q1215" s="634"/>
      <c r="R1215" s="840" t="e">
        <f t="shared" ref="R1215:T1216" si="279">U1110</f>
        <v>#DIV/0!</v>
      </c>
      <c r="S1215" s="840" t="e">
        <f t="shared" si="279"/>
        <v>#DIV/0!</v>
      </c>
      <c r="T1215" s="840" t="e">
        <f t="shared" si="279"/>
        <v>#DIV/0!</v>
      </c>
    </row>
    <row r="1216" spans="13:23" hidden="1">
      <c r="N1216" s="1270" t="s">
        <v>467</v>
      </c>
      <c r="O1216" s="634"/>
      <c r="P1216" s="634"/>
      <c r="Q1216" s="634"/>
      <c r="R1216" s="840" t="e">
        <f t="shared" si="279"/>
        <v>#DIV/0!</v>
      </c>
      <c r="S1216" s="840" t="e">
        <f t="shared" si="279"/>
        <v>#DIV/0!</v>
      </c>
      <c r="T1216" s="840" t="e">
        <f t="shared" si="279"/>
        <v>#DIV/0!</v>
      </c>
    </row>
    <row r="1217" spans="13:24" hidden="1">
      <c r="N1217" s="112"/>
    </row>
    <row r="1218" spans="13:24" hidden="1">
      <c r="M1218" s="112"/>
      <c r="N1218" s="112"/>
      <c r="O1218" s="246" t="s">
        <v>769</v>
      </c>
      <c r="P1218" s="246" t="s">
        <v>769</v>
      </c>
      <c r="Q1218" s="2" t="s">
        <v>770</v>
      </c>
      <c r="R1218" s="69" t="e">
        <f>S1215</f>
        <v>#DIV/0!</v>
      </c>
      <c r="S1218" s="2">
        <v>2.34</v>
      </c>
      <c r="T1218" s="10" t="e">
        <f t="shared" ref="T1218:T1224" si="280">(S1218/R1218-1)*100</f>
        <v>#DIV/0!</v>
      </c>
    </row>
    <row r="1219" spans="13:24" hidden="1">
      <c r="M1219" s="112"/>
      <c r="N1219" s="112"/>
      <c r="O1219" s="2"/>
      <c r="P1219" s="2"/>
      <c r="Q1219" s="2" t="s">
        <v>771</v>
      </c>
      <c r="R1219" s="69" t="e">
        <f t="shared" ref="R1219:R1224" si="281">R1218</f>
        <v>#DIV/0!</v>
      </c>
      <c r="S1219" s="2">
        <v>2.1800000000000002</v>
      </c>
      <c r="T1219" s="10" t="e">
        <f t="shared" si="280"/>
        <v>#DIV/0!</v>
      </c>
    </row>
    <row r="1220" spans="13:24" hidden="1">
      <c r="M1220" s="112"/>
      <c r="N1220" s="112"/>
      <c r="O1220" s="2"/>
      <c r="P1220" s="2"/>
      <c r="Q1220" s="2" t="s">
        <v>772</v>
      </c>
      <c r="R1220" s="69" t="e">
        <f t="shared" si="281"/>
        <v>#DIV/0!</v>
      </c>
      <c r="S1220" s="2">
        <v>2.02</v>
      </c>
      <c r="T1220" s="10" t="e">
        <f t="shared" si="280"/>
        <v>#DIV/0!</v>
      </c>
    </row>
    <row r="1221" spans="13:24" hidden="1">
      <c r="M1221" s="112"/>
      <c r="N1221" s="112"/>
      <c r="O1221" s="2"/>
      <c r="P1221" s="2"/>
      <c r="Q1221" s="2" t="s">
        <v>771</v>
      </c>
      <c r="R1221" s="69" t="e">
        <f t="shared" si="281"/>
        <v>#DIV/0!</v>
      </c>
      <c r="S1221" s="2"/>
      <c r="T1221" s="10" t="e">
        <f t="shared" si="280"/>
        <v>#DIV/0!</v>
      </c>
    </row>
    <row r="1222" spans="13:24" hidden="1">
      <c r="M1222" s="112"/>
      <c r="N1222" s="112"/>
      <c r="O1222" s="2"/>
      <c r="P1222" s="2"/>
      <c r="Q1222" s="2" t="s">
        <v>772</v>
      </c>
      <c r="R1222" s="69" t="e">
        <f t="shared" si="281"/>
        <v>#DIV/0!</v>
      </c>
      <c r="S1222" s="2"/>
      <c r="T1222" s="10" t="e">
        <f t="shared" si="280"/>
        <v>#DIV/0!</v>
      </c>
      <c r="X1222" s="246"/>
    </row>
    <row r="1223" spans="13:24" hidden="1">
      <c r="M1223" s="112"/>
      <c r="N1223" s="112"/>
      <c r="O1223" s="2"/>
      <c r="P1223" s="2"/>
      <c r="Q1223" s="15" t="s">
        <v>773</v>
      </c>
      <c r="R1223" s="69" t="e">
        <f t="shared" si="281"/>
        <v>#DIV/0!</v>
      </c>
      <c r="S1223" s="2"/>
      <c r="T1223" s="10" t="e">
        <f t="shared" si="280"/>
        <v>#DIV/0!</v>
      </c>
      <c r="U1223" s="15"/>
      <c r="V1223" s="15"/>
      <c r="W1223" s="15"/>
      <c r="X1223" s="704"/>
    </row>
    <row r="1224" spans="13:24" hidden="1">
      <c r="M1224" s="112"/>
      <c r="N1224" s="112"/>
      <c r="O1224" s="2"/>
      <c r="P1224" s="2"/>
      <c r="Q1224" s="2" t="s">
        <v>774</v>
      </c>
      <c r="R1224" s="69" t="e">
        <f t="shared" si="281"/>
        <v>#DIV/0!</v>
      </c>
      <c r="S1224" s="2"/>
      <c r="T1224" s="10" t="e">
        <f t="shared" si="280"/>
        <v>#DIV/0!</v>
      </c>
      <c r="X1224" s="903"/>
    </row>
    <row r="1225" spans="13:24" hidden="1">
      <c r="M1225" s="112"/>
      <c r="N1225" s="112"/>
      <c r="O1225" s="2"/>
      <c r="P1225" s="2"/>
      <c r="Q1225" s="2"/>
      <c r="R1225" s="2"/>
      <c r="S1225" s="2"/>
      <c r="T1225" s="2"/>
      <c r="X1225" s="704"/>
    </row>
    <row r="1226" spans="13:24" hidden="1">
      <c r="M1226" s="112"/>
      <c r="N1226" s="112"/>
      <c r="O1226" s="2"/>
      <c r="P1226" s="2"/>
      <c r="Q1226" s="2"/>
      <c r="R1226" s="2"/>
      <c r="S1226" s="2"/>
      <c r="T1226" s="2"/>
      <c r="X1226" s="704"/>
    </row>
    <row r="1227" spans="13:24" hidden="1">
      <c r="M1227" s="112"/>
      <c r="N1227" s="112"/>
      <c r="O1227" s="2"/>
      <c r="P1227" s="2"/>
      <c r="Q1227" s="2"/>
      <c r="R1227" s="2"/>
      <c r="S1227" s="2"/>
      <c r="T1227" s="2"/>
      <c r="X1227" s="704"/>
    </row>
    <row r="1228" spans="13:24" hidden="1">
      <c r="M1228" s="112"/>
      <c r="N1228" s="1320" t="s">
        <v>775</v>
      </c>
      <c r="O1228" s="704"/>
      <c r="P1228" s="704"/>
      <c r="Q1228" s="704"/>
      <c r="R1228" s="704"/>
      <c r="S1228" s="704"/>
      <c r="T1228" s="704"/>
      <c r="U1228" s="704"/>
      <c r="V1228" s="704"/>
      <c r="W1228" s="704"/>
      <c r="X1228" s="704"/>
    </row>
    <row r="1229" spans="13:24" hidden="1">
      <c r="M1229" s="112"/>
      <c r="N1229" s="1323" t="s">
        <v>776</v>
      </c>
      <c r="Q1229" s="903">
        <f t="shared" ref="Q1229:W1229" si="282">Q1234*Q1231/(Q1230*Q1232)*1000*Q1236</f>
        <v>37.892307692307689</v>
      </c>
      <c r="R1229" s="903">
        <f t="shared" si="282"/>
        <v>18.318562499999999</v>
      </c>
      <c r="S1229" s="903">
        <f t="shared" si="282"/>
        <v>90.448938461538461</v>
      </c>
      <c r="T1229" s="903">
        <f t="shared" si="282"/>
        <v>41.05</v>
      </c>
      <c r="U1229" s="903">
        <f t="shared" si="282"/>
        <v>18.946153846153845</v>
      </c>
      <c r="V1229" s="903">
        <f t="shared" si="282"/>
        <v>10.262499999999999</v>
      </c>
      <c r="W1229" s="903">
        <f t="shared" si="282"/>
        <v>18.946153846153845</v>
      </c>
      <c r="X1229" s="704"/>
    </row>
    <row r="1230" spans="13:24" hidden="1">
      <c r="M1230" s="112"/>
      <c r="N1230" s="1323" t="s">
        <v>777</v>
      </c>
      <c r="Q1230" s="70">
        <v>0.65</v>
      </c>
      <c r="R1230" s="70">
        <v>1.2</v>
      </c>
      <c r="S1230" s="704">
        <v>0.65</v>
      </c>
      <c r="T1230" s="704">
        <v>1.2</v>
      </c>
      <c r="U1230" s="704">
        <v>0.65</v>
      </c>
      <c r="V1230" s="704">
        <v>1.2</v>
      </c>
      <c r="W1230" s="704">
        <v>0.65</v>
      </c>
      <c r="X1230" s="704"/>
    </row>
    <row r="1231" spans="13:24" hidden="1">
      <c r="M1231" s="112"/>
      <c r="N1231" s="1323" t="s">
        <v>778</v>
      </c>
      <c r="Q1231" s="704">
        <v>50</v>
      </c>
      <c r="R1231" s="704">
        <v>50</v>
      </c>
      <c r="S1231" s="70">
        <v>100</v>
      </c>
      <c r="T1231" s="70">
        <v>100</v>
      </c>
      <c r="U1231" s="704">
        <v>50</v>
      </c>
      <c r="V1231" s="704">
        <v>50</v>
      </c>
      <c r="W1231" s="704">
        <v>50</v>
      </c>
      <c r="X1231" s="704"/>
    </row>
    <row r="1232" spans="13:24" hidden="1">
      <c r="M1232" s="112"/>
      <c r="N1232" s="1323" t="s">
        <v>779</v>
      </c>
      <c r="Q1232" s="704">
        <v>35</v>
      </c>
      <c r="R1232" s="704">
        <v>35</v>
      </c>
      <c r="S1232" s="704">
        <v>35</v>
      </c>
      <c r="T1232" s="704">
        <v>35</v>
      </c>
      <c r="U1232" s="70">
        <v>70</v>
      </c>
      <c r="V1232" s="70">
        <v>70</v>
      </c>
      <c r="W1232" s="704">
        <v>70</v>
      </c>
      <c r="X1232" s="704"/>
    </row>
    <row r="1233" spans="13:24" hidden="1">
      <c r="M1233" s="112"/>
      <c r="N1233" s="1323" t="s">
        <v>780</v>
      </c>
      <c r="Q1233" s="704">
        <v>25</v>
      </c>
      <c r="R1233" s="704">
        <v>0</v>
      </c>
      <c r="S1233" s="704">
        <v>70</v>
      </c>
      <c r="T1233" s="704">
        <v>25</v>
      </c>
      <c r="U1233" s="704">
        <v>25</v>
      </c>
      <c r="V1233" s="704">
        <v>25</v>
      </c>
      <c r="W1233" s="704">
        <v>25</v>
      </c>
      <c r="X1233" s="704"/>
    </row>
    <row r="1234" spans="13:24" hidden="1">
      <c r="M1234" s="112"/>
      <c r="N1234" s="1323" t="s">
        <v>953</v>
      </c>
      <c r="Q1234" s="704">
        <v>1.7240999999999999E-2</v>
      </c>
      <c r="R1234" s="704">
        <f t="shared" ref="R1234:W1234" si="283">Q1234</f>
        <v>1.7240999999999999E-2</v>
      </c>
      <c r="S1234" s="704">
        <f t="shared" si="283"/>
        <v>1.7240999999999999E-2</v>
      </c>
      <c r="T1234" s="704">
        <f t="shared" si="283"/>
        <v>1.7240999999999999E-2</v>
      </c>
      <c r="U1234" s="704">
        <f t="shared" si="283"/>
        <v>1.7240999999999999E-2</v>
      </c>
      <c r="V1234" s="704">
        <f t="shared" si="283"/>
        <v>1.7240999999999999E-2</v>
      </c>
      <c r="W1234" s="704">
        <f t="shared" si="283"/>
        <v>1.7240999999999999E-2</v>
      </c>
      <c r="X1234" s="704"/>
    </row>
    <row r="1235" spans="13:24" hidden="1">
      <c r="M1235" s="112"/>
      <c r="N1235" s="1323" t="s">
        <v>661</v>
      </c>
      <c r="Q1235" s="704">
        <v>4.3</v>
      </c>
      <c r="R1235" s="704">
        <f>Q1235</f>
        <v>4.3</v>
      </c>
      <c r="S1235" s="704">
        <f>R1235</f>
        <v>4.3</v>
      </c>
      <c r="T1235" s="704">
        <f>S1235</f>
        <v>4.3</v>
      </c>
      <c r="U1235" s="704">
        <v>4.3</v>
      </c>
      <c r="V1235" s="704">
        <f>U1235</f>
        <v>4.3</v>
      </c>
      <c r="W1235" s="704">
        <f>V1235</f>
        <v>4.3</v>
      </c>
      <c r="X1235" s="704"/>
    </row>
    <row r="1236" spans="13:24" hidden="1">
      <c r="M1236" s="112"/>
      <c r="N1236" s="1323" t="s">
        <v>781</v>
      </c>
      <c r="Q1236" s="704">
        <f t="shared" ref="Q1236:W1236" si="284">(Q1233-25)*Q1235/1000+1</f>
        <v>1</v>
      </c>
      <c r="R1236" s="704">
        <f t="shared" si="284"/>
        <v>0.89249999999999996</v>
      </c>
      <c r="S1236" s="704">
        <f t="shared" si="284"/>
        <v>1.1935</v>
      </c>
      <c r="T1236" s="704">
        <f t="shared" si="284"/>
        <v>1</v>
      </c>
      <c r="U1236" s="704">
        <f t="shared" si="284"/>
        <v>1</v>
      </c>
      <c r="V1236" s="704">
        <f t="shared" si="284"/>
        <v>1</v>
      </c>
      <c r="W1236" s="704">
        <f t="shared" si="284"/>
        <v>1</v>
      </c>
      <c r="X1236" s="704"/>
    </row>
    <row r="1237" spans="13:24" hidden="1">
      <c r="M1237" s="112"/>
      <c r="N1237" s="1323"/>
      <c r="O1237" s="704"/>
      <c r="P1237" s="704"/>
      <c r="Q1237" s="704"/>
      <c r="R1237" s="704"/>
      <c r="S1237" s="704"/>
      <c r="T1237" s="704"/>
      <c r="U1237" s="704"/>
      <c r="V1237" s="704"/>
      <c r="W1237" s="704"/>
      <c r="X1237" s="704"/>
    </row>
    <row r="1238" spans="13:24" hidden="1">
      <c r="M1238" s="112"/>
      <c r="N1238" s="1320" t="s">
        <v>782</v>
      </c>
      <c r="O1238" s="704"/>
      <c r="P1238" s="704"/>
      <c r="Q1238" s="704" t="s">
        <v>783</v>
      </c>
      <c r="R1238" s="704" t="s">
        <v>784</v>
      </c>
      <c r="S1238" s="704"/>
      <c r="T1238" s="704"/>
      <c r="U1238" s="704"/>
      <c r="V1238" s="704"/>
      <c r="W1238" s="704"/>
      <c r="X1238" s="704"/>
    </row>
    <row r="1239" spans="13:24" hidden="1">
      <c r="M1239" s="112"/>
      <c r="N1239" s="1323" t="s">
        <v>785</v>
      </c>
      <c r="Q1239" s="704">
        <v>0.5</v>
      </c>
      <c r="R1239" s="904">
        <f>Q1239/2.54*100</f>
        <v>19.685039370078737</v>
      </c>
      <c r="S1239" s="704"/>
      <c r="T1239" s="704"/>
      <c r="U1239" s="704"/>
      <c r="V1239" s="704"/>
      <c r="W1239" s="704"/>
      <c r="X1239" s="704"/>
    </row>
    <row r="1240" spans="13:24" hidden="1">
      <c r="M1240" s="112"/>
      <c r="N1240" s="1323" t="s">
        <v>786</v>
      </c>
      <c r="Q1240" s="904">
        <f>R1240*2.54/100</f>
        <v>0.63500000000000001</v>
      </c>
      <c r="R1240" s="704">
        <v>25</v>
      </c>
      <c r="S1240" s="704"/>
      <c r="T1240" s="704"/>
      <c r="U1240" s="704"/>
      <c r="V1240" s="704"/>
      <c r="W1240" s="704"/>
      <c r="X1240" s="704"/>
    </row>
    <row r="1241" spans="13:24" hidden="1">
      <c r="M1241" s="112"/>
      <c r="N1241" s="1323"/>
      <c r="O1241" s="704"/>
      <c r="P1241" s="704"/>
      <c r="Q1241" s="704"/>
      <c r="R1241" s="704"/>
      <c r="S1241" s="704"/>
      <c r="T1241" s="704"/>
      <c r="U1241" s="704"/>
      <c r="V1241" s="704"/>
      <c r="W1241" s="704"/>
      <c r="X1241" s="704"/>
    </row>
    <row r="1242" spans="13:24" hidden="1">
      <c r="M1242" s="112"/>
      <c r="N1242" s="1320" t="s">
        <v>656</v>
      </c>
      <c r="O1242" s="704"/>
      <c r="P1242" s="704"/>
      <c r="Q1242" s="704"/>
      <c r="R1242" s="704"/>
      <c r="S1242" s="704"/>
      <c r="T1242" s="704"/>
      <c r="U1242" s="704"/>
      <c r="V1242" s="704"/>
      <c r="W1242" s="704"/>
      <c r="X1242" s="704"/>
    </row>
    <row r="1243" spans="13:24" hidden="1">
      <c r="M1243" s="112"/>
      <c r="N1243" s="1323" t="s">
        <v>657</v>
      </c>
      <c r="Q1243" s="704">
        <v>12.9</v>
      </c>
      <c r="R1243" s="704">
        <v>7.8</v>
      </c>
      <c r="S1243" s="704">
        <v>10</v>
      </c>
      <c r="T1243" s="704"/>
      <c r="U1243" s="704"/>
      <c r="V1243" s="704"/>
      <c r="W1243" s="704"/>
    </row>
    <row r="1244" spans="13:24" hidden="1">
      <c r="M1244" s="112"/>
      <c r="N1244" s="1323" t="s">
        <v>658</v>
      </c>
      <c r="Q1244" s="704">
        <v>50</v>
      </c>
      <c r="R1244" s="704">
        <v>25</v>
      </c>
      <c r="S1244" s="704">
        <v>50</v>
      </c>
      <c r="T1244" s="704">
        <v>25</v>
      </c>
      <c r="U1244" s="704">
        <v>25</v>
      </c>
      <c r="V1244" s="704">
        <v>25</v>
      </c>
      <c r="W1244" s="704">
        <v>25</v>
      </c>
    </row>
    <row r="1245" spans="13:24" hidden="1">
      <c r="M1245" s="112"/>
      <c r="N1245" s="1323" t="s">
        <v>659</v>
      </c>
      <c r="Q1245" s="704">
        <v>50</v>
      </c>
      <c r="R1245" s="704">
        <v>20</v>
      </c>
      <c r="S1245" s="704">
        <v>0</v>
      </c>
      <c r="T1245" s="704">
        <v>0</v>
      </c>
      <c r="U1245" s="704">
        <v>0</v>
      </c>
      <c r="V1245" s="704">
        <v>0</v>
      </c>
      <c r="W1245" s="704">
        <v>0</v>
      </c>
    </row>
    <row r="1246" spans="13:24" hidden="1">
      <c r="M1246" s="112"/>
      <c r="N1246" s="1323" t="s">
        <v>660</v>
      </c>
      <c r="Q1246" s="704">
        <f t="shared" ref="Q1246:W1246" si="285">Q1243*(1+Q1247*(Q1244+Q1245-20))</f>
        <v>16.955760000000001</v>
      </c>
      <c r="R1246" s="704">
        <f t="shared" si="285"/>
        <v>8.5663499999999999</v>
      </c>
      <c r="S1246" s="704">
        <f t="shared" si="285"/>
        <v>11.179000000000002</v>
      </c>
      <c r="T1246" s="704">
        <f t="shared" si="285"/>
        <v>0</v>
      </c>
      <c r="U1246" s="704">
        <f t="shared" si="285"/>
        <v>0</v>
      </c>
      <c r="V1246" s="704">
        <f t="shared" si="285"/>
        <v>0</v>
      </c>
      <c r="W1246" s="704">
        <f t="shared" si="285"/>
        <v>0</v>
      </c>
    </row>
    <row r="1247" spans="13:24" hidden="1">
      <c r="M1247" s="112"/>
      <c r="N1247" s="1323" t="s">
        <v>661</v>
      </c>
      <c r="Q1247" s="704">
        <v>3.9300000000000003E-3</v>
      </c>
      <c r="R1247" s="704">
        <v>3.9300000000000003E-3</v>
      </c>
      <c r="S1247" s="704">
        <v>3.9300000000000003E-3</v>
      </c>
      <c r="T1247" s="704">
        <v>3.9300000000000003E-3</v>
      </c>
      <c r="U1247" s="704">
        <v>3.9300000000000003E-3</v>
      </c>
      <c r="V1247" s="704">
        <v>3.9300000000000003E-3</v>
      </c>
      <c r="W1247" s="704">
        <v>3.9300000000000003E-3</v>
      </c>
    </row>
    <row r="1248" spans="13:24" hidden="1">
      <c r="M1248" s="112"/>
      <c r="N1248" s="112"/>
      <c r="O1248" s="2"/>
      <c r="P1248" s="2"/>
      <c r="Q1248" s="2"/>
      <c r="R1248" s="2"/>
      <c r="S1248" s="2"/>
      <c r="T1248" s="2"/>
    </row>
    <row r="1249" spans="1:20" hidden="1">
      <c r="M1249" s="112"/>
      <c r="N1249" s="112"/>
      <c r="O1249" s="2"/>
      <c r="P1249" s="2"/>
      <c r="Q1249" s="2"/>
      <c r="R1249" s="2"/>
      <c r="S1249" s="2"/>
      <c r="T1249" s="2"/>
    </row>
    <row r="1250" spans="1:20" hidden="1">
      <c r="M1250" s="112"/>
      <c r="N1250" s="112"/>
      <c r="O1250" s="2"/>
      <c r="P1250" s="2"/>
      <c r="Q1250" s="2"/>
      <c r="R1250" s="2"/>
      <c r="S1250" s="2"/>
      <c r="T1250" s="2"/>
    </row>
    <row r="1251" spans="1:20" hidden="1">
      <c r="M1251" s="112"/>
      <c r="N1251" s="112"/>
      <c r="O1251" s="2"/>
      <c r="P1251" s="2"/>
      <c r="Q1251" s="2"/>
      <c r="R1251" s="2"/>
      <c r="S1251" s="2"/>
      <c r="T1251" s="2"/>
    </row>
    <row r="1252" spans="1:20" hidden="1">
      <c r="M1252" s="112"/>
      <c r="N1252" s="112"/>
      <c r="O1252" s="2"/>
      <c r="P1252" s="2"/>
      <c r="Q1252" s="2"/>
      <c r="R1252" s="2"/>
      <c r="S1252" s="2"/>
      <c r="T1252" s="2"/>
    </row>
    <row r="1253" spans="1:20" ht="14" hidden="1" thickBot="1">
      <c r="A1253" s="249"/>
      <c r="B1253" s="139" t="s">
        <v>834</v>
      </c>
      <c r="C1253" s="139"/>
      <c r="D1253" s="139"/>
      <c r="E1253" s="249"/>
      <c r="F1253" s="249"/>
      <c r="H1253" s="108"/>
      <c r="I1253" s="108"/>
      <c r="J1253" s="108"/>
      <c r="K1253" s="108"/>
      <c r="L1253" s="108"/>
      <c r="M1253" s="112"/>
      <c r="N1253" s="112"/>
      <c r="O1253" s="2"/>
      <c r="P1253" s="2"/>
      <c r="Q1253" s="2"/>
      <c r="R1253" s="2"/>
      <c r="S1253" s="2"/>
      <c r="T1253" s="2"/>
    </row>
    <row r="1254" spans="1:20" ht="14" hidden="1" thickBot="1">
      <c r="A1254" s="249"/>
      <c r="B1254" s="140" t="s">
        <v>829</v>
      </c>
      <c r="C1254" s="141"/>
      <c r="D1254" s="142"/>
      <c r="E1254" s="143" t="s">
        <v>835</v>
      </c>
      <c r="F1254" s="144"/>
      <c r="G1254" s="142"/>
      <c r="H1254" s="143" t="s">
        <v>1006</v>
      </c>
      <c r="I1254" s="144"/>
      <c r="J1254" s="249"/>
      <c r="K1254" s="108"/>
      <c r="L1254" s="108"/>
      <c r="M1254" s="112"/>
      <c r="N1254" s="112"/>
      <c r="O1254" s="2"/>
      <c r="P1254" s="2"/>
      <c r="Q1254" s="2"/>
      <c r="R1254" s="2"/>
      <c r="S1254" s="2"/>
      <c r="T1254" s="2"/>
    </row>
    <row r="1255" spans="1:20" hidden="1">
      <c r="A1255" s="249"/>
      <c r="B1255" s="358" t="s">
        <v>187</v>
      </c>
      <c r="C1255" s="359"/>
      <c r="D1255" s="1364" t="str">
        <f>"Fsw = "&amp;TEXT($F$25,"#")&amp;"-kHz"</f>
        <v>Fsw = 500-kHz</v>
      </c>
      <c r="E1255" s="1365"/>
      <c r="F1255" s="1366"/>
      <c r="G1255" s="1506" t="str">
        <f>"Fsw = "&amp;TEXT($F$25,"#")&amp;"-kHz"</f>
        <v>Fsw = 500-kHz</v>
      </c>
      <c r="H1255" s="1507"/>
      <c r="I1255" s="1508"/>
      <c r="J1255" s="145"/>
      <c r="K1255" s="108"/>
      <c r="L1255" s="108"/>
      <c r="M1255" s="112"/>
      <c r="N1255" s="112"/>
      <c r="O1255" s="2"/>
      <c r="P1255" s="2"/>
      <c r="Q1255" s="2"/>
      <c r="R1255" s="2"/>
      <c r="S1255" s="2"/>
      <c r="T1255" s="2"/>
    </row>
    <row r="1256" spans="1:20" hidden="1">
      <c r="A1256" s="249"/>
      <c r="B1256" s="360" t="s">
        <v>844</v>
      </c>
      <c r="C1256" s="361"/>
      <c r="D1256" s="1367" t="str">
        <f>"Vout1 = "&amp;TEXT(G19,"#.00")&amp;"-V"</f>
        <v>Vout1 = 5.00-V</v>
      </c>
      <c r="E1256" s="277"/>
      <c r="F1256" s="1368"/>
      <c r="G1256" s="1504" t="e">
        <f>"Vout2 = "&amp;TEXT(G20,"#.00")&amp;"-V"</f>
        <v>#DIV/0!</v>
      </c>
      <c r="H1256" s="1407"/>
      <c r="I1256" s="1505"/>
      <c r="J1256" s="145"/>
      <c r="K1256" s="108"/>
      <c r="L1256" s="108"/>
      <c r="M1256" s="112"/>
      <c r="N1256" s="112"/>
      <c r="O1256" s="2"/>
      <c r="P1256" s="2"/>
      <c r="Q1256" s="2"/>
      <c r="R1256" s="2"/>
      <c r="S1256" s="2"/>
      <c r="T1256" s="2"/>
    </row>
    <row r="1257" spans="1:20" hidden="1">
      <c r="A1257" s="250"/>
      <c r="B1257" s="358" t="s">
        <v>1003</v>
      </c>
      <c r="C1257" s="359"/>
      <c r="D1257" s="1367" t="str">
        <f>"Iout1 = "&amp;TEXT(C30,"#.0")&amp;"-A"</f>
        <v>Iout1 = 12.8-A</v>
      </c>
      <c r="E1257" s="277"/>
      <c r="F1257" s="1368"/>
      <c r="G1257" s="1504" t="str">
        <f>"Iout2 = "&amp;TEXT(C31,"#.0")&amp;"-A"</f>
        <v>Iout2 = 1.0-A</v>
      </c>
      <c r="H1257" s="1407"/>
      <c r="I1257" s="1505"/>
      <c r="J1257" s="145"/>
      <c r="K1257" s="108"/>
      <c r="L1257" s="108"/>
      <c r="M1257" s="112"/>
      <c r="N1257" s="112"/>
      <c r="O1257" s="2"/>
      <c r="P1257" s="2"/>
      <c r="Q1257" s="2"/>
      <c r="R1257" s="2"/>
      <c r="S1257" s="2"/>
      <c r="T1257" s="2"/>
    </row>
    <row r="1258" spans="1:20" ht="14" hidden="1" thickBot="1">
      <c r="A1258" s="250"/>
      <c r="B1258" s="360" t="s">
        <v>845</v>
      </c>
      <c r="C1258" s="361"/>
      <c r="D1258" s="980" t="str">
        <f>"L1 = "&amp;TEXT(F30,"#.##")&amp;"-uH"</f>
        <v>L1 = 2.2-uH</v>
      </c>
      <c r="E1258" s="981"/>
      <c r="F1258" s="976"/>
      <c r="G1258" s="1494" t="str">
        <f>"L2= "&amp;TEXT(F31,"#.##")&amp;"-uH"</f>
        <v>L2= 10.-uH</v>
      </c>
      <c r="H1258" s="1495"/>
      <c r="I1258" s="1496"/>
      <c r="J1258" s="145"/>
      <c r="K1258" s="108"/>
      <c r="L1258" s="108"/>
      <c r="M1258" s="112"/>
      <c r="N1258" s="112"/>
      <c r="O1258" s="2"/>
      <c r="P1258" s="2"/>
      <c r="Q1258" s="2"/>
      <c r="R1258" s="2"/>
      <c r="S1258" s="2"/>
      <c r="T1258" s="2"/>
    </row>
    <row r="1259" spans="1:20" ht="14" hidden="1" thickBot="1">
      <c r="A1259" s="249"/>
      <c r="B1259" s="146"/>
      <c r="C1259" s="1369"/>
      <c r="D1259" s="1370" t="str">
        <f>"Vin= "&amp;TEXT($C$12,"#.0")&amp;"V"</f>
        <v>Vin= 21.5V</v>
      </c>
      <c r="E1259" s="1370" t="str">
        <f>"Vin= "&amp;TEXT($D$12,"#.0")&amp;"V"</f>
        <v>Vin= 22.5V</v>
      </c>
      <c r="F1259" s="1370" t="str">
        <f>"Vin= "&amp;TEXT($E$12,"#.0")&amp;"V"</f>
        <v>Vin= 23.5V</v>
      </c>
      <c r="G1259" s="1370" t="str">
        <f>"Vin= "&amp;TEXT($C$12,"#.0")&amp;"V"</f>
        <v>Vin= 21.5V</v>
      </c>
      <c r="H1259" s="1370" t="str">
        <f>"Vin= "&amp;TEXT($D$12,"#.0")&amp;"V"</f>
        <v>Vin= 22.5V</v>
      </c>
      <c r="I1259" s="1370" t="str">
        <f>"Vin= "&amp;TEXT($E$12,"#.0")&amp;"V"</f>
        <v>Vin= 23.5V</v>
      </c>
      <c r="J1259" s="249"/>
      <c r="K1259" s="108"/>
      <c r="L1259" s="108"/>
      <c r="M1259" s="112"/>
      <c r="N1259" s="112"/>
      <c r="O1259" s="2"/>
      <c r="P1259" s="2"/>
      <c r="Q1259" s="2"/>
      <c r="R1259" s="2"/>
      <c r="S1259" s="2"/>
      <c r="T1259" s="2"/>
    </row>
    <row r="1260" spans="1:20" hidden="1">
      <c r="A1260" s="249"/>
      <c r="B1260" s="366" t="s">
        <v>188</v>
      </c>
      <c r="C1260" s="367"/>
      <c r="D1260" s="1371">
        <f>C350</f>
        <v>3.654485049833887</v>
      </c>
      <c r="E1260" s="1372">
        <f>C351</f>
        <v>3.7037037037037037</v>
      </c>
      <c r="F1260" s="1373">
        <f>C352</f>
        <v>3.7487335359675784</v>
      </c>
      <c r="G1260" s="1371" t="e">
        <f>D350</f>
        <v>#DIV/0!</v>
      </c>
      <c r="H1260" s="1372" t="e">
        <f>D351</f>
        <v>#DIV/0!</v>
      </c>
      <c r="I1260" s="1373" t="e">
        <f>D352</f>
        <v>#DIV/0!</v>
      </c>
      <c r="J1260" s="139"/>
      <c r="K1260" s="108"/>
      <c r="L1260" s="108"/>
      <c r="M1260" s="112"/>
      <c r="N1260" s="112"/>
      <c r="O1260" s="2"/>
      <c r="P1260" s="2"/>
      <c r="Q1260" s="2"/>
      <c r="R1260" s="2"/>
      <c r="S1260" s="2"/>
      <c r="T1260" s="2"/>
    </row>
    <row r="1261" spans="1:20" hidden="1">
      <c r="A1261" s="249"/>
      <c r="B1261" s="360" t="s">
        <v>189</v>
      </c>
      <c r="C1261" s="361"/>
      <c r="D1261" s="1374">
        <f>C692</f>
        <v>63.95348837209302</v>
      </c>
      <c r="E1261" s="1375">
        <f>C693</f>
        <v>64.81481481481481</v>
      </c>
      <c r="F1261" s="1376">
        <f>C694</f>
        <v>65.602836879432616</v>
      </c>
      <c r="G1261" s="1374" t="e">
        <f>D692</f>
        <v>#DIV/0!</v>
      </c>
      <c r="H1261" s="1375" t="e">
        <f>D693</f>
        <v>#DIV/0!</v>
      </c>
      <c r="I1261" s="1376" t="e">
        <f>D694</f>
        <v>#DIV/0!</v>
      </c>
      <c r="J1261" s="139"/>
      <c r="K1261" s="108"/>
      <c r="L1261" s="108"/>
      <c r="M1261" s="112"/>
      <c r="N1261" s="112"/>
      <c r="O1261" s="2"/>
      <c r="P1261" s="2"/>
      <c r="Q1261" s="2"/>
      <c r="R1261" s="2"/>
      <c r="S1261" s="2"/>
      <c r="T1261" s="2"/>
    </row>
    <row r="1262" spans="1:20" hidden="1">
      <c r="A1262" s="249"/>
      <c r="B1262" s="358" t="s">
        <v>587</v>
      </c>
      <c r="C1262" s="359"/>
      <c r="D1262" s="1371">
        <f>E756</f>
        <v>0</v>
      </c>
      <c r="E1262" s="1372">
        <f>F728</f>
        <v>0</v>
      </c>
      <c r="F1262" s="1373">
        <f>G702</f>
        <v>0</v>
      </c>
      <c r="G1262" s="1371">
        <f>H702</f>
        <v>0</v>
      </c>
      <c r="H1262" s="1372">
        <f>I702</f>
        <v>0</v>
      </c>
      <c r="I1262" s="1373">
        <f>J702</f>
        <v>0</v>
      </c>
      <c r="J1262" s="139"/>
      <c r="K1262" s="108"/>
      <c r="L1262" s="108"/>
      <c r="M1262" s="112"/>
      <c r="N1262" s="112"/>
      <c r="O1262" s="2"/>
      <c r="P1262" s="2"/>
      <c r="Q1262" s="2"/>
      <c r="R1262" s="2"/>
      <c r="S1262" s="2"/>
      <c r="T1262" s="2"/>
    </row>
    <row r="1263" spans="1:20" hidden="1">
      <c r="A1263" s="249"/>
      <c r="B1263" s="360" t="s">
        <v>190</v>
      </c>
      <c r="C1263" s="361"/>
      <c r="D1263" s="1377">
        <f>C583</f>
        <v>16.381214603020119</v>
      </c>
      <c r="E1263" s="1378">
        <f>C582</f>
        <v>16.355374809738468</v>
      </c>
      <c r="F1263" s="1379">
        <f>C581</f>
        <v>16.331734147799931</v>
      </c>
      <c r="G1263" s="1377" t="e">
        <f>D583</f>
        <v>#DIV/0!</v>
      </c>
      <c r="H1263" s="1378" t="e">
        <f>D582</f>
        <v>#DIV/0!</v>
      </c>
      <c r="I1263" s="1379" t="e">
        <f>D581</f>
        <v>#DIV/0!</v>
      </c>
      <c r="J1263" s="139"/>
      <c r="K1263" s="108"/>
      <c r="L1263" s="108"/>
      <c r="M1263" s="112"/>
      <c r="N1263" s="112"/>
      <c r="O1263" s="2"/>
      <c r="P1263" s="2"/>
      <c r="Q1263" s="2"/>
      <c r="R1263" s="2"/>
      <c r="S1263" s="2"/>
      <c r="T1263" s="2"/>
    </row>
    <row r="1264" spans="1:20" hidden="1">
      <c r="A1264" s="249"/>
      <c r="B1264" s="1227" t="s">
        <v>342</v>
      </c>
      <c r="C1264" s="1380"/>
      <c r="D1264" s="1381"/>
      <c r="E1264" s="1382" t="s">
        <v>588</v>
      </c>
      <c r="F1264" s="1383"/>
      <c r="G1264" s="1381"/>
      <c r="H1264" s="1382" t="s">
        <v>589</v>
      </c>
      <c r="I1264" s="1383"/>
      <c r="J1264" s="145"/>
      <c r="K1264" s="108"/>
      <c r="L1264" s="108"/>
      <c r="M1264" s="112"/>
      <c r="N1264" s="112"/>
      <c r="O1264" s="2"/>
      <c r="P1264" s="2"/>
      <c r="Q1264" s="2"/>
      <c r="R1264" s="2"/>
      <c r="S1264" s="2"/>
      <c r="T1264" s="2"/>
    </row>
    <row r="1265" spans="1:20" hidden="1">
      <c r="A1265" s="249"/>
      <c r="B1265" s="366"/>
      <c r="C1265" s="367"/>
      <c r="D1265" s="1384"/>
      <c r="E1265" s="357" t="s">
        <v>590</v>
      </c>
      <c r="F1265" s="1385"/>
      <c r="G1265" s="1384"/>
      <c r="H1265" s="357" t="s">
        <v>591</v>
      </c>
      <c r="I1265" s="1385"/>
      <c r="J1265" s="145"/>
      <c r="K1265" s="108"/>
      <c r="L1265" s="108"/>
      <c r="M1265" s="112"/>
      <c r="N1265" s="112"/>
      <c r="O1265" s="2"/>
      <c r="P1265" s="2"/>
      <c r="Q1265" s="2"/>
      <c r="R1265" s="2"/>
      <c r="S1265" s="2"/>
      <c r="T1265" s="2"/>
    </row>
    <row r="1266" spans="1:20" hidden="1">
      <c r="A1266" s="249"/>
      <c r="B1266" s="358" t="s">
        <v>592</v>
      </c>
      <c r="C1266" s="359"/>
      <c r="D1266" s="1386"/>
      <c r="E1266" s="255" t="s">
        <v>593</v>
      </c>
      <c r="F1266" s="1387"/>
      <c r="G1266" s="1386"/>
      <c r="H1266" s="255" t="s">
        <v>593</v>
      </c>
      <c r="I1266" s="1387"/>
      <c r="J1266" s="108"/>
      <c r="K1266" s="108"/>
      <c r="L1266" s="108"/>
      <c r="M1266" s="112"/>
      <c r="N1266" s="112"/>
      <c r="O1266" s="2"/>
      <c r="P1266" s="2"/>
      <c r="Q1266" s="2"/>
      <c r="R1266" s="2"/>
      <c r="S1266" s="2"/>
      <c r="T1266" s="2"/>
    </row>
    <row r="1267" spans="1:20" ht="14" hidden="1" thickBot="1">
      <c r="A1267" s="249"/>
      <c r="B1267" s="375" t="s">
        <v>594</v>
      </c>
      <c r="C1267" s="376"/>
      <c r="D1267" s="1388"/>
      <c r="E1267" s="1389" t="s">
        <v>595</v>
      </c>
      <c r="F1267" s="1390"/>
      <c r="G1267" s="1388"/>
      <c r="H1267" s="1389" t="s">
        <v>595</v>
      </c>
      <c r="I1267" s="1390"/>
      <c r="J1267" s="108"/>
      <c r="K1267" s="108"/>
      <c r="L1267" s="108"/>
      <c r="M1267" s="112"/>
      <c r="N1267" s="112"/>
      <c r="O1267" s="2"/>
      <c r="P1267" s="2"/>
      <c r="Q1267" s="2"/>
      <c r="R1267" s="2"/>
      <c r="S1267" s="2"/>
      <c r="T1267" s="2"/>
    </row>
    <row r="1268" spans="1:20" hidden="1">
      <c r="A1268" s="249"/>
      <c r="E1268" s="255"/>
      <c r="F1268" s="274"/>
      <c r="G1268" s="274"/>
      <c r="H1268" s="274"/>
      <c r="I1268" s="274"/>
      <c r="J1268" s="255"/>
      <c r="K1268" s="255"/>
      <c r="L1268" s="254"/>
      <c r="M1268" s="250"/>
      <c r="N1268" s="392"/>
      <c r="O1268" s="334"/>
      <c r="P1268" s="335"/>
      <c r="Q1268" s="2"/>
      <c r="R1268" s="2"/>
      <c r="S1268" s="2"/>
      <c r="T1268" s="2"/>
    </row>
    <row r="1269" spans="1:20" ht="18" hidden="1" customHeight="1">
      <c r="A1269" s="249"/>
      <c r="B1269" s="109" t="s">
        <v>596</v>
      </c>
      <c r="C1269" s="255"/>
      <c r="D1269" s="255"/>
      <c r="E1269" s="255"/>
      <c r="F1269" s="249"/>
      <c r="H1269" s="109"/>
      <c r="I1269" s="108"/>
      <c r="J1269" s="108"/>
      <c r="K1269" s="108"/>
      <c r="L1269" s="108"/>
      <c r="M1269" s="250"/>
      <c r="N1269" s="392"/>
      <c r="O1269" s="334"/>
      <c r="P1269" s="335"/>
      <c r="Q1269" s="2"/>
      <c r="R1269" s="2"/>
      <c r="S1269" s="2"/>
      <c r="T1269" s="2"/>
    </row>
    <row r="1270" spans="1:20" hidden="1">
      <c r="A1270" s="249"/>
      <c r="B1270" s="345"/>
      <c r="C1270" s="276" t="s">
        <v>597</v>
      </c>
      <c r="D1270" s="251" t="s">
        <v>598</v>
      </c>
      <c r="E1270" s="251" t="s">
        <v>599</v>
      </c>
      <c r="F1270" s="251" t="s">
        <v>600</v>
      </c>
      <c r="G1270" s="1497" t="s">
        <v>601</v>
      </c>
      <c r="H1270" s="1497"/>
      <c r="I1270" s="255"/>
      <c r="J1270" s="255"/>
      <c r="K1270" s="108"/>
      <c r="L1270" s="108"/>
      <c r="M1270" s="250"/>
      <c r="N1270" s="392"/>
      <c r="O1270" s="334"/>
      <c r="P1270" s="335"/>
      <c r="Q1270" s="2"/>
      <c r="R1270" s="2"/>
      <c r="S1270" s="2"/>
      <c r="T1270" s="2"/>
    </row>
    <row r="1271" spans="1:20" hidden="1">
      <c r="A1271" s="249"/>
      <c r="B1271" s="116" t="s">
        <v>1005</v>
      </c>
      <c r="C1271" s="1391">
        <v>7.2</v>
      </c>
      <c r="D1271" s="991">
        <v>5.7</v>
      </c>
      <c r="E1271" s="990">
        <v>2</v>
      </c>
      <c r="F1271" s="264">
        <f>Y488</f>
        <v>0</v>
      </c>
      <c r="G1271" s="1402">
        <f>R488</f>
        <v>0</v>
      </c>
      <c r="H1271" s="1402"/>
      <c r="I1271" s="118" t="s">
        <v>602</v>
      </c>
      <c r="J1271" s="123"/>
      <c r="K1271" s="108"/>
      <c r="L1271" s="108"/>
      <c r="M1271" s="250"/>
      <c r="N1271" s="392"/>
      <c r="O1271" s="334"/>
      <c r="P1271" s="335"/>
      <c r="Q1271" s="2"/>
      <c r="R1271" s="2"/>
      <c r="S1271" s="2"/>
      <c r="T1271" s="2"/>
    </row>
    <row r="1272" spans="1:20" hidden="1">
      <c r="A1272" s="249"/>
      <c r="B1272" s="113" t="s">
        <v>1006</v>
      </c>
      <c r="C1272" s="1391">
        <v>7.2</v>
      </c>
      <c r="D1272" s="991">
        <v>5.7</v>
      </c>
      <c r="E1272" s="990">
        <v>2</v>
      </c>
      <c r="F1272" s="264">
        <f>Z488</f>
        <v>0</v>
      </c>
      <c r="G1272" s="1402">
        <f>S488</f>
        <v>0</v>
      </c>
      <c r="H1272" s="1402"/>
      <c r="I1272" s="118" t="s">
        <v>602</v>
      </c>
      <c r="J1272" s="123"/>
      <c r="K1272" s="108"/>
      <c r="L1272" s="108"/>
      <c r="M1272" s="250"/>
      <c r="N1272" s="392"/>
      <c r="O1272" s="334"/>
      <c r="P1272" s="335"/>
      <c r="Q1272" s="2"/>
      <c r="R1272" s="2"/>
      <c r="S1272" s="2"/>
      <c r="T1272" s="2"/>
    </row>
    <row r="1273" spans="1:20" hidden="1">
      <c r="A1273" s="249"/>
      <c r="B1273" s="268" t="s">
        <v>987</v>
      </c>
      <c r="C1273" s="304" t="s">
        <v>991</v>
      </c>
      <c r="D1273" s="269" t="s">
        <v>991</v>
      </c>
      <c r="E1273" s="269" t="s">
        <v>993</v>
      </c>
      <c r="F1273" s="269" t="s">
        <v>988</v>
      </c>
      <c r="G1273" s="1493" t="s">
        <v>989</v>
      </c>
      <c r="H1273" s="1493"/>
      <c r="I1273" s="274"/>
      <c r="J1273" s="274"/>
      <c r="K1273" s="108"/>
      <c r="L1273" s="108"/>
      <c r="M1273" s="250"/>
      <c r="N1273" s="392"/>
      <c r="O1273" s="334"/>
      <c r="P1273" s="335"/>
      <c r="Q1273" s="2"/>
      <c r="R1273" s="2"/>
      <c r="S1273" s="2"/>
      <c r="T1273" s="2"/>
    </row>
    <row r="1274" spans="1:20" hidden="1">
      <c r="A1274" s="249"/>
      <c r="B1274" s="332"/>
      <c r="C1274" s="114" t="s">
        <v>603</v>
      </c>
      <c r="D1274" s="274"/>
      <c r="E1274" s="255"/>
      <c r="F1274" s="273"/>
      <c r="G1274" s="279"/>
      <c r="H1274" s="274"/>
      <c r="I1274" s="274"/>
      <c r="J1274" s="274"/>
      <c r="K1274" s="108"/>
      <c r="L1274" s="108"/>
      <c r="M1274" s="250"/>
      <c r="N1274" s="392"/>
      <c r="O1274" s="334"/>
      <c r="P1274" s="335"/>
      <c r="Q1274" s="2"/>
      <c r="R1274" s="2"/>
      <c r="S1274" s="2"/>
      <c r="T1274" s="2"/>
    </row>
    <row r="1275" spans="1:20" hidden="1">
      <c r="A1275" s="249"/>
      <c r="B1275" s="249"/>
      <c r="C1275" s="249"/>
      <c r="D1275" s="249"/>
      <c r="E1275" s="249"/>
      <c r="F1275" s="249"/>
      <c r="H1275" s="249"/>
      <c r="I1275" s="249"/>
      <c r="J1275" s="127"/>
      <c r="K1275" s="126"/>
      <c r="L1275" s="127"/>
      <c r="M1275" s="112"/>
      <c r="N1275" s="112"/>
      <c r="O1275" s="2"/>
      <c r="P1275" s="2"/>
      <c r="Q1275" s="2"/>
      <c r="R1275" s="2"/>
      <c r="S1275" s="2"/>
      <c r="T1275" s="2"/>
    </row>
    <row r="1276" spans="1:20" ht="18" hidden="1" customHeight="1">
      <c r="A1276" s="249"/>
      <c r="B1276" s="128" t="s">
        <v>811</v>
      </c>
      <c r="C1276" s="905"/>
      <c r="D1276" s="905"/>
      <c r="E1276" s="905"/>
      <c r="F1276" s="905"/>
      <c r="G1276" s="905"/>
      <c r="H1276" s="1392"/>
      <c r="I1276" s="1392"/>
      <c r="J1276" s="1392"/>
      <c r="K1276" s="1392"/>
      <c r="L1276" s="1392"/>
      <c r="M1276" s="279"/>
      <c r="N1276" s="298"/>
      <c r="O1276" s="247"/>
      <c r="P1276" s="15"/>
      <c r="Q1276" s="2"/>
      <c r="R1276" s="2"/>
      <c r="S1276" s="2"/>
      <c r="T1276" s="2"/>
    </row>
    <row r="1277" spans="1:20" ht="14.25" hidden="1" customHeight="1">
      <c r="A1277" s="249"/>
      <c r="B1277" s="906"/>
      <c r="C1277" s="1489" t="s">
        <v>604</v>
      </c>
      <c r="D1277" s="1490"/>
      <c r="E1277" s="1475" t="s">
        <v>1095</v>
      </c>
      <c r="F1277" s="1473" t="s">
        <v>605</v>
      </c>
      <c r="G1277" s="1488"/>
      <c r="H1277" s="1488"/>
      <c r="I1277" s="1474"/>
      <c r="J1277" s="1475" t="s">
        <v>1094</v>
      </c>
      <c r="K1277" s="1478" t="s">
        <v>606</v>
      </c>
      <c r="L1277" s="1479"/>
      <c r="M1277" s="108"/>
      <c r="N1277" s="120"/>
      <c r="O1277" s="250"/>
      <c r="P1277" s="319"/>
      <c r="Q1277" s="247"/>
      <c r="R1277" s="247"/>
      <c r="S1277" s="15"/>
      <c r="T1277" s="2"/>
    </row>
    <row r="1278" spans="1:20" hidden="1">
      <c r="A1278" s="249"/>
      <c r="B1278" s="908"/>
      <c r="C1278" s="1491"/>
      <c r="D1278" s="1492"/>
      <c r="E1278" s="1476"/>
      <c r="F1278" s="1476" t="s">
        <v>1101</v>
      </c>
      <c r="G1278" s="910" t="s">
        <v>1096</v>
      </c>
      <c r="H1278" s="911"/>
      <c r="I1278" s="1484" t="s">
        <v>1098</v>
      </c>
      <c r="J1278" s="1476"/>
      <c r="K1278" s="1480"/>
      <c r="L1278" s="1481"/>
      <c r="M1278" s="108"/>
      <c r="N1278" s="120"/>
      <c r="O1278" s="250"/>
      <c r="P1278" s="319"/>
      <c r="Q1278" s="247"/>
      <c r="R1278" s="247"/>
      <c r="S1278" s="15"/>
      <c r="T1278" s="2"/>
    </row>
    <row r="1279" spans="1:20" hidden="1">
      <c r="A1279" s="249"/>
      <c r="B1279" s="908"/>
      <c r="C1279" s="1473" t="s">
        <v>1101</v>
      </c>
      <c r="D1279" s="1474"/>
      <c r="E1279" s="1477"/>
      <c r="F1279" s="1477"/>
      <c r="G1279" s="909"/>
      <c r="H1279" s="912" t="s">
        <v>1097</v>
      </c>
      <c r="I1279" s="1485"/>
      <c r="J1279" s="1477"/>
      <c r="K1279" s="1482"/>
      <c r="L1279" s="1483"/>
      <c r="M1279" s="108"/>
      <c r="N1279" s="120"/>
      <c r="O1279" s="250"/>
      <c r="P1279" s="319"/>
      <c r="Q1279" s="247"/>
      <c r="R1279" s="247"/>
      <c r="S1279" s="15"/>
      <c r="T1279" s="2"/>
    </row>
    <row r="1280" spans="1:20" hidden="1">
      <c r="A1280" s="249"/>
      <c r="B1280" s="129" t="s">
        <v>1005</v>
      </c>
      <c r="C1280" s="1486">
        <f>F735</f>
        <v>0</v>
      </c>
      <c r="D1280" s="1487"/>
      <c r="E1280" s="913">
        <v>40</v>
      </c>
      <c r="F1280" s="913">
        <f>E766</f>
        <v>0</v>
      </c>
      <c r="G1280" s="914">
        <f>F878</f>
        <v>0</v>
      </c>
      <c r="H1280" s="915">
        <v>0.5</v>
      </c>
      <c r="I1280" s="916">
        <v>0.04</v>
      </c>
      <c r="J1280" s="1393">
        <v>300</v>
      </c>
      <c r="K1280" s="1486">
        <f>E773</f>
        <v>0</v>
      </c>
      <c r="L1280" s="1487"/>
      <c r="M1280" s="108"/>
      <c r="N1280" s="120"/>
      <c r="O1280" s="250"/>
      <c r="P1280" s="319"/>
      <c r="Q1280" s="247"/>
      <c r="R1280" s="247"/>
      <c r="S1280" s="15"/>
      <c r="T1280" s="2"/>
    </row>
    <row r="1281" spans="1:20" hidden="1">
      <c r="A1281" s="249"/>
      <c r="B1281" s="130" t="s">
        <v>1006</v>
      </c>
      <c r="C1281" s="1486">
        <f>I709</f>
        <v>0</v>
      </c>
      <c r="D1281" s="1487"/>
      <c r="E1281" s="913">
        <v>25</v>
      </c>
      <c r="F1281" s="913">
        <f>H712</f>
        <v>0</v>
      </c>
      <c r="G1281" s="917">
        <f>I878</f>
        <v>0</v>
      </c>
      <c r="H1281" s="918">
        <v>0.5</v>
      </c>
      <c r="I1281" s="916">
        <v>0.04</v>
      </c>
      <c r="J1281" s="1393">
        <v>470</v>
      </c>
      <c r="K1281" s="1486">
        <f>H730</f>
        <v>0</v>
      </c>
      <c r="L1281" s="1487"/>
      <c r="M1281" s="108"/>
      <c r="N1281" s="279"/>
      <c r="O1281" s="250"/>
      <c r="P1281" s="319"/>
      <c r="Q1281" s="247"/>
      <c r="R1281" s="247"/>
      <c r="S1281" s="15"/>
      <c r="T1281" s="2"/>
    </row>
    <row r="1282" spans="1:20" hidden="1">
      <c r="A1282" s="249"/>
      <c r="B1282" s="919" t="s">
        <v>987</v>
      </c>
      <c r="C1282" s="1486" t="s">
        <v>990</v>
      </c>
      <c r="D1282" s="1487"/>
      <c r="E1282" s="913" t="s">
        <v>1099</v>
      </c>
      <c r="F1282" s="1473" t="s">
        <v>973</v>
      </c>
      <c r="G1282" s="1474"/>
      <c r="H1282" s="907"/>
      <c r="I1282" s="907"/>
      <c r="J1282" s="913" t="s">
        <v>991</v>
      </c>
      <c r="K1282" s="1473" t="s">
        <v>973</v>
      </c>
      <c r="L1282" s="1474"/>
      <c r="M1282" s="108"/>
      <c r="N1282" s="250"/>
      <c r="O1282" s="250"/>
      <c r="P1282" s="319"/>
      <c r="Q1282" s="247"/>
      <c r="R1282" s="247"/>
      <c r="S1282" s="15"/>
      <c r="T1282" s="2"/>
    </row>
    <row r="1283" spans="1:20" hidden="1">
      <c r="A1283" s="249"/>
      <c r="B1283" s="249"/>
      <c r="C1283" s="249"/>
      <c r="D1283" s="249"/>
      <c r="E1283" s="249"/>
      <c r="F1283" s="249"/>
      <c r="H1283" s="249"/>
      <c r="I1283" s="249"/>
      <c r="J1283" s="920"/>
      <c r="K1283" s="120"/>
      <c r="L1283" s="920"/>
      <c r="M1283" s="112"/>
      <c r="N1283" s="112"/>
      <c r="O1283" s="2"/>
      <c r="P1283" s="2"/>
      <c r="Q1283" s="2"/>
      <c r="R1283" s="2"/>
      <c r="S1283" s="2"/>
      <c r="T1283" s="2"/>
    </row>
    <row r="1284" spans="1:20" hidden="1">
      <c r="A1284" s="249"/>
      <c r="B1284" s="109" t="s">
        <v>1102</v>
      </c>
      <c r="C1284" s="254"/>
      <c r="D1284" s="254"/>
      <c r="E1284" s="250"/>
      <c r="F1284" s="250"/>
      <c r="G1284" s="254"/>
      <c r="H1284" s="109"/>
      <c r="I1284" s="108"/>
      <c r="J1284" s="108"/>
      <c r="K1284" s="120"/>
      <c r="L1284" s="920"/>
      <c r="M1284" s="112"/>
      <c r="N1284" s="112"/>
      <c r="O1284" s="2"/>
      <c r="P1284" s="2"/>
      <c r="Q1284" s="2"/>
      <c r="R1284" s="2"/>
      <c r="S1284" s="2"/>
      <c r="T1284" s="2"/>
    </row>
    <row r="1285" spans="1:20" hidden="1">
      <c r="A1285" s="249"/>
      <c r="B1285" s="276"/>
      <c r="C1285" s="278"/>
      <c r="D1285" s="251" t="s">
        <v>184</v>
      </c>
      <c r="E1285" s="251" t="s">
        <v>185</v>
      </c>
      <c r="F1285" s="251" t="s">
        <v>186</v>
      </c>
      <c r="G1285" s="251" t="s">
        <v>987</v>
      </c>
      <c r="H1285" s="108"/>
      <c r="I1285" s="108"/>
      <c r="J1285" s="108"/>
      <c r="K1285" s="255"/>
      <c r="L1285" s="274"/>
      <c r="M1285" s="250"/>
      <c r="N1285" s="995"/>
      <c r="O1285" s="2"/>
      <c r="P1285" s="2"/>
      <c r="Q1285" s="2"/>
      <c r="R1285" s="2"/>
      <c r="S1285" s="2"/>
      <c r="T1285" s="2"/>
    </row>
    <row r="1286" spans="1:20" hidden="1">
      <c r="A1286" s="249"/>
      <c r="B1286" s="147" t="s">
        <v>1103</v>
      </c>
      <c r="C1286" s="148"/>
      <c r="D1286" s="121">
        <f>E747</f>
        <v>0</v>
      </c>
      <c r="E1286" s="121">
        <f>F708</f>
        <v>0</v>
      </c>
      <c r="F1286" s="121">
        <f>G693</f>
        <v>0</v>
      </c>
      <c r="G1286" s="270" t="s">
        <v>1104</v>
      </c>
      <c r="H1286" s="118" t="s">
        <v>1105</v>
      </c>
      <c r="I1286" s="108"/>
      <c r="J1286" s="108"/>
      <c r="K1286" s="255"/>
      <c r="L1286" s="274"/>
      <c r="M1286" s="250"/>
      <c r="N1286" s="995"/>
      <c r="O1286" s="2"/>
      <c r="P1286" s="2"/>
      <c r="Q1286" s="2"/>
      <c r="R1286" s="2"/>
      <c r="S1286" s="2"/>
      <c r="T1286" s="2"/>
    </row>
    <row r="1287" spans="1:20" ht="18" hidden="1" customHeight="1">
      <c r="A1287" s="249"/>
      <c r="B1287" s="147" t="s">
        <v>1106</v>
      </c>
      <c r="C1287" s="148"/>
      <c r="D1287" s="297" t="e">
        <f>#REF!</f>
        <v>#REF!</v>
      </c>
      <c r="E1287" s="297" t="e">
        <f>#REF!</f>
        <v>#REF!</v>
      </c>
      <c r="F1287" s="297">
        <f>G691</f>
        <v>0</v>
      </c>
      <c r="G1287" s="270" t="s">
        <v>1104</v>
      </c>
      <c r="H1287" s="118"/>
      <c r="I1287" s="108"/>
      <c r="J1287" s="108"/>
      <c r="K1287" s="120"/>
      <c r="L1287" s="120"/>
      <c r="M1287" s="249"/>
      <c r="N1287" s="112"/>
      <c r="O1287" s="2"/>
      <c r="P1287" s="2"/>
      <c r="Q1287" s="2"/>
      <c r="R1287" s="2"/>
      <c r="S1287" s="2"/>
      <c r="T1287" s="2"/>
    </row>
    <row r="1288" spans="1:20" ht="18" hidden="1" customHeight="1">
      <c r="A1288" s="249"/>
      <c r="B1288" s="147" t="s">
        <v>1107</v>
      </c>
      <c r="C1288" s="148"/>
      <c r="D1288" s="121">
        <f>H693</f>
        <v>0</v>
      </c>
      <c r="E1288" s="121">
        <f>I693</f>
        <v>0</v>
      </c>
      <c r="F1288" s="121">
        <f>J693</f>
        <v>0</v>
      </c>
      <c r="G1288" s="270" t="s">
        <v>1104</v>
      </c>
      <c r="H1288" s="1394"/>
      <c r="I1288" s="108"/>
      <c r="J1288" s="108"/>
      <c r="K1288" s="108"/>
      <c r="L1288" s="108"/>
      <c r="M1288" s="250"/>
      <c r="N1288" s="112"/>
      <c r="O1288" s="2"/>
      <c r="P1288" s="2"/>
      <c r="Q1288" s="2"/>
      <c r="R1288" s="2"/>
      <c r="S1288" s="2"/>
      <c r="T1288" s="2"/>
    </row>
    <row r="1289" spans="1:20" hidden="1">
      <c r="A1289" s="249"/>
      <c r="B1289" s="147" t="s">
        <v>1108</v>
      </c>
      <c r="C1289" s="148"/>
      <c r="D1289" s="297">
        <f>H691</f>
        <v>0</v>
      </c>
      <c r="E1289" s="297">
        <f>I691</f>
        <v>0</v>
      </c>
      <c r="F1289" s="297">
        <f>J691</f>
        <v>0</v>
      </c>
      <c r="G1289" s="270" t="s">
        <v>1104</v>
      </c>
      <c r="H1289" s="108"/>
      <c r="I1289" s="108"/>
      <c r="J1289" s="108"/>
      <c r="K1289" s="108"/>
      <c r="L1289" s="108"/>
      <c r="M1289" s="255"/>
      <c r="N1289" s="250"/>
      <c r="O1289" s="335"/>
      <c r="P1289" s="2"/>
      <c r="Q1289" s="2"/>
      <c r="R1289" s="2"/>
      <c r="S1289" s="2"/>
      <c r="T1289" s="2"/>
    </row>
    <row r="1290" spans="1:20" hidden="1">
      <c r="A1290" s="249"/>
      <c r="B1290" s="119"/>
      <c r="C1290" s="255"/>
      <c r="D1290" s="274"/>
      <c r="E1290" s="255"/>
      <c r="F1290" s="274"/>
      <c r="G1290" s="274"/>
      <c r="H1290" s="274"/>
      <c r="I1290" s="108"/>
      <c r="J1290" s="108"/>
      <c r="K1290" s="108"/>
      <c r="L1290" s="108"/>
      <c r="M1290" s="255"/>
      <c r="N1290" s="995"/>
      <c r="O1290" s="335"/>
      <c r="P1290" s="2"/>
      <c r="Q1290" s="2"/>
      <c r="R1290" s="2"/>
      <c r="S1290" s="2"/>
      <c r="T1290" s="2"/>
    </row>
    <row r="1291" spans="1:20" hidden="1">
      <c r="A1291" s="249"/>
      <c r="B1291" s="119" t="s">
        <v>1109</v>
      </c>
      <c r="C1291" s="255"/>
      <c r="D1291" s="274"/>
      <c r="E1291" s="255"/>
      <c r="F1291" s="274"/>
      <c r="G1291" s="274"/>
      <c r="H1291" s="274"/>
      <c r="I1291" s="108"/>
      <c r="J1291" s="108"/>
      <c r="K1291" s="108"/>
      <c r="L1291" s="108"/>
      <c r="M1291" s="255"/>
      <c r="N1291" s="995"/>
      <c r="O1291" s="335"/>
      <c r="P1291" s="2"/>
      <c r="Q1291" s="2"/>
      <c r="R1291" s="2"/>
      <c r="S1291" s="2"/>
      <c r="T1291" s="2"/>
    </row>
    <row r="1292" spans="1:20" hidden="1">
      <c r="A1292" s="249"/>
      <c r="B1292" s="109" t="s">
        <v>992</v>
      </c>
      <c r="C1292" s="255"/>
      <c r="D1292" s="255"/>
      <c r="E1292" s="255"/>
      <c r="F1292" s="249"/>
      <c r="H1292" s="109" t="s">
        <v>1110</v>
      </c>
      <c r="I1292" s="108"/>
      <c r="J1292" s="108"/>
      <c r="K1292" s="108"/>
      <c r="L1292" s="108"/>
      <c r="M1292" s="255"/>
      <c r="N1292" s="250"/>
      <c r="O1292" s="335"/>
      <c r="P1292" s="2"/>
      <c r="Q1292" s="2"/>
      <c r="R1292" s="2"/>
      <c r="S1292" s="2"/>
      <c r="T1292" s="2"/>
    </row>
    <row r="1293" spans="1:20" hidden="1">
      <c r="A1293" s="249"/>
      <c r="B1293" s="345"/>
      <c r="C1293" s="276" t="s">
        <v>1111</v>
      </c>
      <c r="D1293" s="277"/>
      <c r="E1293" s="278"/>
      <c r="F1293" s="251" t="s">
        <v>1112</v>
      </c>
      <c r="G1293" s="350"/>
      <c r="H1293" s="251" t="s">
        <v>184</v>
      </c>
      <c r="I1293" s="251" t="s">
        <v>185</v>
      </c>
      <c r="J1293" s="251" t="s">
        <v>186</v>
      </c>
      <c r="K1293" s="108"/>
      <c r="L1293" s="108"/>
      <c r="M1293" s="274"/>
      <c r="N1293" s="250"/>
      <c r="O1293" s="335"/>
      <c r="P1293" s="2"/>
      <c r="Q1293" s="2"/>
      <c r="R1293" s="2"/>
      <c r="S1293" s="2"/>
      <c r="T1293" s="2"/>
    </row>
    <row r="1294" spans="1:20" hidden="1">
      <c r="A1294" s="249"/>
      <c r="B1294" s="116" t="s">
        <v>1005</v>
      </c>
      <c r="C1294" s="351">
        <f>F712</f>
        <v>0</v>
      </c>
      <c r="D1294" s="352"/>
      <c r="E1294" s="353"/>
      <c r="F1294" s="984"/>
      <c r="G1294" s="122" t="s">
        <v>1103</v>
      </c>
      <c r="H1294" s="121">
        <f>E756</f>
        <v>0</v>
      </c>
      <c r="I1294" s="121">
        <f>F728</f>
        <v>0</v>
      </c>
      <c r="J1294" s="121">
        <f>G702</f>
        <v>0</v>
      </c>
      <c r="K1294" s="108"/>
      <c r="L1294" s="108"/>
      <c r="M1294" s="250"/>
      <c r="N1294" s="392"/>
      <c r="O1294" s="334"/>
      <c r="P1294" s="335"/>
      <c r="Q1294" s="2"/>
      <c r="R1294" s="2"/>
      <c r="S1294" s="2"/>
      <c r="T1294" s="2"/>
    </row>
    <row r="1295" spans="1:20" hidden="1">
      <c r="A1295" s="249"/>
      <c r="B1295" s="113" t="s">
        <v>1006</v>
      </c>
      <c r="C1295" s="354">
        <f>I697</f>
        <v>0</v>
      </c>
      <c r="D1295" s="355"/>
      <c r="E1295" s="356"/>
      <c r="F1295" s="984"/>
      <c r="G1295" s="122" t="s">
        <v>1107</v>
      </c>
      <c r="H1295" s="121">
        <f>H702</f>
        <v>0</v>
      </c>
      <c r="I1295" s="121">
        <f>I702</f>
        <v>0</v>
      </c>
      <c r="J1295" s="121">
        <f>J702</f>
        <v>0</v>
      </c>
      <c r="K1295" s="108"/>
      <c r="L1295" s="108"/>
      <c r="M1295" s="250"/>
      <c r="N1295" s="392"/>
      <c r="O1295" s="334"/>
      <c r="P1295" s="335"/>
      <c r="Q1295" s="2"/>
      <c r="R1295" s="2"/>
      <c r="S1295" s="2"/>
      <c r="T1295" s="2"/>
    </row>
    <row r="1296" spans="1:20" ht="18" hidden="1" customHeight="1">
      <c r="A1296" s="249"/>
      <c r="B1296" s="268" t="s">
        <v>987</v>
      </c>
      <c r="C1296" s="304" t="s">
        <v>818</v>
      </c>
      <c r="D1296" s="357"/>
      <c r="E1296" s="305"/>
      <c r="F1296" s="269" t="s">
        <v>818</v>
      </c>
      <c r="G1296" s="350"/>
      <c r="H1296" s="270" t="s">
        <v>1104</v>
      </c>
      <c r="I1296" s="270" t="s">
        <v>1104</v>
      </c>
      <c r="J1296" s="270" t="s">
        <v>1104</v>
      </c>
      <c r="K1296" s="108"/>
      <c r="L1296" s="108"/>
      <c r="M1296" s="250"/>
      <c r="N1296" s="392"/>
      <c r="O1296" s="334"/>
      <c r="P1296" s="335"/>
      <c r="Q1296" s="2"/>
      <c r="R1296" s="2"/>
      <c r="S1296" s="2"/>
      <c r="T1296" s="2"/>
    </row>
    <row r="1297" spans="13:20" ht="17.2" hidden="1" customHeight="1">
      <c r="M1297" s="112"/>
      <c r="N1297" s="112"/>
      <c r="O1297" s="2"/>
      <c r="P1297" s="2"/>
      <c r="Q1297" s="2"/>
      <c r="R1297" s="2"/>
      <c r="S1297" s="2"/>
      <c r="T1297" s="2"/>
    </row>
    <row r="1298" spans="13:20" hidden="1">
      <c r="M1298" s="112"/>
      <c r="N1298" s="934"/>
      <c r="O1298" s="15"/>
      <c r="P1298" s="15"/>
      <c r="Q1298" s="2"/>
      <c r="R1298" s="2"/>
      <c r="S1298" s="2"/>
      <c r="T1298" s="2"/>
    </row>
    <row r="1299" spans="13:20" hidden="1">
      <c r="M1299" s="112"/>
      <c r="N1299" s="112"/>
      <c r="O1299" s="2"/>
      <c r="P1299" s="2"/>
      <c r="Q1299" s="2"/>
      <c r="R1299" s="2"/>
      <c r="S1299" s="2"/>
      <c r="T1299" s="2"/>
    </row>
    <row r="1300" spans="13:20" hidden="1">
      <c r="M1300" s="112"/>
      <c r="N1300" s="112"/>
      <c r="O1300" s="2"/>
      <c r="P1300" s="2"/>
      <c r="Q1300" s="2"/>
      <c r="R1300" s="2"/>
      <c r="S1300" s="2"/>
      <c r="T1300" s="2"/>
    </row>
    <row r="1301" spans="13:20" hidden="1">
      <c r="M1301" s="112"/>
      <c r="N1301" s="112"/>
      <c r="O1301" s="2"/>
      <c r="P1301" s="2"/>
      <c r="Q1301" s="2"/>
      <c r="R1301" s="2"/>
      <c r="S1301" s="2"/>
      <c r="T1301" s="2"/>
    </row>
    <row r="1302" spans="13:20" hidden="1">
      <c r="M1302" s="112"/>
      <c r="N1302" s="112"/>
      <c r="O1302" s="2"/>
      <c r="P1302" s="2"/>
      <c r="Q1302" s="2"/>
      <c r="R1302" s="2"/>
      <c r="S1302" s="2"/>
      <c r="T1302" s="2"/>
    </row>
    <row r="1303" spans="13:20" hidden="1">
      <c r="M1303" s="112"/>
      <c r="N1303" s="112"/>
      <c r="O1303" s="2"/>
      <c r="P1303" s="2"/>
      <c r="Q1303" s="2"/>
      <c r="R1303" s="2"/>
      <c r="S1303" s="2"/>
      <c r="T1303" s="2"/>
    </row>
    <row r="1304" spans="13:20" hidden="1">
      <c r="M1304" s="112"/>
      <c r="N1304" s="112"/>
      <c r="O1304" s="2"/>
      <c r="P1304" s="2"/>
      <c r="Q1304" s="2"/>
      <c r="R1304" s="2"/>
      <c r="S1304" s="2"/>
      <c r="T1304" s="2"/>
    </row>
    <row r="1305" spans="13:20" hidden="1">
      <c r="M1305" s="112"/>
      <c r="N1305" s="112"/>
      <c r="O1305" s="2"/>
      <c r="P1305" s="2"/>
      <c r="Q1305" s="2"/>
      <c r="R1305" s="2"/>
      <c r="S1305" s="2"/>
      <c r="T1305" s="2"/>
    </row>
    <row r="1306" spans="13:20" hidden="1">
      <c r="M1306" s="112"/>
      <c r="N1306" s="112"/>
      <c r="O1306" s="2"/>
      <c r="P1306" s="2"/>
      <c r="Q1306" s="2"/>
      <c r="R1306" s="2"/>
      <c r="S1306" s="2"/>
      <c r="T1306" s="2"/>
    </row>
    <row r="1307" spans="13:20" hidden="1">
      <c r="M1307" s="112"/>
      <c r="N1307" s="112"/>
      <c r="O1307" s="2"/>
      <c r="P1307" s="2"/>
      <c r="Q1307" s="2"/>
      <c r="R1307" s="2"/>
      <c r="S1307" s="2"/>
      <c r="T1307" s="2"/>
    </row>
    <row r="1308" spans="13:20" hidden="1">
      <c r="M1308" s="112"/>
      <c r="N1308" s="112"/>
      <c r="O1308" s="2"/>
      <c r="P1308" s="2"/>
      <c r="Q1308" s="2"/>
      <c r="R1308" s="2"/>
      <c r="S1308" s="2"/>
      <c r="T1308" s="2"/>
    </row>
    <row r="1309" spans="13:20" hidden="1">
      <c r="M1309" s="112"/>
      <c r="N1309" s="112"/>
      <c r="O1309" s="2"/>
      <c r="P1309" s="2"/>
      <c r="Q1309" s="2"/>
      <c r="R1309" s="2"/>
      <c r="S1309" s="2"/>
      <c r="T1309" s="2"/>
    </row>
    <row r="1310" spans="13:20" hidden="1">
      <c r="M1310" s="112"/>
      <c r="N1310" s="112"/>
      <c r="O1310" s="2"/>
      <c r="P1310" s="2"/>
      <c r="Q1310" s="2"/>
      <c r="R1310" s="2"/>
      <c r="S1310" s="2"/>
      <c r="T1310" s="2"/>
    </row>
    <row r="1311" spans="13:20" hidden="1">
      <c r="M1311" s="112"/>
      <c r="N1311" s="112"/>
      <c r="O1311" s="2"/>
      <c r="P1311" s="2"/>
      <c r="Q1311" s="2"/>
      <c r="R1311" s="2"/>
      <c r="S1311" s="2"/>
      <c r="T1311" s="2"/>
    </row>
    <row r="1312" spans="13:20" hidden="1">
      <c r="M1312" s="112"/>
      <c r="N1312" s="112"/>
      <c r="O1312" s="2"/>
      <c r="P1312" s="2"/>
      <c r="Q1312" s="2"/>
      <c r="R1312" s="2"/>
      <c r="S1312" s="2"/>
      <c r="T1312" s="2"/>
    </row>
    <row r="1313" spans="13:20" hidden="1">
      <c r="M1313" s="112"/>
      <c r="N1313" s="112"/>
      <c r="O1313" s="2"/>
      <c r="P1313" s="2"/>
      <c r="Q1313" s="2"/>
      <c r="R1313" s="2"/>
      <c r="S1313" s="2"/>
      <c r="T1313" s="2"/>
    </row>
    <row r="1314" spans="13:20" hidden="1">
      <c r="M1314" s="112"/>
      <c r="N1314" s="112"/>
      <c r="O1314" s="2"/>
      <c r="P1314" s="2"/>
      <c r="Q1314" s="2"/>
      <c r="R1314" s="2"/>
      <c r="S1314" s="2"/>
      <c r="T1314" s="2"/>
    </row>
    <row r="1315" spans="13:20" hidden="1">
      <c r="M1315" s="112"/>
      <c r="N1315" s="112"/>
      <c r="O1315" s="2"/>
      <c r="P1315" s="2"/>
      <c r="Q1315" s="2"/>
      <c r="R1315" s="2"/>
      <c r="S1315" s="2"/>
      <c r="T1315" s="2"/>
    </row>
    <row r="1316" spans="13:20" hidden="1">
      <c r="M1316" s="112"/>
      <c r="N1316" s="112"/>
      <c r="O1316" s="2"/>
      <c r="P1316" s="2"/>
      <c r="Q1316" s="2"/>
      <c r="R1316" s="2"/>
      <c r="S1316" s="2"/>
      <c r="T1316" s="2"/>
    </row>
    <row r="1317" spans="13:20" hidden="1">
      <c r="M1317" s="112"/>
      <c r="N1317" s="112"/>
      <c r="O1317" s="2"/>
      <c r="P1317" s="2"/>
      <c r="Q1317" s="2"/>
      <c r="R1317" s="2"/>
      <c r="S1317" s="2"/>
      <c r="T1317" s="2"/>
    </row>
    <row r="1318" spans="13:20" hidden="1">
      <c r="M1318" s="112"/>
      <c r="N1318" s="112"/>
      <c r="O1318" s="2"/>
      <c r="P1318" s="2"/>
      <c r="Q1318" s="2"/>
      <c r="R1318" s="2"/>
      <c r="S1318" s="2"/>
      <c r="T1318" s="2"/>
    </row>
    <row r="1319" spans="13:20" hidden="1">
      <c r="N1319" s="112"/>
      <c r="O1319" s="2"/>
      <c r="P1319" s="2"/>
      <c r="Q1319" s="2"/>
      <c r="R1319" s="2"/>
      <c r="S1319" s="2"/>
      <c r="T1319" s="2"/>
    </row>
    <row r="1320" spans="13:20" hidden="1">
      <c r="M1320" s="112"/>
      <c r="N1320" s="112"/>
      <c r="O1320" s="2"/>
      <c r="P1320" s="2"/>
      <c r="Q1320" s="2"/>
      <c r="R1320" s="2"/>
      <c r="S1320" s="2"/>
      <c r="T1320" s="2"/>
    </row>
    <row r="1321" spans="13:20" hidden="1">
      <c r="M1321" s="112"/>
      <c r="N1321" s="112"/>
      <c r="O1321" s="2"/>
      <c r="P1321" s="2"/>
      <c r="Q1321" s="2"/>
      <c r="R1321" s="2"/>
      <c r="S1321" s="2"/>
      <c r="T1321" s="2"/>
    </row>
    <row r="1322" spans="13:20" hidden="1">
      <c r="M1322" s="112"/>
      <c r="N1322" s="112"/>
      <c r="O1322" s="2"/>
      <c r="P1322" s="2"/>
      <c r="Q1322" s="2"/>
      <c r="R1322" s="2"/>
      <c r="S1322" s="2"/>
      <c r="T1322" s="2"/>
    </row>
    <row r="1323" spans="13:20" hidden="1">
      <c r="N1323" s="112"/>
      <c r="O1323" s="2"/>
      <c r="P1323" s="2"/>
      <c r="Q1323" s="2"/>
      <c r="R1323" s="2"/>
      <c r="S1323" s="2"/>
      <c r="T1323" s="2"/>
    </row>
    <row r="1324" spans="13:20" hidden="1">
      <c r="N1324" s="112"/>
      <c r="O1324" s="2"/>
      <c r="P1324" s="2"/>
      <c r="Q1324" s="2"/>
      <c r="R1324" s="2"/>
      <c r="S1324" s="2"/>
      <c r="T1324" s="2"/>
    </row>
    <row r="1325" spans="13:20" hidden="1">
      <c r="M1325" s="112"/>
      <c r="N1325" s="112"/>
      <c r="O1325" s="2"/>
      <c r="P1325" s="2"/>
      <c r="Q1325" s="2"/>
      <c r="R1325" s="2"/>
      <c r="S1325" s="2"/>
      <c r="T1325" s="2"/>
    </row>
    <row r="1326" spans="13:20" hidden="1">
      <c r="M1326" s="112"/>
      <c r="N1326" s="112"/>
      <c r="O1326" s="2"/>
      <c r="P1326" s="2"/>
      <c r="Q1326" s="2"/>
      <c r="R1326" s="2"/>
      <c r="S1326" s="2"/>
      <c r="T1326" s="2"/>
    </row>
    <row r="1327" spans="13:20" hidden="1">
      <c r="M1327" s="112"/>
      <c r="N1327" s="112"/>
      <c r="O1327" s="2"/>
      <c r="P1327" s="2"/>
      <c r="Q1327" s="2"/>
      <c r="R1327" s="2"/>
      <c r="S1327" s="2"/>
      <c r="T1327" s="2"/>
    </row>
    <row r="1328" spans="13:20" hidden="1">
      <c r="M1328" s="112"/>
      <c r="N1328" s="112"/>
      <c r="O1328" s="2"/>
      <c r="P1328" s="2"/>
      <c r="Q1328" s="2"/>
      <c r="R1328" s="2"/>
      <c r="S1328" s="2"/>
      <c r="T1328" s="2"/>
    </row>
    <row r="1329" spans="13:20" hidden="1">
      <c r="M1329" s="112"/>
      <c r="N1329" s="112"/>
      <c r="O1329" s="2"/>
      <c r="P1329" s="2"/>
      <c r="Q1329" s="2"/>
      <c r="R1329" s="2"/>
      <c r="S1329" s="2"/>
      <c r="T1329" s="2"/>
    </row>
    <row r="1330" spans="13:20" hidden="1">
      <c r="M1330" s="112"/>
      <c r="N1330" s="112"/>
      <c r="O1330" s="2"/>
      <c r="P1330" s="2"/>
      <c r="Q1330" s="2"/>
      <c r="R1330" s="2"/>
      <c r="S1330" s="2"/>
      <c r="T1330" s="2"/>
    </row>
    <row r="1331" spans="13:20" hidden="1">
      <c r="M1331" s="112"/>
      <c r="N1331" s="112"/>
      <c r="O1331" s="2"/>
      <c r="P1331" s="2"/>
      <c r="Q1331" s="2"/>
      <c r="R1331" s="2"/>
      <c r="S1331" s="2"/>
      <c r="T1331" s="2"/>
    </row>
    <row r="1332" spans="13:20" hidden="1">
      <c r="M1332" s="112"/>
      <c r="N1332" s="112"/>
      <c r="O1332" s="2"/>
      <c r="P1332" s="2"/>
      <c r="Q1332" s="2"/>
      <c r="R1332" s="2"/>
      <c r="S1332" s="2"/>
      <c r="T1332" s="2"/>
    </row>
    <row r="1333" spans="13:20" hidden="1">
      <c r="N1333" s="112"/>
      <c r="O1333" s="2"/>
      <c r="P1333" s="2"/>
      <c r="Q1333" s="2"/>
      <c r="R1333" s="2"/>
      <c r="S1333" s="2"/>
      <c r="T1333" s="2"/>
    </row>
    <row r="1334" spans="13:20" hidden="1">
      <c r="N1334" s="112"/>
      <c r="O1334" s="2"/>
      <c r="P1334" s="2"/>
      <c r="Q1334" s="2"/>
      <c r="R1334" s="2"/>
      <c r="S1334" s="2"/>
      <c r="T1334" s="2"/>
    </row>
    <row r="1335" spans="13:20" hidden="1">
      <c r="N1335" s="112"/>
      <c r="O1335" s="2"/>
      <c r="P1335" s="2"/>
      <c r="Q1335" s="2"/>
      <c r="R1335" s="2"/>
      <c r="S1335" s="2"/>
      <c r="T1335" s="2"/>
    </row>
    <row r="1336" spans="13:20" hidden="1">
      <c r="M1336" s="112"/>
      <c r="N1336" s="112"/>
      <c r="O1336" s="2"/>
      <c r="P1336" s="2"/>
      <c r="Q1336" s="2"/>
      <c r="R1336" s="2"/>
      <c r="S1336" s="2"/>
      <c r="T1336" s="2"/>
    </row>
    <row r="1337" spans="13:20" hidden="1">
      <c r="M1337" s="112"/>
      <c r="N1337" s="112"/>
      <c r="O1337" s="2"/>
      <c r="P1337" s="2"/>
      <c r="Q1337" s="2"/>
      <c r="R1337" s="2"/>
      <c r="S1337" s="2"/>
      <c r="T1337" s="2"/>
    </row>
    <row r="1338" spans="13:20" hidden="1">
      <c r="M1338" s="112"/>
      <c r="N1338" s="112"/>
      <c r="O1338" s="2"/>
      <c r="P1338" s="2"/>
      <c r="Q1338" s="2"/>
      <c r="R1338" s="2"/>
      <c r="S1338" s="2"/>
      <c r="T1338" s="2"/>
    </row>
    <row r="1339" spans="13:20" hidden="1">
      <c r="M1339" s="112"/>
      <c r="N1339" s="112"/>
      <c r="O1339" s="2"/>
      <c r="P1339" s="2"/>
      <c r="Q1339" s="2"/>
      <c r="R1339" s="2"/>
      <c r="S1339" s="2"/>
      <c r="T1339" s="2"/>
    </row>
    <row r="1340" spans="13:20" hidden="1">
      <c r="M1340" s="112"/>
      <c r="N1340" s="112"/>
      <c r="O1340" s="2"/>
      <c r="P1340" s="2"/>
      <c r="Q1340" s="2"/>
      <c r="R1340" s="2"/>
      <c r="S1340" s="2"/>
      <c r="T1340" s="2"/>
    </row>
    <row r="1341" spans="13:20" hidden="1">
      <c r="M1341" s="112"/>
      <c r="N1341" s="112"/>
      <c r="O1341" s="2"/>
      <c r="P1341" s="2"/>
      <c r="Q1341" s="2"/>
      <c r="R1341" s="2"/>
      <c r="S1341" s="2"/>
      <c r="T1341" s="2"/>
    </row>
    <row r="1342" spans="13:20" hidden="1">
      <c r="M1342" s="112"/>
      <c r="N1342" s="112"/>
      <c r="O1342" s="2"/>
      <c r="P1342" s="2"/>
      <c r="Q1342" s="2"/>
      <c r="R1342" s="2"/>
      <c r="S1342" s="2"/>
      <c r="T1342" s="2"/>
    </row>
    <row r="1343" spans="13:20" hidden="1">
      <c r="M1343" s="112"/>
      <c r="N1343" s="112"/>
      <c r="O1343" s="2"/>
      <c r="P1343" s="2"/>
      <c r="Q1343" s="2"/>
      <c r="R1343" s="2"/>
      <c r="S1343" s="2"/>
      <c r="T1343" s="2"/>
    </row>
    <row r="1344" spans="13:20" hidden="1">
      <c r="M1344" s="112"/>
      <c r="N1344" s="112"/>
      <c r="O1344" s="2"/>
      <c r="P1344" s="2"/>
      <c r="Q1344" s="2"/>
      <c r="R1344" s="2"/>
      <c r="S1344" s="2"/>
      <c r="T1344" s="2"/>
    </row>
    <row r="1345" spans="13:23" hidden="1">
      <c r="M1345" s="112"/>
      <c r="N1345" s="112"/>
      <c r="O1345" s="2"/>
      <c r="P1345" s="2"/>
      <c r="U1345" s="246"/>
      <c r="V1345" s="246"/>
      <c r="W1345" s="246"/>
    </row>
    <row r="1346" spans="13:23" hidden="1">
      <c r="M1346" s="112"/>
      <c r="N1346" s="112"/>
      <c r="O1346" s="2"/>
      <c r="P1346" s="2"/>
      <c r="Q1346" s="2"/>
      <c r="R1346" s="2"/>
      <c r="S1346" s="2"/>
      <c r="T1346" s="2"/>
    </row>
    <row r="1347" spans="13:23" hidden="1">
      <c r="M1347" s="112"/>
      <c r="N1347" s="112"/>
      <c r="O1347" s="2"/>
      <c r="P1347" s="2"/>
      <c r="Q1347" s="2"/>
      <c r="R1347" s="2"/>
      <c r="S1347" s="2"/>
      <c r="T1347" s="2"/>
    </row>
    <row r="1348" spans="13:23" hidden="1">
      <c r="M1348" s="112"/>
      <c r="N1348" s="112"/>
      <c r="O1348" s="2"/>
      <c r="P1348" s="2"/>
      <c r="Q1348" s="2"/>
      <c r="R1348" s="2"/>
      <c r="S1348" s="2"/>
      <c r="T1348" s="2"/>
    </row>
    <row r="1349" spans="13:23" hidden="1">
      <c r="M1349" s="112"/>
      <c r="N1349" s="112"/>
      <c r="O1349" s="2"/>
      <c r="P1349" s="2"/>
      <c r="Q1349" s="2"/>
      <c r="R1349" s="2"/>
      <c r="S1349" s="2"/>
      <c r="T1349" s="2"/>
    </row>
    <row r="1350" spans="13:23" hidden="1">
      <c r="M1350" s="112"/>
      <c r="N1350" s="112"/>
      <c r="O1350" s="2"/>
      <c r="P1350" s="2"/>
      <c r="Q1350" s="2"/>
      <c r="R1350" s="2"/>
      <c r="S1350" s="2"/>
      <c r="T1350" s="2"/>
    </row>
    <row r="1351" spans="13:23" hidden="1">
      <c r="M1351" s="112"/>
      <c r="N1351" s="112"/>
      <c r="O1351" s="2"/>
      <c r="P1351" s="2"/>
      <c r="Q1351" s="2"/>
      <c r="R1351" s="2"/>
      <c r="S1351" s="2"/>
      <c r="T1351" s="2"/>
    </row>
    <row r="1352" spans="13:23" hidden="1">
      <c r="M1352" s="112"/>
      <c r="N1352" s="112"/>
      <c r="O1352" s="2"/>
      <c r="P1352" s="2"/>
      <c r="Q1352" s="2"/>
      <c r="R1352" s="2"/>
      <c r="S1352" s="2"/>
      <c r="T1352" s="2"/>
    </row>
    <row r="1353" spans="13:23" hidden="1">
      <c r="M1353" s="112"/>
      <c r="N1353" s="112"/>
      <c r="O1353" s="2"/>
      <c r="P1353" s="2"/>
      <c r="Q1353" s="2"/>
      <c r="R1353" s="2"/>
      <c r="S1353" s="2"/>
      <c r="T1353" s="2"/>
    </row>
    <row r="1354" spans="13:23" hidden="1">
      <c r="M1354" s="934"/>
      <c r="N1354" s="112"/>
      <c r="O1354" s="2"/>
      <c r="P1354" s="2"/>
      <c r="Q1354" s="2"/>
      <c r="R1354" s="2"/>
      <c r="S1354" s="2"/>
      <c r="T1354" s="2"/>
    </row>
    <row r="1355" spans="13:23" hidden="1">
      <c r="M1355" s="934"/>
      <c r="N1355" s="112"/>
      <c r="O1355" s="2"/>
      <c r="P1355" s="2"/>
      <c r="Q1355" s="2"/>
      <c r="R1355" s="2"/>
      <c r="S1355" s="2"/>
      <c r="T1355" s="2"/>
    </row>
    <row r="1356" spans="13:23" hidden="1">
      <c r="M1356" s="934"/>
      <c r="N1356" s="112"/>
      <c r="O1356" s="2"/>
      <c r="P1356" s="2"/>
      <c r="Q1356" s="2"/>
      <c r="R1356" s="2"/>
      <c r="S1356" s="2"/>
      <c r="T1356" s="2"/>
    </row>
    <row r="1357" spans="13:23" hidden="1">
      <c r="M1357" s="934"/>
      <c r="N1357" s="112"/>
      <c r="O1357" s="2"/>
      <c r="P1357" s="2"/>
      <c r="Q1357" s="2"/>
      <c r="R1357" s="2"/>
      <c r="S1357" s="2"/>
      <c r="T1357" s="2"/>
    </row>
    <row r="1358" spans="13:23" hidden="1">
      <c r="M1358" s="934"/>
      <c r="N1358" s="112"/>
      <c r="O1358" s="2"/>
      <c r="P1358" s="2"/>
      <c r="Q1358" s="2"/>
      <c r="R1358" s="2"/>
      <c r="S1358" s="2"/>
      <c r="T1358" s="2"/>
    </row>
    <row r="1359" spans="13:23" hidden="1">
      <c r="M1359" s="934"/>
      <c r="N1359" s="995"/>
      <c r="O1359" s="334"/>
      <c r="P1359" s="334"/>
      <c r="Q1359" s="334"/>
      <c r="R1359" s="455"/>
      <c r="S1359" s="455"/>
      <c r="T1359" s="455"/>
      <c r="U1359" s="455"/>
      <c r="V1359" s="455"/>
      <c r="W1359" s="455"/>
    </row>
    <row r="1360" spans="13:23" hidden="1">
      <c r="M1360" s="934"/>
    </row>
    <row r="1361" spans="13:13" hidden="1">
      <c r="M1361" s="934"/>
    </row>
    <row r="1362" spans="13:13" hidden="1">
      <c r="M1362" s="934"/>
    </row>
    <row r="1363" spans="13:13" hidden="1">
      <c r="M1363" s="112"/>
    </row>
    <row r="1364" spans="13:13" hidden="1">
      <c r="M1364" s="112"/>
    </row>
    <row r="1365" spans="13:13" hidden="1">
      <c r="M1365" s="112"/>
    </row>
    <row r="1366" spans="13:13" hidden="1">
      <c r="M1366" s="112"/>
    </row>
    <row r="1367" spans="13:13" hidden="1">
      <c r="M1367" s="112"/>
    </row>
    <row r="1368" spans="13:13" hidden="1">
      <c r="M1368" s="112"/>
    </row>
    <row r="1369" spans="13:13" hidden="1">
      <c r="M1369" s="112"/>
    </row>
    <row r="1370" spans="13:13" hidden="1">
      <c r="M1370" s="112"/>
    </row>
    <row r="1371" spans="13:13" hidden="1">
      <c r="M1371" s="112"/>
    </row>
    <row r="1372" spans="13:13" hidden="1">
      <c r="M1372" s="112"/>
    </row>
    <row r="1373" spans="13:13" hidden="1">
      <c r="M1373" s="112"/>
    </row>
    <row r="1374" spans="13:13" hidden="1">
      <c r="M1374" s="112"/>
    </row>
    <row r="1375" spans="13:13" hidden="1">
      <c r="M1375" s="112"/>
    </row>
    <row r="1376" spans="13:13" hidden="1">
      <c r="M1376" s="112"/>
    </row>
    <row r="1377" spans="13:13" hidden="1">
      <c r="M1377" s="112"/>
    </row>
    <row r="1378" spans="13:13" hidden="1">
      <c r="M1378" s="112"/>
    </row>
    <row r="1379" spans="13:13" hidden="1">
      <c r="M1379" s="112"/>
    </row>
    <row r="1380" spans="13:13" hidden="1">
      <c r="M1380" s="934"/>
    </row>
    <row r="1381" spans="13:13" hidden="1">
      <c r="M1381" s="112"/>
    </row>
    <row r="1382" spans="13:13" hidden="1">
      <c r="M1382" s="112"/>
    </row>
    <row r="1383" spans="13:13" hidden="1">
      <c r="M1383" s="112"/>
    </row>
    <row r="1384" spans="13:13" hidden="1">
      <c r="M1384" s="112"/>
    </row>
    <row r="1385" spans="13:13" hidden="1">
      <c r="M1385" s="112"/>
    </row>
    <row r="1386" spans="13:13" hidden="1">
      <c r="M1386" s="112"/>
    </row>
    <row r="1387" spans="13:13" hidden="1">
      <c r="M1387" s="112"/>
    </row>
    <row r="1388" spans="13:13" hidden="1">
      <c r="M1388" s="112"/>
    </row>
    <row r="1389" spans="13:13" hidden="1">
      <c r="M1389" s="112"/>
    </row>
    <row r="1390" spans="13:13" hidden="1">
      <c r="M1390" s="112"/>
    </row>
    <row r="1391" spans="13:13" hidden="1">
      <c r="M1391" s="112"/>
    </row>
    <row r="1392" spans="13:13" hidden="1">
      <c r="M1392" s="112"/>
    </row>
    <row r="1393" spans="13:13" hidden="1">
      <c r="M1393" s="112"/>
    </row>
    <row r="1394" spans="13:13" hidden="1">
      <c r="M1394" s="112"/>
    </row>
    <row r="1395" spans="13:13" hidden="1">
      <c r="M1395" s="112"/>
    </row>
    <row r="1396" spans="13:13" hidden="1">
      <c r="M1396" s="112"/>
    </row>
    <row r="1397" spans="13:13" hidden="1">
      <c r="M1397" s="112"/>
    </row>
    <row r="1398" spans="13:13" hidden="1">
      <c r="M1398" s="112"/>
    </row>
    <row r="1399" spans="13:13" hidden="1">
      <c r="M1399" s="112"/>
    </row>
    <row r="1400" spans="13:13" hidden="1">
      <c r="M1400" s="112"/>
    </row>
    <row r="1401" spans="13:13" hidden="1">
      <c r="M1401" s="112"/>
    </row>
    <row r="1402" spans="13:13" hidden="1">
      <c r="M1402" s="112"/>
    </row>
    <row r="1403" spans="13:13" hidden="1">
      <c r="M1403" s="112"/>
    </row>
    <row r="1404" spans="13:13" hidden="1">
      <c r="M1404" s="112"/>
    </row>
    <row r="1405" spans="13:13" hidden="1">
      <c r="M1405" s="112"/>
    </row>
    <row r="1406" spans="13:13" hidden="1">
      <c r="M1406" s="112"/>
    </row>
    <row r="1407" spans="13:13" hidden="1">
      <c r="M1407" s="112"/>
    </row>
    <row r="1408" spans="13:13" hidden="1">
      <c r="M1408" s="112"/>
    </row>
    <row r="1409" spans="13:13" hidden="1">
      <c r="M1409" s="112"/>
    </row>
    <row r="1410" spans="13:13" hidden="1">
      <c r="M1410" s="112"/>
    </row>
    <row r="1411" spans="13:13" hidden="1">
      <c r="M1411" s="112"/>
    </row>
    <row r="1412" spans="13:13" hidden="1">
      <c r="M1412" s="112"/>
    </row>
    <row r="1413" spans="13:13" hidden="1">
      <c r="M1413" s="112"/>
    </row>
    <row r="1414" spans="13:13" hidden="1">
      <c r="M1414" s="112"/>
    </row>
    <row r="1415" spans="13:13" hidden="1">
      <c r="M1415" s="112"/>
    </row>
    <row r="1416" spans="13:13" hidden="1">
      <c r="M1416" s="112"/>
    </row>
    <row r="1417" spans="13:13" hidden="1">
      <c r="M1417" s="112"/>
    </row>
    <row r="1418" spans="13:13" hidden="1">
      <c r="M1418" s="112"/>
    </row>
    <row r="1419" spans="13:13" hidden="1">
      <c r="M1419" s="112"/>
    </row>
    <row r="1420" spans="13:13" hidden="1">
      <c r="M1420" s="112"/>
    </row>
    <row r="1421" spans="13:13" hidden="1">
      <c r="M1421" s="112"/>
    </row>
    <row r="1422" spans="13:13" hidden="1">
      <c r="M1422" s="112"/>
    </row>
    <row r="1423" spans="13:13" hidden="1">
      <c r="M1423" s="112"/>
    </row>
    <row r="1424" spans="13:13" hidden="1">
      <c r="M1424" s="112"/>
    </row>
    <row r="1425" spans="13:13" hidden="1">
      <c r="M1425" s="112"/>
    </row>
    <row r="1426" spans="13:13" hidden="1">
      <c r="M1426" s="112"/>
    </row>
    <row r="1427" spans="13:13" hidden="1">
      <c r="M1427" s="112"/>
    </row>
    <row r="1428" spans="13:13" hidden="1">
      <c r="M1428" s="112"/>
    </row>
    <row r="1429" spans="13:13" hidden="1">
      <c r="M1429" s="112"/>
    </row>
    <row r="1430" spans="13:13" hidden="1">
      <c r="M1430" s="112"/>
    </row>
    <row r="1431" spans="13:13" hidden="1">
      <c r="M1431" s="112"/>
    </row>
    <row r="1432" spans="13:13" hidden="1">
      <c r="M1432" s="112"/>
    </row>
    <row r="1433" spans="13:13" hidden="1">
      <c r="M1433" s="112"/>
    </row>
    <row r="1434" spans="13:13" hidden="1">
      <c r="M1434" s="112"/>
    </row>
    <row r="1435" spans="13:13" hidden="1">
      <c r="M1435" s="112"/>
    </row>
    <row r="1436" spans="13:13" hidden="1">
      <c r="M1436" s="112"/>
    </row>
    <row r="1437" spans="13:13" hidden="1">
      <c r="M1437" s="112"/>
    </row>
    <row r="1438" spans="13:13" hidden="1">
      <c r="M1438" s="112"/>
    </row>
    <row r="1439" spans="13:13" hidden="1">
      <c r="M1439" s="112"/>
    </row>
    <row r="1440" spans="13:13" hidden="1">
      <c r="M1440" s="112"/>
    </row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</sheetData>
  <sheetProtection password="DFAD" sheet="1" objects="1" scenarios="1" selectLockedCells="1"/>
  <mergeCells count="207">
    <mergeCell ref="B57:B58"/>
    <mergeCell ref="F64:G64"/>
    <mergeCell ref="E42:F42"/>
    <mergeCell ref="G42:H42"/>
    <mergeCell ref="E39:F39"/>
    <mergeCell ref="G40:H40"/>
    <mergeCell ref="G41:H41"/>
    <mergeCell ref="I52:K52"/>
    <mergeCell ref="I51:K51"/>
    <mergeCell ref="I42:J42"/>
    <mergeCell ref="I53:K53"/>
    <mergeCell ref="I54:K54"/>
    <mergeCell ref="C57:C58"/>
    <mergeCell ref="D57:D58"/>
    <mergeCell ref="E57:E58"/>
    <mergeCell ref="H57:I57"/>
    <mergeCell ref="F58:I58"/>
    <mergeCell ref="I40:J40"/>
    <mergeCell ref="G17:G18"/>
    <mergeCell ref="K42:L42"/>
    <mergeCell ref="J17:K18"/>
    <mergeCell ref="J19:K19"/>
    <mergeCell ref="J20:K20"/>
    <mergeCell ref="J21:K21"/>
    <mergeCell ref="J36:L36"/>
    <mergeCell ref="D32:E32"/>
    <mergeCell ref="D30:E30"/>
    <mergeCell ref="D31:E31"/>
    <mergeCell ref="J30:L30"/>
    <mergeCell ref="J31:L31"/>
    <mergeCell ref="J32:L32"/>
    <mergeCell ref="J37:L37"/>
    <mergeCell ref="H35:I35"/>
    <mergeCell ref="H36:I36"/>
    <mergeCell ref="J35:L35"/>
    <mergeCell ref="J29:L29"/>
    <mergeCell ref="E35:G35"/>
    <mergeCell ref="E37:G37"/>
    <mergeCell ref="E36:G36"/>
    <mergeCell ref="I39:J39"/>
    <mergeCell ref="K39:L39"/>
    <mergeCell ref="K40:L40"/>
    <mergeCell ref="C158:E158"/>
    <mergeCell ref="F65:G65"/>
    <mergeCell ref="F66:G66"/>
    <mergeCell ref="C84:E84"/>
    <mergeCell ref="D72:F72"/>
    <mergeCell ref="D73:F73"/>
    <mergeCell ref="E77:E78"/>
    <mergeCell ref="D77:D78"/>
    <mergeCell ref="C82:E82"/>
    <mergeCell ref="C83:E83"/>
    <mergeCell ref="E111:E112"/>
    <mergeCell ref="F112:I112"/>
    <mergeCell ref="F119:G119"/>
    <mergeCell ref="B99:C99"/>
    <mergeCell ref="B100:C100"/>
    <mergeCell ref="B101:C101"/>
    <mergeCell ref="F67:G67"/>
    <mergeCell ref="D71:F71"/>
    <mergeCell ref="D70:F70"/>
    <mergeCell ref="C157:E157"/>
    <mergeCell ref="C140:E140"/>
    <mergeCell ref="C156:E156"/>
    <mergeCell ref="C139:E139"/>
    <mergeCell ref="C138:E138"/>
    <mergeCell ref="C85:E85"/>
    <mergeCell ref="F120:G120"/>
    <mergeCell ref="I147:I148"/>
    <mergeCell ref="J147:J148"/>
    <mergeCell ref="C147:E147"/>
    <mergeCell ref="F147:H147"/>
    <mergeCell ref="D125:F125"/>
    <mergeCell ref="D126:F126"/>
    <mergeCell ref="F122:G122"/>
    <mergeCell ref="D132:D133"/>
    <mergeCell ref="E132:E133"/>
    <mergeCell ref="G1273:H1273"/>
    <mergeCell ref="G1258:I1258"/>
    <mergeCell ref="G1270:H1270"/>
    <mergeCell ref="G1271:H1271"/>
    <mergeCell ref="J149:J150"/>
    <mergeCell ref="K41:L41"/>
    <mergeCell ref="I105:L105"/>
    <mergeCell ref="I108:L108"/>
    <mergeCell ref="H111:I111"/>
    <mergeCell ref="I106:L106"/>
    <mergeCell ref="I812:J812"/>
    <mergeCell ref="I818:J818"/>
    <mergeCell ref="I819:J819"/>
    <mergeCell ref="I811:J811"/>
    <mergeCell ref="I836:K836"/>
    <mergeCell ref="G1257:I1257"/>
    <mergeCell ref="G1272:H1272"/>
    <mergeCell ref="I910:K910"/>
    <mergeCell ref="G1256:I1256"/>
    <mergeCell ref="G1255:I1255"/>
    <mergeCell ref="I911:K911"/>
    <mergeCell ref="I916:K916"/>
    <mergeCell ref="I822:J822"/>
    <mergeCell ref="I845:K845"/>
    <mergeCell ref="K1282:L1282"/>
    <mergeCell ref="J1277:J1279"/>
    <mergeCell ref="K1277:L1279"/>
    <mergeCell ref="I1278:I1279"/>
    <mergeCell ref="C1282:D1282"/>
    <mergeCell ref="C1280:D1280"/>
    <mergeCell ref="C1281:D1281"/>
    <mergeCell ref="K1281:L1281"/>
    <mergeCell ref="K1280:L1280"/>
    <mergeCell ref="F1282:G1282"/>
    <mergeCell ref="F1278:F1279"/>
    <mergeCell ref="F1277:I1277"/>
    <mergeCell ref="C1277:D1278"/>
    <mergeCell ref="E1277:E1279"/>
    <mergeCell ref="C1279:D1279"/>
    <mergeCell ref="B11:B12"/>
    <mergeCell ref="B14:B15"/>
    <mergeCell ref="C17:C18"/>
    <mergeCell ref="E41:F41"/>
    <mergeCell ref="E17:E18"/>
    <mergeCell ref="E40:F40"/>
    <mergeCell ref="D29:E29"/>
    <mergeCell ref="U1037:W1037"/>
    <mergeCell ref="U1097:W1097"/>
    <mergeCell ref="U1083:W1083"/>
    <mergeCell ref="U1053:W1053"/>
    <mergeCell ref="O739:R739"/>
    <mergeCell ref="I810:J810"/>
    <mergeCell ref="I789:J789"/>
    <mergeCell ref="I808:J808"/>
    <mergeCell ref="I809:J809"/>
    <mergeCell ref="I806:J806"/>
    <mergeCell ref="I807:J807"/>
    <mergeCell ref="I779:K779"/>
    <mergeCell ref="I780:K780"/>
    <mergeCell ref="U671:W671"/>
    <mergeCell ref="G39:H39"/>
    <mergeCell ref="I41:J41"/>
    <mergeCell ref="I107:L107"/>
    <mergeCell ref="U1153:W1153"/>
    <mergeCell ref="U1103:W1103"/>
    <mergeCell ref="U1148:W1148"/>
    <mergeCell ref="U1128:W1128"/>
    <mergeCell ref="U1127:W1127"/>
    <mergeCell ref="U1138:W1138"/>
    <mergeCell ref="I844:K844"/>
    <mergeCell ref="U1017:W1017"/>
    <mergeCell ref="I904:K904"/>
    <mergeCell ref="I897:K897"/>
    <mergeCell ref="I899:K899"/>
    <mergeCell ref="U1003:W1003"/>
    <mergeCell ref="U988:W988"/>
    <mergeCell ref="U932:W932"/>
    <mergeCell ref="U930:W930"/>
    <mergeCell ref="I917:K917"/>
    <mergeCell ref="U1118:W1118"/>
    <mergeCell ref="U1117:W1117"/>
    <mergeCell ref="U1116:W1116"/>
    <mergeCell ref="I905:K905"/>
    <mergeCell ref="I848:K848"/>
    <mergeCell ref="I847:K847"/>
    <mergeCell ref="I846:K846"/>
    <mergeCell ref="I909:K909"/>
    <mergeCell ref="O733:R733"/>
    <mergeCell ref="N734:N735"/>
    <mergeCell ref="C180:D180"/>
    <mergeCell ref="K181:L181"/>
    <mergeCell ref="G180:H180"/>
    <mergeCell ref="C193:F193"/>
    <mergeCell ref="G193:J193"/>
    <mergeCell ref="E181:F181"/>
    <mergeCell ref="I180:J180"/>
    <mergeCell ref="E180:F180"/>
    <mergeCell ref="C182:D182"/>
    <mergeCell ref="C181:D181"/>
    <mergeCell ref="K180:L180"/>
    <mergeCell ref="J703:K704"/>
    <mergeCell ref="K182:L182"/>
    <mergeCell ref="I898:K898"/>
    <mergeCell ref="C159:E159"/>
    <mergeCell ref="G182:H182"/>
    <mergeCell ref="I182:J182"/>
    <mergeCell ref="G170:I170"/>
    <mergeCell ref="G172:I172"/>
    <mergeCell ref="D173:F173"/>
    <mergeCell ref="G173:I173"/>
    <mergeCell ref="D170:F170"/>
    <mergeCell ref="D172:F172"/>
    <mergeCell ref="G171:I171"/>
    <mergeCell ref="G181:H181"/>
    <mergeCell ref="I181:J181"/>
    <mergeCell ref="E182:F182"/>
    <mergeCell ref="D171:F171"/>
    <mergeCell ref="I843:K843"/>
    <mergeCell ref="I838:K838"/>
    <mergeCell ref="I835:K835"/>
    <mergeCell ref="I837:K837"/>
    <mergeCell ref="B147:B148"/>
    <mergeCell ref="B102:C102"/>
    <mergeCell ref="B111:B112"/>
    <mergeCell ref="C111:C112"/>
    <mergeCell ref="D111:D112"/>
    <mergeCell ref="F121:G121"/>
    <mergeCell ref="D127:F127"/>
    <mergeCell ref="D128:F128"/>
    <mergeCell ref="C137:E137"/>
  </mergeCells>
  <phoneticPr fontId="3"/>
  <conditionalFormatting sqref="D1286:F1286 D1288:F1288">
    <cfRule type="cellIs" dxfId="25" priority="1" stopIfTrue="1" operator="lessThan">
      <formula>$J$463</formula>
    </cfRule>
    <cfRule type="cellIs" dxfId="24" priority="2" stopIfTrue="1" operator="between">
      <formula>$J$463</formula>
      <formula>$J$465</formula>
    </cfRule>
  </conditionalFormatting>
  <conditionalFormatting sqref="H1294:J1295 J1271:J1272">
    <cfRule type="cellIs" dxfId="23" priority="3" stopIfTrue="1" operator="lessThan">
      <formula>6</formula>
    </cfRule>
    <cfRule type="cellIs" dxfId="22" priority="4" stopIfTrue="1" operator="between">
      <formula>6</formula>
      <formula>10</formula>
    </cfRule>
  </conditionalFormatting>
  <conditionalFormatting sqref="L1283:L1284 J1283">
    <cfRule type="cellIs" dxfId="21" priority="5" stopIfTrue="1" operator="lessThan">
      <formula>30</formula>
    </cfRule>
    <cfRule type="cellIs" dxfId="20" priority="6" stopIfTrue="1" operator="greaterThan">
      <formula>200</formula>
    </cfRule>
  </conditionalFormatting>
  <conditionalFormatting sqref="U953:W953 U955:W955 U957:W957 U959:W959 U961:W961 U963:W963 U965:W965 U967:W967 U969:W969 U971:W971 U973:W973 U975:W975 U977:W977 U979:W979 U981:W981 U983:W983">
    <cfRule type="cellIs" dxfId="19" priority="7" stopIfTrue="1" operator="lessThan">
      <formula>$T$736</formula>
    </cfRule>
  </conditionalFormatting>
  <conditionalFormatting sqref="U949:W949">
    <cfRule type="cellIs" dxfId="18" priority="8" stopIfTrue="1" operator="lessThan">
      <formula>$T$736</formula>
    </cfRule>
  </conditionalFormatting>
  <conditionalFormatting sqref="R953:T953 R955:T955 R957:T957 R959:T959 R961:T961 R963:T963 R965:T965 R967:T967 R969:T969 R971:T971 R973:T973 R975:T975 R977:T977 R979:T979 R981:T981 R983:T983">
    <cfRule type="cellIs" dxfId="17" priority="9" stopIfTrue="1" operator="lessThan">
      <formula>$Q$736</formula>
    </cfRule>
  </conditionalFormatting>
  <conditionalFormatting sqref="R954:W954 R960:W960 R956:W956 R958:W958 R962:W962 R964:W964 R966:W966 R968:W968 R970:W970 R972:W972 R974:W974 R976:W976 R978:W978 R980:W980 R982:W982 R984:W984">
    <cfRule type="cellIs" dxfId="16" priority="10" stopIfTrue="1" operator="greaterThan">
      <formula>10</formula>
    </cfRule>
  </conditionalFormatting>
  <conditionalFormatting sqref="R949:T949">
    <cfRule type="cellIs" dxfId="15" priority="11" stopIfTrue="1" operator="lessThan">
      <formula>$Q$736</formula>
    </cfRule>
  </conditionalFormatting>
  <conditionalFormatting sqref="E181:F181">
    <cfRule type="cellIs" dxfId="14" priority="12" stopIfTrue="1" operator="equal">
      <formula>$C$815</formula>
    </cfRule>
  </conditionalFormatting>
  <conditionalFormatting sqref="F149:H150">
    <cfRule type="cellIs" dxfId="13" priority="13" stopIfTrue="1" operator="lessThan">
      <formula>10</formula>
    </cfRule>
  </conditionalFormatting>
  <conditionalFormatting sqref="I149:I150">
    <cfRule type="cellIs" dxfId="12" priority="14" stopIfTrue="1" operator="greaterThan">
      <formula>$J$149</formula>
    </cfRule>
  </conditionalFormatting>
  <conditionalFormatting sqref="H157:J158">
    <cfRule type="cellIs" dxfId="11" priority="15" stopIfTrue="1" operator="lessThan">
      <formula>6</formula>
    </cfRule>
    <cfRule type="cellIs" dxfId="10" priority="16" stopIfTrue="1" operator="between">
      <formula>6</formula>
      <formula>10</formula>
    </cfRule>
  </conditionalFormatting>
  <conditionalFormatting sqref="C132:C133 C77:C78">
    <cfRule type="cellIs" dxfId="9" priority="17" stopIfTrue="1" operator="greaterThan">
      <formula>$E$77</formula>
    </cfRule>
  </conditionalFormatting>
  <conditionalFormatting sqref="C126:C127 C71:C72">
    <cfRule type="cellIs" dxfId="8" priority="18" stopIfTrue="1" operator="greaterThan">
      <formula>0.03</formula>
    </cfRule>
  </conditionalFormatting>
  <conditionalFormatting sqref="F138:F139 F83:F84">
    <cfRule type="cellIs" dxfId="7" priority="19" stopIfTrue="1" operator="notBetween">
      <formula>6</formula>
      <formula>20</formula>
    </cfRule>
  </conditionalFormatting>
  <conditionalFormatting sqref="F113:G113 F59:G59">
    <cfRule type="cellIs" dxfId="6" priority="20" stopIfTrue="1" operator="lessThan">
      <formula>$C$30</formula>
    </cfRule>
  </conditionalFormatting>
  <conditionalFormatting sqref="F114:G114 F60:G60">
    <cfRule type="cellIs" dxfId="5" priority="21" stopIfTrue="1" operator="lessThan">
      <formula>$C$31</formula>
    </cfRule>
  </conditionalFormatting>
  <dataValidations count="7">
    <dataValidation type="list" allowBlank="1" showInputMessage="1" showErrorMessage="1" sqref="I710">
      <formula1>$R$816:$T$816</formula1>
    </dataValidation>
    <dataValidation type="list" allowBlank="1" showInputMessage="1" showErrorMessage="1" sqref="H550:AC550 E536 AE550:BA550 BC550:BK550 C464:D464">
      <formula1>$C$810:$C$810</formula1>
    </dataValidation>
    <dataValidation type="list" allowBlank="1" showInputMessage="1" showErrorMessage="1" sqref="AE551:BA551 BM551:BU551 J551:AC551 BC551:BK551">
      <formula1>#REF!</formula1>
    </dataValidation>
    <dataValidation type="list" allowBlank="1" showInputMessage="1" showErrorMessage="1" sqref="BM550:BU550">
      <formula1>#REF!</formula1>
    </dataValidation>
    <dataValidation type="list" allowBlank="1" showInputMessage="1" showErrorMessage="1" sqref="K476:AC476 BM476:BU476 BC476:BK476 AE476:BA476 C322:D322">
      <formula1>$R$816:$S$816</formula1>
    </dataValidation>
    <dataValidation type="list" allowBlank="1" showInputMessage="1" showErrorMessage="1" sqref="C181:D182 H36:I36">
      <formula1>$C$815:$C$818</formula1>
    </dataValidation>
    <dataValidation type="list" allowBlank="1" showInputMessage="1" showErrorMessage="1" sqref="C36:C37">
      <formula1>$C$814:$D$814</formula1>
    </dataValidation>
  </dataValidations>
  <pageMargins left="0.75" right="0.75" top="1" bottom="1" header="0.51200000000000001" footer="0.51200000000000001"/>
  <pageSetup paperSize="9" scale="42" orientation="portrait" r:id="rId1"/>
  <headerFooter alignWithMargins="0">
    <oddHeader>&amp;LTI Information - Selective Disclosure</oddHeader>
    <oddFooter>&amp;LTI Information - Selective Disclosure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28673" r:id="rId4">
          <objectPr defaultSize="0" autoPict="0" r:id="rId5">
            <anchor moveWithCells="1">
              <from>
                <xdr:col>93</xdr:col>
                <xdr:colOff>122830</xdr:colOff>
                <xdr:row>185</xdr:row>
                <xdr:rowOff>0</xdr:rowOff>
              </from>
              <to>
                <xdr:col>97</xdr:col>
                <xdr:colOff>607325</xdr:colOff>
                <xdr:row>1511</xdr:row>
                <xdr:rowOff>6824</xdr:rowOff>
              </to>
            </anchor>
          </objectPr>
        </oleObject>
      </mc:Choice>
      <mc:Fallback>
        <oleObject progId="Equation.3" shapeId="28673" r:id="rId4"/>
      </mc:Fallback>
    </mc:AlternateContent>
    <mc:AlternateContent xmlns:mc="http://schemas.openxmlformats.org/markup-compatibility/2006">
      <mc:Choice Requires="x14">
        <oleObject progId="Equation.3" shapeId="28674" r:id="rId6">
          <objectPr defaultSize="0" autoPict="0" r:id="rId7">
            <anchor moveWithCells="1" sizeWithCells="1">
              <from>
                <xdr:col>27</xdr:col>
                <xdr:colOff>375313</xdr:colOff>
                <xdr:row>185</xdr:row>
                <xdr:rowOff>0</xdr:rowOff>
              </from>
              <to>
                <xdr:col>34</xdr:col>
                <xdr:colOff>566382</xdr:colOff>
                <xdr:row>185</xdr:row>
                <xdr:rowOff>0</xdr:rowOff>
              </to>
            </anchor>
          </objectPr>
        </oleObject>
      </mc:Choice>
      <mc:Fallback>
        <oleObject progId="Equation.3" shapeId="28674" r:id="rId6"/>
      </mc:Fallback>
    </mc:AlternateContent>
    <mc:AlternateContent xmlns:mc="http://schemas.openxmlformats.org/markup-compatibility/2006">
      <mc:Choice Requires="x14">
        <oleObject progId="Equation.3" shapeId="28675" r:id="rId8">
          <objectPr defaultSize="0" autoPict="0" r:id="rId9">
            <anchor moveWithCells="1" sizeWithCells="1">
              <from>
                <xdr:col>27</xdr:col>
                <xdr:colOff>409433</xdr:colOff>
                <xdr:row>185</xdr:row>
                <xdr:rowOff>0</xdr:rowOff>
              </from>
              <to>
                <xdr:col>36</xdr:col>
                <xdr:colOff>464024</xdr:colOff>
                <xdr:row>185</xdr:row>
                <xdr:rowOff>0</xdr:rowOff>
              </to>
            </anchor>
          </objectPr>
        </oleObject>
      </mc:Choice>
      <mc:Fallback>
        <oleObject progId="Equation.3" shapeId="28675" r:id="rId8"/>
      </mc:Fallback>
    </mc:AlternateContent>
    <mc:AlternateContent xmlns:mc="http://schemas.openxmlformats.org/markup-compatibility/2006">
      <mc:Choice Requires="x14">
        <oleObject progId="Equation.3" shapeId="28676" r:id="rId10">
          <objectPr defaultSize="0" autoPict="0" r:id="rId11">
            <anchor moveWithCells="1" sizeWithCells="1">
              <from>
                <xdr:col>27</xdr:col>
                <xdr:colOff>327546</xdr:colOff>
                <xdr:row>185</xdr:row>
                <xdr:rowOff>0</xdr:rowOff>
              </from>
              <to>
                <xdr:col>36</xdr:col>
                <xdr:colOff>382137</xdr:colOff>
                <xdr:row>185</xdr:row>
                <xdr:rowOff>0</xdr:rowOff>
              </to>
            </anchor>
          </objectPr>
        </oleObject>
      </mc:Choice>
      <mc:Fallback>
        <oleObject progId="Equation.3" shapeId="28676" r:id="rId10"/>
      </mc:Fallback>
    </mc:AlternateContent>
    <mc:AlternateContent xmlns:mc="http://schemas.openxmlformats.org/markup-compatibility/2006">
      <mc:Choice Requires="x14">
        <oleObject progId="Equation.3" shapeId="28677" r:id="rId12">
          <objectPr defaultSize="0" autoPict="0" r:id="rId13">
            <anchor moveWithCells="1" sizeWithCells="1">
              <from>
                <xdr:col>27</xdr:col>
                <xdr:colOff>354842</xdr:colOff>
                <xdr:row>185</xdr:row>
                <xdr:rowOff>0</xdr:rowOff>
              </from>
              <to>
                <xdr:col>39</xdr:col>
                <xdr:colOff>197893</xdr:colOff>
                <xdr:row>185</xdr:row>
                <xdr:rowOff>0</xdr:rowOff>
              </to>
            </anchor>
          </objectPr>
        </oleObject>
      </mc:Choice>
      <mc:Fallback>
        <oleObject progId="Equation.3" shapeId="28677" r:id="rId12"/>
      </mc:Fallback>
    </mc:AlternateContent>
    <mc:AlternateContent xmlns:mc="http://schemas.openxmlformats.org/markup-compatibility/2006">
      <mc:Choice Requires="x14">
        <oleObject progId="Equation.3" shapeId="28678" r:id="rId14">
          <objectPr defaultSize="0" autoPict="0" r:id="rId15">
            <anchor moveWithCells="1" sizeWithCells="1">
              <from>
                <xdr:col>27</xdr:col>
                <xdr:colOff>388961</xdr:colOff>
                <xdr:row>185</xdr:row>
                <xdr:rowOff>0</xdr:rowOff>
              </from>
              <to>
                <xdr:col>35</xdr:col>
                <xdr:colOff>252484</xdr:colOff>
                <xdr:row>185</xdr:row>
                <xdr:rowOff>0</xdr:rowOff>
              </to>
            </anchor>
          </objectPr>
        </oleObject>
      </mc:Choice>
      <mc:Fallback>
        <oleObject progId="Equation.3" shapeId="28678" r:id="rId14"/>
      </mc:Fallback>
    </mc:AlternateContent>
    <mc:AlternateContent xmlns:mc="http://schemas.openxmlformats.org/markup-compatibility/2006">
      <mc:Choice Requires="x14">
        <oleObject progId="Equation.3" shapeId="28679" r:id="rId16">
          <objectPr defaultSize="0" autoPict="0" r:id="rId17">
            <anchor moveWithCells="1" sizeWithCells="1">
              <from>
                <xdr:col>27</xdr:col>
                <xdr:colOff>409433</xdr:colOff>
                <xdr:row>185</xdr:row>
                <xdr:rowOff>0</xdr:rowOff>
              </from>
              <to>
                <xdr:col>35</xdr:col>
                <xdr:colOff>68239</xdr:colOff>
                <xdr:row>185</xdr:row>
                <xdr:rowOff>0</xdr:rowOff>
              </to>
            </anchor>
          </objectPr>
        </oleObject>
      </mc:Choice>
      <mc:Fallback>
        <oleObject progId="Equation.3" shapeId="28679" r:id="rId16"/>
      </mc:Fallback>
    </mc:AlternateContent>
    <mc:AlternateContent xmlns:mc="http://schemas.openxmlformats.org/markup-compatibility/2006">
      <mc:Choice Requires="x14">
        <oleObject progId="Equation.3" shapeId="28680" r:id="rId18">
          <objectPr defaultSize="0" autoPict="0" r:id="rId19">
            <anchor moveWithCells="1" sizeWithCells="1">
              <from>
                <xdr:col>27</xdr:col>
                <xdr:colOff>293427</xdr:colOff>
                <xdr:row>185</xdr:row>
                <xdr:rowOff>0</xdr:rowOff>
              </from>
              <to>
                <xdr:col>37</xdr:col>
                <xdr:colOff>184245</xdr:colOff>
                <xdr:row>185</xdr:row>
                <xdr:rowOff>0</xdr:rowOff>
              </to>
            </anchor>
          </objectPr>
        </oleObject>
      </mc:Choice>
      <mc:Fallback>
        <oleObject progId="Equation.3" shapeId="28680" r:id="rId18"/>
      </mc:Fallback>
    </mc:AlternateContent>
    <mc:AlternateContent xmlns:mc="http://schemas.openxmlformats.org/markup-compatibility/2006">
      <mc:Choice Requires="x14">
        <oleObject progId="Equation.3" shapeId="28681" r:id="rId20">
          <objectPr defaultSize="0" autoPict="0" r:id="rId21">
            <anchor moveWithCells="1" sizeWithCells="1">
              <from>
                <xdr:col>27</xdr:col>
                <xdr:colOff>279779</xdr:colOff>
                <xdr:row>185</xdr:row>
                <xdr:rowOff>0</xdr:rowOff>
              </from>
              <to>
                <xdr:col>37</xdr:col>
                <xdr:colOff>177421</xdr:colOff>
                <xdr:row>185</xdr:row>
                <xdr:rowOff>0</xdr:rowOff>
              </to>
            </anchor>
          </objectPr>
        </oleObject>
      </mc:Choice>
      <mc:Fallback>
        <oleObject progId="Equation.3" shapeId="28681" r:id="rId20"/>
      </mc:Fallback>
    </mc:AlternateContent>
    <mc:AlternateContent xmlns:mc="http://schemas.openxmlformats.org/markup-compatibility/2006">
      <mc:Choice Requires="x14">
        <oleObject progId="Equation.3" shapeId="28682" r:id="rId22">
          <objectPr defaultSize="0" autoPict="0" r:id="rId23">
            <anchor moveWithCells="1" sizeWithCells="1">
              <from>
                <xdr:col>28</xdr:col>
                <xdr:colOff>818866</xdr:colOff>
                <xdr:row>185</xdr:row>
                <xdr:rowOff>0</xdr:rowOff>
              </from>
              <to>
                <xdr:col>38</xdr:col>
                <xdr:colOff>429904</xdr:colOff>
                <xdr:row>185</xdr:row>
                <xdr:rowOff>0</xdr:rowOff>
              </to>
            </anchor>
          </objectPr>
        </oleObject>
      </mc:Choice>
      <mc:Fallback>
        <oleObject progId="Equation.3" shapeId="28682" r:id="rId2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97"/>
  <sheetViews>
    <sheetView showGridLines="0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0" sqref="E10"/>
    </sheetView>
  </sheetViews>
  <sheetFormatPr defaultColWidth="9.08984375" defaultRowHeight="12.9"/>
  <cols>
    <col min="1" max="1" width="3.36328125" style="168" customWidth="1"/>
    <col min="2" max="2" width="10.6328125" style="225" customWidth="1"/>
    <col min="3" max="3" width="75.453125" style="212" customWidth="1"/>
    <col min="4" max="5" width="15.6328125" style="213" customWidth="1"/>
    <col min="6" max="6" width="41.36328125" style="209" customWidth="1"/>
    <col min="7" max="16384" width="9.08984375" style="168"/>
  </cols>
  <sheetData>
    <row r="1" spans="2:6" ht="15.6" thickBot="1">
      <c r="B1" s="224"/>
      <c r="C1" s="165" t="s">
        <v>728</v>
      </c>
      <c r="D1" s="166"/>
      <c r="E1" s="166"/>
      <c r="F1" s="167" t="s">
        <v>1015</v>
      </c>
    </row>
    <row r="2" spans="2:6">
      <c r="B2" s="169"/>
      <c r="C2" s="170"/>
      <c r="D2" s="171"/>
      <c r="E2" s="171"/>
      <c r="F2" s="172" t="s">
        <v>86</v>
      </c>
    </row>
    <row r="3" spans="2:6" ht="12.8" customHeight="1">
      <c r="B3" s="169"/>
      <c r="C3" s="1551"/>
      <c r="D3" s="173"/>
      <c r="E3" s="173"/>
      <c r="F3" s="174" t="s">
        <v>87</v>
      </c>
    </row>
    <row r="4" spans="2:6" ht="13.45" thickBot="1">
      <c r="B4" s="169"/>
      <c r="C4" s="1551"/>
      <c r="D4" s="173"/>
      <c r="E4" s="173"/>
      <c r="F4" s="175" t="s">
        <v>88</v>
      </c>
    </row>
    <row r="5" spans="2:6" ht="5.0999999999999996" customHeight="1" thickBot="1">
      <c r="B5" s="169"/>
      <c r="C5" s="176"/>
      <c r="D5" s="177"/>
      <c r="E5" s="177"/>
      <c r="F5" s="177"/>
    </row>
    <row r="6" spans="2:6" ht="24.2" thickBot="1">
      <c r="B6" s="226" t="s">
        <v>89</v>
      </c>
      <c r="C6" s="178" t="s">
        <v>90</v>
      </c>
      <c r="D6" s="179" t="s">
        <v>91</v>
      </c>
      <c r="E6" s="179" t="s">
        <v>92</v>
      </c>
      <c r="F6" s="180" t="s">
        <v>93</v>
      </c>
    </row>
    <row r="7" spans="2:6">
      <c r="B7" s="227"/>
      <c r="C7" s="181" t="s">
        <v>94</v>
      </c>
      <c r="D7" s="182"/>
      <c r="E7" s="183"/>
      <c r="F7" s="184"/>
    </row>
    <row r="8" spans="2:6" ht="23.65">
      <c r="B8" s="228" t="s">
        <v>95</v>
      </c>
      <c r="C8" s="185" t="s">
        <v>96</v>
      </c>
      <c r="D8" s="237"/>
      <c r="E8" s="216"/>
      <c r="F8" s="186"/>
    </row>
    <row r="9" spans="2:6" ht="23.65">
      <c r="B9" s="228" t="s">
        <v>97</v>
      </c>
      <c r="C9" s="185" t="s">
        <v>98</v>
      </c>
      <c r="D9" s="238"/>
      <c r="E9" s="216"/>
      <c r="F9" s="186"/>
    </row>
    <row r="10" spans="2:6">
      <c r="B10" s="1547" t="s">
        <v>134</v>
      </c>
      <c r="C10" s="185" t="s">
        <v>135</v>
      </c>
      <c r="D10" s="238"/>
      <c r="E10" s="217"/>
      <c r="F10" s="188"/>
    </row>
    <row r="11" spans="2:6" ht="23.65">
      <c r="B11" s="1548"/>
      <c r="C11" s="185" t="s">
        <v>99</v>
      </c>
      <c r="D11" s="238"/>
      <c r="E11" s="217"/>
      <c r="F11" s="189"/>
    </row>
    <row r="12" spans="2:6">
      <c r="B12" s="1549"/>
      <c r="C12" s="185" t="s">
        <v>1221</v>
      </c>
      <c r="D12" s="238"/>
      <c r="E12" s="217"/>
      <c r="F12" s="189"/>
    </row>
    <row r="13" spans="2:6" s="190" customFormat="1">
      <c r="B13" s="1547" t="s">
        <v>100</v>
      </c>
      <c r="C13" s="185" t="s">
        <v>101</v>
      </c>
      <c r="D13" s="215"/>
      <c r="E13" s="238"/>
      <c r="F13" s="188"/>
    </row>
    <row r="14" spans="2:6" s="190" customFormat="1">
      <c r="B14" s="1549"/>
      <c r="C14" s="185" t="s">
        <v>102</v>
      </c>
      <c r="D14" s="238"/>
      <c r="E14" s="216"/>
      <c r="F14" s="188"/>
    </row>
    <row r="15" spans="2:6" ht="24.05" customHeight="1">
      <c r="B15" s="1547" t="s">
        <v>103</v>
      </c>
      <c r="C15" s="185" t="s">
        <v>104</v>
      </c>
      <c r="D15" s="238"/>
      <c r="E15" s="216"/>
      <c r="F15" s="186"/>
    </row>
    <row r="16" spans="2:6" s="190" customFormat="1">
      <c r="B16" s="1549"/>
      <c r="C16" s="185" t="s">
        <v>105</v>
      </c>
      <c r="D16" s="238"/>
      <c r="E16" s="216"/>
      <c r="F16" s="186"/>
    </row>
    <row r="17" spans="2:6">
      <c r="B17" s="229" t="s">
        <v>83</v>
      </c>
      <c r="C17" s="185" t="s">
        <v>84</v>
      </c>
      <c r="D17" s="237"/>
      <c r="E17" s="216"/>
      <c r="F17" s="191"/>
    </row>
    <row r="18" spans="2:6" ht="23.65">
      <c r="B18" s="228" t="s">
        <v>95</v>
      </c>
      <c r="C18" s="185" t="s">
        <v>96</v>
      </c>
      <c r="D18" s="237"/>
      <c r="E18" s="216"/>
      <c r="F18" s="191"/>
    </row>
    <row r="19" spans="2:6" ht="23.65">
      <c r="B19" s="230" t="s">
        <v>106</v>
      </c>
      <c r="C19" s="185" t="s">
        <v>98</v>
      </c>
      <c r="D19" s="237"/>
      <c r="E19" s="218"/>
      <c r="F19" s="186"/>
    </row>
    <row r="20" spans="2:6">
      <c r="B20" s="1547" t="s">
        <v>1222</v>
      </c>
      <c r="C20" s="185" t="s">
        <v>135</v>
      </c>
      <c r="D20" s="239"/>
      <c r="E20" s="217"/>
      <c r="F20" s="188"/>
    </row>
    <row r="21" spans="2:6" ht="23.65">
      <c r="B21" s="1548"/>
      <c r="C21" s="185" t="s">
        <v>99</v>
      </c>
      <c r="D21" s="238"/>
      <c r="E21" s="217"/>
      <c r="F21" s="188"/>
    </row>
    <row r="22" spans="2:6">
      <c r="B22" s="1549"/>
      <c r="C22" s="185" t="s">
        <v>1223</v>
      </c>
      <c r="D22" s="238"/>
      <c r="E22" s="217"/>
      <c r="F22" s="188"/>
    </row>
    <row r="23" spans="2:6" s="190" customFormat="1">
      <c r="B23" s="1547" t="s">
        <v>107</v>
      </c>
      <c r="C23" s="185" t="s">
        <v>101</v>
      </c>
      <c r="D23" s="215"/>
      <c r="E23" s="240"/>
      <c r="F23" s="188"/>
    </row>
    <row r="24" spans="2:6" s="190" customFormat="1">
      <c r="B24" s="1549"/>
      <c r="C24" s="185" t="s">
        <v>102</v>
      </c>
      <c r="D24" s="237"/>
      <c r="E24" s="218"/>
      <c r="F24" s="186"/>
    </row>
    <row r="25" spans="2:6" ht="24.05" customHeight="1">
      <c r="B25" s="1547" t="s">
        <v>108</v>
      </c>
      <c r="C25" s="185" t="s">
        <v>104</v>
      </c>
      <c r="D25" s="238"/>
      <c r="E25" s="218"/>
      <c r="F25" s="186"/>
    </row>
    <row r="26" spans="2:6" s="190" customFormat="1">
      <c r="B26" s="1549"/>
      <c r="C26" s="185" t="s">
        <v>105</v>
      </c>
      <c r="D26" s="237"/>
      <c r="E26" s="218"/>
      <c r="F26" s="186"/>
    </row>
    <row r="27" spans="2:6" ht="13.45">
      <c r="B27" s="231"/>
      <c r="C27" s="192" t="s">
        <v>109</v>
      </c>
      <c r="D27" s="193"/>
      <c r="E27" s="194"/>
      <c r="F27" s="195"/>
    </row>
    <row r="28" spans="2:6">
      <c r="B28" s="1547" t="s">
        <v>137</v>
      </c>
      <c r="C28" s="214" t="s">
        <v>136</v>
      </c>
      <c r="D28" s="219"/>
      <c r="E28" s="240"/>
      <c r="F28" s="189"/>
    </row>
    <row r="29" spans="2:6" ht="35.5">
      <c r="B29" s="1548"/>
      <c r="C29" s="214" t="s">
        <v>1216</v>
      </c>
      <c r="D29" s="215"/>
      <c r="E29" s="220"/>
      <c r="F29" s="189"/>
    </row>
    <row r="30" spans="2:6">
      <c r="B30" s="1548"/>
      <c r="C30" s="214" t="s">
        <v>1225</v>
      </c>
      <c r="D30" s="237"/>
      <c r="E30" s="220"/>
      <c r="F30" s="189"/>
    </row>
    <row r="31" spans="2:6">
      <c r="B31" s="1549"/>
      <c r="C31" s="214" t="s">
        <v>1226</v>
      </c>
      <c r="D31" s="237"/>
      <c r="E31" s="220"/>
      <c r="F31" s="189"/>
    </row>
    <row r="32" spans="2:6">
      <c r="B32" s="1547" t="s">
        <v>138</v>
      </c>
      <c r="C32" s="185" t="s">
        <v>139</v>
      </c>
      <c r="D32" s="215"/>
      <c r="E32" s="240"/>
      <c r="F32" s="191"/>
    </row>
    <row r="33" spans="2:6">
      <c r="B33" s="1548"/>
      <c r="C33" s="185" t="s">
        <v>142</v>
      </c>
      <c r="D33" s="216"/>
      <c r="E33" s="240"/>
      <c r="F33" s="191"/>
    </row>
    <row r="34" spans="2:6" ht="23.65">
      <c r="B34" s="1549"/>
      <c r="C34" s="185" t="s">
        <v>143</v>
      </c>
      <c r="D34" s="216"/>
      <c r="E34" s="240"/>
      <c r="F34" s="191"/>
    </row>
    <row r="35" spans="2:6">
      <c r="B35" s="1547" t="s">
        <v>110</v>
      </c>
      <c r="C35" s="214" t="s">
        <v>136</v>
      </c>
      <c r="D35" s="219"/>
      <c r="E35" s="240"/>
      <c r="F35" s="189"/>
    </row>
    <row r="36" spans="2:6" ht="35.5">
      <c r="B36" s="1548"/>
      <c r="C36" s="214" t="s">
        <v>1216</v>
      </c>
      <c r="D36" s="215"/>
      <c r="E36" s="220"/>
      <c r="F36" s="189"/>
    </row>
    <row r="37" spans="2:6">
      <c r="B37" s="1548"/>
      <c r="C37" s="214" t="s">
        <v>1225</v>
      </c>
      <c r="D37" s="237"/>
      <c r="E37" s="220"/>
      <c r="F37" s="189"/>
    </row>
    <row r="38" spans="2:6">
      <c r="B38" s="1549"/>
      <c r="C38" s="214" t="s">
        <v>1227</v>
      </c>
      <c r="D38" s="237"/>
      <c r="E38" s="220"/>
      <c r="F38" s="189"/>
    </row>
    <row r="39" spans="2:6">
      <c r="B39" s="1547" t="s">
        <v>85</v>
      </c>
      <c r="C39" s="185" t="s">
        <v>139</v>
      </c>
      <c r="D39" s="215"/>
      <c r="E39" s="240"/>
      <c r="F39" s="191"/>
    </row>
    <row r="40" spans="2:6">
      <c r="B40" s="1548"/>
      <c r="C40" s="185" t="s">
        <v>142</v>
      </c>
      <c r="D40" s="216"/>
      <c r="E40" s="240"/>
      <c r="F40" s="191"/>
    </row>
    <row r="41" spans="2:6" ht="23.65">
      <c r="B41" s="1549"/>
      <c r="C41" s="185" t="s">
        <v>143</v>
      </c>
      <c r="D41" s="216"/>
      <c r="E41" s="240"/>
      <c r="F41" s="191"/>
    </row>
    <row r="42" spans="2:6">
      <c r="B42" s="229"/>
      <c r="C42" s="181" t="s">
        <v>111</v>
      </c>
      <c r="D42" s="183"/>
      <c r="E42" s="183"/>
      <c r="F42" s="184"/>
    </row>
    <row r="43" spans="2:6">
      <c r="B43" s="1547" t="s">
        <v>144</v>
      </c>
      <c r="C43" s="185" t="s">
        <v>145</v>
      </c>
      <c r="D43" s="215"/>
      <c r="E43" s="240"/>
      <c r="F43" s="188"/>
    </row>
    <row r="44" spans="2:6">
      <c r="B44" s="1549"/>
      <c r="C44" s="185" t="s">
        <v>112</v>
      </c>
      <c r="D44" s="215"/>
      <c r="E44" s="220"/>
      <c r="F44" s="188"/>
    </row>
    <row r="45" spans="2:6">
      <c r="B45" s="1547" t="s">
        <v>146</v>
      </c>
      <c r="C45" s="185" t="s">
        <v>148</v>
      </c>
      <c r="D45" s="215"/>
      <c r="E45" s="238"/>
      <c r="F45" s="188"/>
    </row>
    <row r="46" spans="2:6">
      <c r="B46" s="1549"/>
      <c r="C46" s="185" t="s">
        <v>112</v>
      </c>
      <c r="D46" s="215"/>
      <c r="E46" s="220"/>
      <c r="F46" s="188"/>
    </row>
    <row r="47" spans="2:6">
      <c r="B47" s="1547" t="s">
        <v>147</v>
      </c>
      <c r="C47" s="185" t="s">
        <v>113</v>
      </c>
      <c r="D47" s="215"/>
      <c r="E47" s="238"/>
      <c r="F47" s="188"/>
    </row>
    <row r="48" spans="2:6" ht="23.65">
      <c r="B48" s="1549"/>
      <c r="C48" s="185" t="s">
        <v>114</v>
      </c>
      <c r="D48" s="215"/>
      <c r="E48" s="216"/>
      <c r="F48" s="196"/>
    </row>
    <row r="49" spans="2:6" s="197" customFormat="1">
      <c r="B49" s="232"/>
      <c r="C49" s="181" t="s">
        <v>115</v>
      </c>
      <c r="D49" s="182"/>
      <c r="E49" s="183"/>
      <c r="F49" s="198"/>
    </row>
    <row r="50" spans="2:6">
      <c r="B50" s="228" t="s">
        <v>150</v>
      </c>
      <c r="C50" s="185" t="s">
        <v>151</v>
      </c>
      <c r="D50" s="187"/>
      <c r="E50" s="239"/>
      <c r="F50" s="191"/>
    </row>
    <row r="51" spans="2:6" ht="12.8" customHeight="1">
      <c r="B51" s="228" t="s">
        <v>149</v>
      </c>
      <c r="C51" s="185" t="s">
        <v>116</v>
      </c>
      <c r="D51" s="187"/>
      <c r="E51" s="239"/>
      <c r="F51" s="188"/>
    </row>
    <row r="52" spans="2:6">
      <c r="B52" s="230"/>
      <c r="C52" s="181" t="s">
        <v>117</v>
      </c>
      <c r="D52" s="182"/>
      <c r="E52" s="183"/>
      <c r="F52" s="184"/>
    </row>
    <row r="53" spans="2:6">
      <c r="B53" s="1547" t="s">
        <v>612</v>
      </c>
      <c r="C53" s="185" t="s">
        <v>610</v>
      </c>
      <c r="D53" s="215"/>
      <c r="E53" s="240"/>
      <c r="F53" s="188"/>
    </row>
    <row r="54" spans="2:6">
      <c r="B54" s="1549"/>
      <c r="C54" s="185" t="s">
        <v>611</v>
      </c>
      <c r="D54" s="215"/>
      <c r="E54" s="240"/>
      <c r="F54" s="188"/>
    </row>
    <row r="55" spans="2:6">
      <c r="B55" s="1547" t="s">
        <v>119</v>
      </c>
      <c r="C55" s="185" t="s">
        <v>152</v>
      </c>
      <c r="D55" s="221"/>
      <c r="E55" s="240"/>
      <c r="F55" s="186"/>
    </row>
    <row r="56" spans="2:6">
      <c r="B56" s="1549"/>
      <c r="C56" s="185" t="s">
        <v>153</v>
      </c>
      <c r="D56" s="221"/>
      <c r="E56" s="240"/>
      <c r="F56" s="186"/>
    </row>
    <row r="57" spans="2:6">
      <c r="B57" s="1547" t="s">
        <v>118</v>
      </c>
      <c r="C57" s="185" t="s">
        <v>152</v>
      </c>
      <c r="D57" s="221"/>
      <c r="E57" s="240"/>
      <c r="F57" s="186"/>
    </row>
    <row r="58" spans="2:6">
      <c r="B58" s="1548"/>
      <c r="C58" s="185" t="s">
        <v>153</v>
      </c>
      <c r="D58" s="221"/>
      <c r="E58" s="240"/>
      <c r="F58" s="186"/>
    </row>
    <row r="59" spans="2:6">
      <c r="B59" s="230" t="s">
        <v>120</v>
      </c>
      <c r="C59" s="185" t="s">
        <v>1224</v>
      </c>
      <c r="D59" s="215"/>
      <c r="E59" s="238"/>
      <c r="F59" s="191"/>
    </row>
    <row r="60" spans="2:6">
      <c r="B60" s="230" t="s">
        <v>121</v>
      </c>
      <c r="C60" s="185" t="s">
        <v>1224</v>
      </c>
      <c r="D60" s="215"/>
      <c r="E60" s="240"/>
      <c r="F60" s="191"/>
    </row>
    <row r="61" spans="2:6" s="190" customFormat="1">
      <c r="B61" s="230"/>
      <c r="C61" s="181" t="s">
        <v>122</v>
      </c>
      <c r="D61" s="199"/>
      <c r="E61" s="183"/>
      <c r="F61" s="200"/>
    </row>
    <row r="62" spans="2:6">
      <c r="B62" s="1547" t="s">
        <v>1228</v>
      </c>
      <c r="C62" s="214" t="s">
        <v>1229</v>
      </c>
      <c r="D62" s="215"/>
      <c r="E62" s="240"/>
      <c r="F62" s="186"/>
    </row>
    <row r="63" spans="2:6">
      <c r="B63" s="1548"/>
      <c r="C63" s="214" t="s">
        <v>1230</v>
      </c>
      <c r="D63" s="238"/>
      <c r="E63" s="187"/>
      <c r="F63" s="186"/>
    </row>
    <row r="64" spans="2:6">
      <c r="B64" s="1549"/>
      <c r="C64" s="214" t="s">
        <v>1217</v>
      </c>
      <c r="D64" s="238"/>
      <c r="E64" s="216"/>
      <c r="F64" s="191"/>
    </row>
    <row r="65" spans="2:6" ht="23.65">
      <c r="B65" s="1547" t="s">
        <v>1234</v>
      </c>
      <c r="C65" s="214" t="s">
        <v>1232</v>
      </c>
      <c r="D65" s="238"/>
      <c r="E65" s="187"/>
      <c r="F65" s="191"/>
    </row>
    <row r="66" spans="2:6">
      <c r="B66" s="1549"/>
      <c r="C66" s="214" t="s">
        <v>1218</v>
      </c>
      <c r="D66" s="240"/>
      <c r="E66" s="216"/>
      <c r="F66" s="186"/>
    </row>
    <row r="67" spans="2:6">
      <c r="B67" s="1547" t="s">
        <v>1233</v>
      </c>
      <c r="C67" s="214" t="s">
        <v>1229</v>
      </c>
      <c r="D67" s="215"/>
      <c r="E67" s="240"/>
      <c r="F67" s="186"/>
    </row>
    <row r="68" spans="2:6">
      <c r="B68" s="1548"/>
      <c r="C68" s="214" t="s">
        <v>1235</v>
      </c>
      <c r="D68" s="240"/>
      <c r="E68" s="187"/>
      <c r="F68" s="186"/>
    </row>
    <row r="69" spans="2:6">
      <c r="B69" s="1549"/>
      <c r="C69" s="214" t="s">
        <v>1219</v>
      </c>
      <c r="D69" s="238"/>
      <c r="E69" s="216"/>
      <c r="F69" s="191"/>
    </row>
    <row r="70" spans="2:6">
      <c r="B70" s="1547" t="s">
        <v>1231</v>
      </c>
      <c r="C70" s="214" t="s">
        <v>1236</v>
      </c>
      <c r="D70" s="187"/>
      <c r="E70" s="187"/>
      <c r="F70" s="191"/>
    </row>
    <row r="71" spans="2:6">
      <c r="B71" s="1549"/>
      <c r="C71" s="214" t="s">
        <v>1220</v>
      </c>
      <c r="D71" s="240"/>
      <c r="E71" s="216"/>
      <c r="F71" s="186"/>
    </row>
    <row r="72" spans="2:6">
      <c r="B72" s="1547" t="s">
        <v>1194</v>
      </c>
      <c r="C72" s="185" t="s">
        <v>1195</v>
      </c>
      <c r="D72" s="215"/>
      <c r="E72" s="187"/>
      <c r="F72" s="186"/>
    </row>
    <row r="73" spans="2:6">
      <c r="B73" s="1549"/>
      <c r="C73" s="185" t="s">
        <v>1196</v>
      </c>
      <c r="D73" s="238"/>
      <c r="E73" s="216"/>
      <c r="F73" s="191"/>
    </row>
    <row r="74" spans="2:6">
      <c r="B74" s="1547" t="s">
        <v>1197</v>
      </c>
      <c r="C74" s="185" t="s">
        <v>1198</v>
      </c>
      <c r="D74" s="222"/>
      <c r="E74" s="241"/>
      <c r="F74" s="188"/>
    </row>
    <row r="75" spans="2:6">
      <c r="B75" s="1548"/>
      <c r="C75" s="185" t="s">
        <v>123</v>
      </c>
      <c r="D75" s="222"/>
      <c r="E75" s="241"/>
      <c r="F75" s="188"/>
    </row>
    <row r="76" spans="2:6">
      <c r="B76" s="1548"/>
      <c r="C76" s="185" t="s">
        <v>1199</v>
      </c>
      <c r="D76" s="222"/>
      <c r="E76" s="241"/>
      <c r="F76" s="188"/>
    </row>
    <row r="77" spans="2:6">
      <c r="B77" s="1549"/>
      <c r="C77" s="185" t="s">
        <v>1200</v>
      </c>
      <c r="D77" s="222"/>
      <c r="E77" s="241"/>
      <c r="F77" s="188"/>
    </row>
    <row r="78" spans="2:6">
      <c r="B78" s="1547" t="s">
        <v>1201</v>
      </c>
      <c r="C78" s="185" t="s">
        <v>1198</v>
      </c>
      <c r="D78" s="222"/>
      <c r="E78" s="241"/>
      <c r="F78" s="188"/>
    </row>
    <row r="79" spans="2:6">
      <c r="B79" s="1548"/>
      <c r="C79" s="185" t="s">
        <v>123</v>
      </c>
      <c r="D79" s="222"/>
      <c r="E79" s="241"/>
      <c r="F79" s="188"/>
    </row>
    <row r="80" spans="2:6">
      <c r="B80" s="1548"/>
      <c r="C80" s="185" t="s">
        <v>1199</v>
      </c>
      <c r="D80" s="222"/>
      <c r="E80" s="241"/>
      <c r="F80" s="188"/>
    </row>
    <row r="81" spans="2:6">
      <c r="B81" s="1548"/>
      <c r="C81" s="185" t="s">
        <v>1200</v>
      </c>
      <c r="D81" s="222"/>
      <c r="E81" s="241"/>
      <c r="F81" s="188"/>
    </row>
    <row r="82" spans="2:6">
      <c r="B82" s="1547" t="s">
        <v>1202</v>
      </c>
      <c r="C82" s="214" t="s">
        <v>1204</v>
      </c>
      <c r="D82" s="222"/>
      <c r="E82" s="241"/>
      <c r="F82" s="191"/>
    </row>
    <row r="83" spans="2:6">
      <c r="B83" s="1548"/>
      <c r="C83" s="214" t="s">
        <v>1203</v>
      </c>
      <c r="D83" s="215"/>
      <c r="E83" s="237"/>
      <c r="F83" s="191"/>
    </row>
    <row r="84" spans="2:6">
      <c r="B84" s="1548"/>
      <c r="C84" s="214" t="s">
        <v>1205</v>
      </c>
      <c r="D84" s="215"/>
      <c r="E84" s="237"/>
      <c r="F84" s="191"/>
    </row>
    <row r="85" spans="2:6">
      <c r="B85" s="1549"/>
      <c r="C85" s="214" t="s">
        <v>1206</v>
      </c>
      <c r="D85" s="187"/>
      <c r="E85" s="239"/>
      <c r="F85" s="191"/>
    </row>
    <row r="86" spans="2:6">
      <c r="B86" s="1547" t="s">
        <v>1207</v>
      </c>
      <c r="C86" s="214" t="s">
        <v>1208</v>
      </c>
      <c r="D86" s="187"/>
      <c r="E86" s="240"/>
      <c r="F86" s="186"/>
    </row>
    <row r="87" spans="2:6">
      <c r="B87" s="1548"/>
      <c r="C87" s="214" t="s">
        <v>1211</v>
      </c>
      <c r="D87" s="215"/>
      <c r="E87" s="240"/>
      <c r="F87" s="188"/>
    </row>
    <row r="88" spans="2:6">
      <c r="B88" s="1548"/>
      <c r="C88" s="214" t="s">
        <v>1210</v>
      </c>
      <c r="D88" s="201"/>
      <c r="E88" s="240"/>
      <c r="F88" s="202"/>
    </row>
    <row r="89" spans="2:6">
      <c r="B89" s="1549"/>
      <c r="C89" s="214" t="s">
        <v>1209</v>
      </c>
      <c r="D89" s="215"/>
      <c r="E89" s="240"/>
      <c r="F89" s="188"/>
    </row>
    <row r="90" spans="2:6">
      <c r="B90" s="1547" t="s">
        <v>124</v>
      </c>
      <c r="C90" s="203" t="s">
        <v>125</v>
      </c>
      <c r="D90" s="222"/>
      <c r="E90" s="223"/>
      <c r="F90" s="188"/>
    </row>
    <row r="91" spans="2:6">
      <c r="B91" s="1548"/>
      <c r="C91" s="185" t="s">
        <v>126</v>
      </c>
      <c r="D91" s="237"/>
      <c r="E91" s="223"/>
      <c r="F91" s="233"/>
    </row>
    <row r="92" spans="2:6" ht="13.45" thickBot="1">
      <c r="B92" s="1550"/>
      <c r="C92" s="234" t="s">
        <v>127</v>
      </c>
      <c r="D92" s="242"/>
      <c r="E92" s="235"/>
      <c r="F92" s="236"/>
    </row>
    <row r="93" spans="2:6">
      <c r="B93" s="169"/>
      <c r="C93" s="204" t="s">
        <v>128</v>
      </c>
      <c r="D93" s="205"/>
      <c r="E93" s="205"/>
      <c r="F93" s="206"/>
    </row>
    <row r="95" spans="2:6" ht="13.45">
      <c r="C95" s="207" t="s">
        <v>129</v>
      </c>
      <c r="D95" s="208" t="s">
        <v>130</v>
      </c>
      <c r="E95" s="208" t="s">
        <v>131</v>
      </c>
    </row>
    <row r="96" spans="2:6">
      <c r="C96" s="210" t="s">
        <v>132</v>
      </c>
      <c r="D96" s="208">
        <v>0.1</v>
      </c>
      <c r="E96" s="211">
        <f>D96/2.54*100</f>
        <v>3.9370078740157481</v>
      </c>
    </row>
    <row r="97" spans="3:5">
      <c r="C97" s="210" t="s">
        <v>133</v>
      </c>
      <c r="D97" s="211">
        <f>E97*2.54/100</f>
        <v>2.54</v>
      </c>
      <c r="E97" s="208">
        <v>100</v>
      </c>
    </row>
  </sheetData>
  <sheetProtection password="DFAD" sheet="1" objects="1" scenarios="1"/>
  <mergeCells count="27">
    <mergeCell ref="B45:B46"/>
    <mergeCell ref="B55:B56"/>
    <mergeCell ref="B57:B58"/>
    <mergeCell ref="C3:C4"/>
    <mergeCell ref="B28:B31"/>
    <mergeCell ref="B32:B34"/>
    <mergeCell ref="B35:B38"/>
    <mergeCell ref="B13:B14"/>
    <mergeCell ref="B15:B16"/>
    <mergeCell ref="B23:B24"/>
    <mergeCell ref="B25:B26"/>
    <mergeCell ref="B86:B89"/>
    <mergeCell ref="B90:B92"/>
    <mergeCell ref="B10:B12"/>
    <mergeCell ref="B20:B22"/>
    <mergeCell ref="B65:B66"/>
    <mergeCell ref="B67:B69"/>
    <mergeCell ref="B70:B71"/>
    <mergeCell ref="B72:B73"/>
    <mergeCell ref="B39:B41"/>
    <mergeCell ref="B47:B48"/>
    <mergeCell ref="B74:B77"/>
    <mergeCell ref="B78:B81"/>
    <mergeCell ref="B82:B85"/>
    <mergeCell ref="B43:B44"/>
    <mergeCell ref="B53:B54"/>
    <mergeCell ref="B62:B64"/>
  </mergeCells>
  <phoneticPr fontId="3"/>
  <conditionalFormatting sqref="C95:C97 D98:E65536 D93:E94 D91 D1:E27 D29:E34 D36:E89">
    <cfRule type="cellIs" dxfId="4" priority="1" stopIfTrue="1" operator="equal">
      <formula>"OK"</formula>
    </cfRule>
    <cfRule type="cellIs" dxfId="3" priority="2" stopIfTrue="1" operator="equal">
      <formula>"Please confirm"</formula>
    </cfRule>
  </conditionalFormatting>
  <conditionalFormatting sqref="D92 E91:E92 D90:E90 D28:E28 D35:E35">
    <cfRule type="cellIs" dxfId="2" priority="3" stopIfTrue="1" operator="equal">
      <formula>"OK"</formula>
    </cfRule>
    <cfRule type="cellIs" dxfId="1" priority="4" stopIfTrue="1" operator="equal">
      <formula>"Please confirm"</formula>
    </cfRule>
    <cfRule type="cellIs" dxfId="0" priority="5" stopIfTrue="1" operator="equal">
      <formula>"Please reconsider"</formula>
    </cfRule>
  </conditionalFormatting>
  <pageMargins left="0.78740157480314965" right="0.78740157480314965" top="0.78740157480314965" bottom="0.78740157480314965" header="0.51181102362204722" footer="0.51181102362204722"/>
  <pageSetup paperSize="9" scale="53" fitToHeight="0" orientation="portrait" r:id="rId1"/>
  <headerFooter alignWithMargins="0">
    <oddHeader>&amp;LTI Information - Selective Disclosure</oddHeader>
    <oddFooter>&amp;LTI Information - Selective Disclosure&amp;R&amp;P/&amp;N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2010-05</vt:lpstr>
      <vt:lpstr>Checklist</vt:lpstr>
      <vt:lpstr>'2010-05'!Print_Area</vt:lpstr>
      <vt:lpstr>Checklist!Print_Area</vt:lpstr>
      <vt:lpstr>Checklist!Print_Titles</vt:lpstr>
    </vt:vector>
  </TitlesOfParts>
  <Company>Texas Instruments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Yoshikazu Miura</dc:creator>
  <cp:lastModifiedBy>Zang, Edwin</cp:lastModifiedBy>
  <cp:lastPrinted>2010-04-12T02:08:58Z</cp:lastPrinted>
  <dcterms:created xsi:type="dcterms:W3CDTF">2008-05-27T04:14:06Z</dcterms:created>
  <dcterms:modified xsi:type="dcterms:W3CDTF">2018-12-11T06:42:26Z</dcterms:modified>
</cp:coreProperties>
</file>