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0" yWindow="-15" windowWidth="20190" windowHeight="8100" activeTab="1"/>
  </bookViews>
  <sheets>
    <sheet name="D-CAP" sheetId="14" r:id="rId1"/>
    <sheet name="D-CAP2" sheetId="10" r:id="rId2"/>
  </sheets>
  <definedNames>
    <definedName name="_xlnm.Print_Area" localSheetId="0">'D-CAP'!$A$1:$W$87</definedName>
    <definedName name="_xlnm.Print_Area" localSheetId="1">'D-CAP2'!$A$1:$W$85</definedName>
  </definedNames>
  <calcPr calcId="145621"/>
</workbook>
</file>

<file path=xl/calcChain.xml><?xml version="1.0" encoding="utf-8"?>
<calcChain xmlns="http://schemas.openxmlformats.org/spreadsheetml/2006/main">
  <c r="E38" i="10" l="1"/>
  <c r="F55" i="10" l="1"/>
  <c r="D55" i="10" s="1"/>
  <c r="E98" i="10" s="1"/>
  <c r="E102" i="10" s="1"/>
  <c r="F102" i="10" s="1"/>
  <c r="G102" i="10" s="1"/>
  <c r="G50" i="14"/>
  <c r="E92" i="10"/>
  <c r="E135" i="10" s="1"/>
  <c r="H38" i="10" s="1"/>
  <c r="E94" i="10"/>
  <c r="E91" i="10"/>
  <c r="E113" i="10" s="1"/>
  <c r="F113" i="10" s="1"/>
  <c r="G113" i="10" s="1"/>
  <c r="G89" i="10"/>
  <c r="F89" i="10"/>
  <c r="G226" i="10" s="1"/>
  <c r="E131" i="10"/>
  <c r="D57" i="14"/>
  <c r="E101" i="14" s="1"/>
  <c r="E100" i="14"/>
  <c r="U100" i="14" s="1"/>
  <c r="V100" i="14" s="1"/>
  <c r="W100" i="14" s="1"/>
  <c r="E108" i="14"/>
  <c r="U108" i="14" s="1"/>
  <c r="V108" i="14" s="1"/>
  <c r="W108" i="14" s="1"/>
  <c r="E102" i="14"/>
  <c r="U102" i="14" s="1"/>
  <c r="E104" i="14"/>
  <c r="U104" i="14" s="1"/>
  <c r="E93" i="14"/>
  <c r="U93" i="14" s="1"/>
  <c r="V93" i="14" s="1"/>
  <c r="W93" i="14" s="1"/>
  <c r="E92" i="14"/>
  <c r="U92" i="14" s="1"/>
  <c r="G91" i="14"/>
  <c r="W91" i="14" s="1"/>
  <c r="E96" i="14"/>
  <c r="U96" i="14" s="1"/>
  <c r="E97" i="14"/>
  <c r="U97" i="14" s="1"/>
  <c r="V97" i="14" s="1"/>
  <c r="W97" i="14" s="1"/>
  <c r="E94" i="14"/>
  <c r="E138" i="14" s="1"/>
  <c r="S166" i="14"/>
  <c r="U143" i="14" s="1"/>
  <c r="T166" i="14"/>
  <c r="U144" i="14" s="1"/>
  <c r="V144" i="14" s="1"/>
  <c r="W144" i="14" s="1"/>
  <c r="E158" i="14"/>
  <c r="E169" i="14" s="1"/>
  <c r="U166" i="14"/>
  <c r="U145" i="14" s="1"/>
  <c r="V145" i="14" s="1"/>
  <c r="W145" i="14" s="1"/>
  <c r="F91" i="14"/>
  <c r="V91" i="14" s="1"/>
  <c r="E91" i="14"/>
  <c r="U91" i="14" s="1"/>
  <c r="W166" i="14"/>
  <c r="U146" i="14" s="1"/>
  <c r="V146" i="14" s="1"/>
  <c r="W146" i="14" s="1"/>
  <c r="U159" i="14"/>
  <c r="E103" i="14"/>
  <c r="U103" i="14"/>
  <c r="E99" i="14"/>
  <c r="E139" i="14"/>
  <c r="C50" i="14" s="1"/>
  <c r="F96" i="14"/>
  <c r="G96" i="14" s="1"/>
  <c r="F97" i="14"/>
  <c r="G97" i="14" s="1"/>
  <c r="F94" i="14"/>
  <c r="G94" i="14" s="1"/>
  <c r="E143" i="14"/>
  <c r="F143" i="14" s="1"/>
  <c r="E144" i="14"/>
  <c r="F144" i="14" s="1"/>
  <c r="G144" i="14" s="1"/>
  <c r="E145" i="14"/>
  <c r="F145" i="14" s="1"/>
  <c r="G145" i="14" s="1"/>
  <c r="E146" i="14"/>
  <c r="F146" i="14" s="1"/>
  <c r="G146" i="14" s="1"/>
  <c r="E97" i="10"/>
  <c r="F97" i="10"/>
  <c r="G97" i="10" s="1"/>
  <c r="E105" i="10"/>
  <c r="F105" i="10" s="1"/>
  <c r="E99" i="10"/>
  <c r="E101" i="10"/>
  <c r="E90" i="10"/>
  <c r="F90" i="10"/>
  <c r="G90" i="10" s="1"/>
  <c r="F94" i="10"/>
  <c r="G94" i="10" s="1"/>
  <c r="E95" i="10"/>
  <c r="F95" i="10"/>
  <c r="G95" i="10" s="1"/>
  <c r="E142" i="10"/>
  <c r="F142" i="10" s="1"/>
  <c r="E143" i="10"/>
  <c r="F143" i="10" s="1"/>
  <c r="G143" i="10" s="1"/>
  <c r="E144" i="10"/>
  <c r="F144" i="10" s="1"/>
  <c r="G144" i="10" s="1"/>
  <c r="E161" i="10"/>
  <c r="E89" i="10"/>
  <c r="E145" i="10"/>
  <c r="F145" i="10" s="1"/>
  <c r="G145" i="10" s="1"/>
  <c r="E132" i="14"/>
  <c r="E134" i="14"/>
  <c r="F124" i="14"/>
  <c r="L92" i="14" s="1"/>
  <c r="L96" i="14" s="1"/>
  <c r="E127" i="14"/>
  <c r="F127" i="14" s="1"/>
  <c r="G127" i="14" s="1"/>
  <c r="K93" i="14"/>
  <c r="G124" i="14"/>
  <c r="M92" i="14" s="1"/>
  <c r="M96" i="14" s="1"/>
  <c r="K94" i="14"/>
  <c r="K104" i="14"/>
  <c r="K105" i="14"/>
  <c r="K97" i="14"/>
  <c r="K99" i="14"/>
  <c r="K109" i="14"/>
  <c r="K110" i="14"/>
  <c r="O93" i="14"/>
  <c r="F125" i="14"/>
  <c r="G125" i="14" s="1"/>
  <c r="G126" i="14" s="1"/>
  <c r="O94" i="14"/>
  <c r="O97" i="14"/>
  <c r="O99" i="14"/>
  <c r="O104" i="14"/>
  <c r="Q103" i="14"/>
  <c r="Q108" i="14" s="1"/>
  <c r="O105" i="14"/>
  <c r="O109" i="14"/>
  <c r="O110" i="14"/>
  <c r="E117" i="14"/>
  <c r="K121" i="14"/>
  <c r="L120" i="14"/>
  <c r="L124" i="14" s="1"/>
  <c r="K122" i="14"/>
  <c r="O121" i="14"/>
  <c r="Q120" i="14"/>
  <c r="Q124" i="14" s="1"/>
  <c r="O122" i="14"/>
  <c r="K125" i="14"/>
  <c r="K126" i="14"/>
  <c r="O125" i="14"/>
  <c r="O126" i="14"/>
  <c r="K131" i="14"/>
  <c r="M130" i="14"/>
  <c r="K132" i="14"/>
  <c r="O131" i="14"/>
  <c r="O132" i="14"/>
  <c r="K135" i="14"/>
  <c r="M134" i="14"/>
  <c r="K136" i="14"/>
  <c r="O135" i="14"/>
  <c r="O136" i="14"/>
  <c r="K115" i="14"/>
  <c r="M114" i="14"/>
  <c r="K116" i="14"/>
  <c r="F99" i="14"/>
  <c r="G99" i="14" s="1"/>
  <c r="F102" i="14"/>
  <c r="G102" i="14" s="1"/>
  <c r="F103" i="14"/>
  <c r="G103" i="14" s="1"/>
  <c r="P114" i="14"/>
  <c r="P116" i="14" s="1"/>
  <c r="O115" i="14"/>
  <c r="O116" i="14"/>
  <c r="E126" i="14"/>
  <c r="G218" i="14"/>
  <c r="G220" i="14"/>
  <c r="G225" i="14"/>
  <c r="G226" i="14"/>
  <c r="G228" i="14"/>
  <c r="G229" i="14"/>
  <c r="G230" i="14"/>
  <c r="G231" i="14"/>
  <c r="G233" i="14"/>
  <c r="G239" i="14"/>
  <c r="G240" i="14"/>
  <c r="G242" i="14"/>
  <c r="G243" i="14"/>
  <c r="G244" i="14"/>
  <c r="G245" i="14"/>
  <c r="G247" i="14"/>
  <c r="G248" i="14"/>
  <c r="G250" i="14"/>
  <c r="G251" i="14"/>
  <c r="G252" i="14"/>
  <c r="G253" i="14"/>
  <c r="G255" i="14"/>
  <c r="G256" i="14"/>
  <c r="G258" i="14"/>
  <c r="G259" i="14"/>
  <c r="G260" i="14"/>
  <c r="G261" i="14"/>
  <c r="G263" i="14"/>
  <c r="G264" i="14"/>
  <c r="G266" i="14"/>
  <c r="G267" i="14"/>
  <c r="G268" i="14"/>
  <c r="E114" i="10"/>
  <c r="E115" i="10" s="1"/>
  <c r="C66" i="10" s="1"/>
  <c r="O123" i="10"/>
  <c r="G121" i="10"/>
  <c r="Q117" i="10" s="1"/>
  <c r="Q121" i="10" s="1"/>
  <c r="E124" i="10"/>
  <c r="F124" i="10" s="1"/>
  <c r="G124" i="10" s="1"/>
  <c r="O122" i="10"/>
  <c r="O119" i="10"/>
  <c r="O118" i="10"/>
  <c r="F121" i="10"/>
  <c r="P117" i="10" s="1"/>
  <c r="K123" i="10"/>
  <c r="K122" i="10"/>
  <c r="K119" i="10"/>
  <c r="K118" i="10"/>
  <c r="O96" i="10"/>
  <c r="Q90" i="10"/>
  <c r="Q94" i="10" s="1"/>
  <c r="O95" i="10"/>
  <c r="O92" i="10"/>
  <c r="F122" i="10"/>
  <c r="G122" i="10" s="1"/>
  <c r="O91" i="10"/>
  <c r="K96" i="10"/>
  <c r="K95" i="10"/>
  <c r="K92" i="10"/>
  <c r="K91" i="10"/>
  <c r="E129" i="10"/>
  <c r="E96" i="10"/>
  <c r="E100" i="10"/>
  <c r="E104" i="10" s="1"/>
  <c r="K101" i="10"/>
  <c r="M100" i="10"/>
  <c r="M105" i="10" s="1"/>
  <c r="K102" i="10"/>
  <c r="K106" i="10"/>
  <c r="K107" i="10"/>
  <c r="O101" i="10"/>
  <c r="Q100" i="10"/>
  <c r="Q105" i="10" s="1"/>
  <c r="O102" i="10"/>
  <c r="O106" i="10"/>
  <c r="O107" i="10"/>
  <c r="K128" i="10"/>
  <c r="M127" i="10"/>
  <c r="M131" i="10" s="1"/>
  <c r="K129" i="10"/>
  <c r="K132" i="10"/>
  <c r="K133" i="10"/>
  <c r="O128" i="10"/>
  <c r="O129" i="10"/>
  <c r="O132" i="10"/>
  <c r="O133" i="10"/>
  <c r="K112" i="10"/>
  <c r="M112" i="10" s="1"/>
  <c r="M111" i="10"/>
  <c r="K113" i="10"/>
  <c r="F96" i="10"/>
  <c r="G96" i="10" s="1"/>
  <c r="F99" i="10"/>
  <c r="G99" i="10" s="1"/>
  <c r="F101" i="10"/>
  <c r="G101" i="10" s="1"/>
  <c r="P111" i="10"/>
  <c r="Q111" i="10"/>
  <c r="Q113" i="10" s="1"/>
  <c r="O112" i="10"/>
  <c r="P112" i="10"/>
  <c r="O113" i="10"/>
  <c r="P113" i="10" s="1"/>
  <c r="E123" i="10"/>
  <c r="G221" i="10"/>
  <c r="G250" i="10"/>
  <c r="V103" i="14"/>
  <c r="W103" i="14" s="1"/>
  <c r="E151" i="14"/>
  <c r="U99" i="14"/>
  <c r="V99" i="14" s="1"/>
  <c r="W99" i="14" s="1"/>
  <c r="F126" i="14"/>
  <c r="M116" i="14"/>
  <c r="F72" i="14" s="1"/>
  <c r="M115" i="14"/>
  <c r="E136" i="10"/>
  <c r="E118" i="14"/>
  <c r="C68" i="14" s="1"/>
  <c r="E137" i="10"/>
  <c r="C38" i="10" s="1"/>
  <c r="E138" i="10"/>
  <c r="F38" i="10" s="1"/>
  <c r="F261" i="10"/>
  <c r="F249" i="10"/>
  <c r="F245" i="10"/>
  <c r="G237" i="10"/>
  <c r="Q112" i="10" l="1"/>
  <c r="M113" i="10"/>
  <c r="F70" i="10" s="1"/>
  <c r="F253" i="10"/>
  <c r="F91" i="10"/>
  <c r="G91" i="10" s="1"/>
  <c r="G93" i="10" s="1"/>
  <c r="F24" i="10" s="1"/>
  <c r="F257" i="10"/>
  <c r="G258" i="10"/>
  <c r="G240" i="10"/>
  <c r="G213" i="10"/>
  <c r="G262" i="10"/>
  <c r="G246" i="10"/>
  <c r="G254" i="10"/>
  <c r="G239" i="10"/>
  <c r="G233" i="10"/>
  <c r="G241" i="10"/>
  <c r="G256" i="10"/>
  <c r="G252" i="10"/>
  <c r="G235" i="10"/>
  <c r="G243" i="10"/>
  <c r="G259" i="10"/>
  <c r="G255" i="10"/>
  <c r="G251" i="10"/>
  <c r="G247" i="10"/>
  <c r="G242" i="10"/>
  <c r="G234" i="10"/>
  <c r="G222" i="10"/>
  <c r="G218" i="10"/>
  <c r="G214" i="10"/>
  <c r="G225" i="10"/>
  <c r="G227" i="10"/>
  <c r="G257" i="10"/>
  <c r="G253" i="10"/>
  <c r="G249" i="10"/>
  <c r="G245" i="10"/>
  <c r="G238" i="10"/>
  <c r="G224" i="10"/>
  <c r="G220" i="10"/>
  <c r="G212" i="10"/>
  <c r="G261" i="10"/>
  <c r="G260" i="10"/>
  <c r="G248" i="10"/>
  <c r="G244" i="10"/>
  <c r="G236" i="10"/>
  <c r="G223" i="10"/>
  <c r="G219" i="10"/>
  <c r="F258" i="14"/>
  <c r="F232" i="14"/>
  <c r="E116" i="14"/>
  <c r="F116" i="14" s="1"/>
  <c r="G116" i="14" s="1"/>
  <c r="F93" i="14"/>
  <c r="G93" i="14" s="1"/>
  <c r="F220" i="14"/>
  <c r="F264" i="14"/>
  <c r="F238" i="14"/>
  <c r="F226" i="14"/>
  <c r="F248" i="14"/>
  <c r="F254" i="14"/>
  <c r="F242" i="14"/>
  <c r="F260" i="14"/>
  <c r="F244" i="14"/>
  <c r="F236" i="14"/>
  <c r="G236" i="14" s="1"/>
  <c r="F222" i="14"/>
  <c r="G222" i="14" s="1"/>
  <c r="F266" i="14"/>
  <c r="F262" i="14"/>
  <c r="F256" i="14"/>
  <c r="F250" i="14"/>
  <c r="F246" i="14"/>
  <c r="F240" i="14"/>
  <c r="F234" i="14"/>
  <c r="G234" i="14" s="1"/>
  <c r="F228" i="14"/>
  <c r="F224" i="14"/>
  <c r="F218" i="14"/>
  <c r="F268" i="14"/>
  <c r="F252" i="14"/>
  <c r="F230" i="14"/>
  <c r="G265" i="14"/>
  <c r="G262" i="14"/>
  <c r="G257" i="14"/>
  <c r="G254" i="14"/>
  <c r="G249" i="14"/>
  <c r="G246" i="14"/>
  <c r="G241" i="14"/>
  <c r="G238" i="14"/>
  <c r="G232" i="14"/>
  <c r="G227" i="14"/>
  <c r="G224" i="14"/>
  <c r="G219" i="14"/>
  <c r="F104" i="10"/>
  <c r="G104" i="10" s="1"/>
  <c r="G125" i="10" s="1"/>
  <c r="E125" i="10"/>
  <c r="F233" i="10"/>
  <c r="F246" i="10"/>
  <c r="F254" i="10"/>
  <c r="F262" i="10"/>
  <c r="U94" i="14"/>
  <c r="V94" i="14" s="1"/>
  <c r="W94" i="14" s="1"/>
  <c r="F238" i="10"/>
  <c r="F230" i="10"/>
  <c r="G230" i="10" s="1"/>
  <c r="F223" i="10"/>
  <c r="F219" i="10"/>
  <c r="F215" i="10"/>
  <c r="G215" i="10" s="1"/>
  <c r="G123" i="10"/>
  <c r="F247" i="10"/>
  <c r="F251" i="10"/>
  <c r="F255" i="10"/>
  <c r="F259" i="10"/>
  <c r="P115" i="14"/>
  <c r="E147" i="14"/>
  <c r="Q127" i="10"/>
  <c r="Q131" i="10" s="1"/>
  <c r="P100" i="10"/>
  <c r="P105" i="10" s="1"/>
  <c r="L100" i="10"/>
  <c r="L105" i="10" s="1"/>
  <c r="M90" i="10"/>
  <c r="M94" i="10" s="1"/>
  <c r="F267" i="14"/>
  <c r="F265" i="14"/>
  <c r="F263" i="14"/>
  <c r="F261" i="14"/>
  <c r="F259" i="14"/>
  <c r="F257" i="14"/>
  <c r="F255" i="14"/>
  <c r="F253" i="14"/>
  <c r="F251" i="14"/>
  <c r="F249" i="14"/>
  <c r="F247" i="14"/>
  <c r="F245" i="14"/>
  <c r="F243" i="14"/>
  <c r="F241" i="14"/>
  <c r="F239" i="14"/>
  <c r="F237" i="14"/>
  <c r="G237" i="14" s="1"/>
  <c r="F235" i="14"/>
  <c r="G235" i="14" s="1"/>
  <c r="F233" i="14"/>
  <c r="F231" i="14"/>
  <c r="F229" i="14"/>
  <c r="F227" i="14"/>
  <c r="F225" i="14"/>
  <c r="F223" i="14"/>
  <c r="G223" i="14" s="1"/>
  <c r="F221" i="14"/>
  <c r="G221" i="14" s="1"/>
  <c r="F219" i="14"/>
  <c r="P103" i="14"/>
  <c r="P108" i="14" s="1"/>
  <c r="L103" i="14"/>
  <c r="L108" i="14" s="1"/>
  <c r="E148" i="10"/>
  <c r="F108" i="14"/>
  <c r="G108" i="14" s="1"/>
  <c r="F229" i="10"/>
  <c r="G229" i="10" s="1"/>
  <c r="F237" i="10"/>
  <c r="F241" i="10"/>
  <c r="F250" i="10"/>
  <c r="F258" i="10"/>
  <c r="F242" i="10"/>
  <c r="F234" i="10"/>
  <c r="F226" i="10"/>
  <c r="F221" i="10"/>
  <c r="F217" i="10"/>
  <c r="G217" i="10" s="1"/>
  <c r="F213" i="10"/>
  <c r="F227" i="10"/>
  <c r="F231" i="10"/>
  <c r="G231" i="10" s="1"/>
  <c r="F235" i="10"/>
  <c r="F239" i="10"/>
  <c r="F243" i="10"/>
  <c r="F248" i="10"/>
  <c r="F252" i="10"/>
  <c r="F256" i="10"/>
  <c r="F260" i="10"/>
  <c r="E109" i="14"/>
  <c r="E112" i="14" s="1"/>
  <c r="E150" i="14" s="1"/>
  <c r="E172" i="14" s="1"/>
  <c r="F244" i="10"/>
  <c r="F240" i="10"/>
  <c r="F236" i="10"/>
  <c r="F232" i="10"/>
  <c r="G232" i="10" s="1"/>
  <c r="F228" i="10"/>
  <c r="G228" i="10" s="1"/>
  <c r="F224" i="10"/>
  <c r="F222" i="10"/>
  <c r="F220" i="10"/>
  <c r="F218" i="10"/>
  <c r="F216" i="10"/>
  <c r="G216" i="10" s="1"/>
  <c r="F214" i="10"/>
  <c r="F212" i="10"/>
  <c r="F100" i="10"/>
  <c r="G100" i="10" s="1"/>
  <c r="M117" i="10"/>
  <c r="M121" i="10" s="1"/>
  <c r="Q130" i="14"/>
  <c r="Q134" i="14" s="1"/>
  <c r="E107" i="14"/>
  <c r="F107" i="14" s="1"/>
  <c r="F128" i="14" s="1"/>
  <c r="F225" i="10"/>
  <c r="F92" i="14"/>
  <c r="G92" i="14" s="1"/>
  <c r="F100" i="14"/>
  <c r="G100" i="14" s="1"/>
  <c r="F104" i="14"/>
  <c r="G104" i="14" s="1"/>
  <c r="F92" i="10"/>
  <c r="G92" i="10" s="1"/>
  <c r="E103" i="10"/>
  <c r="E106" i="10" s="1"/>
  <c r="E106" i="14"/>
  <c r="F106" i="14" s="1"/>
  <c r="E115" i="14"/>
  <c r="E82" i="14" s="1"/>
  <c r="U101" i="14"/>
  <c r="V101" i="14" s="1"/>
  <c r="W101" i="14" s="1"/>
  <c r="E105" i="14"/>
  <c r="F105" i="14" s="1"/>
  <c r="G105" i="14" s="1"/>
  <c r="F101" i="14"/>
  <c r="G101" i="14" s="1"/>
  <c r="G107" i="14"/>
  <c r="G128" i="14" s="1"/>
  <c r="G105" i="10"/>
  <c r="G143" i="14"/>
  <c r="F147" i="14"/>
  <c r="G106" i="14"/>
  <c r="V143" i="14"/>
  <c r="U147" i="14"/>
  <c r="U151" i="14"/>
  <c r="V102" i="14"/>
  <c r="W102" i="14" s="1"/>
  <c r="U106" i="14"/>
  <c r="V106" i="14" s="1"/>
  <c r="W106" i="14" s="1"/>
  <c r="P121" i="10"/>
  <c r="G142" i="10"/>
  <c r="F146" i="10"/>
  <c r="F148" i="10"/>
  <c r="E161" i="14"/>
  <c r="C42" i="14" s="1"/>
  <c r="E50" i="14"/>
  <c r="V96" i="14"/>
  <c r="W96" i="14" s="1"/>
  <c r="U98" i="14"/>
  <c r="V92" i="14"/>
  <c r="U109" i="14"/>
  <c r="U112" i="14" s="1"/>
  <c r="U150" i="14" s="1"/>
  <c r="V104" i="14"/>
  <c r="W104" i="14" s="1"/>
  <c r="U105" i="14"/>
  <c r="V105" i="14" s="1"/>
  <c r="W105" i="14" s="1"/>
  <c r="U107" i="14"/>
  <c r="V107" i="14" s="1"/>
  <c r="W107" i="14" s="1"/>
  <c r="F123" i="10"/>
  <c r="L111" i="10"/>
  <c r="P127" i="10"/>
  <c r="L127" i="10"/>
  <c r="F98" i="10"/>
  <c r="G98" i="10" s="1"/>
  <c r="L90" i="10"/>
  <c r="L94" i="10" s="1"/>
  <c r="P90" i="10"/>
  <c r="P94" i="10" s="1"/>
  <c r="L117" i="10"/>
  <c r="Q114" i="14"/>
  <c r="Q116" i="14" s="1"/>
  <c r="L114" i="14"/>
  <c r="P130" i="14"/>
  <c r="L130" i="14"/>
  <c r="P120" i="14"/>
  <c r="M120" i="14"/>
  <c r="Q92" i="14"/>
  <c r="Q96" i="14" s="1"/>
  <c r="P92" i="14"/>
  <c r="P96" i="14" s="1"/>
  <c r="M103" i="14"/>
  <c r="M108" i="14" s="1"/>
  <c r="E98" i="14"/>
  <c r="E146" i="10"/>
  <c r="U158" i="14"/>
  <c r="U169" i="14" s="1"/>
  <c r="F125" i="10" l="1"/>
  <c r="G95" i="14"/>
  <c r="F24" i="14" s="1"/>
  <c r="F151" i="14"/>
  <c r="F103" i="10"/>
  <c r="F106" i="10" s="1"/>
  <c r="G109" i="14"/>
  <c r="G110" i="14" s="1"/>
  <c r="E110" i="14"/>
  <c r="F109" i="14"/>
  <c r="F110" i="14" s="1"/>
  <c r="E128" i="14"/>
  <c r="E111" i="14"/>
  <c r="E119" i="14" s="1"/>
  <c r="D67" i="14" s="1"/>
  <c r="E154" i="14"/>
  <c r="U110" i="14"/>
  <c r="U148" i="14" s="1"/>
  <c r="U170" i="14" s="1"/>
  <c r="U172" i="14"/>
  <c r="U154" i="14"/>
  <c r="G112" i="14"/>
  <c r="G150" i="14" s="1"/>
  <c r="F111" i="14"/>
  <c r="P124" i="14"/>
  <c r="P134" i="14"/>
  <c r="P131" i="10"/>
  <c r="G147" i="14"/>
  <c r="G151" i="14"/>
  <c r="E107" i="10"/>
  <c r="E108" i="10"/>
  <c r="E109" i="10"/>
  <c r="E112" i="10" s="1"/>
  <c r="E80" i="10" s="1"/>
  <c r="Q115" i="14"/>
  <c r="U111" i="14"/>
  <c r="U149" i="14" s="1"/>
  <c r="F42" i="14"/>
  <c r="E162" i="14"/>
  <c r="M124" i="14"/>
  <c r="L134" i="14"/>
  <c r="L115" i="14"/>
  <c r="D72" i="14" s="1"/>
  <c r="L116" i="14"/>
  <c r="L121" i="10"/>
  <c r="L131" i="10"/>
  <c r="L112" i="10"/>
  <c r="D70" i="10" s="1"/>
  <c r="L113" i="10"/>
  <c r="V109" i="14"/>
  <c r="V110" i="14" s="1"/>
  <c r="V148" i="14" s="1"/>
  <c r="W92" i="14"/>
  <c r="G148" i="10"/>
  <c r="G146" i="10"/>
  <c r="V151" i="14"/>
  <c r="W143" i="14"/>
  <c r="V147" i="14"/>
  <c r="G103" i="10"/>
  <c r="F112" i="14" l="1"/>
  <c r="L99" i="14" s="1"/>
  <c r="P132" i="14"/>
  <c r="P122" i="14"/>
  <c r="M121" i="14"/>
  <c r="L132" i="14"/>
  <c r="M122" i="14"/>
  <c r="G111" i="14"/>
  <c r="G149" i="14" s="1"/>
  <c r="G171" i="14" s="1"/>
  <c r="E113" i="14"/>
  <c r="E84" i="14" s="1"/>
  <c r="E148" i="14"/>
  <c r="E114" i="14"/>
  <c r="E81" i="14"/>
  <c r="U152" i="14"/>
  <c r="E149" i="14"/>
  <c r="E153" i="14" s="1"/>
  <c r="E171" i="14"/>
  <c r="L131" i="14"/>
  <c r="V152" i="14"/>
  <c r="V170" i="14"/>
  <c r="F109" i="10"/>
  <c r="L123" i="10" s="1"/>
  <c r="F107" i="10"/>
  <c r="F108" i="10"/>
  <c r="L135" i="14"/>
  <c r="L136" i="14"/>
  <c r="E147" i="10"/>
  <c r="E110" i="10"/>
  <c r="E82" i="10" s="1"/>
  <c r="G172" i="14"/>
  <c r="G154" i="14"/>
  <c r="P125" i="14"/>
  <c r="P126" i="14"/>
  <c r="M99" i="14"/>
  <c r="L97" i="14"/>
  <c r="M109" i="14"/>
  <c r="M135" i="14"/>
  <c r="F115" i="14"/>
  <c r="D82" i="14" s="1"/>
  <c r="M136" i="14"/>
  <c r="M97" i="14"/>
  <c r="L109" i="14"/>
  <c r="L126" i="14"/>
  <c r="F150" i="14"/>
  <c r="L125" i="14"/>
  <c r="Q132" i="14"/>
  <c r="Q121" i="14"/>
  <c r="Q122" i="14"/>
  <c r="G113" i="14"/>
  <c r="F84" i="14" s="1"/>
  <c r="Q131" i="14"/>
  <c r="P104" i="14"/>
  <c r="Q93" i="14"/>
  <c r="Q94" i="14"/>
  <c r="P93" i="14"/>
  <c r="Q105" i="14"/>
  <c r="P105" i="14"/>
  <c r="P94" i="14"/>
  <c r="Q104" i="14"/>
  <c r="G106" i="10"/>
  <c r="W151" i="14"/>
  <c r="W147" i="14"/>
  <c r="W109" i="14"/>
  <c r="W111" i="14" s="1"/>
  <c r="W149" i="14" s="1"/>
  <c r="W95" i="14"/>
  <c r="M126" i="14"/>
  <c r="M125" i="14"/>
  <c r="U153" i="14"/>
  <c r="U171" i="14"/>
  <c r="E111" i="10"/>
  <c r="E116" i="10"/>
  <c r="D65" i="10" s="1"/>
  <c r="E79" i="10"/>
  <c r="P135" i="14"/>
  <c r="P136" i="14"/>
  <c r="M105" i="14"/>
  <c r="M93" i="14"/>
  <c r="L104" i="14"/>
  <c r="L105" i="14"/>
  <c r="L93" i="14"/>
  <c r="M94" i="14"/>
  <c r="M132" i="14"/>
  <c r="L94" i="14"/>
  <c r="M104" i="14"/>
  <c r="L121" i="14"/>
  <c r="L122" i="14"/>
  <c r="M131" i="14"/>
  <c r="F113" i="14"/>
  <c r="D84" i="14" s="1"/>
  <c r="F148" i="14"/>
  <c r="F114" i="14"/>
  <c r="D83" i="14" s="1"/>
  <c r="D81" i="14"/>
  <c r="F149" i="14"/>
  <c r="F119" i="14"/>
  <c r="C67" i="14" s="1"/>
  <c r="Q136" i="14"/>
  <c r="G115" i="14"/>
  <c r="F82" i="14" s="1"/>
  <c r="Q135" i="14"/>
  <c r="Q110" i="14"/>
  <c r="P110" i="14"/>
  <c r="P99" i="14"/>
  <c r="Q109" i="14"/>
  <c r="Q125" i="14"/>
  <c r="Q97" i="14"/>
  <c r="P109" i="14"/>
  <c r="P97" i="14"/>
  <c r="Q99" i="14"/>
  <c r="Q126" i="14"/>
  <c r="V112" i="14"/>
  <c r="V150" i="14" s="1"/>
  <c r="V111" i="14"/>
  <c r="V149" i="14" s="1"/>
  <c r="G148" i="14"/>
  <c r="P131" i="14"/>
  <c r="P121" i="14"/>
  <c r="G114" i="14" l="1"/>
  <c r="F83" i="14" s="1"/>
  <c r="L110" i="14"/>
  <c r="M110" i="14"/>
  <c r="I103" i="14" s="1"/>
  <c r="C62" i="14" s="1"/>
  <c r="G153" i="14"/>
  <c r="W112" i="14"/>
  <c r="W150" i="14" s="1"/>
  <c r="W172" i="14" s="1"/>
  <c r="L132" i="10"/>
  <c r="F81" i="14"/>
  <c r="W110" i="14"/>
  <c r="W148" i="14" s="1"/>
  <c r="W170" i="14" s="1"/>
  <c r="G119" i="14"/>
  <c r="E67" i="14" s="1"/>
  <c r="E170" i="14"/>
  <c r="E152" i="14"/>
  <c r="E135" i="14"/>
  <c r="G30" i="14" s="1"/>
  <c r="E83" i="14"/>
  <c r="E133" i="14"/>
  <c r="D30" i="14" s="1"/>
  <c r="W171" i="14"/>
  <c r="W153" i="14"/>
  <c r="V154" i="14"/>
  <c r="V172" i="14"/>
  <c r="F170" i="14"/>
  <c r="F152" i="14"/>
  <c r="E120" i="14"/>
  <c r="C72" i="14" s="1"/>
  <c r="E121" i="14"/>
  <c r="E72" i="14" s="1"/>
  <c r="E132" i="10"/>
  <c r="G30" i="10" s="1"/>
  <c r="E130" i="10"/>
  <c r="D30" i="10" s="1"/>
  <c r="E81" i="10"/>
  <c r="F111" i="10"/>
  <c r="D81" i="10" s="1"/>
  <c r="D79" i="10"/>
  <c r="F116" i="10"/>
  <c r="C65" i="10" s="1"/>
  <c r="M133" i="10"/>
  <c r="M95" i="10"/>
  <c r="L95" i="10"/>
  <c r="L96" i="10"/>
  <c r="M106" i="10"/>
  <c r="M96" i="10"/>
  <c r="M122" i="10"/>
  <c r="L107" i="10"/>
  <c r="L106" i="10"/>
  <c r="M107" i="10"/>
  <c r="F112" i="10"/>
  <c r="D80" i="10" s="1"/>
  <c r="M132" i="10"/>
  <c r="M123" i="10"/>
  <c r="G152" i="14"/>
  <c r="G170" i="14"/>
  <c r="V153" i="14"/>
  <c r="V171" i="14"/>
  <c r="F153" i="14"/>
  <c r="F171" i="14"/>
  <c r="G107" i="10"/>
  <c r="G109" i="10"/>
  <c r="G108" i="10"/>
  <c r="F154" i="14"/>
  <c r="F172" i="14"/>
  <c r="E162" i="10"/>
  <c r="E149" i="10"/>
  <c r="E150" i="10" s="1"/>
  <c r="M129" i="10"/>
  <c r="L102" i="10"/>
  <c r="M101" i="10"/>
  <c r="M118" i="10"/>
  <c r="L101" i="10"/>
  <c r="M91" i="10"/>
  <c r="L92" i="10"/>
  <c r="F110" i="10"/>
  <c r="D82" i="10" s="1"/>
  <c r="M128" i="10"/>
  <c r="M92" i="10"/>
  <c r="M102" i="10"/>
  <c r="L91" i="10"/>
  <c r="M119" i="10"/>
  <c r="F147" i="10"/>
  <c r="L118" i="10"/>
  <c r="L129" i="10"/>
  <c r="L119" i="10"/>
  <c r="L128" i="10"/>
  <c r="L122" i="10"/>
  <c r="L133" i="10"/>
  <c r="W154" i="14" l="1"/>
  <c r="W152" i="14"/>
  <c r="Q133" i="10"/>
  <c r="G112" i="10"/>
  <c r="F80" i="10" s="1"/>
  <c r="P107" i="10"/>
  <c r="Q132" i="10"/>
  <c r="Q123" i="10"/>
  <c r="P95" i="10"/>
  <c r="P96" i="10"/>
  <c r="Q106" i="10"/>
  <c r="Q107" i="10"/>
  <c r="Q95" i="10"/>
  <c r="P106" i="10"/>
  <c r="Q96" i="10"/>
  <c r="Q122" i="10"/>
  <c r="P122" i="10"/>
  <c r="P123" i="10"/>
  <c r="P133" i="10"/>
  <c r="P132" i="10"/>
  <c r="F149" i="10"/>
  <c r="F150" i="10" s="1"/>
  <c r="F162" i="10"/>
  <c r="F79" i="10"/>
  <c r="G111" i="10"/>
  <c r="F81" i="10" s="1"/>
  <c r="G116" i="10"/>
  <c r="E65" i="10" s="1"/>
  <c r="Q129" i="10"/>
  <c r="G110" i="10"/>
  <c r="F82" i="10" s="1"/>
  <c r="Q118" i="10"/>
  <c r="Q119" i="10"/>
  <c r="P92" i="10"/>
  <c r="Q92" i="10"/>
  <c r="Q91" i="10"/>
  <c r="P101" i="10"/>
  <c r="Q128" i="10"/>
  <c r="Q102" i="10"/>
  <c r="Q101" i="10"/>
  <c r="P91" i="10"/>
  <c r="P102" i="10"/>
  <c r="P118" i="10"/>
  <c r="P119" i="10"/>
  <c r="P128" i="10"/>
  <c r="P129" i="10"/>
  <c r="G147" i="10"/>
  <c r="E155" i="14"/>
  <c r="E156" i="14" s="1"/>
  <c r="E157" i="14" s="1"/>
  <c r="I166" i="14" s="1"/>
  <c r="I100" i="10" l="1"/>
  <c r="C60" i="10" s="1"/>
  <c r="U155" i="14"/>
  <c r="U156" i="14" s="1"/>
  <c r="U157" i="14" s="1"/>
  <c r="Y166" i="14" s="1"/>
  <c r="E117" i="10"/>
  <c r="C70" i="10" s="1"/>
  <c r="E118" i="10"/>
  <c r="E70" i="10" s="1"/>
  <c r="G149" i="10"/>
  <c r="G150" i="10" s="1"/>
  <c r="E151" i="10" s="1"/>
  <c r="I158" i="10" s="1"/>
  <c r="G162" i="10"/>
</calcChain>
</file>

<file path=xl/comments1.xml><?xml version="1.0" encoding="utf-8"?>
<comments xmlns="http://schemas.openxmlformats.org/spreadsheetml/2006/main">
  <authors>
    <author>Ishikawa, Shuichi</author>
    <author>Shuichi Ishikawa</author>
  </authors>
  <commentList>
    <comment ref="C30" authorId="0">
      <text>
        <r>
          <rPr>
            <b/>
            <sz val="9"/>
            <color indexed="81"/>
            <rFont val="ＭＳ Ｐゴシック"/>
            <family val="3"/>
            <charset val="128"/>
          </rPr>
          <t xml:space="preserve">[ E24 series ]
</t>
        </r>
        <r>
          <rPr>
            <b/>
            <sz val="9"/>
            <color indexed="60"/>
            <rFont val="ＭＳ Ｐゴシック"/>
            <family val="3"/>
            <charset val="128"/>
          </rPr>
          <t>10  12  15  18  22  27  33  39  47  56  68  82
11  13  16  20  24  30  36  43  51  62  75  91</t>
        </r>
        <r>
          <rPr>
            <b/>
            <sz val="9"/>
            <color indexed="81"/>
            <rFont val="ＭＳ Ｐゴシック"/>
            <family val="3"/>
            <charset val="128"/>
          </rPr>
          <t xml:space="preserve">
[ E48 series ]
</t>
        </r>
        <r>
          <rPr>
            <b/>
            <sz val="9"/>
            <color indexed="60"/>
            <rFont val="ＭＳ Ｐゴシック"/>
            <family val="3"/>
            <charset val="128"/>
          </rPr>
          <t xml:space="preserve">100 121 147 178 215 261 316 383 464 562 681 825 
105 127 154 187 226 274 332 402 487 590 715 866 
110 133 162 196 237 287 348 422 511 619 750 909 
115 140 169 205 249 301 365 442 536 649 787 953 </t>
        </r>
        <r>
          <rPr>
            <b/>
            <sz val="9"/>
            <color indexed="81"/>
            <rFont val="ＭＳ Ｐゴシック"/>
            <family val="3"/>
            <charset val="128"/>
          </rPr>
          <t xml:space="preserve">
[ E96 series ]
</t>
        </r>
        <r>
          <rPr>
            <b/>
            <sz val="9"/>
            <color indexed="60"/>
            <rFont val="ＭＳ Ｐゴシック"/>
            <family val="3"/>
            <charset val="128"/>
          </rPr>
          <t xml:space="preserve">100 121 147 178 215 261 316 383 464 562 681 825 
102 124 150 182 221 267 324 392 475 576 698 845 
105 127 154 187 226 274 332 402 487 590 715 866 
107 130 158 191 232 280 340 412 499 604 732 887 
110 133 162 196 237 287 348 422 511 619 750 909 
113 137 165 200 243 294 357 432 523 634 768 931 
115 140 169 205 249 301 365 442 536 649 787 953 
118 143 174 210 255 309 374 453 549 665 806 976 
</t>
        </r>
        <r>
          <rPr>
            <b/>
            <sz val="9"/>
            <color indexed="81"/>
            <rFont val="ＭＳ Ｐゴシック"/>
            <family val="3"/>
            <charset val="128"/>
          </rPr>
          <t xml:space="preserve">
</t>
        </r>
      </text>
    </comment>
    <comment ref="F30" authorId="0">
      <text>
        <r>
          <rPr>
            <b/>
            <sz val="9"/>
            <color indexed="81"/>
            <rFont val="ＭＳ Ｐゴシック"/>
            <family val="3"/>
            <charset val="128"/>
          </rPr>
          <t xml:space="preserve">[ E24 series ]
</t>
        </r>
        <r>
          <rPr>
            <b/>
            <sz val="9"/>
            <color indexed="60"/>
            <rFont val="ＭＳ Ｐゴシック"/>
            <family val="3"/>
            <charset val="128"/>
          </rPr>
          <t>10  12  15  18  22  27  33  39  47  56  68  82
11  13  16  20  24  30  36  43  51  62  75  91</t>
        </r>
        <r>
          <rPr>
            <b/>
            <sz val="9"/>
            <color indexed="81"/>
            <rFont val="ＭＳ Ｐゴシック"/>
            <family val="3"/>
            <charset val="128"/>
          </rPr>
          <t xml:space="preserve">
[ E48 series ]
</t>
        </r>
        <r>
          <rPr>
            <b/>
            <sz val="9"/>
            <color indexed="60"/>
            <rFont val="ＭＳ Ｐゴシック"/>
            <family val="3"/>
            <charset val="128"/>
          </rPr>
          <t xml:space="preserve">100 121 147 178 215 261 316 383 464 562 681 825 
105 127 154 187 226 274 332 402 487 590 715 866 
110 133 162 196 237 287 348 422 511 619 750 909 
115 140 169 205 249 301 365 442 536 649 787 953 </t>
        </r>
        <r>
          <rPr>
            <b/>
            <sz val="9"/>
            <color indexed="81"/>
            <rFont val="ＭＳ Ｐゴシック"/>
            <family val="3"/>
            <charset val="128"/>
          </rPr>
          <t xml:space="preserve">
[ E96 series ]
</t>
        </r>
        <r>
          <rPr>
            <b/>
            <sz val="9"/>
            <color indexed="60"/>
            <rFont val="ＭＳ Ｐゴシック"/>
            <family val="3"/>
            <charset val="128"/>
          </rPr>
          <t xml:space="preserve">100 121 147 178 215 261 316 383 464 562 681 825 
102 124 150 182 221 267 324 392 475 576 698 845 
105 127 154 187 226 274 332 402 487 590 715 866 
107 130 158 191 232 280 340 412 499 604 732 887 
110 133 162 196 237 287 348 422 511 619 750 909 
113 137 165 200 243 294 357 432 523 634 768 931 
115 140 169 205 249 301 365 442 536 649 787 953 
118 143 174 210 255 309 374 453 549 665 806 976 
</t>
        </r>
        <r>
          <rPr>
            <b/>
            <sz val="9"/>
            <color indexed="81"/>
            <rFont val="ＭＳ Ｐゴシック"/>
            <family val="3"/>
            <charset val="128"/>
          </rPr>
          <t xml:space="preserve">
</t>
        </r>
      </text>
    </comment>
    <comment ref="E62" authorId="0">
      <text>
        <r>
          <rPr>
            <b/>
            <sz val="9"/>
            <color indexed="81"/>
            <rFont val="ＭＳ Ｐゴシック"/>
            <family val="3"/>
            <charset val="128"/>
          </rPr>
          <t xml:space="preserve">[ E24 series ]
</t>
        </r>
        <r>
          <rPr>
            <b/>
            <sz val="9"/>
            <color indexed="60"/>
            <rFont val="ＭＳ Ｐゴシック"/>
            <family val="3"/>
            <charset val="128"/>
          </rPr>
          <t>10  12  15  18  22  27  33  39  47  56  68  82
11  13  16  20  24  30  36  43  51  62  75  91</t>
        </r>
        <r>
          <rPr>
            <b/>
            <sz val="9"/>
            <color indexed="81"/>
            <rFont val="ＭＳ Ｐゴシック"/>
            <family val="3"/>
            <charset val="128"/>
          </rPr>
          <t xml:space="preserve">
[ E48 series ]
</t>
        </r>
        <r>
          <rPr>
            <b/>
            <sz val="9"/>
            <color indexed="60"/>
            <rFont val="ＭＳ Ｐゴシック"/>
            <family val="3"/>
            <charset val="128"/>
          </rPr>
          <t xml:space="preserve">100 121 147 178 215 261 316 383 464 562 681 825 
105 127 154 187 226 274 332 402 487 590 715 866 
110 133 162 196 237 287 348 422 511 619 750 909 
115 140 169 205 249 301 365 442 536 649 787 953 </t>
        </r>
        <r>
          <rPr>
            <b/>
            <sz val="9"/>
            <color indexed="81"/>
            <rFont val="ＭＳ Ｐゴシック"/>
            <family val="3"/>
            <charset val="128"/>
          </rPr>
          <t xml:space="preserve">
[ E96 series ]
</t>
        </r>
        <r>
          <rPr>
            <b/>
            <sz val="9"/>
            <color indexed="60"/>
            <rFont val="ＭＳ Ｐゴシック"/>
            <family val="3"/>
            <charset val="128"/>
          </rPr>
          <t xml:space="preserve">100 121 147 178 215 261 316 383 464 562 681 825 
102 124 150 182 221 267 324 392 475 576 698 845 
105 127 154 187 226 274 332 402 487 590 715 866 
107 130 158 191 232 280 340 412 499 604 732 887 
110 133 162 196 237 287 348 422 511 619 750 909 
113 137 165 200 243 294 357 432 523 634 768 931 
115 140 169 205 249 301 365 442 536 649 787 953 
118 143 174 210 255 309 374 453 549 665 806 976 
</t>
        </r>
        <r>
          <rPr>
            <b/>
            <sz val="9"/>
            <color indexed="81"/>
            <rFont val="ＭＳ Ｐゴシック"/>
            <family val="3"/>
            <charset val="128"/>
          </rPr>
          <t xml:space="preserve">
</t>
        </r>
      </text>
    </comment>
    <comment ref="L92" authorId="0">
      <text>
        <r>
          <rPr>
            <b/>
            <sz val="12"/>
            <color indexed="81"/>
            <rFont val="ＭＳ Ｐゴシック"/>
            <family val="3"/>
            <charset val="128"/>
          </rPr>
          <t>min. temp</t>
        </r>
      </text>
    </comment>
    <comment ref="M92" authorId="0">
      <text>
        <r>
          <rPr>
            <b/>
            <sz val="12"/>
            <color indexed="81"/>
            <rFont val="ＭＳ Ｐゴシック"/>
            <family val="3"/>
            <charset val="128"/>
          </rPr>
          <t>max. temp</t>
        </r>
      </text>
    </comment>
    <comment ref="P92" authorId="0">
      <text>
        <r>
          <rPr>
            <b/>
            <sz val="12"/>
            <color indexed="81"/>
            <rFont val="ＭＳ Ｐゴシック"/>
            <family val="3"/>
            <charset val="128"/>
          </rPr>
          <t>min. temp</t>
        </r>
      </text>
    </comment>
    <comment ref="Q92" authorId="0">
      <text>
        <r>
          <rPr>
            <b/>
            <sz val="12"/>
            <color indexed="81"/>
            <rFont val="ＭＳ Ｐゴシック"/>
            <family val="3"/>
            <charset val="128"/>
          </rPr>
          <t>max. temp</t>
        </r>
      </text>
    </comment>
    <comment ref="K93" authorId="0">
      <text>
        <r>
          <rPr>
            <b/>
            <sz val="12"/>
            <color indexed="81"/>
            <rFont val="ＭＳ Ｐゴシック"/>
            <family val="3"/>
            <charset val="128"/>
          </rPr>
          <t>min. Itrip</t>
        </r>
      </text>
    </comment>
    <comment ref="O93" authorId="0">
      <text>
        <r>
          <rPr>
            <b/>
            <sz val="12"/>
            <color indexed="81"/>
            <rFont val="ＭＳ Ｐゴシック"/>
            <family val="3"/>
            <charset val="128"/>
          </rPr>
          <t>min. Itrip</t>
        </r>
      </text>
    </comment>
    <comment ref="K94" authorId="0">
      <text>
        <r>
          <rPr>
            <b/>
            <sz val="12"/>
            <color indexed="81"/>
            <rFont val="ＭＳ Ｐゴシック"/>
            <family val="3"/>
            <charset val="128"/>
          </rPr>
          <t>max. Itrip</t>
        </r>
      </text>
    </comment>
    <comment ref="O94" authorId="0">
      <text>
        <r>
          <rPr>
            <b/>
            <sz val="12"/>
            <color indexed="81"/>
            <rFont val="ＭＳ Ｐゴシック"/>
            <family val="3"/>
            <charset val="128"/>
          </rPr>
          <t>max. Itrip</t>
        </r>
      </text>
    </comment>
    <comment ref="L96" authorId="0">
      <text>
        <r>
          <rPr>
            <b/>
            <sz val="12"/>
            <color indexed="81"/>
            <rFont val="ＭＳ Ｐゴシック"/>
            <family val="3"/>
            <charset val="128"/>
          </rPr>
          <t>min. temp</t>
        </r>
      </text>
    </comment>
    <comment ref="M96" authorId="0">
      <text>
        <r>
          <rPr>
            <b/>
            <sz val="12"/>
            <color indexed="81"/>
            <rFont val="ＭＳ Ｐゴシック"/>
            <family val="3"/>
            <charset val="128"/>
          </rPr>
          <t>max. temp</t>
        </r>
      </text>
    </comment>
    <comment ref="P96" authorId="0">
      <text>
        <r>
          <rPr>
            <b/>
            <sz val="12"/>
            <color indexed="81"/>
            <rFont val="ＭＳ Ｐゴシック"/>
            <family val="3"/>
            <charset val="128"/>
          </rPr>
          <t>min. temp</t>
        </r>
      </text>
    </comment>
    <comment ref="Q96" authorId="0">
      <text>
        <r>
          <rPr>
            <b/>
            <sz val="12"/>
            <color indexed="81"/>
            <rFont val="ＭＳ Ｐゴシック"/>
            <family val="3"/>
            <charset val="128"/>
          </rPr>
          <t>max. temp</t>
        </r>
      </text>
    </comment>
    <comment ref="K97" authorId="0">
      <text>
        <r>
          <rPr>
            <b/>
            <sz val="12"/>
            <color indexed="81"/>
            <rFont val="ＭＳ Ｐゴシック"/>
            <family val="3"/>
            <charset val="128"/>
          </rPr>
          <t>min. Itrip</t>
        </r>
      </text>
    </comment>
    <comment ref="O97" authorId="0">
      <text>
        <r>
          <rPr>
            <b/>
            <sz val="12"/>
            <color indexed="81"/>
            <rFont val="ＭＳ Ｐゴシック"/>
            <family val="3"/>
            <charset val="128"/>
          </rPr>
          <t>min. Itrip</t>
        </r>
      </text>
    </comment>
    <comment ref="K99" authorId="0">
      <text>
        <r>
          <rPr>
            <b/>
            <sz val="12"/>
            <color indexed="81"/>
            <rFont val="ＭＳ Ｐゴシック"/>
            <family val="3"/>
            <charset val="128"/>
          </rPr>
          <t>max. Itrip</t>
        </r>
      </text>
    </comment>
    <comment ref="O99" authorId="0">
      <text>
        <r>
          <rPr>
            <b/>
            <sz val="12"/>
            <color indexed="81"/>
            <rFont val="ＭＳ Ｐゴシック"/>
            <family val="3"/>
            <charset val="128"/>
          </rPr>
          <t>max. Itrip</t>
        </r>
      </text>
    </comment>
    <comment ref="L103" authorId="0">
      <text>
        <r>
          <rPr>
            <b/>
            <sz val="12"/>
            <color indexed="81"/>
            <rFont val="ＭＳ Ｐゴシック"/>
            <family val="3"/>
            <charset val="128"/>
          </rPr>
          <t>min. temp</t>
        </r>
      </text>
    </comment>
    <comment ref="M103" authorId="0">
      <text>
        <r>
          <rPr>
            <b/>
            <sz val="12"/>
            <color indexed="81"/>
            <rFont val="ＭＳ Ｐゴシック"/>
            <family val="3"/>
            <charset val="128"/>
          </rPr>
          <t>max. temp</t>
        </r>
      </text>
    </comment>
    <comment ref="P103" authorId="0">
      <text>
        <r>
          <rPr>
            <b/>
            <sz val="12"/>
            <color indexed="81"/>
            <rFont val="ＭＳ Ｐゴシック"/>
            <family val="3"/>
            <charset val="128"/>
          </rPr>
          <t>min. temp</t>
        </r>
      </text>
    </comment>
    <comment ref="Q103" authorId="0">
      <text>
        <r>
          <rPr>
            <b/>
            <sz val="12"/>
            <color indexed="81"/>
            <rFont val="ＭＳ Ｐゴシック"/>
            <family val="3"/>
            <charset val="128"/>
          </rPr>
          <t>max. temp</t>
        </r>
      </text>
    </comment>
    <comment ref="K104" authorId="0">
      <text>
        <r>
          <rPr>
            <b/>
            <sz val="12"/>
            <color indexed="81"/>
            <rFont val="ＭＳ Ｐゴシック"/>
            <family val="3"/>
            <charset val="128"/>
          </rPr>
          <t>min. Itrip</t>
        </r>
      </text>
    </comment>
    <comment ref="O104" authorId="0">
      <text>
        <r>
          <rPr>
            <b/>
            <sz val="12"/>
            <color indexed="81"/>
            <rFont val="ＭＳ Ｐゴシック"/>
            <family val="3"/>
            <charset val="128"/>
          </rPr>
          <t>min. Itrip</t>
        </r>
      </text>
    </comment>
    <comment ref="K105" authorId="0">
      <text>
        <r>
          <rPr>
            <b/>
            <sz val="12"/>
            <color indexed="81"/>
            <rFont val="ＭＳ Ｐゴシック"/>
            <family val="3"/>
            <charset val="128"/>
          </rPr>
          <t>max. Itrip</t>
        </r>
      </text>
    </comment>
    <comment ref="O105" authorId="0">
      <text>
        <r>
          <rPr>
            <b/>
            <sz val="12"/>
            <color indexed="81"/>
            <rFont val="ＭＳ Ｐゴシック"/>
            <family val="3"/>
            <charset val="128"/>
          </rPr>
          <t>max. Itrip</t>
        </r>
      </text>
    </comment>
    <comment ref="L108" authorId="0">
      <text>
        <r>
          <rPr>
            <b/>
            <sz val="12"/>
            <color indexed="81"/>
            <rFont val="ＭＳ Ｐゴシック"/>
            <family val="3"/>
            <charset val="128"/>
          </rPr>
          <t>min. temp</t>
        </r>
      </text>
    </comment>
    <comment ref="M108" authorId="0">
      <text>
        <r>
          <rPr>
            <b/>
            <sz val="12"/>
            <color indexed="81"/>
            <rFont val="ＭＳ Ｐゴシック"/>
            <family val="3"/>
            <charset val="128"/>
          </rPr>
          <t>max. temp</t>
        </r>
      </text>
    </comment>
    <comment ref="P108" authorId="0">
      <text>
        <r>
          <rPr>
            <b/>
            <sz val="12"/>
            <color indexed="81"/>
            <rFont val="ＭＳ Ｐゴシック"/>
            <family val="3"/>
            <charset val="128"/>
          </rPr>
          <t>min. temp</t>
        </r>
      </text>
    </comment>
    <comment ref="Q108" authorId="0">
      <text>
        <r>
          <rPr>
            <b/>
            <sz val="12"/>
            <color indexed="81"/>
            <rFont val="ＭＳ Ｐゴシック"/>
            <family val="3"/>
            <charset val="128"/>
          </rPr>
          <t>max. temp</t>
        </r>
      </text>
    </comment>
    <comment ref="K109" authorId="0">
      <text>
        <r>
          <rPr>
            <b/>
            <sz val="12"/>
            <color indexed="81"/>
            <rFont val="ＭＳ Ｐゴシック"/>
            <family val="3"/>
            <charset val="128"/>
          </rPr>
          <t>min. Itrip</t>
        </r>
      </text>
    </comment>
    <comment ref="O109" authorId="0">
      <text>
        <r>
          <rPr>
            <b/>
            <sz val="12"/>
            <color indexed="81"/>
            <rFont val="ＭＳ Ｐゴシック"/>
            <family val="3"/>
            <charset val="128"/>
          </rPr>
          <t>min. Itrip</t>
        </r>
      </text>
    </comment>
    <comment ref="K110" authorId="0">
      <text>
        <r>
          <rPr>
            <b/>
            <sz val="12"/>
            <color indexed="81"/>
            <rFont val="ＭＳ Ｐゴシック"/>
            <family val="3"/>
            <charset val="128"/>
          </rPr>
          <t>max. Itrip</t>
        </r>
      </text>
    </comment>
    <comment ref="O110" authorId="0">
      <text>
        <r>
          <rPr>
            <b/>
            <sz val="12"/>
            <color indexed="81"/>
            <rFont val="ＭＳ Ｐゴシック"/>
            <family val="3"/>
            <charset val="128"/>
          </rPr>
          <t>max. Itrip</t>
        </r>
      </text>
    </comment>
    <comment ref="L114" authorId="0">
      <text>
        <r>
          <rPr>
            <b/>
            <sz val="12"/>
            <color indexed="81"/>
            <rFont val="ＭＳ Ｐゴシック"/>
            <family val="3"/>
            <charset val="128"/>
          </rPr>
          <t>min. temp</t>
        </r>
      </text>
    </comment>
    <comment ref="M114" authorId="0">
      <text>
        <r>
          <rPr>
            <b/>
            <sz val="12"/>
            <color indexed="81"/>
            <rFont val="ＭＳ Ｐゴシック"/>
            <family val="3"/>
            <charset val="128"/>
          </rPr>
          <t>max. temp</t>
        </r>
      </text>
    </comment>
    <comment ref="P114" authorId="0">
      <text>
        <r>
          <rPr>
            <b/>
            <sz val="12"/>
            <color indexed="81"/>
            <rFont val="ＭＳ Ｐゴシック"/>
            <family val="3"/>
            <charset val="128"/>
          </rPr>
          <t>min. temp</t>
        </r>
      </text>
    </comment>
    <comment ref="Q114" authorId="0">
      <text>
        <r>
          <rPr>
            <b/>
            <sz val="12"/>
            <color indexed="81"/>
            <rFont val="ＭＳ Ｐゴシック"/>
            <family val="3"/>
            <charset val="128"/>
          </rPr>
          <t>max. temp</t>
        </r>
      </text>
    </comment>
    <comment ref="K115" authorId="0">
      <text>
        <r>
          <rPr>
            <b/>
            <sz val="12"/>
            <color indexed="81"/>
            <rFont val="ＭＳ Ｐゴシック"/>
            <family val="3"/>
            <charset val="128"/>
          </rPr>
          <t>min. Itrip</t>
        </r>
      </text>
    </comment>
    <comment ref="O115" authorId="0">
      <text>
        <r>
          <rPr>
            <b/>
            <sz val="12"/>
            <color indexed="81"/>
            <rFont val="ＭＳ Ｐゴシック"/>
            <family val="3"/>
            <charset val="128"/>
          </rPr>
          <t>min. Itrip</t>
        </r>
      </text>
    </comment>
    <comment ref="K116" authorId="0">
      <text>
        <r>
          <rPr>
            <b/>
            <sz val="12"/>
            <color indexed="81"/>
            <rFont val="ＭＳ Ｐゴシック"/>
            <family val="3"/>
            <charset val="128"/>
          </rPr>
          <t>max. Itrip</t>
        </r>
      </text>
    </comment>
    <comment ref="O116" authorId="0">
      <text>
        <r>
          <rPr>
            <b/>
            <sz val="12"/>
            <color indexed="81"/>
            <rFont val="ＭＳ Ｐゴシック"/>
            <family val="3"/>
            <charset val="128"/>
          </rPr>
          <t>max. Itrip</t>
        </r>
      </text>
    </comment>
    <comment ref="E117" authorId="0">
      <text>
        <r>
          <rPr>
            <b/>
            <sz val="9"/>
            <color indexed="81"/>
            <rFont val="ＭＳ Ｐゴシック"/>
            <family val="3"/>
            <charset val="128"/>
          </rPr>
          <t xml:space="preserve">[ E24 series ]
</t>
        </r>
        <r>
          <rPr>
            <b/>
            <sz val="9"/>
            <color indexed="60"/>
            <rFont val="ＭＳ Ｐゴシック"/>
            <family val="3"/>
            <charset val="128"/>
          </rPr>
          <t>10  12  15  18  22  27  33  39  47  56  68  82
11  13  16  20  24  30  36  43  51  62  75  91</t>
        </r>
        <r>
          <rPr>
            <b/>
            <sz val="9"/>
            <color indexed="81"/>
            <rFont val="ＭＳ Ｐゴシック"/>
            <family val="3"/>
            <charset val="128"/>
          </rPr>
          <t xml:space="preserve">
[ E48 series ]
</t>
        </r>
        <r>
          <rPr>
            <b/>
            <sz val="9"/>
            <color indexed="60"/>
            <rFont val="ＭＳ Ｐゴシック"/>
            <family val="3"/>
            <charset val="128"/>
          </rPr>
          <t xml:space="preserve">100 121 147 178 215 261 316 383 464 562 681 825 
105 127 154 187 226 274 332 402 487 590 715 866 
110 133 162 196 237 287 348 422 511 619 750 909 
115 140 169 205 249 301 365 442 536 649 787 953 </t>
        </r>
        <r>
          <rPr>
            <b/>
            <sz val="9"/>
            <color indexed="81"/>
            <rFont val="ＭＳ Ｐゴシック"/>
            <family val="3"/>
            <charset val="128"/>
          </rPr>
          <t xml:space="preserve">
[ E96 series ]
</t>
        </r>
        <r>
          <rPr>
            <b/>
            <sz val="9"/>
            <color indexed="60"/>
            <rFont val="ＭＳ Ｐゴシック"/>
            <family val="3"/>
            <charset val="128"/>
          </rPr>
          <t>100 121 147 178 215 261 316 383 464 562 681 825 
102 124 150 182 221 267 324 392 475 576 698 845
105 127 154 187 226 274 332 402 487 590 715 866 
107 130 158 191 232 280 340 412 499 604 732 887
110 133 162 196 237 287 348 422 511 619 750 909 
113 137 165 200 243 294 357 432 523 634 768 931
115 140 169 205 249 301 365 442 536 649 787 953
118 143 174 210 255 309 374 453 549 665 806 976</t>
        </r>
      </text>
    </comment>
    <comment ref="L120" authorId="0">
      <text>
        <r>
          <rPr>
            <b/>
            <sz val="12"/>
            <color indexed="81"/>
            <rFont val="ＭＳ Ｐゴシック"/>
            <family val="3"/>
            <charset val="128"/>
          </rPr>
          <t>min. temp</t>
        </r>
      </text>
    </comment>
    <comment ref="M120" authorId="0">
      <text>
        <r>
          <rPr>
            <b/>
            <sz val="12"/>
            <color indexed="81"/>
            <rFont val="ＭＳ Ｐゴシック"/>
            <family val="3"/>
            <charset val="128"/>
          </rPr>
          <t>max. temp</t>
        </r>
      </text>
    </comment>
    <comment ref="P120" authorId="0">
      <text>
        <r>
          <rPr>
            <b/>
            <sz val="12"/>
            <color indexed="81"/>
            <rFont val="ＭＳ Ｐゴシック"/>
            <family val="3"/>
            <charset val="128"/>
          </rPr>
          <t>min. temp</t>
        </r>
      </text>
    </comment>
    <comment ref="Q120" authorId="0">
      <text>
        <r>
          <rPr>
            <b/>
            <sz val="12"/>
            <color indexed="81"/>
            <rFont val="ＭＳ Ｐゴシック"/>
            <family val="3"/>
            <charset val="128"/>
          </rPr>
          <t>max. temp</t>
        </r>
      </text>
    </comment>
    <comment ref="K121" authorId="0">
      <text>
        <r>
          <rPr>
            <b/>
            <sz val="12"/>
            <color indexed="81"/>
            <rFont val="ＭＳ Ｐゴシック"/>
            <family val="3"/>
            <charset val="128"/>
          </rPr>
          <t>min. Itrip</t>
        </r>
      </text>
    </comment>
    <comment ref="O121" authorId="0">
      <text>
        <r>
          <rPr>
            <b/>
            <sz val="12"/>
            <color indexed="81"/>
            <rFont val="ＭＳ Ｐゴシック"/>
            <family val="3"/>
            <charset val="128"/>
          </rPr>
          <t>min. Itrip</t>
        </r>
      </text>
    </comment>
    <comment ref="K122" authorId="0">
      <text>
        <r>
          <rPr>
            <b/>
            <sz val="12"/>
            <color indexed="81"/>
            <rFont val="ＭＳ Ｐゴシック"/>
            <family val="3"/>
            <charset val="128"/>
          </rPr>
          <t>max. Itrip</t>
        </r>
      </text>
    </comment>
    <comment ref="O122" authorId="0">
      <text>
        <r>
          <rPr>
            <b/>
            <sz val="12"/>
            <color indexed="81"/>
            <rFont val="ＭＳ Ｐゴシック"/>
            <family val="3"/>
            <charset val="128"/>
          </rPr>
          <t>max. Itrip</t>
        </r>
      </text>
    </comment>
    <comment ref="L124" authorId="0">
      <text>
        <r>
          <rPr>
            <b/>
            <sz val="12"/>
            <color indexed="81"/>
            <rFont val="ＭＳ Ｐゴシック"/>
            <family val="3"/>
            <charset val="128"/>
          </rPr>
          <t>min. temp</t>
        </r>
      </text>
    </comment>
    <comment ref="M124" authorId="0">
      <text>
        <r>
          <rPr>
            <b/>
            <sz val="12"/>
            <color indexed="81"/>
            <rFont val="ＭＳ Ｐゴシック"/>
            <family val="3"/>
            <charset val="128"/>
          </rPr>
          <t>max. temp</t>
        </r>
      </text>
    </comment>
    <comment ref="P124" authorId="0">
      <text>
        <r>
          <rPr>
            <b/>
            <sz val="12"/>
            <color indexed="81"/>
            <rFont val="ＭＳ Ｐゴシック"/>
            <family val="3"/>
            <charset val="128"/>
          </rPr>
          <t>min. temp</t>
        </r>
      </text>
    </comment>
    <comment ref="Q124" authorId="0">
      <text>
        <r>
          <rPr>
            <b/>
            <sz val="12"/>
            <color indexed="81"/>
            <rFont val="ＭＳ Ｐゴシック"/>
            <family val="3"/>
            <charset val="128"/>
          </rPr>
          <t>max. temp</t>
        </r>
      </text>
    </comment>
    <comment ref="K125" authorId="0">
      <text>
        <r>
          <rPr>
            <b/>
            <sz val="12"/>
            <color indexed="81"/>
            <rFont val="ＭＳ Ｐゴシック"/>
            <family val="3"/>
            <charset val="128"/>
          </rPr>
          <t>min. Itrip</t>
        </r>
      </text>
    </comment>
    <comment ref="O125" authorId="0">
      <text>
        <r>
          <rPr>
            <b/>
            <sz val="12"/>
            <color indexed="81"/>
            <rFont val="ＭＳ Ｐゴシック"/>
            <family val="3"/>
            <charset val="128"/>
          </rPr>
          <t>min. Itrip</t>
        </r>
      </text>
    </comment>
    <comment ref="K126" authorId="0">
      <text>
        <r>
          <rPr>
            <b/>
            <sz val="12"/>
            <color indexed="81"/>
            <rFont val="ＭＳ Ｐゴシック"/>
            <family val="3"/>
            <charset val="128"/>
          </rPr>
          <t>max. Itrip</t>
        </r>
      </text>
    </comment>
    <comment ref="O126" authorId="0">
      <text>
        <r>
          <rPr>
            <b/>
            <sz val="12"/>
            <color indexed="81"/>
            <rFont val="ＭＳ Ｐゴシック"/>
            <family val="3"/>
            <charset val="128"/>
          </rPr>
          <t>max. Itrip</t>
        </r>
      </text>
    </comment>
    <comment ref="L130" authorId="0">
      <text>
        <r>
          <rPr>
            <b/>
            <sz val="12"/>
            <color indexed="81"/>
            <rFont val="ＭＳ Ｐゴシック"/>
            <family val="3"/>
            <charset val="128"/>
          </rPr>
          <t>min. temp</t>
        </r>
      </text>
    </comment>
    <comment ref="M130" authorId="0">
      <text>
        <r>
          <rPr>
            <b/>
            <sz val="12"/>
            <color indexed="81"/>
            <rFont val="ＭＳ Ｐゴシック"/>
            <family val="3"/>
            <charset val="128"/>
          </rPr>
          <t>max. temp</t>
        </r>
      </text>
    </comment>
    <comment ref="P130" authorId="0">
      <text>
        <r>
          <rPr>
            <b/>
            <sz val="12"/>
            <color indexed="81"/>
            <rFont val="ＭＳ Ｐゴシック"/>
            <family val="3"/>
            <charset val="128"/>
          </rPr>
          <t>min. temp</t>
        </r>
      </text>
    </comment>
    <comment ref="Q130" authorId="0">
      <text>
        <r>
          <rPr>
            <b/>
            <sz val="12"/>
            <color indexed="81"/>
            <rFont val="ＭＳ Ｐゴシック"/>
            <family val="3"/>
            <charset val="128"/>
          </rPr>
          <t>max. temp</t>
        </r>
      </text>
    </comment>
    <comment ref="K131" authorId="0">
      <text>
        <r>
          <rPr>
            <b/>
            <sz val="12"/>
            <color indexed="81"/>
            <rFont val="ＭＳ Ｐゴシック"/>
            <family val="3"/>
            <charset val="128"/>
          </rPr>
          <t>min. Itrip</t>
        </r>
      </text>
    </comment>
    <comment ref="O131" authorId="0">
      <text>
        <r>
          <rPr>
            <b/>
            <sz val="12"/>
            <color indexed="81"/>
            <rFont val="ＭＳ Ｐゴシック"/>
            <family val="3"/>
            <charset val="128"/>
          </rPr>
          <t>min. Itrip</t>
        </r>
      </text>
    </comment>
    <comment ref="K132" authorId="0">
      <text>
        <r>
          <rPr>
            <b/>
            <sz val="12"/>
            <color indexed="81"/>
            <rFont val="ＭＳ Ｐゴシック"/>
            <family val="3"/>
            <charset val="128"/>
          </rPr>
          <t>max. Itrip</t>
        </r>
      </text>
    </comment>
    <comment ref="O132" authorId="0">
      <text>
        <r>
          <rPr>
            <b/>
            <sz val="12"/>
            <color indexed="81"/>
            <rFont val="ＭＳ Ｐゴシック"/>
            <family val="3"/>
            <charset val="128"/>
          </rPr>
          <t>max. Itrip</t>
        </r>
      </text>
    </comment>
    <comment ref="L134" authorId="0">
      <text>
        <r>
          <rPr>
            <b/>
            <sz val="12"/>
            <color indexed="81"/>
            <rFont val="ＭＳ Ｐゴシック"/>
            <family val="3"/>
            <charset val="128"/>
          </rPr>
          <t>min. temp</t>
        </r>
      </text>
    </comment>
    <comment ref="M134" authorId="0">
      <text>
        <r>
          <rPr>
            <b/>
            <sz val="12"/>
            <color indexed="81"/>
            <rFont val="ＭＳ Ｐゴシック"/>
            <family val="3"/>
            <charset val="128"/>
          </rPr>
          <t>max. temp</t>
        </r>
      </text>
    </comment>
    <comment ref="P134" authorId="0">
      <text>
        <r>
          <rPr>
            <b/>
            <sz val="12"/>
            <color indexed="81"/>
            <rFont val="ＭＳ Ｐゴシック"/>
            <family val="3"/>
            <charset val="128"/>
          </rPr>
          <t>min. temp</t>
        </r>
      </text>
    </comment>
    <comment ref="Q134" authorId="0">
      <text>
        <r>
          <rPr>
            <b/>
            <sz val="12"/>
            <color indexed="81"/>
            <rFont val="ＭＳ Ｐゴシック"/>
            <family val="3"/>
            <charset val="128"/>
          </rPr>
          <t>max. temp</t>
        </r>
      </text>
    </comment>
    <comment ref="K135" authorId="0">
      <text>
        <r>
          <rPr>
            <b/>
            <sz val="12"/>
            <color indexed="81"/>
            <rFont val="ＭＳ Ｐゴシック"/>
            <family val="3"/>
            <charset val="128"/>
          </rPr>
          <t>min. Itrip</t>
        </r>
      </text>
    </comment>
    <comment ref="O135" authorId="0">
      <text>
        <r>
          <rPr>
            <b/>
            <sz val="12"/>
            <color indexed="81"/>
            <rFont val="ＭＳ Ｐゴシック"/>
            <family val="3"/>
            <charset val="128"/>
          </rPr>
          <t>min. Itrip</t>
        </r>
      </text>
    </comment>
    <comment ref="K136" authorId="0">
      <text>
        <r>
          <rPr>
            <b/>
            <sz val="12"/>
            <color indexed="81"/>
            <rFont val="ＭＳ Ｐゴシック"/>
            <family val="3"/>
            <charset val="128"/>
          </rPr>
          <t>max. Itrip</t>
        </r>
      </text>
    </comment>
    <comment ref="O136" authorId="0">
      <text>
        <r>
          <rPr>
            <b/>
            <sz val="12"/>
            <color indexed="81"/>
            <rFont val="ＭＳ Ｐゴシック"/>
            <family val="3"/>
            <charset val="128"/>
          </rPr>
          <t>max. Itrip</t>
        </r>
      </text>
    </comment>
    <comment ref="I166" authorId="1">
      <text>
        <r>
          <rPr>
            <b/>
            <sz val="9"/>
            <color indexed="81"/>
            <rFont val="ＭＳ Ｐゴシック"/>
            <family val="3"/>
            <charset val="128"/>
          </rPr>
          <t>Vinmax, Vout, L and Fsw affect this value.</t>
        </r>
      </text>
    </comment>
    <comment ref="Y166" authorId="1">
      <text>
        <r>
          <rPr>
            <b/>
            <sz val="9"/>
            <color indexed="81"/>
            <rFont val="ＭＳ Ｐゴシック"/>
            <family val="3"/>
            <charset val="128"/>
          </rPr>
          <t>Vinmax, Vout, L and Fsw affect this value.</t>
        </r>
      </text>
    </comment>
  </commentList>
</comments>
</file>

<file path=xl/comments2.xml><?xml version="1.0" encoding="utf-8"?>
<comments xmlns="http://schemas.openxmlformats.org/spreadsheetml/2006/main">
  <authors>
    <author>Ishikawa, Shuichi</author>
    <author>Shuichi Ishikawa</author>
  </authors>
  <commentList>
    <comment ref="C30" authorId="0">
      <text>
        <r>
          <rPr>
            <b/>
            <sz val="9"/>
            <color indexed="81"/>
            <rFont val="ＭＳ Ｐゴシック"/>
            <family val="3"/>
            <charset val="128"/>
          </rPr>
          <t xml:space="preserve">[ E24 series ]
</t>
        </r>
        <r>
          <rPr>
            <b/>
            <sz val="9"/>
            <color indexed="60"/>
            <rFont val="ＭＳ Ｐゴシック"/>
            <family val="3"/>
            <charset val="128"/>
          </rPr>
          <t>10  12  15  18  22  27  33  39  47  56  68  82
11  13  16  20  24  30  36  43  51  62  75  91</t>
        </r>
        <r>
          <rPr>
            <b/>
            <sz val="9"/>
            <color indexed="81"/>
            <rFont val="ＭＳ Ｐゴシック"/>
            <family val="3"/>
            <charset val="128"/>
          </rPr>
          <t xml:space="preserve">
[ E48 series ]
</t>
        </r>
        <r>
          <rPr>
            <b/>
            <sz val="9"/>
            <color indexed="60"/>
            <rFont val="ＭＳ Ｐゴシック"/>
            <family val="3"/>
            <charset val="128"/>
          </rPr>
          <t xml:space="preserve">100 121 147 178 215 261 316 383 464 562 681 825 
105 127 154 187 226 274 332 402 487 590 715 866 
110 133 162 196 237 287 348 422 511 619 750 909 
115 140 169 205 249 301 365 442 536 649 787 953 </t>
        </r>
        <r>
          <rPr>
            <b/>
            <sz val="9"/>
            <color indexed="81"/>
            <rFont val="ＭＳ Ｐゴシック"/>
            <family val="3"/>
            <charset val="128"/>
          </rPr>
          <t xml:space="preserve">
[ E96 series ]
</t>
        </r>
        <r>
          <rPr>
            <b/>
            <sz val="9"/>
            <color indexed="60"/>
            <rFont val="ＭＳ Ｐゴシック"/>
            <family val="3"/>
            <charset val="128"/>
          </rPr>
          <t xml:space="preserve">100 121 147 178 215 261 316 383 464 562 681 825 
102 124 150 182 221 267 324 392 475 576 698 845 
105 127 154 187 226 274 332 402 487 590 715 866 
107 130 158 191 232 280 340 412 499 604 732 887 
110 133 162 196 237 287 348 422 511 619 750 909 
113 137 165 200 243 294 357 432 523 634 768 931 
115 140 169 205 249 301 365 442 536 649 787 953 
118 143 174 210 255 309 374 453 549 665 806 976 
</t>
        </r>
        <r>
          <rPr>
            <b/>
            <sz val="9"/>
            <color indexed="81"/>
            <rFont val="ＭＳ Ｐゴシック"/>
            <family val="3"/>
            <charset val="128"/>
          </rPr>
          <t xml:space="preserve">
</t>
        </r>
      </text>
    </comment>
    <comment ref="F30" authorId="0">
      <text>
        <r>
          <rPr>
            <b/>
            <sz val="9"/>
            <color indexed="81"/>
            <rFont val="ＭＳ Ｐゴシック"/>
            <family val="3"/>
            <charset val="128"/>
          </rPr>
          <t xml:space="preserve">[ E24 series ]
</t>
        </r>
        <r>
          <rPr>
            <b/>
            <sz val="9"/>
            <color indexed="60"/>
            <rFont val="ＭＳ Ｐゴシック"/>
            <family val="3"/>
            <charset val="128"/>
          </rPr>
          <t>10  12  15  18  22  27  33  39  47  56  68  82
11  13  16  20  24  30  36  43  51  62  75  91</t>
        </r>
        <r>
          <rPr>
            <b/>
            <sz val="9"/>
            <color indexed="81"/>
            <rFont val="ＭＳ Ｐゴシック"/>
            <family val="3"/>
            <charset val="128"/>
          </rPr>
          <t xml:space="preserve">
[ E48 series ]
</t>
        </r>
        <r>
          <rPr>
            <b/>
            <sz val="9"/>
            <color indexed="60"/>
            <rFont val="ＭＳ Ｐゴシック"/>
            <family val="3"/>
            <charset val="128"/>
          </rPr>
          <t xml:space="preserve">100 121 147 178 215 261 316 383 464 562 681 825 
105 127 154 187 226 274 332 402 487 590 715 866 
110 133 162 196 237 287 348 422 511 619 750 909 
115 140 169 205 249 301 365 442 536 649 787 953 </t>
        </r>
        <r>
          <rPr>
            <b/>
            <sz val="9"/>
            <color indexed="81"/>
            <rFont val="ＭＳ Ｐゴシック"/>
            <family val="3"/>
            <charset val="128"/>
          </rPr>
          <t xml:space="preserve">
[ E96 series ]
</t>
        </r>
        <r>
          <rPr>
            <b/>
            <sz val="9"/>
            <color indexed="60"/>
            <rFont val="ＭＳ Ｐゴシック"/>
            <family val="3"/>
            <charset val="128"/>
          </rPr>
          <t xml:space="preserve">100 121 147 178 215 261 316 383 464 562 681 825 
102 124 150 182 221 267 324 392 475 576 698 845 
105 127 154 187 226 274 332 402 487 590 715 866 
107 130 158 191 232 280 340 412 499 604 732 887 
110 133 162 196 237 287 348 422 511 619 750 909 
113 137 165 200 243 294 357 432 523 634 768 931 
115 140 169 205 249 301 365 442 536 649 787 953 
118 143 174 210 255 309 374 453 549 665 806 976 
</t>
        </r>
        <r>
          <rPr>
            <b/>
            <sz val="9"/>
            <color indexed="81"/>
            <rFont val="ＭＳ Ｐゴシック"/>
            <family val="3"/>
            <charset val="128"/>
          </rPr>
          <t xml:space="preserve">
</t>
        </r>
      </text>
    </comment>
    <comment ref="E60" authorId="0">
      <text>
        <r>
          <rPr>
            <b/>
            <sz val="9"/>
            <color indexed="81"/>
            <rFont val="ＭＳ Ｐゴシック"/>
            <family val="3"/>
            <charset val="128"/>
          </rPr>
          <t xml:space="preserve">[ E24 series ]
</t>
        </r>
        <r>
          <rPr>
            <b/>
            <sz val="9"/>
            <color indexed="60"/>
            <rFont val="ＭＳ Ｐゴシック"/>
            <family val="3"/>
            <charset val="128"/>
          </rPr>
          <t>10  12  15  18  22  27  33  39  47  56  68  82
11  13  16  20  24  30  36  43  51  62  75  91</t>
        </r>
        <r>
          <rPr>
            <b/>
            <sz val="9"/>
            <color indexed="81"/>
            <rFont val="ＭＳ Ｐゴシック"/>
            <family val="3"/>
            <charset val="128"/>
          </rPr>
          <t xml:space="preserve">
[ E48 series ]
</t>
        </r>
        <r>
          <rPr>
            <b/>
            <sz val="9"/>
            <color indexed="60"/>
            <rFont val="ＭＳ Ｐゴシック"/>
            <family val="3"/>
            <charset val="128"/>
          </rPr>
          <t xml:space="preserve">100 121 147 178 215 261 316 383 464 562 681 825 
105 127 154 187 226 274 332 402 487 590 715 866 
110 133 162 196 237 287 348 422 511 619 750 909 
115 140 169 205 249 301 365 442 536 649 787 953 </t>
        </r>
        <r>
          <rPr>
            <b/>
            <sz val="9"/>
            <color indexed="81"/>
            <rFont val="ＭＳ Ｐゴシック"/>
            <family val="3"/>
            <charset val="128"/>
          </rPr>
          <t xml:space="preserve">
[ E96 series ]
</t>
        </r>
        <r>
          <rPr>
            <b/>
            <sz val="9"/>
            <color indexed="60"/>
            <rFont val="ＭＳ Ｐゴシック"/>
            <family val="3"/>
            <charset val="128"/>
          </rPr>
          <t xml:space="preserve">100 121 147 178 215 261 316 383 464 562 681 825 
102 124 150 182 221 267 324 392 475 576 698 845 
105 127 154 187 226 274 332 402 487 590 715 866 
107 130 158 191 232 280 340 412 499 604 732 887 
110 133 162 196 237 287 348 422 511 619 750 909 
113 137 165 200 243 294 357 432 523 634 768 931 
115 140 169 205 249 301 365 442 536 649 787 953 
118 143 174 210 255 309 374 453 549 665 806 976 
</t>
        </r>
        <r>
          <rPr>
            <b/>
            <sz val="9"/>
            <color indexed="81"/>
            <rFont val="ＭＳ Ｐゴシック"/>
            <family val="3"/>
            <charset val="128"/>
          </rPr>
          <t xml:space="preserve">
</t>
        </r>
      </text>
    </comment>
    <comment ref="L90" authorId="0">
      <text>
        <r>
          <rPr>
            <b/>
            <sz val="12"/>
            <color indexed="81"/>
            <rFont val="ＭＳ Ｐゴシック"/>
            <family val="3"/>
            <charset val="128"/>
          </rPr>
          <t>min. temp</t>
        </r>
      </text>
    </comment>
    <comment ref="M90" authorId="0">
      <text>
        <r>
          <rPr>
            <b/>
            <sz val="12"/>
            <color indexed="81"/>
            <rFont val="ＭＳ Ｐゴシック"/>
            <family val="3"/>
            <charset val="128"/>
          </rPr>
          <t>max. temp</t>
        </r>
      </text>
    </comment>
    <comment ref="P90" authorId="0">
      <text>
        <r>
          <rPr>
            <b/>
            <sz val="12"/>
            <color indexed="81"/>
            <rFont val="ＭＳ Ｐゴシック"/>
            <family val="3"/>
            <charset val="128"/>
          </rPr>
          <t>min. temp</t>
        </r>
      </text>
    </comment>
    <comment ref="Q90" authorId="0">
      <text>
        <r>
          <rPr>
            <b/>
            <sz val="12"/>
            <color indexed="81"/>
            <rFont val="ＭＳ Ｐゴシック"/>
            <family val="3"/>
            <charset val="128"/>
          </rPr>
          <t>max. temp</t>
        </r>
      </text>
    </comment>
    <comment ref="K91" authorId="0">
      <text>
        <r>
          <rPr>
            <b/>
            <sz val="12"/>
            <color indexed="81"/>
            <rFont val="ＭＳ Ｐゴシック"/>
            <family val="3"/>
            <charset val="128"/>
          </rPr>
          <t>min. Itrip</t>
        </r>
      </text>
    </comment>
    <comment ref="O91" authorId="0">
      <text>
        <r>
          <rPr>
            <b/>
            <sz val="12"/>
            <color indexed="81"/>
            <rFont val="ＭＳ Ｐゴシック"/>
            <family val="3"/>
            <charset val="128"/>
          </rPr>
          <t>min. Itrip</t>
        </r>
      </text>
    </comment>
    <comment ref="K92" authorId="0">
      <text>
        <r>
          <rPr>
            <b/>
            <sz val="12"/>
            <color indexed="81"/>
            <rFont val="ＭＳ Ｐゴシック"/>
            <family val="3"/>
            <charset val="128"/>
          </rPr>
          <t>max. Itrip</t>
        </r>
      </text>
    </comment>
    <comment ref="O92" authorId="0">
      <text>
        <r>
          <rPr>
            <b/>
            <sz val="12"/>
            <color indexed="81"/>
            <rFont val="ＭＳ Ｐゴシック"/>
            <family val="3"/>
            <charset val="128"/>
          </rPr>
          <t>max. Itrip</t>
        </r>
      </text>
    </comment>
    <comment ref="L94" authorId="0">
      <text>
        <r>
          <rPr>
            <b/>
            <sz val="12"/>
            <color indexed="81"/>
            <rFont val="ＭＳ Ｐゴシック"/>
            <family val="3"/>
            <charset val="128"/>
          </rPr>
          <t>min. temp</t>
        </r>
      </text>
    </comment>
    <comment ref="M94" authorId="0">
      <text>
        <r>
          <rPr>
            <b/>
            <sz val="12"/>
            <color indexed="81"/>
            <rFont val="ＭＳ Ｐゴシック"/>
            <family val="3"/>
            <charset val="128"/>
          </rPr>
          <t>max. temp</t>
        </r>
      </text>
    </comment>
    <comment ref="P94" authorId="0">
      <text>
        <r>
          <rPr>
            <b/>
            <sz val="12"/>
            <color indexed="81"/>
            <rFont val="ＭＳ Ｐゴシック"/>
            <family val="3"/>
            <charset val="128"/>
          </rPr>
          <t>min. temp</t>
        </r>
      </text>
    </comment>
    <comment ref="Q94" authorId="0">
      <text>
        <r>
          <rPr>
            <b/>
            <sz val="12"/>
            <color indexed="81"/>
            <rFont val="ＭＳ Ｐゴシック"/>
            <family val="3"/>
            <charset val="128"/>
          </rPr>
          <t>max. temp</t>
        </r>
      </text>
    </comment>
    <comment ref="K95" authorId="0">
      <text>
        <r>
          <rPr>
            <b/>
            <sz val="12"/>
            <color indexed="81"/>
            <rFont val="ＭＳ Ｐゴシック"/>
            <family val="3"/>
            <charset val="128"/>
          </rPr>
          <t>min. Itrip</t>
        </r>
      </text>
    </comment>
    <comment ref="O95" authorId="0">
      <text>
        <r>
          <rPr>
            <b/>
            <sz val="12"/>
            <color indexed="81"/>
            <rFont val="ＭＳ Ｐゴシック"/>
            <family val="3"/>
            <charset val="128"/>
          </rPr>
          <t>min. Itrip</t>
        </r>
      </text>
    </comment>
    <comment ref="K96" authorId="0">
      <text>
        <r>
          <rPr>
            <b/>
            <sz val="12"/>
            <color indexed="81"/>
            <rFont val="ＭＳ Ｐゴシック"/>
            <family val="3"/>
            <charset val="128"/>
          </rPr>
          <t>max. Itrip</t>
        </r>
      </text>
    </comment>
    <comment ref="O96" authorId="0">
      <text>
        <r>
          <rPr>
            <b/>
            <sz val="12"/>
            <color indexed="81"/>
            <rFont val="ＭＳ Ｐゴシック"/>
            <family val="3"/>
            <charset val="128"/>
          </rPr>
          <t>max. Itrip</t>
        </r>
      </text>
    </comment>
    <comment ref="L100" authorId="0">
      <text>
        <r>
          <rPr>
            <b/>
            <sz val="12"/>
            <color indexed="81"/>
            <rFont val="ＭＳ Ｐゴシック"/>
            <family val="3"/>
            <charset val="128"/>
          </rPr>
          <t>min. temp</t>
        </r>
      </text>
    </comment>
    <comment ref="M100" authorId="0">
      <text>
        <r>
          <rPr>
            <b/>
            <sz val="12"/>
            <color indexed="81"/>
            <rFont val="ＭＳ Ｐゴシック"/>
            <family val="3"/>
            <charset val="128"/>
          </rPr>
          <t>max. temp</t>
        </r>
      </text>
    </comment>
    <comment ref="P100" authorId="0">
      <text>
        <r>
          <rPr>
            <b/>
            <sz val="12"/>
            <color indexed="81"/>
            <rFont val="ＭＳ Ｐゴシック"/>
            <family val="3"/>
            <charset val="128"/>
          </rPr>
          <t>min. temp</t>
        </r>
      </text>
    </comment>
    <comment ref="Q100" authorId="0">
      <text>
        <r>
          <rPr>
            <b/>
            <sz val="12"/>
            <color indexed="81"/>
            <rFont val="ＭＳ Ｐゴシック"/>
            <family val="3"/>
            <charset val="128"/>
          </rPr>
          <t>max. temp</t>
        </r>
      </text>
    </comment>
    <comment ref="K101" authorId="0">
      <text>
        <r>
          <rPr>
            <b/>
            <sz val="12"/>
            <color indexed="81"/>
            <rFont val="ＭＳ Ｐゴシック"/>
            <family val="3"/>
            <charset val="128"/>
          </rPr>
          <t>min. Itrip</t>
        </r>
      </text>
    </comment>
    <comment ref="O101" authorId="0">
      <text>
        <r>
          <rPr>
            <b/>
            <sz val="12"/>
            <color indexed="81"/>
            <rFont val="ＭＳ Ｐゴシック"/>
            <family val="3"/>
            <charset val="128"/>
          </rPr>
          <t>min. Itrip</t>
        </r>
      </text>
    </comment>
    <comment ref="K102" authorId="0">
      <text>
        <r>
          <rPr>
            <b/>
            <sz val="12"/>
            <color indexed="81"/>
            <rFont val="ＭＳ Ｐゴシック"/>
            <family val="3"/>
            <charset val="128"/>
          </rPr>
          <t>max. Itrip</t>
        </r>
      </text>
    </comment>
    <comment ref="O102" authorId="0">
      <text>
        <r>
          <rPr>
            <b/>
            <sz val="12"/>
            <color indexed="81"/>
            <rFont val="ＭＳ Ｐゴシック"/>
            <family val="3"/>
            <charset val="128"/>
          </rPr>
          <t>max. Itrip</t>
        </r>
      </text>
    </comment>
    <comment ref="L105" authorId="0">
      <text>
        <r>
          <rPr>
            <b/>
            <sz val="12"/>
            <color indexed="81"/>
            <rFont val="ＭＳ Ｐゴシック"/>
            <family val="3"/>
            <charset val="128"/>
          </rPr>
          <t>min. temp</t>
        </r>
      </text>
    </comment>
    <comment ref="M105" authorId="0">
      <text>
        <r>
          <rPr>
            <b/>
            <sz val="12"/>
            <color indexed="81"/>
            <rFont val="ＭＳ Ｐゴシック"/>
            <family val="3"/>
            <charset val="128"/>
          </rPr>
          <t>max. temp</t>
        </r>
      </text>
    </comment>
    <comment ref="P105" authorId="0">
      <text>
        <r>
          <rPr>
            <b/>
            <sz val="12"/>
            <color indexed="81"/>
            <rFont val="ＭＳ Ｐゴシック"/>
            <family val="3"/>
            <charset val="128"/>
          </rPr>
          <t>min. temp</t>
        </r>
      </text>
    </comment>
    <comment ref="Q105" authorId="0">
      <text>
        <r>
          <rPr>
            <b/>
            <sz val="12"/>
            <color indexed="81"/>
            <rFont val="ＭＳ Ｐゴシック"/>
            <family val="3"/>
            <charset val="128"/>
          </rPr>
          <t>max. temp</t>
        </r>
      </text>
    </comment>
    <comment ref="K106" authorId="0">
      <text>
        <r>
          <rPr>
            <b/>
            <sz val="12"/>
            <color indexed="81"/>
            <rFont val="ＭＳ Ｐゴシック"/>
            <family val="3"/>
            <charset val="128"/>
          </rPr>
          <t>min. Itrip</t>
        </r>
      </text>
    </comment>
    <comment ref="O106" authorId="0">
      <text>
        <r>
          <rPr>
            <b/>
            <sz val="12"/>
            <color indexed="81"/>
            <rFont val="ＭＳ Ｐゴシック"/>
            <family val="3"/>
            <charset val="128"/>
          </rPr>
          <t>min. Itrip</t>
        </r>
      </text>
    </comment>
    <comment ref="K107" authorId="0">
      <text>
        <r>
          <rPr>
            <b/>
            <sz val="12"/>
            <color indexed="81"/>
            <rFont val="ＭＳ Ｐゴシック"/>
            <family val="3"/>
            <charset val="128"/>
          </rPr>
          <t>max. Itrip</t>
        </r>
      </text>
    </comment>
    <comment ref="O107" authorId="0">
      <text>
        <r>
          <rPr>
            <b/>
            <sz val="12"/>
            <color indexed="81"/>
            <rFont val="ＭＳ Ｐゴシック"/>
            <family val="3"/>
            <charset val="128"/>
          </rPr>
          <t>max. Itrip</t>
        </r>
      </text>
    </comment>
    <comment ref="L111" authorId="0">
      <text>
        <r>
          <rPr>
            <b/>
            <sz val="12"/>
            <color indexed="81"/>
            <rFont val="ＭＳ Ｐゴシック"/>
            <family val="3"/>
            <charset val="128"/>
          </rPr>
          <t>min. temp</t>
        </r>
      </text>
    </comment>
    <comment ref="M111" authorId="0">
      <text>
        <r>
          <rPr>
            <b/>
            <sz val="12"/>
            <color indexed="81"/>
            <rFont val="ＭＳ Ｐゴシック"/>
            <family val="3"/>
            <charset val="128"/>
          </rPr>
          <t>max. temp</t>
        </r>
      </text>
    </comment>
    <comment ref="P111" authorId="0">
      <text>
        <r>
          <rPr>
            <b/>
            <sz val="12"/>
            <color indexed="81"/>
            <rFont val="ＭＳ Ｐゴシック"/>
            <family val="3"/>
            <charset val="128"/>
          </rPr>
          <t>min. temp</t>
        </r>
      </text>
    </comment>
    <comment ref="Q111" authorId="0">
      <text>
        <r>
          <rPr>
            <b/>
            <sz val="12"/>
            <color indexed="81"/>
            <rFont val="ＭＳ Ｐゴシック"/>
            <family val="3"/>
            <charset val="128"/>
          </rPr>
          <t>max. temp</t>
        </r>
      </text>
    </comment>
    <comment ref="K112" authorId="0">
      <text>
        <r>
          <rPr>
            <b/>
            <sz val="12"/>
            <color indexed="81"/>
            <rFont val="ＭＳ Ｐゴシック"/>
            <family val="3"/>
            <charset val="128"/>
          </rPr>
          <t>min. Itrip</t>
        </r>
      </text>
    </comment>
    <comment ref="O112" authorId="0">
      <text>
        <r>
          <rPr>
            <b/>
            <sz val="12"/>
            <color indexed="81"/>
            <rFont val="ＭＳ Ｐゴシック"/>
            <family val="3"/>
            <charset val="128"/>
          </rPr>
          <t>min. Itrip</t>
        </r>
      </text>
    </comment>
    <comment ref="K113" authorId="0">
      <text>
        <r>
          <rPr>
            <b/>
            <sz val="12"/>
            <color indexed="81"/>
            <rFont val="ＭＳ Ｐゴシック"/>
            <family val="3"/>
            <charset val="128"/>
          </rPr>
          <t>max. Itrip</t>
        </r>
      </text>
    </comment>
    <comment ref="O113" authorId="0">
      <text>
        <r>
          <rPr>
            <b/>
            <sz val="12"/>
            <color indexed="81"/>
            <rFont val="ＭＳ Ｐゴシック"/>
            <family val="3"/>
            <charset val="128"/>
          </rPr>
          <t>max. Itrip</t>
        </r>
      </text>
    </comment>
    <comment ref="E114" authorId="0">
      <text>
        <r>
          <rPr>
            <b/>
            <sz val="9"/>
            <color indexed="81"/>
            <rFont val="ＭＳ Ｐゴシック"/>
            <family val="3"/>
            <charset val="128"/>
          </rPr>
          <t xml:space="preserve">[ E24 series ]
</t>
        </r>
        <r>
          <rPr>
            <b/>
            <sz val="9"/>
            <color indexed="60"/>
            <rFont val="ＭＳ Ｐゴシック"/>
            <family val="3"/>
            <charset val="128"/>
          </rPr>
          <t>10  12  15  18  22  27  33  39  47  56  68  82
11  13  16  20  24  30  36  43  51  62  75  91</t>
        </r>
        <r>
          <rPr>
            <b/>
            <sz val="9"/>
            <color indexed="81"/>
            <rFont val="ＭＳ Ｐゴシック"/>
            <family val="3"/>
            <charset val="128"/>
          </rPr>
          <t xml:space="preserve">
[ E48 series ]
</t>
        </r>
        <r>
          <rPr>
            <b/>
            <sz val="9"/>
            <color indexed="60"/>
            <rFont val="ＭＳ Ｐゴシック"/>
            <family val="3"/>
            <charset val="128"/>
          </rPr>
          <t xml:space="preserve">100 121 147 178 215 261 316 383 464 562 681 825 
105 127 154 187 226 274 332 402 487 590 715 866 
110 133 162 196 237 287 348 422 511 619 750 909 
115 140 169 205 249 301 365 442 536 649 787 953 </t>
        </r>
        <r>
          <rPr>
            <b/>
            <sz val="9"/>
            <color indexed="81"/>
            <rFont val="ＭＳ Ｐゴシック"/>
            <family val="3"/>
            <charset val="128"/>
          </rPr>
          <t xml:space="preserve">
[ E96 series ]
</t>
        </r>
        <r>
          <rPr>
            <b/>
            <sz val="9"/>
            <color indexed="60"/>
            <rFont val="ＭＳ Ｐゴシック"/>
            <family val="3"/>
            <charset val="128"/>
          </rPr>
          <t>100 121 147 178 215 261 316 383 464 562 681 825 
102 124 150 182 221 267 324 392 475 576 698 845
105 127 154 187 226 274 332 402 487 590 715 866 
107 130 158 191 232 280 340 412 499 604 732 887
110 133 162 196 237 287 348 422 511 619 750 909 
113 137 165 200 243 294 357 432 523 634 768 931
115 140 169 205 249 301 365 442 536 649 787 953
118 143 174 210 255 309 374 453 549 665 806 976</t>
        </r>
      </text>
    </comment>
    <comment ref="L117" authorId="0">
      <text>
        <r>
          <rPr>
            <b/>
            <sz val="12"/>
            <color indexed="81"/>
            <rFont val="ＭＳ Ｐゴシック"/>
            <family val="3"/>
            <charset val="128"/>
          </rPr>
          <t>min. temp</t>
        </r>
      </text>
    </comment>
    <comment ref="M117" authorId="0">
      <text>
        <r>
          <rPr>
            <b/>
            <sz val="12"/>
            <color indexed="81"/>
            <rFont val="ＭＳ Ｐゴシック"/>
            <family val="3"/>
            <charset val="128"/>
          </rPr>
          <t>max. temp</t>
        </r>
      </text>
    </comment>
    <comment ref="P117" authorId="0">
      <text>
        <r>
          <rPr>
            <b/>
            <sz val="12"/>
            <color indexed="81"/>
            <rFont val="ＭＳ Ｐゴシック"/>
            <family val="3"/>
            <charset val="128"/>
          </rPr>
          <t>min. temp</t>
        </r>
      </text>
    </comment>
    <comment ref="Q117" authorId="0">
      <text>
        <r>
          <rPr>
            <b/>
            <sz val="12"/>
            <color indexed="81"/>
            <rFont val="ＭＳ Ｐゴシック"/>
            <family val="3"/>
            <charset val="128"/>
          </rPr>
          <t>max. temp</t>
        </r>
      </text>
    </comment>
    <comment ref="K118" authorId="0">
      <text>
        <r>
          <rPr>
            <b/>
            <sz val="12"/>
            <color indexed="81"/>
            <rFont val="ＭＳ Ｐゴシック"/>
            <family val="3"/>
            <charset val="128"/>
          </rPr>
          <t>min. Itrip</t>
        </r>
      </text>
    </comment>
    <comment ref="O118" authorId="0">
      <text>
        <r>
          <rPr>
            <b/>
            <sz val="12"/>
            <color indexed="81"/>
            <rFont val="ＭＳ Ｐゴシック"/>
            <family val="3"/>
            <charset val="128"/>
          </rPr>
          <t>min. Itrip</t>
        </r>
      </text>
    </comment>
    <comment ref="K119" authorId="0">
      <text>
        <r>
          <rPr>
            <b/>
            <sz val="12"/>
            <color indexed="81"/>
            <rFont val="ＭＳ Ｐゴシック"/>
            <family val="3"/>
            <charset val="128"/>
          </rPr>
          <t>max. Itrip</t>
        </r>
      </text>
    </comment>
    <comment ref="O119" authorId="0">
      <text>
        <r>
          <rPr>
            <b/>
            <sz val="12"/>
            <color indexed="81"/>
            <rFont val="ＭＳ Ｐゴシック"/>
            <family val="3"/>
            <charset val="128"/>
          </rPr>
          <t>max. Itrip</t>
        </r>
      </text>
    </comment>
    <comment ref="L121" authorId="0">
      <text>
        <r>
          <rPr>
            <b/>
            <sz val="12"/>
            <color indexed="81"/>
            <rFont val="ＭＳ Ｐゴシック"/>
            <family val="3"/>
            <charset val="128"/>
          </rPr>
          <t>min. temp</t>
        </r>
      </text>
    </comment>
    <comment ref="M121" authorId="0">
      <text>
        <r>
          <rPr>
            <b/>
            <sz val="12"/>
            <color indexed="81"/>
            <rFont val="ＭＳ Ｐゴシック"/>
            <family val="3"/>
            <charset val="128"/>
          </rPr>
          <t>max. temp</t>
        </r>
      </text>
    </comment>
    <comment ref="P121" authorId="0">
      <text>
        <r>
          <rPr>
            <b/>
            <sz val="12"/>
            <color indexed="81"/>
            <rFont val="ＭＳ Ｐゴシック"/>
            <family val="3"/>
            <charset val="128"/>
          </rPr>
          <t>min. temp</t>
        </r>
      </text>
    </comment>
    <comment ref="Q121" authorId="0">
      <text>
        <r>
          <rPr>
            <b/>
            <sz val="12"/>
            <color indexed="81"/>
            <rFont val="ＭＳ Ｐゴシック"/>
            <family val="3"/>
            <charset val="128"/>
          </rPr>
          <t>max. temp</t>
        </r>
      </text>
    </comment>
    <comment ref="K122" authorId="0">
      <text>
        <r>
          <rPr>
            <b/>
            <sz val="12"/>
            <color indexed="81"/>
            <rFont val="ＭＳ Ｐゴシック"/>
            <family val="3"/>
            <charset val="128"/>
          </rPr>
          <t>min. Itrip</t>
        </r>
      </text>
    </comment>
    <comment ref="O122" authorId="0">
      <text>
        <r>
          <rPr>
            <b/>
            <sz val="12"/>
            <color indexed="81"/>
            <rFont val="ＭＳ Ｐゴシック"/>
            <family val="3"/>
            <charset val="128"/>
          </rPr>
          <t>min. Itrip</t>
        </r>
      </text>
    </comment>
    <comment ref="K123" authorId="0">
      <text>
        <r>
          <rPr>
            <b/>
            <sz val="12"/>
            <color indexed="81"/>
            <rFont val="ＭＳ Ｐゴシック"/>
            <family val="3"/>
            <charset val="128"/>
          </rPr>
          <t>max. Itrip</t>
        </r>
      </text>
    </comment>
    <comment ref="O123" authorId="0">
      <text>
        <r>
          <rPr>
            <b/>
            <sz val="12"/>
            <color indexed="81"/>
            <rFont val="ＭＳ Ｐゴシック"/>
            <family val="3"/>
            <charset val="128"/>
          </rPr>
          <t>max. Itrip</t>
        </r>
      </text>
    </comment>
    <comment ref="L127" authorId="0">
      <text>
        <r>
          <rPr>
            <b/>
            <sz val="12"/>
            <color indexed="81"/>
            <rFont val="ＭＳ Ｐゴシック"/>
            <family val="3"/>
            <charset val="128"/>
          </rPr>
          <t>min. temp</t>
        </r>
      </text>
    </comment>
    <comment ref="M127" authorId="0">
      <text>
        <r>
          <rPr>
            <b/>
            <sz val="12"/>
            <color indexed="81"/>
            <rFont val="ＭＳ Ｐゴシック"/>
            <family val="3"/>
            <charset val="128"/>
          </rPr>
          <t>max. temp</t>
        </r>
      </text>
    </comment>
    <comment ref="P127" authorId="0">
      <text>
        <r>
          <rPr>
            <b/>
            <sz val="12"/>
            <color indexed="81"/>
            <rFont val="ＭＳ Ｐゴシック"/>
            <family val="3"/>
            <charset val="128"/>
          </rPr>
          <t>min. temp</t>
        </r>
      </text>
    </comment>
    <comment ref="Q127" authorId="0">
      <text>
        <r>
          <rPr>
            <b/>
            <sz val="12"/>
            <color indexed="81"/>
            <rFont val="ＭＳ Ｐゴシック"/>
            <family val="3"/>
            <charset val="128"/>
          </rPr>
          <t>max. temp</t>
        </r>
      </text>
    </comment>
    <comment ref="K128" authorId="0">
      <text>
        <r>
          <rPr>
            <b/>
            <sz val="12"/>
            <color indexed="81"/>
            <rFont val="ＭＳ Ｐゴシック"/>
            <family val="3"/>
            <charset val="128"/>
          </rPr>
          <t>min. Itrip</t>
        </r>
      </text>
    </comment>
    <comment ref="O128" authorId="0">
      <text>
        <r>
          <rPr>
            <b/>
            <sz val="12"/>
            <color indexed="81"/>
            <rFont val="ＭＳ Ｐゴシック"/>
            <family val="3"/>
            <charset val="128"/>
          </rPr>
          <t>min. Itrip</t>
        </r>
      </text>
    </comment>
    <comment ref="K129" authorId="0">
      <text>
        <r>
          <rPr>
            <b/>
            <sz val="12"/>
            <color indexed="81"/>
            <rFont val="ＭＳ Ｐゴシック"/>
            <family val="3"/>
            <charset val="128"/>
          </rPr>
          <t>max. Itrip</t>
        </r>
      </text>
    </comment>
    <comment ref="O129" authorId="0">
      <text>
        <r>
          <rPr>
            <b/>
            <sz val="12"/>
            <color indexed="81"/>
            <rFont val="ＭＳ Ｐゴシック"/>
            <family val="3"/>
            <charset val="128"/>
          </rPr>
          <t>max. Itrip</t>
        </r>
      </text>
    </comment>
    <comment ref="L131" authorId="0">
      <text>
        <r>
          <rPr>
            <b/>
            <sz val="12"/>
            <color indexed="81"/>
            <rFont val="ＭＳ Ｐゴシック"/>
            <family val="3"/>
            <charset val="128"/>
          </rPr>
          <t>min. temp</t>
        </r>
      </text>
    </comment>
    <comment ref="M131" authorId="0">
      <text>
        <r>
          <rPr>
            <b/>
            <sz val="12"/>
            <color indexed="81"/>
            <rFont val="ＭＳ Ｐゴシック"/>
            <family val="3"/>
            <charset val="128"/>
          </rPr>
          <t>max. temp</t>
        </r>
      </text>
    </comment>
    <comment ref="P131" authorId="0">
      <text>
        <r>
          <rPr>
            <b/>
            <sz val="12"/>
            <color indexed="81"/>
            <rFont val="ＭＳ Ｐゴシック"/>
            <family val="3"/>
            <charset val="128"/>
          </rPr>
          <t>min. temp</t>
        </r>
      </text>
    </comment>
    <comment ref="Q131" authorId="0">
      <text>
        <r>
          <rPr>
            <b/>
            <sz val="12"/>
            <color indexed="81"/>
            <rFont val="ＭＳ Ｐゴシック"/>
            <family val="3"/>
            <charset val="128"/>
          </rPr>
          <t>max. temp</t>
        </r>
      </text>
    </comment>
    <comment ref="K132" authorId="0">
      <text>
        <r>
          <rPr>
            <b/>
            <sz val="12"/>
            <color indexed="81"/>
            <rFont val="ＭＳ Ｐゴシック"/>
            <family val="3"/>
            <charset val="128"/>
          </rPr>
          <t>min. Itrip</t>
        </r>
      </text>
    </comment>
    <comment ref="O132" authorId="0">
      <text>
        <r>
          <rPr>
            <b/>
            <sz val="12"/>
            <color indexed="81"/>
            <rFont val="ＭＳ Ｐゴシック"/>
            <family val="3"/>
            <charset val="128"/>
          </rPr>
          <t>min. Itrip</t>
        </r>
      </text>
    </comment>
    <comment ref="K133" authorId="0">
      <text>
        <r>
          <rPr>
            <b/>
            <sz val="12"/>
            <color indexed="81"/>
            <rFont val="ＭＳ Ｐゴシック"/>
            <family val="3"/>
            <charset val="128"/>
          </rPr>
          <t>max. Itrip</t>
        </r>
      </text>
    </comment>
    <comment ref="O133" authorId="0">
      <text>
        <r>
          <rPr>
            <b/>
            <sz val="12"/>
            <color indexed="81"/>
            <rFont val="ＭＳ Ｐゴシック"/>
            <family val="3"/>
            <charset val="128"/>
          </rPr>
          <t>max. Itrip</t>
        </r>
      </text>
    </comment>
    <comment ref="I158" authorId="1">
      <text>
        <r>
          <rPr>
            <b/>
            <sz val="9"/>
            <color indexed="81"/>
            <rFont val="ＭＳ Ｐゴシック"/>
            <family val="3"/>
            <charset val="128"/>
          </rPr>
          <t>Vinmax, Vout, L and Fsw affect this value.</t>
        </r>
      </text>
    </comment>
  </commentList>
</comments>
</file>

<file path=xl/sharedStrings.xml><?xml version="1.0" encoding="utf-8"?>
<sst xmlns="http://schemas.openxmlformats.org/spreadsheetml/2006/main" count="568" uniqueCount="227">
  <si>
    <t>by max Rdson</t>
  </si>
  <si>
    <t>Load current (low)</t>
    <phoneticPr fontId="2"/>
  </si>
  <si>
    <t>(Load current-fall time product)/2</t>
    <phoneticPr fontId="2"/>
  </si>
  <si>
    <t>Tolerance of Cout</t>
    <phoneticPr fontId="2"/>
  </si>
  <si>
    <t>C. Over Current Protection</t>
    <phoneticPr fontId="2"/>
  </si>
  <si>
    <t>Load current (high)</t>
    <phoneticPr fontId="2"/>
  </si>
  <si>
    <t>Slew rate (A/us)</t>
    <phoneticPr fontId="2"/>
  </si>
  <si>
    <t>Vout overshoot limit (% of Vout)</t>
    <phoneticPr fontId="2"/>
  </si>
  <si>
    <r>
      <t xml:space="preserve">   C</t>
    </r>
    <r>
      <rPr>
        <b/>
        <i/>
        <u/>
        <sz val="10"/>
        <rFont val="Arial"/>
        <family val="2"/>
      </rPr>
      <t>. Over Current Protection</t>
    </r>
    <phoneticPr fontId="2"/>
  </si>
  <si>
    <t>5. Enter ESR of the output capacitor</t>
    <phoneticPr fontId="2"/>
  </si>
  <si>
    <t>6. Enter Low side MOSFET's information (From MOSFET's D.S.)</t>
    <phoneticPr fontId="2"/>
  </si>
  <si>
    <t>7. Choose the OCL setting resistor (Rtrip)</t>
    <phoneticPr fontId="2"/>
  </si>
  <si>
    <t>8. Calculated nominal OCL value and Vocl</t>
    <phoneticPr fontId="2"/>
  </si>
  <si>
    <t>9. Confirm the worst case OCL value and Vocl</t>
    <phoneticPr fontId="2"/>
  </si>
  <si>
    <t>A. Resistor divider</t>
    <phoneticPr fontId="2"/>
  </si>
  <si>
    <r>
      <t xml:space="preserve">   </t>
    </r>
    <r>
      <rPr>
        <b/>
        <i/>
        <u/>
        <sz val="10"/>
        <rFont val="Arial"/>
        <family val="2"/>
      </rPr>
      <t>A. Resistor divider</t>
    </r>
    <phoneticPr fontId="2"/>
  </si>
  <si>
    <t>B. Capacitance and ESR requirement of output capacitor for D-CAP mode</t>
    <phoneticPr fontId="2"/>
  </si>
  <si>
    <t>From: Computing Power Management</t>
    <phoneticPr fontId="2"/>
  </si>
  <si>
    <t>This paper contains following items.</t>
    <phoneticPr fontId="2"/>
  </si>
  <si>
    <t>1. Enter input voltage information</t>
    <phoneticPr fontId="2"/>
  </si>
  <si>
    <t>Enter the value at this color space</t>
    <phoneticPr fontId="2"/>
  </si>
  <si>
    <t>Vin</t>
    <phoneticPr fontId="2"/>
  </si>
  <si>
    <t>unit</t>
    <phoneticPr fontId="2"/>
  </si>
  <si>
    <t>V</t>
    <phoneticPr fontId="2"/>
  </si>
  <si>
    <t>2. Enter the expected Junction Temperature information</t>
    <phoneticPr fontId="2"/>
  </si>
  <si>
    <t>Tj</t>
    <phoneticPr fontId="2"/>
  </si>
  <si>
    <t>Min</t>
    <phoneticPr fontId="2"/>
  </si>
  <si>
    <t>Max</t>
    <phoneticPr fontId="2"/>
  </si>
  <si>
    <t>℃</t>
    <phoneticPr fontId="2"/>
  </si>
  <si>
    <t>3. Enter output rail's information</t>
    <phoneticPr fontId="2"/>
  </si>
  <si>
    <r>
      <t>p</t>
    </r>
    <r>
      <rPr>
        <sz val="10"/>
        <rFont val="Arial"/>
        <family val="2"/>
      </rPr>
      <t>arameter</t>
    </r>
    <phoneticPr fontId="2"/>
  </si>
  <si>
    <t>Recommended L value</t>
    <phoneticPr fontId="2"/>
  </si>
  <si>
    <t>L</t>
    <phoneticPr fontId="2"/>
  </si>
  <si>
    <t>L (Tolerance)</t>
    <phoneticPr fontId="2"/>
  </si>
  <si>
    <t>value</t>
    <phoneticPr fontId="2"/>
  </si>
  <si>
    <t>A</t>
    <phoneticPr fontId="2"/>
  </si>
  <si>
    <t>uH</t>
    <phoneticPr fontId="2"/>
  </si>
  <si>
    <r>
      <t>C</t>
    </r>
    <r>
      <rPr>
        <sz val="10"/>
        <rFont val="Arial"/>
        <family val="2"/>
      </rPr>
      <t>alculated Vout</t>
    </r>
    <phoneticPr fontId="2"/>
  </si>
  <si>
    <r>
      <t>k</t>
    </r>
    <r>
      <rPr>
        <sz val="10"/>
        <rFont val="Arial"/>
        <family val="2"/>
      </rPr>
      <t>-ohm</t>
    </r>
    <phoneticPr fontId="2"/>
  </si>
  <si>
    <r>
      <t>u</t>
    </r>
    <r>
      <rPr>
        <sz val="10"/>
        <rFont val="Arial"/>
        <family val="2"/>
      </rPr>
      <t>F</t>
    </r>
    <phoneticPr fontId="2"/>
  </si>
  <si>
    <r>
      <t>E</t>
    </r>
    <r>
      <rPr>
        <sz val="10"/>
        <rFont val="Arial"/>
        <family val="2"/>
      </rPr>
      <t>SR</t>
    </r>
    <phoneticPr fontId="2"/>
  </si>
  <si>
    <r>
      <t>m</t>
    </r>
    <r>
      <rPr>
        <sz val="10"/>
        <rFont val="Arial"/>
        <family val="2"/>
      </rPr>
      <t>-ohm</t>
    </r>
    <phoneticPr fontId="2"/>
  </si>
  <si>
    <t>Rdson</t>
    <phoneticPr fontId="2"/>
  </si>
  <si>
    <t>m-ohm</t>
    <phoneticPr fontId="2"/>
  </si>
  <si>
    <t>-</t>
    <phoneticPr fontId="2"/>
  </si>
  <si>
    <t>Rtrip</t>
    <phoneticPr fontId="2"/>
  </si>
  <si>
    <t>k-ohm</t>
    <phoneticPr fontId="2"/>
  </si>
  <si>
    <t>OCL</t>
    <phoneticPr fontId="2"/>
  </si>
  <si>
    <t>Vocl</t>
    <phoneticPr fontId="2"/>
  </si>
  <si>
    <r>
      <t>m</t>
    </r>
    <r>
      <rPr>
        <sz val="10"/>
        <rFont val="Arial"/>
        <family val="2"/>
      </rPr>
      <t>V</t>
    </r>
    <phoneticPr fontId="2"/>
  </si>
  <si>
    <r>
      <t xml:space="preserve">  Vocl : recommended more than </t>
    </r>
    <r>
      <rPr>
        <b/>
        <sz val="10"/>
        <color indexed="10"/>
        <rFont val="Arial"/>
        <family val="2"/>
      </rPr>
      <t>25</t>
    </r>
    <r>
      <rPr>
        <b/>
        <i/>
        <sz val="10"/>
        <color indexed="10"/>
        <rFont val="Arial"/>
        <family val="2"/>
      </rPr>
      <t>mV</t>
    </r>
    <r>
      <rPr>
        <b/>
        <sz val="10"/>
        <rFont val="Arial"/>
        <family val="2"/>
      </rPr>
      <t xml:space="preserve"> and should be less than </t>
    </r>
    <r>
      <rPr>
        <b/>
        <sz val="10"/>
        <color indexed="10"/>
        <rFont val="Arial"/>
        <family val="2"/>
      </rPr>
      <t>375</t>
    </r>
    <r>
      <rPr>
        <b/>
        <i/>
        <sz val="10"/>
        <color indexed="10"/>
        <rFont val="Arial"/>
        <family val="2"/>
      </rPr>
      <t>mV</t>
    </r>
    <r>
      <rPr>
        <b/>
        <sz val="10"/>
        <color indexed="10"/>
        <rFont val="Arial"/>
        <family val="2"/>
      </rPr>
      <t>.</t>
    </r>
    <phoneticPr fontId="2"/>
  </si>
  <si>
    <t>nom VIN</t>
    <phoneticPr fontId="2"/>
  </si>
  <si>
    <t>min VIN</t>
    <phoneticPr fontId="2"/>
  </si>
  <si>
    <t>max VIN</t>
    <phoneticPr fontId="2"/>
  </si>
  <si>
    <t>Required Rtrip at min. VIN</t>
    <phoneticPr fontId="2"/>
  </si>
  <si>
    <t>Required Rtrip at max. VIN</t>
    <phoneticPr fontId="2"/>
  </si>
  <si>
    <t>VIN</t>
    <phoneticPr fontId="2"/>
  </si>
  <si>
    <t>by typ Rdson</t>
    <phoneticPr fontId="2"/>
  </si>
  <si>
    <t>Vout</t>
    <phoneticPr fontId="2"/>
  </si>
  <si>
    <t>min L</t>
    <phoneticPr fontId="2"/>
  </si>
  <si>
    <t>Imax</t>
    <phoneticPr fontId="2"/>
  </si>
  <si>
    <t>f (kHz)</t>
    <phoneticPr fontId="2"/>
  </si>
  <si>
    <t>Recommended L value (uH)</t>
    <phoneticPr fontId="2"/>
  </si>
  <si>
    <t>max L</t>
    <phoneticPr fontId="2"/>
  </si>
  <si>
    <t>L (uH)</t>
    <phoneticPr fontId="2"/>
  </si>
  <si>
    <t>variation of L (%)</t>
    <phoneticPr fontId="2"/>
  </si>
  <si>
    <t>ESR (mohm)</t>
    <phoneticPr fontId="2"/>
  </si>
  <si>
    <t>MAX is</t>
    <phoneticPr fontId="2"/>
  </si>
  <si>
    <t>by max Rdson</t>
    <phoneticPr fontId="2"/>
  </si>
  <si>
    <t>Number of MOSFET</t>
    <phoneticPr fontId="2"/>
  </si>
  <si>
    <t>Duty</t>
    <phoneticPr fontId="2"/>
  </si>
  <si>
    <t>Vripple at Vout (mV) by min L</t>
    <phoneticPr fontId="2"/>
  </si>
  <si>
    <t>Vripple at Vout (mV) by typ L</t>
    <phoneticPr fontId="2"/>
  </si>
  <si>
    <t>Vtrip (mV) :  25mV &lt; Vtrip &lt; 375mV</t>
    <phoneticPr fontId="2"/>
  </si>
  <si>
    <t>Vripple at Vout (mV) by max L</t>
    <phoneticPr fontId="2"/>
  </si>
  <si>
    <t>OCP at min. VIN</t>
    <phoneticPr fontId="2"/>
  </si>
  <si>
    <t>OCP at max. VIN</t>
    <phoneticPr fontId="2"/>
  </si>
  <si>
    <t>Est. min OCL</t>
    <phoneticPr fontId="2"/>
  </si>
  <si>
    <t>Rtrip (kohm)</t>
    <phoneticPr fontId="2"/>
  </si>
  <si>
    <t>Actual Vtrip (mV) by typ. Itrip &amp; RT</t>
    <phoneticPr fontId="2"/>
  </si>
  <si>
    <t>Actual OCL (A) by typ. Rdson, L, Itrip &amp; RT</t>
    <phoneticPr fontId="2"/>
  </si>
  <si>
    <t>min OCL for all condition</t>
    <phoneticPr fontId="2"/>
  </si>
  <si>
    <t>max OCL for all condition</t>
    <phoneticPr fontId="2"/>
  </si>
  <si>
    <t>Itrip (uA)</t>
    <phoneticPr fontId="2"/>
  </si>
  <si>
    <t>Temp</t>
    <phoneticPr fontId="2"/>
  </si>
  <si>
    <t>&amp; max. Rdson</t>
    <phoneticPr fontId="2"/>
  </si>
  <si>
    <t>Itrip TC (ppm/C)</t>
    <phoneticPr fontId="2"/>
  </si>
  <si>
    <t>Itrip at above temp. (uA)</t>
    <phoneticPr fontId="2"/>
  </si>
  <si>
    <t>Rdson TC (ppm/C)</t>
    <phoneticPr fontId="2"/>
  </si>
  <si>
    <t>Max Rdson at above temp.</t>
    <phoneticPr fontId="2"/>
  </si>
  <si>
    <t>user setting Rbottom (kohm)</t>
    <phoneticPr fontId="2"/>
  </si>
  <si>
    <t>(Inductor current-fall time product)/2</t>
    <phoneticPr fontId="2"/>
  </si>
  <si>
    <t>Recommended minimum Cout (uF)</t>
    <phoneticPr fontId="2"/>
  </si>
  <si>
    <t>Actual Cout (uF)</t>
    <phoneticPr fontId="2"/>
  </si>
  <si>
    <t>VIN (V)</t>
    <phoneticPr fontId="2"/>
  </si>
  <si>
    <t>LIR</t>
    <phoneticPr fontId="2"/>
  </si>
  <si>
    <t>Actual Iripple (A) by min L</t>
  </si>
  <si>
    <t>Actual Iripple (A) by typ L</t>
  </si>
  <si>
    <t>Actual Iripple (A) by max L</t>
  </si>
  <si>
    <t>Calculated min Co</t>
    <phoneticPr fontId="2"/>
  </si>
  <si>
    <t>Vripple @Vout        - Min</t>
    <phoneticPr fontId="2"/>
  </si>
  <si>
    <t>Typ</t>
    <phoneticPr fontId="2"/>
  </si>
  <si>
    <r>
      <t>R</t>
    </r>
    <r>
      <rPr>
        <sz val="10"/>
        <rFont val="Arial"/>
        <family val="2"/>
      </rPr>
      <t>bottom</t>
    </r>
    <phoneticPr fontId="2"/>
  </si>
  <si>
    <r>
      <t>R</t>
    </r>
    <r>
      <rPr>
        <sz val="10"/>
        <rFont val="Arial"/>
        <family val="2"/>
      </rPr>
      <t>top</t>
    </r>
    <phoneticPr fontId="2"/>
  </si>
  <si>
    <r>
      <t>E</t>
    </r>
    <r>
      <rPr>
        <sz val="10"/>
        <rFont val="Arial"/>
        <family val="2"/>
      </rPr>
      <t>xtra energy during on-time</t>
    </r>
    <phoneticPr fontId="2"/>
  </si>
  <si>
    <r>
      <t>R</t>
    </r>
    <r>
      <rPr>
        <sz val="10"/>
        <rFont val="Arial"/>
        <family val="2"/>
      </rPr>
      <t>ecommended Rbottom</t>
    </r>
    <phoneticPr fontId="2"/>
  </si>
  <si>
    <t>calculated Rbottom (kohm)</t>
    <phoneticPr fontId="2"/>
  </si>
  <si>
    <t>RcCc</t>
    <phoneticPr fontId="2"/>
  </si>
  <si>
    <t>Co</t>
    <phoneticPr fontId="2"/>
  </si>
  <si>
    <r>
      <t>A</t>
    </r>
    <r>
      <rPr>
        <sz val="10"/>
        <rFont val="Arial"/>
        <family val="2"/>
      </rPr>
      <t>p-p</t>
    </r>
    <phoneticPr fontId="2"/>
  </si>
  <si>
    <t>REF (V)</t>
    <phoneticPr fontId="2"/>
  </si>
  <si>
    <t>calculated Vout (V)</t>
    <phoneticPr fontId="2"/>
  </si>
  <si>
    <t>Fsw
(kHz)</t>
    <phoneticPr fontId="2"/>
  </si>
  <si>
    <t>fsw/3 (kHz)</t>
    <phoneticPr fontId="2"/>
  </si>
  <si>
    <t>Discharge Mode</t>
    <phoneticPr fontId="2"/>
  </si>
  <si>
    <t>Non-tracking
Discharge</t>
    <phoneticPr fontId="2"/>
  </si>
  <si>
    <t>Tracking
Discharge</t>
    <phoneticPr fontId="2"/>
  </si>
  <si>
    <t>500kHz</t>
    <phoneticPr fontId="2"/>
  </si>
  <si>
    <t>Sub: External parts selection guide for TPS51916 (D-CAP2 mode)</t>
    <phoneticPr fontId="2"/>
  </si>
  <si>
    <r>
      <t xml:space="preserve">   B</t>
    </r>
    <r>
      <rPr>
        <b/>
        <i/>
        <u/>
        <sz val="10"/>
        <rFont val="Arial"/>
        <family val="2"/>
      </rPr>
      <t>. Capacitance and ESR of output capacitor</t>
    </r>
    <phoneticPr fontId="2"/>
  </si>
  <si>
    <r>
      <t>C</t>
    </r>
    <r>
      <rPr>
        <sz val="10"/>
        <rFont val="Arial"/>
        <family val="2"/>
      </rPr>
      <t>alculation result</t>
    </r>
    <r>
      <rPr>
        <sz val="10"/>
        <rFont val="Arial"/>
        <family val="2"/>
      </rPr>
      <t xml:space="preserve"> will be shown at </t>
    </r>
    <r>
      <rPr>
        <sz val="10"/>
        <rFont val="Arial"/>
        <family val="2"/>
      </rPr>
      <t>this color space</t>
    </r>
    <phoneticPr fontId="2"/>
  </si>
  <si>
    <t>Rmode (R4)</t>
    <phoneticPr fontId="2"/>
  </si>
  <si>
    <t>Fsw</t>
    <phoneticPr fontId="2"/>
  </si>
  <si>
    <r>
      <t>M</t>
    </r>
    <r>
      <rPr>
        <sz val="10"/>
        <rFont val="Arial"/>
        <family val="2"/>
      </rPr>
      <t>in</t>
    </r>
    <phoneticPr fontId="2"/>
  </si>
  <si>
    <r>
      <t>T</t>
    </r>
    <r>
      <rPr>
        <sz val="10"/>
        <rFont val="Arial"/>
        <family val="2"/>
      </rPr>
      <t>yp</t>
    </r>
    <phoneticPr fontId="2"/>
  </si>
  <si>
    <r>
      <t>M</t>
    </r>
    <r>
      <rPr>
        <sz val="10"/>
        <rFont val="Arial"/>
        <family val="2"/>
      </rPr>
      <t>ax</t>
    </r>
    <phoneticPr fontId="2"/>
  </si>
  <si>
    <t>33k ohm</t>
    <phoneticPr fontId="2"/>
  </si>
  <si>
    <t>22k ohm</t>
    <phoneticPr fontId="2"/>
  </si>
  <si>
    <t>670kHz</t>
    <phoneticPr fontId="2"/>
  </si>
  <si>
    <t>1k ohm</t>
    <phoneticPr fontId="2"/>
  </si>
  <si>
    <r>
      <t>V</t>
    </r>
    <r>
      <rPr>
        <sz val="10"/>
        <rFont val="Arial"/>
        <family val="2"/>
      </rPr>
      <t>out</t>
    </r>
    <phoneticPr fontId="2"/>
  </si>
  <si>
    <r>
      <t>I</t>
    </r>
    <r>
      <rPr>
        <sz val="10"/>
        <rFont val="Arial"/>
        <family val="2"/>
      </rPr>
      <t>out</t>
    </r>
    <r>
      <rPr>
        <sz val="10"/>
        <rFont val="Arial"/>
        <family val="2"/>
      </rPr>
      <t>_max</t>
    </r>
    <phoneticPr fontId="2"/>
  </si>
  <si>
    <r>
      <t>F</t>
    </r>
    <r>
      <rPr>
        <sz val="10"/>
        <rFont val="Arial"/>
        <family val="2"/>
      </rPr>
      <t>sw</t>
    </r>
    <phoneticPr fontId="2"/>
  </si>
  <si>
    <r>
      <t>k</t>
    </r>
    <r>
      <rPr>
        <sz val="10"/>
        <rFont val="Arial"/>
        <family val="2"/>
      </rPr>
      <t>Hz</t>
    </r>
    <phoneticPr fontId="2"/>
  </si>
  <si>
    <r>
      <t>u</t>
    </r>
    <r>
      <rPr>
        <sz val="10"/>
        <rFont val="Arial"/>
        <family val="2"/>
      </rPr>
      <t>H</t>
    </r>
    <phoneticPr fontId="2"/>
  </si>
  <si>
    <r>
      <t>+</t>
    </r>
    <r>
      <rPr>
        <sz val="10"/>
        <rFont val="Arial"/>
        <family val="2"/>
      </rPr>
      <t>/- (</t>
    </r>
    <r>
      <rPr>
        <sz val="10"/>
        <rFont val="Arial"/>
        <family val="2"/>
      </rPr>
      <t>%</t>
    </r>
    <r>
      <rPr>
        <sz val="10"/>
        <rFont val="Arial"/>
        <family val="2"/>
      </rPr>
      <t>)</t>
    </r>
    <phoneticPr fontId="2"/>
  </si>
  <si>
    <r>
      <t>R</t>
    </r>
    <r>
      <rPr>
        <sz val="10"/>
        <rFont val="Arial"/>
        <family val="2"/>
      </rPr>
      <t xml:space="preserve">ecommended </t>
    </r>
    <r>
      <rPr>
        <sz val="10"/>
        <rFont val="Arial"/>
        <family val="2"/>
      </rPr>
      <t>Rtrip</t>
    </r>
    <phoneticPr fontId="2"/>
  </si>
  <si>
    <r>
      <t>Typ case (Tj=+25</t>
    </r>
    <r>
      <rPr>
        <sz val="10"/>
        <rFont val="ＭＳ Ｐゴシック"/>
        <family val="3"/>
        <charset val="128"/>
      </rPr>
      <t>℃</t>
    </r>
    <r>
      <rPr>
        <sz val="10"/>
        <rFont val="Arial"/>
        <family val="2"/>
      </rPr>
      <t>, Rdson</t>
    </r>
    <r>
      <rPr>
        <sz val="10"/>
        <rFont val="Arial"/>
        <family val="2"/>
      </rPr>
      <t>&amp;L</t>
    </r>
    <r>
      <rPr>
        <sz val="10"/>
        <rFont val="Arial"/>
        <family val="2"/>
      </rPr>
      <t>=</t>
    </r>
    <r>
      <rPr>
        <sz val="10"/>
        <rFont val="Arial"/>
        <family val="2"/>
      </rPr>
      <t>t</t>
    </r>
    <r>
      <rPr>
        <sz val="10"/>
        <rFont val="Arial"/>
        <family val="2"/>
      </rPr>
      <t>yp, Itrip=10uA)</t>
    </r>
    <phoneticPr fontId="2"/>
  </si>
  <si>
    <r>
      <t>V</t>
    </r>
    <r>
      <rPr>
        <sz val="10"/>
        <rFont val="Arial"/>
        <family val="2"/>
      </rPr>
      <t>in(min)</t>
    </r>
    <phoneticPr fontId="2"/>
  </si>
  <si>
    <r>
      <t>V</t>
    </r>
    <r>
      <rPr>
        <sz val="10"/>
        <rFont val="Arial"/>
        <family val="2"/>
      </rPr>
      <t>in(typ)</t>
    </r>
    <phoneticPr fontId="2"/>
  </si>
  <si>
    <r>
      <t>V</t>
    </r>
    <r>
      <rPr>
        <sz val="10"/>
        <rFont val="Arial"/>
        <family val="2"/>
      </rPr>
      <t>in(max)</t>
    </r>
    <phoneticPr fontId="2"/>
  </si>
  <si>
    <r>
      <t>Vin=min, Itrip(@RT)=9</t>
    </r>
    <r>
      <rPr>
        <sz val="10"/>
        <rFont val="Arial"/>
        <family val="2"/>
      </rPr>
      <t>uA, Rdson(@RT)=max, Tj=min</t>
    </r>
    <phoneticPr fontId="2"/>
  </si>
  <si>
    <r>
      <t>Vin=max, Itrip(@RT)=1</t>
    </r>
    <r>
      <rPr>
        <sz val="10"/>
        <rFont val="Arial"/>
        <family val="2"/>
      </rPr>
      <t>1</t>
    </r>
    <r>
      <rPr>
        <sz val="10"/>
        <rFont val="Arial"/>
        <family val="2"/>
      </rPr>
      <t>uA, Rdson(@RT)=typ, Tj=max</t>
    </r>
    <phoneticPr fontId="2"/>
  </si>
  <si>
    <t>10. Calculated output ripple</t>
    <phoneticPr fontId="2"/>
  </si>
  <si>
    <t>Inductor current (typ)</t>
    <phoneticPr fontId="2"/>
  </si>
  <si>
    <t>Voltage divider resistance requirement</t>
    <phoneticPr fontId="2"/>
  </si>
  <si>
    <t>user setting Rtio (kohm)</t>
    <phoneticPr fontId="2"/>
  </si>
  <si>
    <t>Min Cout calculation from D-CAP2 stability</t>
    <phoneticPr fontId="2"/>
  </si>
  <si>
    <t>fsw</t>
    <phoneticPr fontId="2"/>
  </si>
  <si>
    <t>Cout&gt;=3xRcxCc/(2xpixLxfsw) (uF)</t>
    <phoneticPr fontId="2"/>
  </si>
  <si>
    <t>Min Cout requirement from Vout overshoot at load release</t>
    <phoneticPr fontId="2"/>
  </si>
  <si>
    <r>
      <t>m</t>
    </r>
    <r>
      <rPr>
        <sz val="10"/>
        <rFont val="Arial"/>
        <family val="2"/>
      </rPr>
      <t>aximum Cout (uF)</t>
    </r>
    <phoneticPr fontId="2"/>
  </si>
  <si>
    <t>HS MOSFET - typ Rdson (mohm) for temp</t>
    <phoneticPr fontId="2"/>
  </si>
  <si>
    <r>
      <t>D</t>
    </r>
    <r>
      <rPr>
        <sz val="10"/>
        <rFont val="Arial"/>
        <family val="2"/>
      </rPr>
      <t>CR</t>
    </r>
    <phoneticPr fontId="2"/>
  </si>
  <si>
    <r>
      <t>T</t>
    </r>
    <r>
      <rPr>
        <sz val="10"/>
        <rFont val="Arial"/>
        <family val="2"/>
      </rPr>
      <t>yp</t>
    </r>
    <phoneticPr fontId="2"/>
  </si>
  <si>
    <r>
      <t>H</t>
    </r>
    <r>
      <rPr>
        <sz val="10"/>
        <rFont val="Arial"/>
        <family val="2"/>
      </rPr>
      <t>/S (Tj=</t>
    </r>
    <phoneticPr fontId="2"/>
  </si>
  <si>
    <r>
      <t>L</t>
    </r>
    <r>
      <rPr>
        <sz val="10"/>
        <rFont val="Arial"/>
        <family val="2"/>
      </rPr>
      <t>/S (Tj=25</t>
    </r>
    <r>
      <rPr>
        <sz val="10"/>
        <rFont val="Arial"/>
        <family val="2"/>
      </rPr>
      <t>º</t>
    </r>
    <r>
      <rPr>
        <sz val="10"/>
        <rFont val="Arial"/>
        <family val="2"/>
      </rPr>
      <t>C)</t>
    </r>
    <phoneticPr fontId="2"/>
  </si>
  <si>
    <r>
      <t>+25</t>
    </r>
    <r>
      <rPr>
        <sz val="10"/>
        <rFont val="ＭＳ Ｐゴシック"/>
        <family val="3"/>
        <charset val="128"/>
      </rPr>
      <t>℃</t>
    </r>
    <r>
      <rPr>
        <sz val="10"/>
        <rFont val="Arial"/>
        <family val="2"/>
      </rPr>
      <t xml:space="preserve">) </t>
    </r>
    <r>
      <rPr>
        <sz val="10"/>
        <rFont val="Arial"/>
        <family val="2"/>
      </rPr>
      <t>T</t>
    </r>
    <r>
      <rPr>
        <sz val="10"/>
        <rFont val="Arial"/>
        <family val="2"/>
      </rPr>
      <t>yp</t>
    </r>
    <phoneticPr fontId="2"/>
  </si>
  <si>
    <r>
      <t>M</t>
    </r>
    <r>
      <rPr>
        <sz val="10"/>
        <rFont val="Arial"/>
        <family val="2"/>
      </rPr>
      <t>ax</t>
    </r>
    <phoneticPr fontId="2"/>
  </si>
  <si>
    <r>
      <t>#</t>
    </r>
    <r>
      <rPr>
        <sz val="10"/>
        <rFont val="Arial"/>
        <family val="2"/>
      </rPr>
      <t xml:space="preserve"> of </t>
    </r>
    <r>
      <rPr>
        <sz val="10"/>
        <rFont val="Arial"/>
        <family val="2"/>
      </rPr>
      <t>FET</t>
    </r>
    <phoneticPr fontId="2"/>
  </si>
  <si>
    <t>LS MOSFET - min Rdson (mohm) for OCL</t>
    <phoneticPr fontId="2"/>
  </si>
  <si>
    <t xml:space="preserve">                    - typ Rdson (mohm) for OCL</t>
    <phoneticPr fontId="2"/>
  </si>
  <si>
    <t xml:space="preserve">                    - max Rdson (mohm) for temp</t>
    <phoneticPr fontId="2"/>
  </si>
  <si>
    <t>Inductor DCR</t>
    <phoneticPr fontId="2"/>
  </si>
  <si>
    <t>TPS51916</t>
    <phoneticPr fontId="2"/>
  </si>
  <si>
    <t>&amp; min. Rdson</t>
    <phoneticPr fontId="2"/>
  </si>
  <si>
    <r>
      <t xml:space="preserve">  Assuming the MOSFET and TPS51</t>
    </r>
    <r>
      <rPr>
        <sz val="10"/>
        <rFont val="Arial"/>
        <family val="2"/>
      </rPr>
      <t>916</t>
    </r>
    <r>
      <rPr>
        <sz val="10"/>
        <rFont val="Arial"/>
        <family val="2"/>
      </rPr>
      <t xml:space="preserve"> are thermally coupled</t>
    </r>
    <r>
      <rPr>
        <sz val="10"/>
        <rFont val="Arial"/>
        <family val="2"/>
      </rPr>
      <t xml:space="preserve"> well.</t>
    </r>
    <phoneticPr fontId="2"/>
  </si>
  <si>
    <r>
      <t xml:space="preserve">  Assuming the MOSFET and TPS51</t>
    </r>
    <r>
      <rPr>
        <sz val="10"/>
        <rFont val="Arial"/>
        <family val="2"/>
      </rPr>
      <t>916</t>
    </r>
    <r>
      <rPr>
        <sz val="10"/>
        <rFont val="Arial"/>
        <family val="2"/>
      </rPr>
      <t xml:space="preserve"> are thermally coupled</t>
    </r>
    <r>
      <rPr>
        <sz val="10"/>
        <rFont val="Arial"/>
        <family val="2"/>
      </rPr>
      <t xml:space="preserve"> well.</t>
    </r>
    <phoneticPr fontId="2"/>
  </si>
  <si>
    <t>HS MOSFET - typ Rdson (mohm) for temp</t>
    <phoneticPr fontId="2"/>
  </si>
  <si>
    <t>LS MOSFET - min Rdson (mohm) for OCL</t>
    <phoneticPr fontId="2"/>
  </si>
  <si>
    <t xml:space="preserve">                    - typ Rdson (mohm) for OCL</t>
    <phoneticPr fontId="2"/>
  </si>
  <si>
    <t xml:space="preserve">                    - max Rdson (mohm) for temp</t>
    <phoneticPr fontId="2"/>
  </si>
  <si>
    <t>&amp; min. Rdson</t>
    <phoneticPr fontId="2"/>
  </si>
  <si>
    <t>kHz</t>
    <phoneticPr fontId="2"/>
  </si>
  <si>
    <t>Fo=1/(2xpixCoutxESR) (kHz)</t>
    <phoneticPr fontId="2"/>
  </si>
  <si>
    <t>Fsw/3</t>
    <phoneticPr fontId="2"/>
  </si>
  <si>
    <t>Required min ESR</t>
    <phoneticPr fontId="2"/>
  </si>
  <si>
    <t>Calculated Fo (&lt; Fsw/3 ?)</t>
    <phoneticPr fontId="2"/>
  </si>
  <si>
    <t>Calculated ESR from Cout (mohm)</t>
    <phoneticPr fontId="2"/>
  </si>
  <si>
    <t>Recommended ESR</t>
    <phoneticPr fontId="2"/>
  </si>
  <si>
    <t>200k ohm</t>
    <phoneticPr fontId="2"/>
  </si>
  <si>
    <t>100k ohm</t>
    <phoneticPr fontId="2"/>
  </si>
  <si>
    <t>47k ohm</t>
    <phoneticPr fontId="2"/>
  </si>
  <si>
    <t>68k ohm</t>
    <phoneticPr fontId="2"/>
  </si>
  <si>
    <t>400kHz</t>
    <phoneticPr fontId="2"/>
  </si>
  <si>
    <t>300kHz</t>
    <phoneticPr fontId="2"/>
  </si>
  <si>
    <t>4. Output capacitor selection by stability requirement</t>
    <phoneticPr fontId="2"/>
  </si>
  <si>
    <t>4. Output bulk capacitor</t>
    <phoneticPr fontId="2"/>
  </si>
  <si>
    <t>4a. Output capacitor selection by estimating overshoot at load release</t>
    <phoneticPr fontId="2"/>
  </si>
  <si>
    <r>
      <t>Io</t>
    </r>
    <r>
      <rPr>
        <sz val="10"/>
        <rFont val="Arial"/>
        <family val="2"/>
      </rPr>
      <t>ut</t>
    </r>
    <r>
      <rPr>
        <sz val="10"/>
        <rFont val="Arial"/>
        <family val="2"/>
      </rPr>
      <t xml:space="preserve"> (H)</t>
    </r>
    <phoneticPr fontId="2"/>
  </si>
  <si>
    <r>
      <t>Io</t>
    </r>
    <r>
      <rPr>
        <sz val="10"/>
        <rFont val="Arial"/>
        <family val="2"/>
      </rPr>
      <t>ut</t>
    </r>
    <r>
      <rPr>
        <sz val="10"/>
        <rFont val="Arial"/>
        <family val="2"/>
      </rPr>
      <t xml:space="preserve"> (L)</t>
    </r>
    <phoneticPr fontId="2"/>
  </si>
  <si>
    <t>Iout slew rate (H to L)</t>
    <phoneticPr fontId="2"/>
  </si>
  <si>
    <t>Vout overshoot / Vout</t>
    <phoneticPr fontId="2"/>
  </si>
  <si>
    <t>A/us</t>
    <phoneticPr fontId="2"/>
  </si>
  <si>
    <t>%</t>
    <phoneticPr fontId="2"/>
  </si>
  <si>
    <t>Overshoot voltage (mV)</t>
    <phoneticPr fontId="2"/>
  </si>
  <si>
    <t>Minimum cap of the actual Cout</t>
    <phoneticPr fontId="2"/>
  </si>
  <si>
    <t>Max of minimum required Cout</t>
    <phoneticPr fontId="2"/>
  </si>
  <si>
    <t>Overshoot voltage (mV)
from peak of ripple</t>
    <phoneticPr fontId="2"/>
  </si>
  <si>
    <t>Overshoot voltage (mV)
from bottom of ripple</t>
    <phoneticPr fontId="2"/>
  </si>
  <si>
    <t>Actual Cout</t>
    <phoneticPr fontId="2"/>
  </si>
  <si>
    <t>Calculated Fo</t>
    <phoneticPr fontId="2"/>
  </si>
  <si>
    <t>uF</t>
    <phoneticPr fontId="2"/>
  </si>
  <si>
    <t>kHz</t>
    <phoneticPr fontId="2"/>
  </si>
  <si>
    <r>
      <t>k</t>
    </r>
    <r>
      <rPr>
        <sz val="10"/>
        <rFont val="Arial"/>
        <family val="2"/>
      </rPr>
      <t>Hz</t>
    </r>
    <phoneticPr fontId="2"/>
  </si>
  <si>
    <t>Fo</t>
    <phoneticPr fontId="2"/>
  </si>
  <si>
    <t>Sub: External parts selection guide for TPS51916 (D-CAP mode)</t>
    <phoneticPr fontId="2"/>
  </si>
  <si>
    <t>Min Cout calculation from D-CAP stability</t>
    <phoneticPr fontId="2"/>
  </si>
  <si>
    <r>
      <t>N</t>
    </r>
    <r>
      <rPr>
        <sz val="10"/>
        <rFont val="Arial"/>
        <family val="2"/>
      </rPr>
      <t>ote (1)</t>
    </r>
    <phoneticPr fontId="2"/>
  </si>
  <si>
    <r>
      <t>S</t>
    </r>
    <r>
      <rPr>
        <sz val="10"/>
        <rFont val="Arial"/>
        <family val="2"/>
      </rPr>
      <t>tability criteria is beased on following equations.</t>
    </r>
    <phoneticPr fontId="2"/>
  </si>
  <si>
    <r>
      <t>Temp Co</t>
    </r>
    <r>
      <rPr>
        <sz val="10"/>
        <rFont val="Arial"/>
        <family val="2"/>
      </rPr>
      <t>.</t>
    </r>
    <r>
      <rPr>
        <vertAlign val="superscript"/>
        <sz val="10"/>
        <rFont val="Arial"/>
        <family val="2"/>
      </rPr>
      <t>(2)</t>
    </r>
    <phoneticPr fontId="2"/>
  </si>
  <si>
    <r>
      <t xml:space="preserve"> </t>
    </r>
    <r>
      <rPr>
        <sz val="10"/>
        <rFont val="Arial"/>
        <family val="2"/>
      </rPr>
      <t xml:space="preserve"> </t>
    </r>
    <r>
      <rPr>
        <sz val="10"/>
        <rFont val="Arial"/>
        <family val="2"/>
      </rPr>
      <t>Note (</t>
    </r>
    <r>
      <rPr>
        <sz val="10"/>
        <rFont val="Arial"/>
        <family val="2"/>
      </rPr>
      <t>2</t>
    </r>
    <r>
      <rPr>
        <sz val="10"/>
        <rFont val="Arial"/>
        <family val="2"/>
      </rPr>
      <t>)   Rdson(@+100</t>
    </r>
    <r>
      <rPr>
        <sz val="10"/>
        <rFont val="ＭＳ Ｐゴシック"/>
        <family val="3"/>
        <charset val="128"/>
      </rPr>
      <t>℃</t>
    </r>
    <r>
      <rPr>
        <sz val="10"/>
        <rFont val="Arial"/>
        <family val="2"/>
      </rPr>
      <t xml:space="preserve">) </t>
    </r>
    <r>
      <rPr>
        <sz val="10"/>
        <rFont val="Arial"/>
        <family val="2"/>
      </rPr>
      <t>/</t>
    </r>
    <r>
      <rPr>
        <sz val="10"/>
        <rFont val="Arial"/>
        <family val="2"/>
      </rPr>
      <t xml:space="preserve"> Rdson(@+25</t>
    </r>
    <r>
      <rPr>
        <sz val="10"/>
        <rFont val="ＭＳ Ｐゴシック"/>
        <family val="3"/>
        <charset val="128"/>
      </rPr>
      <t>℃</t>
    </r>
    <r>
      <rPr>
        <sz val="10"/>
        <rFont val="Arial"/>
        <family val="2"/>
      </rPr>
      <t>)</t>
    </r>
    <phoneticPr fontId="2"/>
  </si>
  <si>
    <r>
      <t>Note(</t>
    </r>
    <r>
      <rPr>
        <sz val="10"/>
        <rFont val="Arial"/>
        <family val="2"/>
      </rPr>
      <t>3</t>
    </r>
    <r>
      <rPr>
        <sz val="10"/>
        <rFont val="Arial"/>
        <family val="2"/>
      </rPr>
      <t>)</t>
    </r>
    <phoneticPr fontId="2"/>
  </si>
  <si>
    <r>
      <t>Note(</t>
    </r>
    <r>
      <rPr>
        <sz val="10"/>
        <rFont val="Arial"/>
        <family val="2"/>
      </rPr>
      <t>4</t>
    </r>
    <r>
      <rPr>
        <sz val="10"/>
        <rFont val="Arial"/>
        <family val="2"/>
      </rPr>
      <t>)</t>
    </r>
    <phoneticPr fontId="2"/>
  </si>
  <si>
    <t>G=0.25</t>
    <phoneticPr fontId="2"/>
  </si>
  <si>
    <t>RcxCc=23us (fsw=500kHz), 14.6us (fsw=670kHz)</t>
    <phoneticPr fontId="2"/>
  </si>
  <si>
    <r>
      <t>Calculated min Co</t>
    </r>
    <r>
      <rPr>
        <vertAlign val="superscript"/>
        <sz val="10"/>
        <rFont val="Arial"/>
        <family val="2"/>
      </rPr>
      <t>(1)</t>
    </r>
    <phoneticPr fontId="2"/>
  </si>
  <si>
    <r>
      <t xml:space="preserve">Temp </t>
    </r>
    <r>
      <rPr>
        <sz val="10"/>
        <rFont val="Arial"/>
        <family val="2"/>
      </rPr>
      <t>Co</t>
    </r>
    <r>
      <rPr>
        <sz val="10"/>
        <rFont val="Arial"/>
        <family val="2"/>
      </rPr>
      <t>.</t>
    </r>
    <r>
      <rPr>
        <vertAlign val="superscript"/>
        <sz val="10"/>
        <rFont val="Arial"/>
        <family val="2"/>
      </rPr>
      <t>(2)</t>
    </r>
    <phoneticPr fontId="2"/>
  </si>
  <si>
    <r>
      <t>R</t>
    </r>
    <r>
      <rPr>
        <sz val="10"/>
        <rFont val="Arial"/>
        <family val="2"/>
      </rPr>
      <t>ecommended ESR from stability</t>
    </r>
    <r>
      <rPr>
        <vertAlign val="superscript"/>
        <sz val="10"/>
        <rFont val="Arial"/>
        <family val="2"/>
      </rPr>
      <t>(1)</t>
    </r>
    <phoneticPr fontId="2"/>
  </si>
  <si>
    <r>
      <t>Recommended ESR from jitter</t>
    </r>
    <r>
      <rPr>
        <vertAlign val="superscript"/>
        <sz val="10"/>
        <rFont val="Arial"/>
        <family val="2"/>
      </rPr>
      <t>(1)</t>
    </r>
    <phoneticPr fontId="2"/>
  </si>
  <si>
    <t>Ripple down slope (&gt; 20mV)</t>
    <phoneticPr fontId="2"/>
  </si>
  <si>
    <t>mV</t>
    <phoneticPr fontId="2"/>
  </si>
  <si>
    <t>Date: 11/28/2011</t>
    <phoneticPr fontId="2"/>
  </si>
  <si>
    <t>ESR requirement is based on the following equations.</t>
    <phoneticPr fontId="2"/>
  </si>
  <si>
    <r>
      <t>m</t>
    </r>
    <r>
      <rPr>
        <sz val="10"/>
        <rFont val="Arial"/>
        <family val="2"/>
      </rPr>
      <t>ax Fo</t>
    </r>
    <phoneticPr fontId="2"/>
  </si>
  <si>
    <t>12k ohm</t>
    <phoneticPr fontId="2"/>
  </si>
  <si>
    <t>Date: 06/12/2012</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</si>
</sst>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0_ "/>
    <numFmt numFmtId="165" formatCode="0.000_);[Red]\(0.000\)"/>
    <numFmt numFmtId="166" formatCode="0.0_ "/>
    <numFmt numFmtId="167" formatCode="0.00_ "/>
    <numFmt numFmtId="168" formatCode="0_ "/>
    <numFmt numFmtId="169" formatCode="0.0_);[Red]\(0.0\)"/>
    <numFmt numFmtId="170" formatCode="0.00_);[Red]\(0.00\)"/>
    <numFmt numFmtId="171" formatCode="0_);[Red]\(0\)"/>
  </numFmts>
  <fonts count="27">
    <font>
      <sz val="10"/>
      <name val="Arial"/>
      <family val="2"/>
    </font>
    <font>
      <sz val="11"/>
      <name val="ＭＳ Ｐゴシック"/>
      <family val="3"/>
      <charset val="128"/>
    </font>
    <font>
      <sz val="6"/>
      <name val="ＭＳ Ｐゴシック"/>
      <family val="3"/>
      <charset val="128"/>
    </font>
    <font>
      <b/>
      <sz val="12"/>
      <color indexed="81"/>
      <name val="ＭＳ Ｐゴシック"/>
      <family val="3"/>
      <charset val="128"/>
    </font>
    <font>
      <b/>
      <sz val="9"/>
      <color indexed="81"/>
      <name val="ＭＳ Ｐゴシック"/>
      <family val="3"/>
      <charset val="128"/>
    </font>
    <font>
      <b/>
      <sz val="9"/>
      <color indexed="60"/>
      <name val="ＭＳ Ｐゴシック"/>
      <family val="3"/>
      <charset val="128"/>
    </font>
    <font>
      <b/>
      <i/>
      <sz val="11"/>
      <name val="Arial"/>
      <family val="2"/>
    </font>
    <font>
      <sz val="12"/>
      <name val="Arial"/>
      <family val="2"/>
    </font>
    <font>
      <sz val="10"/>
      <color indexed="10"/>
      <name val="Arial"/>
      <family val="2"/>
    </font>
    <font>
      <sz val="11"/>
      <name val="Arial"/>
      <family val="2"/>
    </font>
    <font>
      <b/>
      <i/>
      <sz val="10"/>
      <color indexed="10"/>
      <name val="Arial"/>
      <family val="2"/>
    </font>
    <font>
      <b/>
      <i/>
      <sz val="12"/>
      <name val="Arial"/>
      <family val="2"/>
    </font>
    <font>
      <i/>
      <sz val="10"/>
      <name val="Arial"/>
      <family val="2"/>
    </font>
    <font>
      <b/>
      <i/>
      <sz val="10"/>
      <name val="Arial"/>
      <family val="2"/>
    </font>
    <font>
      <b/>
      <i/>
      <u/>
      <sz val="10"/>
      <name val="Arial"/>
      <family val="2"/>
    </font>
    <font>
      <b/>
      <i/>
      <u/>
      <sz val="10"/>
      <color indexed="12"/>
      <name val="Arial"/>
      <family val="2"/>
    </font>
    <font>
      <b/>
      <i/>
      <sz val="10"/>
      <color indexed="12"/>
      <name val="Arial"/>
      <family val="2"/>
    </font>
    <font>
      <sz val="10"/>
      <name val="ＭＳ Ｐゴシック"/>
      <family val="3"/>
      <charset val="128"/>
    </font>
    <font>
      <b/>
      <i/>
      <u val="double"/>
      <sz val="10"/>
      <name val="Arial"/>
      <family val="2"/>
    </font>
    <font>
      <vertAlign val="superscript"/>
      <sz val="10"/>
      <name val="Arial"/>
      <family val="2"/>
    </font>
    <font>
      <b/>
      <sz val="10"/>
      <name val="Arial"/>
      <family val="2"/>
    </font>
    <font>
      <b/>
      <sz val="10"/>
      <color indexed="10"/>
      <name val="Arial"/>
      <family val="2"/>
    </font>
    <font>
      <sz val="10"/>
      <color indexed="12"/>
      <name val="Arial"/>
      <family val="2"/>
    </font>
    <font>
      <sz val="9"/>
      <name val="Arial"/>
      <family val="2"/>
    </font>
    <font>
      <sz val="11"/>
      <color indexed="12"/>
      <name val="Arial"/>
      <family val="2"/>
    </font>
    <font>
      <b/>
      <sz val="11"/>
      <name val="Arial"/>
      <family val="2"/>
    </font>
    <font>
      <sz val="10"/>
      <name val="Arial"/>
      <family val="2"/>
    </font>
  </fonts>
  <fills count="10">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indexed="41"/>
        <bgColor indexed="64"/>
      </patternFill>
    </fill>
    <fill>
      <patternFill patternType="solid">
        <fgColor indexed="51"/>
        <bgColor indexed="64"/>
      </patternFill>
    </fill>
    <fill>
      <patternFill patternType="solid">
        <fgColor indexed="22"/>
        <bgColor indexed="64"/>
      </patternFill>
    </fill>
    <fill>
      <patternFill patternType="solid">
        <fgColor indexed="27"/>
        <bgColor indexed="64"/>
      </patternFill>
    </fill>
    <fill>
      <patternFill patternType="solid">
        <fgColor indexed="47"/>
        <bgColor indexed="64"/>
      </patternFill>
    </fill>
    <fill>
      <patternFill patternType="solid">
        <fgColor indexed="43"/>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style="medium">
        <color indexed="64"/>
      </top>
      <bottom/>
      <diagonal/>
    </border>
    <border>
      <left style="medium">
        <color indexed="64"/>
      </left>
      <right/>
      <top style="medium">
        <color indexed="64"/>
      </top>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330">
    <xf numFmtId="0" fontId="0" fillId="0" borderId="0" xfId="0">
      <alignment vertical="center"/>
    </xf>
    <xf numFmtId="0" fontId="1" fillId="2" borderId="1" xfId="2" applyFill="1" applyBorder="1" applyProtection="1">
      <alignment vertical="center"/>
      <protection locked="0"/>
    </xf>
    <xf numFmtId="0" fontId="6" fillId="3" borderId="0" xfId="0" applyFont="1" applyFill="1" applyBorder="1" applyProtection="1">
      <alignment vertical="center"/>
    </xf>
    <xf numFmtId="0" fontId="7" fillId="3" borderId="0" xfId="0" applyFont="1" applyFill="1" applyBorder="1" applyProtection="1">
      <alignment vertical="center"/>
    </xf>
    <xf numFmtId="0" fontId="13" fillId="3" borderId="0" xfId="0" applyFont="1" applyFill="1" applyBorder="1" applyProtection="1">
      <alignment vertical="center"/>
    </xf>
    <xf numFmtId="0" fontId="15" fillId="3" borderId="0" xfId="1" applyFont="1" applyFill="1" applyBorder="1" applyAlignment="1" applyProtection="1"/>
    <xf numFmtId="0" fontId="15" fillId="3" borderId="0" xfId="1" applyFont="1" applyFill="1" applyBorder="1" applyAlignment="1" applyProtection="1">
      <alignment vertical="center"/>
    </xf>
    <xf numFmtId="0" fontId="16" fillId="3" borderId="0" xfId="1" applyFont="1" applyFill="1" applyBorder="1" applyAlignment="1" applyProtection="1"/>
    <xf numFmtId="0" fontId="15" fillId="3" borderId="0" xfId="1" applyFont="1" applyFill="1" applyBorder="1" applyAlignment="1" applyProtection="1">
      <alignment vertical="top"/>
    </xf>
    <xf numFmtId="0" fontId="17" fillId="3" borderId="1" xfId="1" applyFont="1" applyFill="1" applyBorder="1" applyAlignment="1" applyProtection="1">
      <alignment horizontal="center" vertical="center"/>
    </xf>
    <xf numFmtId="0" fontId="9" fillId="3" borderId="0" xfId="1" applyFont="1" applyFill="1" applyBorder="1" applyProtection="1">
      <alignment vertical="center"/>
    </xf>
    <xf numFmtId="166" fontId="20" fillId="4" borderId="1" xfId="1" applyNumberFormat="1" applyFont="1" applyFill="1" applyBorder="1" applyAlignment="1" applyProtection="1">
      <alignment horizontal="center" vertical="center"/>
    </xf>
    <xf numFmtId="167" fontId="20" fillId="3" borderId="0" xfId="1" applyNumberFormat="1" applyFont="1" applyFill="1" applyBorder="1" applyAlignment="1" applyProtection="1">
      <alignment horizontal="center" vertical="center"/>
    </xf>
    <xf numFmtId="0" fontId="16" fillId="3" borderId="2" xfId="1" applyFont="1" applyFill="1" applyBorder="1" applyAlignment="1" applyProtection="1">
      <alignment horizontal="center" vertical="center" wrapText="1"/>
    </xf>
    <xf numFmtId="0" fontId="16" fillId="3" borderId="1" xfId="1" applyFont="1" applyFill="1" applyBorder="1" applyAlignment="1" applyProtection="1">
      <alignment horizontal="center" vertical="center"/>
    </xf>
    <xf numFmtId="0" fontId="16" fillId="3" borderId="3" xfId="1" applyFont="1" applyFill="1" applyBorder="1" applyAlignment="1" applyProtection="1">
      <alignment horizontal="center" vertical="center" wrapText="1"/>
    </xf>
    <xf numFmtId="0" fontId="16" fillId="3" borderId="0" xfId="1" applyFont="1" applyFill="1" applyBorder="1" applyAlignment="1" applyProtection="1">
      <alignment horizontal="center" vertical="center"/>
    </xf>
    <xf numFmtId="167" fontId="20" fillId="3" borderId="0" xfId="1" applyNumberFormat="1" applyFont="1" applyFill="1" applyBorder="1" applyAlignment="1" applyProtection="1">
      <alignment horizontal="left" vertical="center"/>
    </xf>
    <xf numFmtId="0" fontId="22" fillId="3" borderId="0" xfId="1" applyFont="1" applyFill="1" applyBorder="1" applyAlignment="1" applyProtection="1">
      <alignment horizontal="center" vertical="center"/>
    </xf>
    <xf numFmtId="0" fontId="18" fillId="3" borderId="0" xfId="0" applyFont="1" applyFill="1" applyBorder="1" applyProtection="1">
      <alignment vertical="center"/>
    </xf>
    <xf numFmtId="0" fontId="8" fillId="3" borderId="4" xfId="1" applyFont="1" applyFill="1" applyBorder="1" applyProtection="1">
      <alignment vertical="center"/>
    </xf>
    <xf numFmtId="0" fontId="8" fillId="3" borderId="0" xfId="1" applyFont="1" applyFill="1" applyBorder="1" applyProtection="1">
      <alignment vertical="center"/>
    </xf>
    <xf numFmtId="0" fontId="10" fillId="3" borderId="0" xfId="1" applyFont="1" applyFill="1" applyBorder="1" applyAlignment="1" applyProtection="1">
      <alignment horizontal="right" vertical="center"/>
    </xf>
    <xf numFmtId="0" fontId="10" fillId="3" borderId="0" xfId="1" applyFont="1" applyFill="1" applyBorder="1" applyAlignment="1" applyProtection="1">
      <alignment horizontal="left" vertical="center"/>
    </xf>
    <xf numFmtId="0" fontId="9" fillId="0" borderId="4" xfId="1" applyFont="1" applyBorder="1" applyAlignment="1" applyProtection="1"/>
    <xf numFmtId="0" fontId="11" fillId="3" borderId="0" xfId="1" applyFont="1" applyFill="1" applyBorder="1" applyAlignment="1" applyProtection="1"/>
    <xf numFmtId="0" fontId="12" fillId="3" borderId="0" xfId="1" applyFont="1" applyFill="1" applyBorder="1" applyAlignment="1" applyProtection="1"/>
    <xf numFmtId="0" fontId="9" fillId="3" borderId="0" xfId="1" applyFont="1" applyFill="1" applyBorder="1" applyAlignment="1" applyProtection="1"/>
    <xf numFmtId="0" fontId="13" fillId="3" borderId="0" xfId="1" applyFont="1" applyFill="1" applyBorder="1" applyProtection="1">
      <alignment vertical="center"/>
    </xf>
    <xf numFmtId="0" fontId="18" fillId="3" borderId="0" xfId="1" applyFont="1" applyFill="1" applyBorder="1" applyProtection="1">
      <alignment vertical="center"/>
    </xf>
    <xf numFmtId="0" fontId="1" fillId="0" borderId="0" xfId="2" applyProtection="1">
      <alignment vertical="center"/>
    </xf>
    <xf numFmtId="0" fontId="1" fillId="0" borderId="0" xfId="3" applyBorder="1" applyProtection="1">
      <alignment vertical="center"/>
    </xf>
    <xf numFmtId="0" fontId="1" fillId="0" borderId="0" xfId="2" applyFill="1" applyProtection="1">
      <alignment vertical="center"/>
    </xf>
    <xf numFmtId="0" fontId="23" fillId="3" borderId="1" xfId="1" applyFont="1" applyFill="1" applyBorder="1" applyAlignment="1" applyProtection="1">
      <alignment horizontal="center" vertical="center"/>
    </xf>
    <xf numFmtId="0" fontId="9" fillId="0" borderId="0" xfId="2" applyFont="1" applyProtection="1">
      <alignment vertical="center"/>
    </xf>
    <xf numFmtId="0" fontId="9" fillId="5" borderId="2" xfId="2" applyFont="1" applyFill="1" applyBorder="1" applyProtection="1">
      <alignment vertical="center"/>
    </xf>
    <xf numFmtId="0" fontId="9" fillId="5" borderId="3" xfId="2" applyFont="1" applyFill="1" applyBorder="1" applyAlignment="1" applyProtection="1">
      <alignment horizontal="center" vertical="center"/>
    </xf>
    <xf numFmtId="0" fontId="9" fillId="5" borderId="5" xfId="2" applyFont="1" applyFill="1" applyBorder="1" applyProtection="1">
      <alignment vertical="center"/>
    </xf>
    <xf numFmtId="0" fontId="9" fillId="0" borderId="0" xfId="2" applyFont="1" applyFill="1" applyBorder="1" applyProtection="1">
      <alignment vertical="center"/>
    </xf>
    <xf numFmtId="0" fontId="9" fillId="0" borderId="1" xfId="2" applyFont="1" applyBorder="1" applyAlignment="1" applyProtection="1">
      <alignment horizontal="center" vertical="center"/>
    </xf>
    <xf numFmtId="0" fontId="9" fillId="0" borderId="0" xfId="2" applyFont="1" applyFill="1" applyBorder="1" applyAlignment="1" applyProtection="1">
      <alignment horizontal="center" vertical="center"/>
    </xf>
    <xf numFmtId="0" fontId="9" fillId="0" borderId="6" xfId="2" applyFont="1" applyBorder="1" applyProtection="1">
      <alignment vertical="center"/>
    </xf>
    <xf numFmtId="0" fontId="9" fillId="0" borderId="7" xfId="2" applyFont="1" applyBorder="1" applyProtection="1">
      <alignment vertical="center"/>
    </xf>
    <xf numFmtId="0" fontId="9" fillId="0" borderId="8" xfId="2" applyFont="1" applyBorder="1" applyProtection="1">
      <alignment vertical="center"/>
    </xf>
    <xf numFmtId="0" fontId="9" fillId="0" borderId="9" xfId="2" applyFont="1" applyBorder="1" applyProtection="1">
      <alignment vertical="center"/>
    </xf>
    <xf numFmtId="0" fontId="9" fillId="0" borderId="10" xfId="2" applyFont="1" applyBorder="1" applyProtection="1">
      <alignment vertical="center"/>
    </xf>
    <xf numFmtId="169" fontId="9" fillId="2" borderId="1" xfId="2" applyNumberFormat="1" applyFont="1" applyFill="1" applyBorder="1" applyProtection="1">
      <alignment vertical="center"/>
    </xf>
    <xf numFmtId="0" fontId="9" fillId="0" borderId="0" xfId="2" applyFont="1" applyBorder="1" applyProtection="1">
      <alignment vertical="center"/>
    </xf>
    <xf numFmtId="0" fontId="9" fillId="2" borderId="1" xfId="2" applyFont="1" applyFill="1" applyBorder="1" applyProtection="1">
      <alignment vertical="center"/>
    </xf>
    <xf numFmtId="0" fontId="9" fillId="6" borderId="1" xfId="2" applyFont="1" applyFill="1" applyBorder="1" applyProtection="1">
      <alignment vertical="center"/>
    </xf>
    <xf numFmtId="0" fontId="9" fillId="0" borderId="1" xfId="2" applyFont="1" applyBorder="1" applyProtection="1">
      <alignment vertical="center"/>
    </xf>
    <xf numFmtId="0" fontId="9" fillId="0" borderId="1" xfId="2" applyNumberFormat="1" applyFont="1" applyBorder="1" applyProtection="1">
      <alignment vertical="center"/>
    </xf>
    <xf numFmtId="170" fontId="9" fillId="0" borderId="1" xfId="2" applyNumberFormat="1" applyFont="1" applyBorder="1" applyProtection="1">
      <alignment vertical="center"/>
    </xf>
    <xf numFmtId="0" fontId="9" fillId="6" borderId="11" xfId="2" applyFont="1" applyFill="1" applyBorder="1" applyProtection="1">
      <alignment vertical="center"/>
    </xf>
    <xf numFmtId="0" fontId="9" fillId="2" borderId="1" xfId="2" applyNumberFormat="1" applyFont="1" applyFill="1" applyBorder="1" applyProtection="1">
      <alignment vertical="center"/>
    </xf>
    <xf numFmtId="0" fontId="9" fillId="0" borderId="0" xfId="2" applyNumberFormat="1" applyFont="1" applyBorder="1" applyProtection="1">
      <alignment vertical="center"/>
    </xf>
    <xf numFmtId="170" fontId="9" fillId="0" borderId="1" xfId="2" applyNumberFormat="1" applyFont="1" applyFill="1" applyBorder="1" applyProtection="1">
      <alignment vertical="center"/>
    </xf>
    <xf numFmtId="166" fontId="9" fillId="0" borderId="1" xfId="2" applyNumberFormat="1" applyFont="1" applyBorder="1" applyProtection="1">
      <alignment vertical="center"/>
    </xf>
    <xf numFmtId="0" fontId="9" fillId="0" borderId="6" xfId="2" applyFont="1" applyBorder="1" applyAlignment="1" applyProtection="1">
      <alignment horizontal="center" vertical="center"/>
    </xf>
    <xf numFmtId="170" fontId="9" fillId="7" borderId="12" xfId="2" applyNumberFormat="1" applyFont="1" applyFill="1" applyBorder="1" applyAlignment="1" applyProtection="1">
      <alignment horizontal="center" vertical="center"/>
    </xf>
    <xf numFmtId="0" fontId="9" fillId="0" borderId="1" xfId="2" applyFont="1" applyFill="1" applyBorder="1" applyAlignment="1" applyProtection="1">
      <alignment horizontal="center" vertical="center"/>
    </xf>
    <xf numFmtId="0" fontId="9" fillId="0" borderId="1" xfId="2" applyFont="1" applyFill="1" applyBorder="1" applyProtection="1">
      <alignment vertical="center"/>
    </xf>
    <xf numFmtId="169" fontId="9" fillId="0" borderId="1" xfId="2" applyNumberFormat="1" applyFont="1" applyBorder="1" applyProtection="1">
      <alignment vertical="center"/>
    </xf>
    <xf numFmtId="164" fontId="9" fillId="0" borderId="1" xfId="2" applyNumberFormat="1" applyFont="1" applyBorder="1" applyProtection="1">
      <alignment vertical="center"/>
    </xf>
    <xf numFmtId="165" fontId="9" fillId="0" borderId="1" xfId="2" applyNumberFormat="1" applyFont="1" applyFill="1" applyBorder="1" applyProtection="1">
      <alignment vertical="center"/>
    </xf>
    <xf numFmtId="165" fontId="9" fillId="0" borderId="0" xfId="2" applyNumberFormat="1" applyFont="1" applyFill="1" applyBorder="1" applyProtection="1">
      <alignment vertical="center"/>
    </xf>
    <xf numFmtId="165" fontId="9" fillId="0" borderId="13" xfId="2" applyNumberFormat="1" applyFont="1" applyFill="1" applyBorder="1" applyProtection="1">
      <alignment vertical="center"/>
    </xf>
    <xf numFmtId="165" fontId="9" fillId="0" borderId="14" xfId="2" applyNumberFormat="1" applyFont="1" applyFill="1" applyBorder="1" applyProtection="1">
      <alignment vertical="center"/>
    </xf>
    <xf numFmtId="165" fontId="9" fillId="0" borderId="15" xfId="2" applyNumberFormat="1" applyFont="1" applyFill="1" applyBorder="1" applyProtection="1">
      <alignment vertical="center"/>
    </xf>
    <xf numFmtId="0" fontId="9" fillId="0" borderId="16" xfId="2" applyFont="1" applyBorder="1" applyProtection="1">
      <alignment vertical="center"/>
    </xf>
    <xf numFmtId="0" fontId="9" fillId="0" borderId="17" xfId="2" applyFont="1" applyBorder="1" applyProtection="1">
      <alignment vertical="center"/>
    </xf>
    <xf numFmtId="0" fontId="9" fillId="0" borderId="18" xfId="2" applyFont="1" applyBorder="1" applyProtection="1">
      <alignment vertical="center"/>
    </xf>
    <xf numFmtId="169" fontId="9" fillId="0" borderId="13" xfId="2" applyNumberFormat="1" applyFont="1" applyFill="1" applyBorder="1" applyProtection="1">
      <alignment vertical="center"/>
    </xf>
    <xf numFmtId="169" fontId="9" fillId="0" borderId="0" xfId="2" applyNumberFormat="1" applyFont="1" applyFill="1" applyBorder="1" applyProtection="1">
      <alignment vertical="center"/>
    </xf>
    <xf numFmtId="0" fontId="9" fillId="0" borderId="6" xfId="3" quotePrefix="1" applyFont="1" applyBorder="1" applyProtection="1">
      <alignment vertical="center"/>
    </xf>
    <xf numFmtId="169" fontId="9" fillId="0" borderId="14" xfId="2" applyNumberFormat="1" applyFont="1" applyFill="1" applyBorder="1" applyProtection="1">
      <alignment vertical="center"/>
    </xf>
    <xf numFmtId="169" fontId="9" fillId="0" borderId="15" xfId="2" applyNumberFormat="1" applyFont="1" applyFill="1" applyBorder="1" applyProtection="1">
      <alignment vertical="center"/>
    </xf>
    <xf numFmtId="169" fontId="9" fillId="4" borderId="1" xfId="2" applyNumberFormat="1" applyFont="1" applyFill="1" applyBorder="1" applyProtection="1">
      <alignment vertical="center"/>
    </xf>
    <xf numFmtId="0" fontId="9" fillId="0" borderId="0" xfId="2" quotePrefix="1" applyNumberFormat="1" applyFont="1" applyFill="1" applyBorder="1" applyProtection="1">
      <alignment vertical="center"/>
    </xf>
    <xf numFmtId="0" fontId="9" fillId="0" borderId="1" xfId="2" applyNumberFormat="1" applyFont="1" applyFill="1" applyBorder="1" applyProtection="1">
      <alignment vertical="center"/>
    </xf>
    <xf numFmtId="167" fontId="9" fillId="0" borderId="0" xfId="2" applyNumberFormat="1" applyFont="1" applyFill="1" applyBorder="1" applyProtection="1">
      <alignment vertical="center"/>
    </xf>
    <xf numFmtId="0" fontId="9" fillId="0" borderId="19" xfId="2" applyFont="1" applyBorder="1" applyProtection="1">
      <alignment vertical="center"/>
    </xf>
    <xf numFmtId="0" fontId="9" fillId="0" borderId="20" xfId="2" applyFont="1" applyBorder="1" applyProtection="1">
      <alignment vertical="center"/>
    </xf>
    <xf numFmtId="170" fontId="9" fillId="4" borderId="1" xfId="2" applyNumberFormat="1" applyFont="1" applyFill="1" applyBorder="1" applyProtection="1">
      <alignment vertical="center"/>
    </xf>
    <xf numFmtId="166" fontId="9" fillId="4" borderId="1" xfId="2" applyNumberFormat="1" applyFont="1" applyFill="1" applyBorder="1" applyProtection="1">
      <alignment vertical="center"/>
    </xf>
    <xf numFmtId="167" fontId="9" fillId="0" borderId="21" xfId="2" applyNumberFormat="1" applyFont="1" applyFill="1" applyBorder="1" applyProtection="1">
      <alignment vertical="center"/>
    </xf>
    <xf numFmtId="166" fontId="9" fillId="4" borderId="1" xfId="3" applyNumberFormat="1" applyFont="1" applyFill="1" applyBorder="1" applyProtection="1">
      <alignment vertical="center"/>
    </xf>
    <xf numFmtId="0" fontId="9" fillId="0" borderId="20" xfId="2" applyFont="1" applyFill="1" applyBorder="1" applyProtection="1">
      <alignment vertical="center"/>
    </xf>
    <xf numFmtId="166" fontId="9" fillId="0" borderId="0" xfId="2" applyNumberFormat="1" applyFont="1" applyFill="1" applyBorder="1" applyProtection="1">
      <alignment vertical="center"/>
    </xf>
    <xf numFmtId="0" fontId="24" fillId="0" borderId="1" xfId="2" applyNumberFormat="1" applyFont="1" applyBorder="1" applyProtection="1">
      <alignment vertical="center"/>
    </xf>
    <xf numFmtId="0" fontId="24" fillId="0" borderId="1" xfId="2" applyFont="1" applyBorder="1" applyProtection="1">
      <alignment vertical="center"/>
    </xf>
    <xf numFmtId="166" fontId="9" fillId="6" borderId="1" xfId="2" applyNumberFormat="1" applyFont="1" applyFill="1" applyBorder="1" applyProtection="1">
      <alignment vertical="center"/>
    </xf>
    <xf numFmtId="0" fontId="24" fillId="0" borderId="1" xfId="2" applyFont="1" applyFill="1" applyBorder="1" applyProtection="1">
      <alignment vertical="center"/>
    </xf>
    <xf numFmtId="0" fontId="9" fillId="0" borderId="0" xfId="2" applyFont="1" applyFill="1" applyProtection="1">
      <alignment vertical="center"/>
    </xf>
    <xf numFmtId="164" fontId="9" fillId="4" borderId="1" xfId="2" applyNumberFormat="1" applyFont="1" applyFill="1" applyBorder="1" applyProtection="1">
      <alignment vertical="center"/>
    </xf>
    <xf numFmtId="0" fontId="9" fillId="0" borderId="17" xfId="2" applyFont="1" applyFill="1" applyBorder="1" applyProtection="1">
      <alignment vertical="center"/>
    </xf>
    <xf numFmtId="170" fontId="9" fillId="2" borderId="1" xfId="2" applyNumberFormat="1" applyFont="1" applyFill="1" applyBorder="1" applyProtection="1">
      <alignment vertical="center"/>
    </xf>
    <xf numFmtId="0" fontId="16" fillId="3" borderId="15" xfId="1" applyFont="1" applyFill="1" applyBorder="1" applyAlignment="1" applyProtection="1">
      <alignment horizontal="center" vertical="center"/>
    </xf>
    <xf numFmtId="0" fontId="16" fillId="3" borderId="0" xfId="1" applyFont="1" applyFill="1" applyBorder="1" applyAlignment="1" applyProtection="1">
      <alignment vertical="center" wrapText="1"/>
    </xf>
    <xf numFmtId="0" fontId="0" fillId="3" borderId="1" xfId="0" applyFill="1" applyBorder="1" applyAlignment="1" applyProtection="1">
      <alignment horizontal="center" vertical="center"/>
    </xf>
    <xf numFmtId="0" fontId="0" fillId="2" borderId="1" xfId="0" applyFill="1" applyBorder="1" applyAlignment="1" applyProtection="1">
      <alignment horizontal="center" vertical="center"/>
      <protection locked="0"/>
    </xf>
    <xf numFmtId="171" fontId="9" fillId="0" borderId="1" xfId="2" applyNumberFormat="1" applyFont="1" applyBorder="1" applyProtection="1">
      <alignment vertical="center"/>
    </xf>
    <xf numFmtId="0" fontId="1" fillId="3" borderId="0" xfId="2" applyFill="1" applyProtection="1">
      <alignment vertical="center"/>
    </xf>
    <xf numFmtId="167" fontId="9" fillId="6" borderId="1" xfId="2" applyNumberFormat="1" applyFont="1" applyFill="1" applyBorder="1" applyProtection="1">
      <alignment vertical="center"/>
    </xf>
    <xf numFmtId="0" fontId="1" fillId="3" borderId="0" xfId="2" applyFill="1" applyBorder="1" applyProtection="1">
      <alignment vertical="center"/>
    </xf>
    <xf numFmtId="0" fontId="1" fillId="3" borderId="22" xfId="2" applyFill="1" applyBorder="1" applyProtection="1">
      <alignment vertical="center"/>
    </xf>
    <xf numFmtId="0" fontId="9" fillId="8" borderId="2" xfId="2" applyFont="1" applyFill="1" applyBorder="1" applyAlignment="1" applyProtection="1">
      <alignment vertical="center"/>
    </xf>
    <xf numFmtId="0" fontId="9" fillId="8" borderId="3" xfId="2" applyFont="1" applyFill="1" applyBorder="1" applyAlignment="1" applyProtection="1">
      <alignment vertical="center"/>
    </xf>
    <xf numFmtId="0" fontId="0" fillId="3" borderId="0" xfId="0" applyFill="1" applyProtection="1">
      <alignment vertical="center"/>
    </xf>
    <xf numFmtId="169" fontId="1" fillId="4" borderId="1" xfId="2" applyNumberFormat="1" applyFill="1" applyBorder="1" applyAlignment="1" applyProtection="1">
      <alignment horizontal="center" vertical="center"/>
    </xf>
    <xf numFmtId="166" fontId="9" fillId="0" borderId="1" xfId="3" applyNumberFormat="1" applyFont="1" applyBorder="1" applyProtection="1">
      <alignment vertical="center"/>
    </xf>
    <xf numFmtId="0" fontId="26" fillId="3" borderId="23" xfId="0" applyFont="1" applyFill="1" applyBorder="1" applyProtection="1">
      <alignment vertical="center"/>
    </xf>
    <xf numFmtId="0" fontId="26" fillId="3" borderId="22" xfId="0" applyFont="1" applyFill="1" applyBorder="1" applyProtection="1">
      <alignment vertical="center"/>
    </xf>
    <xf numFmtId="0" fontId="26" fillId="3" borderId="4" xfId="0" applyFont="1" applyFill="1" applyBorder="1" applyProtection="1">
      <alignment vertical="center"/>
    </xf>
    <xf numFmtId="0" fontId="26" fillId="3" borderId="0" xfId="0" applyFont="1" applyFill="1" applyBorder="1" applyProtection="1">
      <alignment vertical="center"/>
    </xf>
    <xf numFmtId="0" fontId="26" fillId="3" borderId="0" xfId="1" applyFont="1" applyFill="1" applyBorder="1" applyProtection="1">
      <alignment vertical="center"/>
    </xf>
    <xf numFmtId="0" fontId="26" fillId="3" borderId="0" xfId="1" applyFont="1" applyFill="1" applyBorder="1" applyAlignment="1" applyProtection="1"/>
    <xf numFmtId="0" fontId="26" fillId="3" borderId="4" xfId="1" applyFont="1" applyFill="1" applyBorder="1" applyProtection="1">
      <alignment vertical="center"/>
    </xf>
    <xf numFmtId="0" fontId="26" fillId="2" borderId="1" xfId="1" applyFont="1" applyFill="1" applyBorder="1" applyProtection="1">
      <alignment vertical="center"/>
    </xf>
    <xf numFmtId="0" fontId="26" fillId="4" borderId="1" xfId="1" applyFont="1" applyFill="1" applyBorder="1" applyProtection="1">
      <alignment vertical="center"/>
    </xf>
    <xf numFmtId="0" fontId="25" fillId="3" borderId="1" xfId="2" applyFont="1" applyFill="1" applyBorder="1" applyAlignment="1" applyProtection="1">
      <alignment horizontal="center" vertical="center"/>
    </xf>
    <xf numFmtId="0" fontId="26" fillId="3" borderId="1" xfId="1" applyFont="1" applyFill="1" applyBorder="1" applyAlignment="1" applyProtection="1">
      <alignment horizontal="center" vertical="center"/>
    </xf>
    <xf numFmtId="0" fontId="9" fillId="3" borderId="1" xfId="2" applyFont="1" applyFill="1" applyBorder="1" applyAlignment="1" applyProtection="1">
      <alignment horizontal="center" vertical="center"/>
    </xf>
    <xf numFmtId="169" fontId="26" fillId="2" borderId="1" xfId="1" applyNumberFormat="1" applyFont="1" applyFill="1" applyBorder="1" applyAlignment="1" applyProtection="1">
      <alignment vertical="center"/>
      <protection locked="0"/>
    </xf>
    <xf numFmtId="169" fontId="26" fillId="3" borderId="0" xfId="1" applyNumberFormat="1" applyFont="1" applyFill="1" applyBorder="1" applyAlignment="1" applyProtection="1">
      <alignment vertical="center"/>
    </xf>
    <xf numFmtId="0" fontId="26" fillId="3" borderId="0" xfId="1" applyFont="1" applyFill="1" applyBorder="1" applyAlignment="1" applyProtection="1">
      <alignment horizontal="center" vertical="center"/>
    </xf>
    <xf numFmtId="0" fontId="26" fillId="3" borderId="0" xfId="1" applyFont="1" applyFill="1" applyBorder="1" applyAlignment="1" applyProtection="1">
      <alignment horizontal="right" vertical="center"/>
    </xf>
    <xf numFmtId="0" fontId="9" fillId="0" borderId="0" xfId="1" applyFont="1" applyFill="1" applyBorder="1" applyProtection="1">
      <alignment vertical="center"/>
    </xf>
    <xf numFmtId="0" fontId="26" fillId="2" borderId="1" xfId="1" applyFont="1" applyFill="1" applyBorder="1" applyAlignment="1" applyProtection="1">
      <alignment horizontal="right" vertical="center"/>
      <protection locked="0"/>
    </xf>
    <xf numFmtId="0" fontId="26" fillId="2" borderId="1" xfId="1" applyNumberFormat="1" applyFont="1" applyFill="1" applyBorder="1" applyAlignment="1" applyProtection="1">
      <alignment vertical="center"/>
      <protection locked="0"/>
    </xf>
    <xf numFmtId="171" fontId="26" fillId="2" borderId="1" xfId="1" applyNumberFormat="1" applyFont="1" applyFill="1" applyBorder="1" applyAlignment="1" applyProtection="1">
      <alignment vertical="center"/>
      <protection locked="0"/>
    </xf>
    <xf numFmtId="169" fontId="26" fillId="3" borderId="1" xfId="1" applyNumberFormat="1" applyFont="1" applyFill="1" applyBorder="1" applyAlignment="1" applyProtection="1">
      <alignment horizontal="center" vertical="center"/>
    </xf>
    <xf numFmtId="49" fontId="26" fillId="3" borderId="1" xfId="1" applyNumberFormat="1" applyFont="1" applyFill="1" applyBorder="1" applyAlignment="1" applyProtection="1">
      <alignment horizontal="center" vertical="center"/>
    </xf>
    <xf numFmtId="169" fontId="26" fillId="3" borderId="0" xfId="1" applyNumberFormat="1" applyFont="1" applyFill="1" applyBorder="1" applyAlignment="1" applyProtection="1">
      <alignment horizontal="center" vertical="center"/>
    </xf>
    <xf numFmtId="49" fontId="26" fillId="3" borderId="0" xfId="1" applyNumberFormat="1" applyFont="1" applyFill="1" applyBorder="1" applyAlignment="1" applyProtection="1">
      <alignment horizontal="center" vertical="center"/>
    </xf>
    <xf numFmtId="0" fontId="26" fillId="2" borderId="1" xfId="1" applyNumberFormat="1" applyFont="1" applyFill="1" applyBorder="1" applyAlignment="1" applyProtection="1">
      <alignment horizontal="center" vertical="center"/>
      <protection locked="0"/>
    </xf>
    <xf numFmtId="0" fontId="26" fillId="3" borderId="24" xfId="1" applyFont="1" applyFill="1" applyBorder="1" applyProtection="1">
      <alignment vertical="center"/>
    </xf>
    <xf numFmtId="167" fontId="26" fillId="3" borderId="0" xfId="1" applyNumberFormat="1" applyFont="1" applyFill="1" applyBorder="1" applyAlignment="1" applyProtection="1">
      <alignment horizontal="center" vertical="center"/>
    </xf>
    <xf numFmtId="0" fontId="0" fillId="3" borderId="0" xfId="0" applyFill="1" applyBorder="1" applyAlignment="1" applyProtection="1">
      <alignment horizontal="center" vertical="center"/>
    </xf>
    <xf numFmtId="0" fontId="26" fillId="3" borderId="0" xfId="1" applyFont="1" applyFill="1" applyBorder="1" applyAlignment="1" applyProtection="1">
      <alignment vertical="center" wrapText="1"/>
    </xf>
    <xf numFmtId="0" fontId="22" fillId="3" borderId="0" xfId="1" applyFont="1" applyFill="1" applyBorder="1" applyAlignment="1" applyProtection="1"/>
    <xf numFmtId="0" fontId="26" fillId="3" borderId="0" xfId="1" applyFont="1" applyFill="1" applyBorder="1" applyAlignment="1" applyProtection="1">
      <alignment vertical="center"/>
    </xf>
    <xf numFmtId="0" fontId="26" fillId="3" borderId="1" xfId="1" applyFont="1" applyFill="1" applyBorder="1" applyAlignment="1" applyProtection="1">
      <alignment vertical="center" wrapText="1"/>
    </xf>
    <xf numFmtId="0" fontId="26" fillId="3" borderId="0" xfId="1" applyFont="1" applyFill="1" applyBorder="1" applyAlignment="1" applyProtection="1">
      <alignment horizontal="right" vertical="center" wrapText="1"/>
    </xf>
    <xf numFmtId="0" fontId="26" fillId="2" borderId="1" xfId="1" applyFont="1" applyFill="1" applyBorder="1" applyProtection="1">
      <alignment vertical="center"/>
      <protection locked="0"/>
    </xf>
    <xf numFmtId="0" fontId="22" fillId="3" borderId="0" xfId="1" applyFont="1" applyFill="1" applyBorder="1" applyAlignment="1" applyProtection="1">
      <alignment vertical="center"/>
    </xf>
    <xf numFmtId="0" fontId="26" fillId="3" borderId="0" xfId="1" applyFont="1" applyFill="1" applyBorder="1" applyAlignment="1" applyProtection="1">
      <alignment horizontal="left" vertical="center"/>
    </xf>
    <xf numFmtId="0" fontId="26" fillId="3" borderId="0" xfId="1" applyFont="1" applyFill="1" applyBorder="1" applyAlignment="1" applyProtection="1">
      <alignment horizontal="center" vertical="center" wrapText="1"/>
    </xf>
    <xf numFmtId="167" fontId="26" fillId="3" borderId="0" xfId="1" applyNumberFormat="1" applyFont="1" applyFill="1" applyBorder="1" applyProtection="1">
      <alignment vertical="center"/>
    </xf>
    <xf numFmtId="0" fontId="26" fillId="3" borderId="25" xfId="1" applyFont="1" applyFill="1" applyBorder="1" applyAlignment="1" applyProtection="1">
      <alignment horizontal="center" vertical="center"/>
    </xf>
    <xf numFmtId="0" fontId="26" fillId="3" borderId="15" xfId="1" applyFont="1" applyFill="1" applyBorder="1" applyAlignment="1" applyProtection="1">
      <alignment horizontal="center" vertical="center"/>
    </xf>
    <xf numFmtId="167" fontId="26" fillId="3" borderId="1" xfId="1" applyNumberFormat="1" applyFont="1" applyFill="1" applyBorder="1" applyAlignment="1" applyProtection="1">
      <alignment horizontal="center" vertical="center"/>
    </xf>
    <xf numFmtId="168" fontId="26" fillId="3" borderId="0" xfId="1" applyNumberFormat="1" applyFont="1" applyFill="1" applyBorder="1" applyAlignment="1" applyProtection="1">
      <alignment horizontal="center" vertical="center"/>
    </xf>
    <xf numFmtId="167" fontId="26" fillId="3" borderId="0" xfId="1" applyNumberFormat="1" applyFont="1" applyFill="1" applyBorder="1" applyAlignment="1" applyProtection="1">
      <alignment horizontal="left" vertical="center"/>
    </xf>
    <xf numFmtId="170" fontId="26" fillId="3" borderId="0" xfId="1" applyNumberFormat="1" applyFont="1" applyFill="1" applyBorder="1" applyAlignment="1" applyProtection="1">
      <alignment vertical="center"/>
    </xf>
    <xf numFmtId="167" fontId="26" fillId="3" borderId="13" xfId="1" applyNumberFormat="1" applyFont="1" applyFill="1" applyBorder="1" applyAlignment="1" applyProtection="1">
      <alignment horizontal="center" vertical="center"/>
    </xf>
    <xf numFmtId="166" fontId="26" fillId="4" borderId="1" xfId="1" applyNumberFormat="1" applyFont="1" applyFill="1" applyBorder="1" applyAlignment="1" applyProtection="1">
      <alignment horizontal="center" vertical="center"/>
    </xf>
    <xf numFmtId="0" fontId="1" fillId="3" borderId="26" xfId="2" applyFill="1" applyBorder="1" applyProtection="1">
      <alignment vertical="center"/>
    </xf>
    <xf numFmtId="0" fontId="9" fillId="0" borderId="27" xfId="2" applyFont="1" applyBorder="1" applyAlignment="1" applyProtection="1">
      <alignment vertical="center"/>
    </xf>
    <xf numFmtId="0" fontId="26" fillId="6" borderId="1" xfId="3" applyFont="1" applyFill="1" applyBorder="1" applyProtection="1">
      <alignment vertical="center"/>
    </xf>
    <xf numFmtId="166" fontId="9" fillId="0" borderId="0" xfId="2" applyNumberFormat="1" applyFont="1" applyBorder="1" applyProtection="1">
      <alignment vertical="center"/>
    </xf>
    <xf numFmtId="0" fontId="26" fillId="3" borderId="13" xfId="1" applyFont="1" applyFill="1" applyBorder="1" applyAlignment="1" applyProtection="1">
      <alignment vertical="center" wrapText="1"/>
    </xf>
    <xf numFmtId="0" fontId="26" fillId="3" borderId="15" xfId="1" applyFont="1" applyFill="1" applyBorder="1" applyAlignment="1" applyProtection="1">
      <alignment vertical="center" wrapText="1"/>
    </xf>
    <xf numFmtId="0" fontId="0" fillId="3" borderId="15" xfId="1" quotePrefix="1" applyFont="1" applyFill="1" applyBorder="1" applyAlignment="1" applyProtection="1">
      <alignment vertical="center" wrapText="1"/>
    </xf>
    <xf numFmtId="0" fontId="26" fillId="3" borderId="1" xfId="2" applyFont="1" applyFill="1" applyBorder="1" applyAlignment="1" applyProtection="1">
      <alignment vertical="center" wrapText="1"/>
    </xf>
    <xf numFmtId="0" fontId="0" fillId="3" borderId="1" xfId="1" applyFont="1" applyFill="1" applyBorder="1" applyAlignment="1" applyProtection="1">
      <alignment vertical="center" wrapText="1"/>
    </xf>
    <xf numFmtId="165" fontId="9" fillId="0" borderId="19" xfId="2" applyNumberFormat="1" applyFont="1" applyFill="1" applyBorder="1" applyProtection="1">
      <alignment vertical="center"/>
    </xf>
    <xf numFmtId="165" fontId="9" fillId="0" borderId="28" xfId="2" applyNumberFormat="1" applyFont="1" applyFill="1" applyBorder="1" applyProtection="1">
      <alignment vertical="center"/>
    </xf>
    <xf numFmtId="165" fontId="9" fillId="0" borderId="29" xfId="2" applyNumberFormat="1" applyFont="1" applyFill="1" applyBorder="1" applyProtection="1">
      <alignment vertical="center"/>
    </xf>
    <xf numFmtId="0" fontId="1" fillId="0" borderId="3" xfId="2" applyBorder="1" applyProtection="1">
      <alignment vertical="center"/>
    </xf>
    <xf numFmtId="171" fontId="9" fillId="2" borderId="1" xfId="2" applyNumberFormat="1" applyFont="1" applyFill="1" applyBorder="1" applyProtection="1">
      <alignment vertical="center"/>
    </xf>
    <xf numFmtId="0" fontId="9" fillId="0" borderId="0" xfId="2" applyNumberFormat="1" applyFont="1" applyFill="1" applyBorder="1" applyProtection="1">
      <alignment vertical="center"/>
    </xf>
    <xf numFmtId="0" fontId="26" fillId="3" borderId="15" xfId="1" quotePrefix="1" applyFont="1" applyFill="1" applyBorder="1" applyAlignment="1" applyProtection="1">
      <alignment vertical="center" wrapText="1"/>
    </xf>
    <xf numFmtId="0" fontId="9" fillId="3" borderId="1" xfId="1" applyFont="1" applyFill="1" applyBorder="1" applyAlignment="1" applyProtection="1">
      <alignment horizontal="center" vertical="center"/>
    </xf>
    <xf numFmtId="166" fontId="9" fillId="4" borderId="1" xfId="1" applyNumberFormat="1" applyFont="1" applyFill="1" applyBorder="1" applyAlignment="1" applyProtection="1">
      <alignment horizontal="center" vertical="center"/>
    </xf>
    <xf numFmtId="166" fontId="1" fillId="0" borderId="1" xfId="2" applyNumberFormat="1" applyBorder="1" applyProtection="1">
      <alignment vertical="center"/>
    </xf>
    <xf numFmtId="169" fontId="26" fillId="3" borderId="2" xfId="1" applyNumberFormat="1" applyFont="1" applyFill="1" applyBorder="1" applyAlignment="1" applyProtection="1">
      <alignment horizontal="center" vertical="center"/>
    </xf>
    <xf numFmtId="0" fontId="25" fillId="3" borderId="20" xfId="2" applyFont="1" applyFill="1" applyBorder="1" applyAlignment="1" applyProtection="1">
      <alignment horizontal="center" vertical="center"/>
    </xf>
    <xf numFmtId="0" fontId="9" fillId="3" borderId="0" xfId="2" applyFont="1" applyFill="1" applyBorder="1" applyAlignment="1" applyProtection="1">
      <alignment horizontal="center" vertical="center"/>
    </xf>
    <xf numFmtId="0" fontId="26" fillId="3" borderId="2" xfId="1" applyFont="1" applyFill="1" applyBorder="1" applyAlignment="1" applyProtection="1">
      <alignment horizontal="center" vertical="center"/>
    </xf>
    <xf numFmtId="0" fontId="0" fillId="3" borderId="21" xfId="0" applyFill="1" applyBorder="1" applyAlignment="1" applyProtection="1">
      <alignment horizontal="center" vertical="center"/>
    </xf>
    <xf numFmtId="169" fontId="26" fillId="3" borderId="21" xfId="1" applyNumberFormat="1" applyFont="1" applyFill="1" applyBorder="1" applyAlignment="1" applyProtection="1">
      <alignment horizontal="center" vertical="center"/>
    </xf>
    <xf numFmtId="166" fontId="1" fillId="0" borderId="0" xfId="2" applyNumberFormat="1" applyProtection="1">
      <alignment vertical="center"/>
    </xf>
    <xf numFmtId="166" fontId="9" fillId="0" borderId="21" xfId="2" applyNumberFormat="1" applyFont="1" applyBorder="1" applyProtection="1">
      <alignment vertical="center"/>
    </xf>
    <xf numFmtId="166" fontId="26" fillId="4" borderId="1" xfId="1" applyNumberFormat="1" applyFont="1" applyFill="1" applyBorder="1" applyProtection="1">
      <alignment vertical="center"/>
    </xf>
    <xf numFmtId="0" fontId="0" fillId="0" borderId="0" xfId="0" applyProtection="1">
      <alignment vertical="center"/>
    </xf>
    <xf numFmtId="0" fontId="26" fillId="2" borderId="2" xfId="1" applyNumberFormat="1" applyFont="1" applyFill="1" applyBorder="1" applyAlignment="1" applyProtection="1">
      <alignment horizontal="center" vertical="center"/>
    </xf>
    <xf numFmtId="0" fontId="0" fillId="2" borderId="21" xfId="0" applyFill="1" applyBorder="1" applyAlignment="1" applyProtection="1">
      <alignment horizontal="center" vertical="center"/>
    </xf>
    <xf numFmtId="169" fontId="26" fillId="3" borderId="0" xfId="1" applyNumberFormat="1" applyFont="1" applyFill="1" applyBorder="1" applyAlignment="1" applyProtection="1">
      <alignment horizontal="left" vertical="center"/>
    </xf>
    <xf numFmtId="169" fontId="26" fillId="3" borderId="2" xfId="1" applyNumberFormat="1" applyFont="1" applyFill="1" applyBorder="1" applyAlignment="1" applyProtection="1">
      <alignment vertical="center"/>
    </xf>
    <xf numFmtId="0" fontId="0" fillId="3" borderId="2" xfId="1" applyFont="1" applyFill="1" applyBorder="1" applyAlignment="1" applyProtection="1">
      <alignment vertical="center"/>
    </xf>
    <xf numFmtId="0" fontId="1" fillId="0" borderId="5" xfId="2" applyBorder="1" applyProtection="1">
      <alignment vertical="center"/>
    </xf>
    <xf numFmtId="0" fontId="26" fillId="3" borderId="3" xfId="1" applyFont="1" applyFill="1" applyBorder="1" applyAlignment="1" applyProtection="1">
      <alignment vertical="center"/>
    </xf>
    <xf numFmtId="169" fontId="26" fillId="3" borderId="3" xfId="1" applyNumberFormat="1" applyFont="1" applyFill="1" applyBorder="1" applyAlignment="1" applyProtection="1">
      <alignment vertical="center"/>
    </xf>
    <xf numFmtId="169" fontId="26" fillId="7" borderId="2" xfId="1" applyNumberFormat="1" applyFont="1" applyFill="1" applyBorder="1" applyAlignment="1" applyProtection="1">
      <alignment vertical="center"/>
    </xf>
    <xf numFmtId="169" fontId="26" fillId="7" borderId="3" xfId="1" applyNumberFormat="1" applyFont="1" applyFill="1" applyBorder="1" applyAlignment="1" applyProtection="1">
      <alignment vertical="center"/>
    </xf>
    <xf numFmtId="0" fontId="1" fillId="7" borderId="5" xfId="2" applyFill="1" applyBorder="1" applyProtection="1">
      <alignment vertical="center"/>
    </xf>
    <xf numFmtId="169" fontId="0" fillId="3" borderId="0" xfId="1" applyNumberFormat="1" applyFont="1" applyFill="1" applyBorder="1" applyAlignment="1" applyProtection="1">
      <alignment horizontal="left" vertical="center"/>
    </xf>
    <xf numFmtId="0" fontId="0" fillId="3" borderId="1" xfId="1" applyFont="1" applyFill="1" applyBorder="1" applyAlignment="1" applyProtection="1">
      <alignment horizontal="center" vertical="center"/>
    </xf>
    <xf numFmtId="169" fontId="26" fillId="3" borderId="1" xfId="1" applyNumberFormat="1" applyFont="1" applyFill="1" applyBorder="1" applyAlignment="1" applyProtection="1">
      <alignment horizontal="center" vertical="center"/>
    </xf>
    <xf numFmtId="0" fontId="9" fillId="8" borderId="2" xfId="2" applyFont="1" applyFill="1" applyBorder="1" applyAlignment="1" applyProtection="1">
      <alignment vertical="center"/>
    </xf>
    <xf numFmtId="0" fontId="9" fillId="8" borderId="3" xfId="2" applyFont="1" applyFill="1" applyBorder="1" applyAlignment="1" applyProtection="1">
      <alignment vertical="center"/>
    </xf>
    <xf numFmtId="0" fontId="9" fillId="8" borderId="5" xfId="2" applyFont="1" applyFill="1" applyBorder="1" applyAlignment="1" applyProtection="1">
      <alignment vertical="center"/>
    </xf>
    <xf numFmtId="0" fontId="26" fillId="3" borderId="0" xfId="1" applyFont="1" applyFill="1" applyBorder="1" applyAlignment="1" applyProtection="1">
      <alignment horizontal="center" vertical="center"/>
    </xf>
    <xf numFmtId="0" fontId="26" fillId="3" borderId="2" xfId="1" applyFont="1" applyFill="1" applyBorder="1" applyAlignment="1" applyProtection="1">
      <alignment horizontal="center" vertical="center"/>
    </xf>
    <xf numFmtId="0" fontId="26" fillId="3" borderId="3" xfId="1" applyFont="1" applyFill="1" applyBorder="1" applyAlignment="1" applyProtection="1">
      <alignment horizontal="center" vertical="center"/>
    </xf>
    <xf numFmtId="0" fontId="26" fillId="3" borderId="5" xfId="1" applyFont="1" applyFill="1" applyBorder="1" applyAlignment="1" applyProtection="1">
      <alignment horizontal="center" vertical="center"/>
    </xf>
    <xf numFmtId="0" fontId="1" fillId="3" borderId="2" xfId="2" applyFill="1" applyBorder="1" applyAlignment="1" applyProtection="1">
      <alignment horizontal="center" vertical="center"/>
    </xf>
    <xf numFmtId="0" fontId="1" fillId="3" borderId="3" xfId="2" applyFill="1" applyBorder="1" applyAlignment="1" applyProtection="1">
      <alignment horizontal="center" vertical="center"/>
    </xf>
    <xf numFmtId="0" fontId="1" fillId="3" borderId="5" xfId="2" applyFill="1" applyBorder="1" applyAlignment="1" applyProtection="1">
      <alignment horizontal="center" vertical="center"/>
    </xf>
    <xf numFmtId="166" fontId="26" fillId="7" borderId="2" xfId="1" applyNumberFormat="1" applyFont="1" applyFill="1" applyBorder="1" applyAlignment="1" applyProtection="1">
      <alignment horizontal="center" vertical="center"/>
    </xf>
    <xf numFmtId="166" fontId="26" fillId="7" borderId="3" xfId="1" applyNumberFormat="1" applyFont="1" applyFill="1" applyBorder="1" applyAlignment="1" applyProtection="1">
      <alignment horizontal="center" vertical="center"/>
    </xf>
    <xf numFmtId="166" fontId="26" fillId="7" borderId="5" xfId="1" applyNumberFormat="1" applyFont="1" applyFill="1" applyBorder="1" applyAlignment="1" applyProtection="1">
      <alignment horizontal="center" vertical="center"/>
    </xf>
    <xf numFmtId="0" fontId="9" fillId="9" borderId="2" xfId="3" applyFont="1" applyFill="1" applyBorder="1" applyAlignment="1" applyProtection="1">
      <alignment horizontal="left" vertical="center"/>
    </xf>
    <xf numFmtId="0" fontId="9" fillId="9" borderId="3" xfId="3" applyFont="1" applyFill="1" applyBorder="1" applyAlignment="1" applyProtection="1">
      <alignment horizontal="left" vertical="center"/>
    </xf>
    <xf numFmtId="0" fontId="9" fillId="9" borderId="5" xfId="3" applyFont="1" applyFill="1" applyBorder="1" applyAlignment="1" applyProtection="1">
      <alignment horizontal="left" vertical="center"/>
    </xf>
    <xf numFmtId="0" fontId="26" fillId="0" borderId="1" xfId="2" applyFont="1" applyBorder="1" applyAlignment="1" applyProtection="1">
      <alignment vertical="center"/>
    </xf>
    <xf numFmtId="169" fontId="26" fillId="3" borderId="2" xfId="1" applyNumberFormat="1" applyFont="1" applyFill="1" applyBorder="1" applyAlignment="1" applyProtection="1">
      <alignment horizontal="center" vertical="center"/>
    </xf>
    <xf numFmtId="169" fontId="26" fillId="3" borderId="5" xfId="1" applyNumberFormat="1" applyFont="1" applyFill="1" applyBorder="1" applyAlignment="1" applyProtection="1">
      <alignment horizontal="center" vertical="center"/>
    </xf>
    <xf numFmtId="0" fontId="16" fillId="3" borderId="2" xfId="1" applyFont="1" applyFill="1" applyBorder="1" applyAlignment="1" applyProtection="1">
      <alignment horizontal="left" vertical="center"/>
    </xf>
    <xf numFmtId="0" fontId="16" fillId="3" borderId="5" xfId="1" applyFont="1" applyFill="1" applyBorder="1" applyAlignment="1" applyProtection="1">
      <alignment horizontal="left" vertical="center"/>
    </xf>
    <xf numFmtId="167" fontId="26" fillId="3" borderId="13" xfId="1" applyNumberFormat="1" applyFont="1" applyFill="1" applyBorder="1" applyAlignment="1" applyProtection="1">
      <alignment horizontal="center" vertical="center"/>
    </xf>
    <xf numFmtId="167" fontId="26" fillId="3" borderId="35" xfId="1" applyNumberFormat="1" applyFont="1" applyFill="1" applyBorder="1" applyAlignment="1" applyProtection="1">
      <alignment horizontal="center" vertical="center"/>
    </xf>
    <xf numFmtId="167" fontId="26" fillId="3" borderId="15" xfId="1" applyNumberFormat="1" applyFont="1" applyFill="1" applyBorder="1" applyAlignment="1" applyProtection="1">
      <alignment horizontal="center" vertical="center"/>
    </xf>
    <xf numFmtId="0" fontId="26" fillId="3" borderId="19" xfId="1" applyFont="1" applyFill="1" applyBorder="1" applyAlignment="1" applyProtection="1">
      <alignment horizontal="center" vertical="center" wrapText="1"/>
    </xf>
    <xf numFmtId="0" fontId="26" fillId="3" borderId="30" xfId="1" applyFont="1" applyFill="1" applyBorder="1" applyAlignment="1" applyProtection="1">
      <alignment horizontal="center" vertical="center" wrapText="1"/>
    </xf>
    <xf numFmtId="0" fontId="9" fillId="0" borderId="1" xfId="2" applyFont="1" applyBorder="1" applyAlignment="1" applyProtection="1">
      <alignment vertical="center"/>
    </xf>
    <xf numFmtId="0" fontId="9" fillId="9" borderId="2" xfId="3" applyFont="1" applyFill="1" applyBorder="1" applyAlignment="1" applyProtection="1">
      <alignment vertical="center"/>
    </xf>
    <xf numFmtId="0" fontId="9" fillId="9" borderId="3" xfId="3" applyFont="1" applyFill="1" applyBorder="1" applyAlignment="1" applyProtection="1">
      <alignment vertical="center"/>
    </xf>
    <xf numFmtId="0" fontId="9" fillId="9" borderId="5" xfId="3" applyFont="1" applyFill="1" applyBorder="1" applyAlignment="1" applyProtection="1">
      <alignment vertical="center"/>
    </xf>
    <xf numFmtId="0" fontId="9" fillId="0" borderId="36" xfId="2" applyFont="1" applyFill="1" applyBorder="1" applyAlignment="1" applyProtection="1">
      <alignment vertical="center"/>
    </xf>
    <xf numFmtId="0" fontId="9" fillId="0" borderId="37" xfId="2" applyFont="1" applyFill="1" applyBorder="1" applyAlignment="1" applyProtection="1">
      <alignment vertical="center"/>
    </xf>
    <xf numFmtId="0" fontId="9" fillId="0" borderId="38" xfId="2" applyFont="1" applyFill="1" applyBorder="1" applyAlignment="1" applyProtection="1">
      <alignment vertical="center"/>
    </xf>
    <xf numFmtId="0" fontId="9" fillId="0" borderId="2" xfId="2" applyFont="1" applyFill="1" applyBorder="1" applyAlignment="1" applyProtection="1">
      <alignment vertical="center" wrapText="1"/>
    </xf>
    <xf numFmtId="0" fontId="9" fillId="0" borderId="3" xfId="2" applyFont="1" applyFill="1" applyBorder="1" applyAlignment="1" applyProtection="1">
      <alignment vertical="center" wrapText="1"/>
    </xf>
    <xf numFmtId="0" fontId="9" fillId="0" borderId="5" xfId="2" applyFont="1" applyFill="1" applyBorder="1" applyAlignment="1" applyProtection="1">
      <alignment vertical="center" wrapText="1"/>
    </xf>
    <xf numFmtId="0" fontId="9" fillId="0" borderId="13" xfId="2" applyFont="1" applyBorder="1" applyAlignment="1" applyProtection="1">
      <alignment horizontal="center" vertical="center" wrapText="1"/>
    </xf>
    <xf numFmtId="0" fontId="9" fillId="0" borderId="15" xfId="2" applyFont="1" applyBorder="1" applyAlignment="1" applyProtection="1">
      <alignment horizontal="center" vertical="center" wrapText="1"/>
    </xf>
    <xf numFmtId="0" fontId="9" fillId="0" borderId="2" xfId="2" applyFont="1" applyFill="1" applyBorder="1" applyAlignment="1" applyProtection="1">
      <alignment vertical="center"/>
    </xf>
    <xf numFmtId="0" fontId="9" fillId="0" borderId="3" xfId="2" applyFont="1" applyFill="1" applyBorder="1" applyAlignment="1" applyProtection="1">
      <alignment vertical="center"/>
    </xf>
    <xf numFmtId="0" fontId="9" fillId="0" borderId="5" xfId="2" applyFont="1" applyFill="1" applyBorder="1" applyAlignment="1" applyProtection="1">
      <alignment vertical="center"/>
    </xf>
    <xf numFmtId="0" fontId="9" fillId="9" borderId="2" xfId="2" applyFont="1" applyFill="1" applyBorder="1" applyAlignment="1" applyProtection="1">
      <alignment vertical="center"/>
    </xf>
    <xf numFmtId="0" fontId="9" fillId="9" borderId="3" xfId="2" applyFont="1" applyFill="1" applyBorder="1" applyAlignment="1" applyProtection="1">
      <alignment vertical="center"/>
    </xf>
    <xf numFmtId="0" fontId="9" fillId="9" borderId="5" xfId="2" applyFont="1" applyFill="1" applyBorder="1" applyAlignment="1" applyProtection="1">
      <alignment vertical="center"/>
    </xf>
    <xf numFmtId="0" fontId="26" fillId="3" borderId="33" xfId="1" applyFont="1" applyFill="1" applyBorder="1" applyAlignment="1" applyProtection="1">
      <alignment horizontal="center" vertical="center"/>
    </xf>
    <xf numFmtId="0" fontId="26" fillId="3" borderId="34" xfId="1" applyFont="1" applyFill="1" applyBorder="1" applyAlignment="1" applyProtection="1">
      <alignment horizontal="center" vertical="center"/>
    </xf>
    <xf numFmtId="0" fontId="9" fillId="9" borderId="36" xfId="2" applyFont="1" applyFill="1" applyBorder="1" applyAlignment="1" applyProtection="1">
      <alignment vertical="center"/>
    </xf>
    <xf numFmtId="0" fontId="9" fillId="9" borderId="37" xfId="2" applyFont="1" applyFill="1" applyBorder="1" applyAlignment="1" applyProtection="1">
      <alignment vertical="center"/>
    </xf>
    <xf numFmtId="0" fontId="9" fillId="9" borderId="38" xfId="2" applyFont="1" applyFill="1" applyBorder="1" applyAlignment="1" applyProtection="1">
      <alignment vertical="center"/>
    </xf>
    <xf numFmtId="0" fontId="9" fillId="9" borderId="42" xfId="2" applyFont="1" applyFill="1" applyBorder="1" applyAlignment="1" applyProtection="1">
      <alignment vertical="center"/>
    </xf>
    <xf numFmtId="0" fontId="9" fillId="9" borderId="43" xfId="2" applyFont="1" applyFill="1" applyBorder="1" applyAlignment="1" applyProtection="1">
      <alignment vertical="center"/>
    </xf>
    <xf numFmtId="0" fontId="9" fillId="9" borderId="44" xfId="2" applyFont="1" applyFill="1" applyBorder="1" applyAlignment="1" applyProtection="1">
      <alignment vertical="center"/>
    </xf>
    <xf numFmtId="0" fontId="25" fillId="3" borderId="20" xfId="2" applyFont="1" applyFill="1" applyBorder="1" applyAlignment="1" applyProtection="1">
      <alignment horizontal="center" vertical="center"/>
    </xf>
    <xf numFmtId="0" fontId="9" fillId="3" borderId="0" xfId="2" applyFont="1" applyFill="1" applyBorder="1" applyAlignment="1" applyProtection="1">
      <alignment horizontal="center" vertical="center"/>
    </xf>
    <xf numFmtId="0" fontId="1" fillId="0" borderId="1" xfId="2" applyFont="1" applyBorder="1" applyAlignment="1" applyProtection="1">
      <alignment horizontal="center" vertical="center"/>
    </xf>
    <xf numFmtId="167" fontId="1" fillId="4" borderId="1" xfId="2" applyNumberFormat="1" applyFill="1" applyBorder="1" applyAlignment="1" applyProtection="1">
      <alignment horizontal="center" vertical="center"/>
    </xf>
    <xf numFmtId="0" fontId="1" fillId="4" borderId="1" xfId="2" applyFill="1" applyBorder="1" applyAlignment="1" applyProtection="1">
      <alignment horizontal="center" vertical="center"/>
    </xf>
    <xf numFmtId="0" fontId="1" fillId="0" borderId="1" xfId="2" applyBorder="1" applyAlignment="1" applyProtection="1">
      <alignment horizontal="center" vertical="center"/>
    </xf>
    <xf numFmtId="0" fontId="16" fillId="3" borderId="2" xfId="1" applyFont="1" applyFill="1" applyBorder="1" applyAlignment="1" applyProtection="1">
      <alignment horizontal="right" vertical="center"/>
    </xf>
    <xf numFmtId="0" fontId="16" fillId="3" borderId="5" xfId="1" applyFont="1" applyFill="1" applyBorder="1" applyAlignment="1" applyProtection="1">
      <alignment horizontal="right" vertical="center"/>
    </xf>
    <xf numFmtId="0" fontId="26" fillId="3" borderId="1" xfId="1" applyFont="1" applyFill="1" applyBorder="1" applyAlignment="1" applyProtection="1">
      <alignment horizontal="center" vertical="center"/>
    </xf>
    <xf numFmtId="170" fontId="26" fillId="4" borderId="2" xfId="1" applyNumberFormat="1" applyFont="1" applyFill="1" applyBorder="1" applyAlignment="1" applyProtection="1">
      <alignment horizontal="center" vertical="center"/>
    </xf>
    <xf numFmtId="170" fontId="26" fillId="4" borderId="5" xfId="1" applyNumberFormat="1" applyFont="1" applyFill="1" applyBorder="1" applyAlignment="1" applyProtection="1">
      <alignment horizontal="center" vertical="center"/>
    </xf>
    <xf numFmtId="164" fontId="26" fillId="4" borderId="2" xfId="1" applyNumberFormat="1" applyFont="1" applyFill="1" applyBorder="1" applyAlignment="1" applyProtection="1">
      <alignment horizontal="center" vertical="center"/>
    </xf>
    <xf numFmtId="164" fontId="26" fillId="4" borderId="5" xfId="1" applyNumberFormat="1" applyFont="1" applyFill="1" applyBorder="1" applyAlignment="1" applyProtection="1">
      <alignment horizontal="center" vertical="center"/>
    </xf>
    <xf numFmtId="0" fontId="26" fillId="3" borderId="13" xfId="1" applyFont="1" applyFill="1" applyBorder="1" applyAlignment="1" applyProtection="1">
      <alignment horizontal="center" vertical="center" wrapText="1"/>
    </xf>
    <xf numFmtId="0" fontId="26" fillId="3" borderId="15" xfId="1" applyFont="1" applyFill="1" applyBorder="1" applyAlignment="1" applyProtection="1">
      <alignment horizontal="center" vertical="center" wrapText="1"/>
    </xf>
    <xf numFmtId="0" fontId="26" fillId="3" borderId="2" xfId="1" applyFont="1" applyFill="1" applyBorder="1" applyAlignment="1" applyProtection="1">
      <alignment horizontal="center" vertical="center" wrapText="1"/>
    </xf>
    <xf numFmtId="0" fontId="26" fillId="3" borderId="3" xfId="1" applyFont="1" applyFill="1" applyBorder="1" applyAlignment="1" applyProtection="1">
      <alignment horizontal="center" vertical="center" wrapText="1"/>
    </xf>
    <xf numFmtId="0" fontId="26" fillId="3" borderId="5" xfId="1" applyFont="1" applyFill="1" applyBorder="1" applyAlignment="1" applyProtection="1">
      <alignment horizontal="center" vertical="center" wrapText="1"/>
    </xf>
    <xf numFmtId="0" fontId="16" fillId="3" borderId="13" xfId="1" applyFont="1" applyFill="1" applyBorder="1" applyAlignment="1" applyProtection="1">
      <alignment horizontal="center" vertical="center"/>
    </xf>
    <xf numFmtId="0" fontId="16" fillId="3" borderId="15" xfId="1" applyFont="1" applyFill="1" applyBorder="1" applyAlignment="1" applyProtection="1">
      <alignment horizontal="center" vertical="center"/>
    </xf>
    <xf numFmtId="0" fontId="9" fillId="3" borderId="0" xfId="2" applyFont="1" applyFill="1" applyBorder="1" applyAlignment="1" applyProtection="1">
      <alignment horizontal="center" vertical="center" wrapText="1"/>
    </xf>
    <xf numFmtId="0" fontId="9" fillId="0" borderId="42" xfId="2" applyFont="1" applyFill="1" applyBorder="1" applyAlignment="1" applyProtection="1">
      <alignment vertical="center"/>
    </xf>
    <xf numFmtId="0" fontId="9" fillId="0" borderId="43" xfId="2" applyFont="1" applyFill="1" applyBorder="1" applyAlignment="1" applyProtection="1">
      <alignment vertical="center"/>
    </xf>
    <xf numFmtId="0" fontId="9" fillId="0" borderId="44" xfId="2" applyFont="1" applyFill="1" applyBorder="1" applyAlignment="1" applyProtection="1">
      <alignment vertical="center"/>
    </xf>
    <xf numFmtId="0" fontId="9" fillId="0" borderId="39" xfId="2" applyFont="1" applyFill="1" applyBorder="1" applyAlignment="1" applyProtection="1">
      <alignment vertical="center"/>
    </xf>
    <xf numFmtId="0" fontId="9" fillId="0" borderId="40" xfId="2" applyFont="1" applyFill="1" applyBorder="1" applyAlignment="1" applyProtection="1">
      <alignment vertical="center"/>
    </xf>
    <xf numFmtId="0" fontId="9" fillId="0" borderId="41" xfId="2" applyFont="1" applyFill="1" applyBorder="1" applyAlignment="1" applyProtection="1">
      <alignment vertical="center"/>
    </xf>
    <xf numFmtId="0" fontId="25" fillId="3" borderId="1" xfId="2" applyFont="1" applyFill="1" applyBorder="1" applyAlignment="1" applyProtection="1">
      <alignment horizontal="center" vertical="center"/>
    </xf>
    <xf numFmtId="0" fontId="9" fillId="3" borderId="1" xfId="2" applyFont="1" applyFill="1" applyBorder="1" applyAlignment="1" applyProtection="1">
      <alignment horizontal="center" vertical="center"/>
    </xf>
    <xf numFmtId="0" fontId="9" fillId="3" borderId="19" xfId="2" applyFont="1" applyFill="1" applyBorder="1" applyAlignment="1" applyProtection="1">
      <alignment horizontal="center" vertical="center" wrapText="1"/>
    </xf>
    <xf numFmtId="0" fontId="9" fillId="3" borderId="30" xfId="2" applyFont="1" applyFill="1" applyBorder="1" applyAlignment="1" applyProtection="1">
      <alignment horizontal="center" vertical="center"/>
    </xf>
    <xf numFmtId="0" fontId="9" fillId="3" borderId="32" xfId="2" applyFont="1" applyFill="1" applyBorder="1" applyAlignment="1" applyProtection="1">
      <alignment horizontal="center" vertical="center"/>
    </xf>
    <xf numFmtId="0" fontId="9" fillId="3" borderId="25" xfId="2" applyFont="1" applyFill="1" applyBorder="1" applyAlignment="1" applyProtection="1">
      <alignment horizontal="center" vertical="center"/>
    </xf>
    <xf numFmtId="0" fontId="9" fillId="6" borderId="2" xfId="2" applyFont="1" applyFill="1" applyBorder="1" applyAlignment="1" applyProtection="1">
      <alignment vertical="center"/>
    </xf>
    <xf numFmtId="0" fontId="9" fillId="6" borderId="3" xfId="2" applyFont="1" applyFill="1" applyBorder="1" applyAlignment="1" applyProtection="1">
      <alignment vertical="center"/>
    </xf>
    <xf numFmtId="0" fontId="9" fillId="6" borderId="5" xfId="2" applyFont="1" applyFill="1" applyBorder="1" applyAlignment="1" applyProtection="1">
      <alignment vertical="center"/>
    </xf>
    <xf numFmtId="169" fontId="1" fillId="4" borderId="2" xfId="2" applyNumberFormat="1" applyFill="1" applyBorder="1" applyAlignment="1" applyProtection="1">
      <alignment horizontal="center" vertical="center"/>
    </xf>
    <xf numFmtId="169" fontId="1" fillId="4" borderId="3" xfId="2" applyNumberFormat="1" applyFill="1" applyBorder="1" applyAlignment="1" applyProtection="1">
      <alignment horizontal="center" vertical="center"/>
    </xf>
    <xf numFmtId="169" fontId="1" fillId="4" borderId="5" xfId="2" applyNumberFormat="1" applyFill="1" applyBorder="1" applyAlignment="1" applyProtection="1">
      <alignment horizontal="center" vertical="center"/>
    </xf>
    <xf numFmtId="0" fontId="0" fillId="3" borderId="1" xfId="0" applyFill="1" applyBorder="1" applyAlignment="1" applyProtection="1">
      <alignment horizontal="center" vertical="center"/>
    </xf>
    <xf numFmtId="166" fontId="0" fillId="4" borderId="1" xfId="0" applyNumberFormat="1" applyFill="1" applyBorder="1" applyAlignment="1" applyProtection="1">
      <alignment horizontal="center" vertical="center"/>
    </xf>
    <xf numFmtId="170" fontId="26" fillId="3" borderId="0" xfId="1" applyNumberFormat="1" applyFont="1" applyFill="1" applyBorder="1" applyAlignment="1" applyProtection="1">
      <alignment horizontal="center" vertical="center"/>
    </xf>
    <xf numFmtId="0" fontId="1" fillId="0" borderId="1" xfId="2" applyFont="1" applyBorder="1" applyAlignment="1" applyProtection="1">
      <alignment vertical="center"/>
    </xf>
    <xf numFmtId="0" fontId="9" fillId="0" borderId="19" xfId="2" applyFont="1" applyBorder="1" applyAlignment="1" applyProtection="1">
      <alignment horizontal="left" vertical="center"/>
    </xf>
    <xf numFmtId="0" fontId="9" fillId="0" borderId="20" xfId="2" applyFont="1" applyBorder="1" applyAlignment="1" applyProtection="1">
      <alignment horizontal="left" vertical="center"/>
    </xf>
    <xf numFmtId="0" fontId="9" fillId="0" borderId="30" xfId="2" applyFont="1" applyBorder="1" applyAlignment="1" applyProtection="1">
      <alignment horizontal="left" vertical="center"/>
    </xf>
    <xf numFmtId="0" fontId="9" fillId="0" borderId="21" xfId="2" applyFont="1" applyBorder="1" applyAlignment="1" applyProtection="1">
      <alignment horizontal="left" vertical="center"/>
    </xf>
    <xf numFmtId="0" fontId="9" fillId="0" borderId="0" xfId="2" applyFont="1" applyBorder="1" applyAlignment="1" applyProtection="1">
      <alignment horizontal="left" vertical="center"/>
    </xf>
    <xf numFmtId="0" fontId="9" fillId="0" borderId="31" xfId="2" applyFont="1" applyBorder="1" applyAlignment="1" applyProtection="1">
      <alignment horizontal="left" vertical="center"/>
    </xf>
    <xf numFmtId="0" fontId="9" fillId="0" borderId="32" xfId="2" applyFont="1" applyBorder="1" applyAlignment="1" applyProtection="1">
      <alignment horizontal="left" vertical="center"/>
    </xf>
    <xf numFmtId="0" fontId="9" fillId="0" borderId="27" xfId="2" applyFont="1" applyBorder="1" applyAlignment="1" applyProtection="1">
      <alignment horizontal="left" vertical="center"/>
    </xf>
    <xf numFmtId="0" fontId="9" fillId="0" borderId="25" xfId="2" applyFont="1" applyBorder="1" applyAlignment="1" applyProtection="1">
      <alignment horizontal="left" vertical="center"/>
    </xf>
    <xf numFmtId="0" fontId="24" fillId="0" borderId="2" xfId="2" applyFont="1" applyBorder="1" applyAlignment="1" applyProtection="1">
      <alignment vertical="center"/>
    </xf>
    <xf numFmtId="0" fontId="24" fillId="0" borderId="3" xfId="2" applyFont="1" applyBorder="1" applyAlignment="1" applyProtection="1">
      <alignment vertical="center"/>
    </xf>
    <xf numFmtId="0" fontId="24" fillId="0" borderId="5" xfId="2" applyFont="1" applyBorder="1" applyAlignment="1" applyProtection="1">
      <alignment vertical="center"/>
    </xf>
    <xf numFmtId="0" fontId="24" fillId="0" borderId="2" xfId="2" applyFont="1" applyFill="1" applyBorder="1" applyAlignment="1" applyProtection="1">
      <alignment vertical="center"/>
    </xf>
    <xf numFmtId="0" fontId="24" fillId="0" borderId="3" xfId="2" applyFont="1" applyFill="1" applyBorder="1" applyAlignment="1" applyProtection="1">
      <alignment vertical="center"/>
    </xf>
    <xf numFmtId="0" fontId="24" fillId="0" borderId="5" xfId="2" applyFont="1" applyFill="1" applyBorder="1" applyAlignment="1" applyProtection="1">
      <alignment vertical="center"/>
    </xf>
    <xf numFmtId="0" fontId="9" fillId="0" borderId="2" xfId="2" applyFont="1" applyBorder="1" applyAlignment="1" applyProtection="1">
      <alignment vertical="center"/>
    </xf>
    <xf numFmtId="0" fontId="9" fillId="0" borderId="3" xfId="2" applyFont="1" applyBorder="1" applyAlignment="1" applyProtection="1">
      <alignment vertical="center"/>
    </xf>
    <xf numFmtId="0" fontId="9" fillId="0" borderId="5" xfId="2" applyFont="1" applyBorder="1" applyAlignment="1" applyProtection="1">
      <alignment vertical="center"/>
    </xf>
    <xf numFmtId="0" fontId="9" fillId="0" borderId="2" xfId="2" applyFont="1" applyBorder="1" applyAlignment="1" applyProtection="1">
      <alignment horizontal="center" vertical="center"/>
    </xf>
    <xf numFmtId="0" fontId="9" fillId="0" borderId="3" xfId="2" applyFont="1" applyBorder="1" applyAlignment="1" applyProtection="1">
      <alignment horizontal="center" vertical="center"/>
    </xf>
    <xf numFmtId="0" fontId="9" fillId="0" borderId="5" xfId="2" applyFont="1" applyBorder="1" applyAlignment="1" applyProtection="1">
      <alignment horizontal="center" vertical="center"/>
    </xf>
    <xf numFmtId="0" fontId="26" fillId="3" borderId="45" xfId="1" applyFont="1" applyFill="1" applyBorder="1" applyAlignment="1" applyProtection="1">
      <alignment horizontal="center" vertical="center"/>
    </xf>
    <xf numFmtId="0" fontId="26" fillId="3" borderId="46" xfId="1" applyFont="1" applyFill="1" applyBorder="1" applyAlignment="1" applyProtection="1">
      <alignment horizontal="center" vertical="center"/>
    </xf>
    <xf numFmtId="0" fontId="9" fillId="9" borderId="39" xfId="2" applyFont="1" applyFill="1" applyBorder="1" applyAlignment="1" applyProtection="1">
      <alignment vertical="center"/>
    </xf>
    <xf numFmtId="0" fontId="9" fillId="9" borderId="40" xfId="2" applyFont="1" applyFill="1" applyBorder="1" applyAlignment="1" applyProtection="1">
      <alignment vertical="center"/>
    </xf>
    <xf numFmtId="0" fontId="9" fillId="9" borderId="41" xfId="2" applyFont="1" applyFill="1" applyBorder="1" applyAlignment="1" applyProtection="1">
      <alignment vertical="center"/>
    </xf>
    <xf numFmtId="166" fontId="26" fillId="2" borderId="2" xfId="1" applyNumberFormat="1" applyFont="1" applyFill="1" applyBorder="1" applyAlignment="1" applyProtection="1">
      <alignment horizontal="center" vertical="center"/>
    </xf>
    <xf numFmtId="166" fontId="26" fillId="2" borderId="5" xfId="1" applyNumberFormat="1" applyFont="1" applyFill="1" applyBorder="1" applyAlignment="1" applyProtection="1">
      <alignment horizontal="center" vertical="center"/>
    </xf>
    <xf numFmtId="0" fontId="9" fillId="0" borderId="19" xfId="2" applyFont="1" applyBorder="1" applyAlignment="1" applyProtection="1">
      <alignment horizontal="left" vertical="center" wrapText="1"/>
    </xf>
    <xf numFmtId="169" fontId="26" fillId="2" borderId="2" xfId="1" applyNumberFormat="1" applyFont="1" applyFill="1" applyBorder="1" applyAlignment="1" applyProtection="1">
      <alignment horizontal="center" vertical="center"/>
    </xf>
    <xf numFmtId="169" fontId="26" fillId="2" borderId="5" xfId="1" applyNumberFormat="1" applyFont="1" applyFill="1" applyBorder="1" applyAlignment="1" applyProtection="1">
      <alignment horizontal="center" vertical="center"/>
    </xf>
    <xf numFmtId="171" fontId="26" fillId="4" borderId="2" xfId="1" applyNumberFormat="1" applyFont="1" applyFill="1" applyBorder="1" applyAlignment="1" applyProtection="1">
      <alignment horizontal="center" vertical="center"/>
    </xf>
    <xf numFmtId="171" fontId="26" fillId="4" borderId="5" xfId="1" applyNumberFormat="1" applyFont="1" applyFill="1" applyBorder="1" applyAlignment="1" applyProtection="1">
      <alignment horizontal="center" vertical="center"/>
    </xf>
    <xf numFmtId="0" fontId="0" fillId="4" borderId="1" xfId="0" applyFill="1" applyBorder="1" applyAlignment="1" applyProtection="1">
      <alignment horizontal="center" vertical="center"/>
    </xf>
    <xf numFmtId="0" fontId="9" fillId="9" borderId="1" xfId="3" applyFont="1" applyFill="1" applyBorder="1" applyAlignment="1" applyProtection="1">
      <alignment vertical="center"/>
    </xf>
  </cellXfs>
  <cellStyles count="4">
    <cellStyle name="Normal" xfId="0" builtinId="0"/>
    <cellStyle name="標準_Calculate_01" xfId="1"/>
    <cellStyle name="標準_SBRC_design_sony" xfId="2"/>
    <cellStyle name="標準_TPS51xxx_Ex-Parts-Guide_s_060922" xfId="3"/>
  </cellStyles>
  <dxfs count="11">
    <dxf>
      <font>
        <b val="0"/>
        <i/>
        <strike val="0"/>
        <condense val="0"/>
        <extend val="0"/>
        <color indexed="10"/>
      </font>
    </dxf>
    <dxf>
      <font>
        <b val="0"/>
        <i/>
        <strike val="0"/>
        <condense val="0"/>
        <extend val="0"/>
        <color indexed="10"/>
      </font>
    </dxf>
    <dxf>
      <font>
        <b/>
        <i/>
        <condense val="0"/>
        <extend val="0"/>
        <color indexed="10"/>
      </font>
    </dxf>
    <dxf>
      <font>
        <b/>
        <i/>
        <condense val="0"/>
        <extend val="0"/>
        <color indexed="10"/>
      </font>
    </dxf>
    <dxf>
      <font>
        <b/>
        <i/>
        <condense val="0"/>
        <extend val="0"/>
        <color indexed="10"/>
      </font>
    </dxf>
    <dxf>
      <font>
        <b/>
        <i/>
        <strike val="0"/>
        <condense val="0"/>
        <extend val="0"/>
        <color indexed="10"/>
      </font>
    </dxf>
    <dxf>
      <font>
        <b val="0"/>
        <i/>
        <strike val="0"/>
        <condense val="0"/>
        <extend val="0"/>
        <color indexed="10"/>
      </font>
    </dxf>
    <dxf>
      <font>
        <b val="0"/>
        <i/>
        <strike val="0"/>
        <condense val="0"/>
        <extend val="0"/>
        <color indexed="10"/>
      </font>
    </dxf>
    <dxf>
      <font>
        <b/>
        <i/>
        <condense val="0"/>
        <extend val="0"/>
        <color indexed="10"/>
      </font>
    </dxf>
    <dxf>
      <font>
        <b/>
        <i/>
        <condense val="0"/>
        <extend val="0"/>
        <color indexed="10"/>
      </font>
    </dxf>
    <dxf>
      <font>
        <b/>
        <i/>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42479435557025"/>
          <c:y val="0.11842155985111648"/>
          <c:w val="0.77374407208023166"/>
          <c:h val="0.70614337540850936"/>
        </c:manualLayout>
      </c:layout>
      <c:scatterChart>
        <c:scatterStyle val="smoothMarker"/>
        <c:varyColors val="0"/>
        <c:ser>
          <c:idx val="0"/>
          <c:order val="0"/>
          <c:tx>
            <c:strRef>
              <c:f>'D-CAP'!$F$217</c:f>
              <c:strCache>
                <c:ptCount val="1"/>
                <c:pt idx="0">
                  <c:v>LIR</c:v>
                </c:pt>
              </c:strCache>
            </c:strRef>
          </c:tx>
          <c:spPr>
            <a:ln w="28575">
              <a:noFill/>
            </a:ln>
          </c:spPr>
          <c:marker>
            <c:symbol val="diamond"/>
            <c:size val="5"/>
            <c:spPr>
              <a:solidFill>
                <a:srgbClr val="000080"/>
              </a:solidFill>
              <a:ln>
                <a:solidFill>
                  <a:srgbClr val="000080"/>
                </a:solidFill>
                <a:prstDash val="solid"/>
              </a:ln>
            </c:spPr>
          </c:marker>
          <c:xVal>
            <c:numRef>
              <c:f>'D-CAP'!$E$218:$E$268</c:f>
              <c:numCache>
                <c:formatCode>0.0_);[Red]\(0.0\)</c:formatCode>
                <c:ptCount val="51"/>
                <c:pt idx="0">
                  <c:v>3</c:v>
                </c:pt>
                <c:pt idx="1">
                  <c:v>3.5</c:v>
                </c:pt>
                <c:pt idx="2">
                  <c:v>4</c:v>
                </c:pt>
                <c:pt idx="3">
                  <c:v>4.5</c:v>
                </c:pt>
                <c:pt idx="4">
                  <c:v>5</c:v>
                </c:pt>
                <c:pt idx="5">
                  <c:v>5.5</c:v>
                </c:pt>
                <c:pt idx="6">
                  <c:v>6</c:v>
                </c:pt>
                <c:pt idx="7">
                  <c:v>6.5</c:v>
                </c:pt>
                <c:pt idx="8">
                  <c:v>7</c:v>
                </c:pt>
                <c:pt idx="9">
                  <c:v>7.5</c:v>
                </c:pt>
                <c:pt idx="10">
                  <c:v>8</c:v>
                </c:pt>
                <c:pt idx="11">
                  <c:v>8.5</c:v>
                </c:pt>
                <c:pt idx="12">
                  <c:v>9</c:v>
                </c:pt>
                <c:pt idx="13">
                  <c:v>9.5</c:v>
                </c:pt>
                <c:pt idx="14">
                  <c:v>10</c:v>
                </c:pt>
                <c:pt idx="15">
                  <c:v>10.5</c:v>
                </c:pt>
                <c:pt idx="16">
                  <c:v>11</c:v>
                </c:pt>
                <c:pt idx="17">
                  <c:v>11.5</c:v>
                </c:pt>
                <c:pt idx="18">
                  <c:v>12</c:v>
                </c:pt>
                <c:pt idx="19">
                  <c:v>12.5</c:v>
                </c:pt>
                <c:pt idx="20">
                  <c:v>13</c:v>
                </c:pt>
                <c:pt idx="21">
                  <c:v>13.5</c:v>
                </c:pt>
                <c:pt idx="22">
                  <c:v>14</c:v>
                </c:pt>
                <c:pt idx="23">
                  <c:v>14.5</c:v>
                </c:pt>
                <c:pt idx="24">
                  <c:v>15</c:v>
                </c:pt>
                <c:pt idx="25">
                  <c:v>15.5</c:v>
                </c:pt>
                <c:pt idx="26">
                  <c:v>16</c:v>
                </c:pt>
                <c:pt idx="27">
                  <c:v>16.5</c:v>
                </c:pt>
                <c:pt idx="28">
                  <c:v>17</c:v>
                </c:pt>
                <c:pt idx="29">
                  <c:v>17.5</c:v>
                </c:pt>
                <c:pt idx="30">
                  <c:v>18</c:v>
                </c:pt>
                <c:pt idx="31">
                  <c:v>18.5</c:v>
                </c:pt>
                <c:pt idx="32">
                  <c:v>19</c:v>
                </c:pt>
                <c:pt idx="33">
                  <c:v>19.5</c:v>
                </c:pt>
                <c:pt idx="34">
                  <c:v>20</c:v>
                </c:pt>
                <c:pt idx="35">
                  <c:v>20.5</c:v>
                </c:pt>
                <c:pt idx="36">
                  <c:v>21</c:v>
                </c:pt>
                <c:pt idx="37">
                  <c:v>21.5</c:v>
                </c:pt>
                <c:pt idx="38">
                  <c:v>22</c:v>
                </c:pt>
                <c:pt idx="39">
                  <c:v>22.5</c:v>
                </c:pt>
                <c:pt idx="40">
                  <c:v>23</c:v>
                </c:pt>
                <c:pt idx="41">
                  <c:v>23.5</c:v>
                </c:pt>
                <c:pt idx="42">
                  <c:v>24</c:v>
                </c:pt>
                <c:pt idx="43">
                  <c:v>24.5</c:v>
                </c:pt>
                <c:pt idx="44">
                  <c:v>25</c:v>
                </c:pt>
                <c:pt idx="45">
                  <c:v>25.5</c:v>
                </c:pt>
                <c:pt idx="46">
                  <c:v>26</c:v>
                </c:pt>
                <c:pt idx="47">
                  <c:v>26.5</c:v>
                </c:pt>
                <c:pt idx="48">
                  <c:v>27</c:v>
                </c:pt>
                <c:pt idx="49">
                  <c:v>27.5</c:v>
                </c:pt>
                <c:pt idx="50">
                  <c:v>28</c:v>
                </c:pt>
              </c:numCache>
            </c:numRef>
          </c:xVal>
          <c:yVal>
            <c:numRef>
              <c:f>'D-CAP'!$G$218:$G$268</c:f>
              <c:numCache>
                <c:formatCode>0.000_ </c:formatCode>
                <c:ptCount val="51"/>
                <c:pt idx="0">
                  <c:v>-1</c:v>
                </c:pt>
                <c:pt idx="1">
                  <c:v>-1</c:v>
                </c:pt>
                <c:pt idx="2">
                  <c:v>-1</c:v>
                </c:pt>
                <c:pt idx="3">
                  <c:v>0.86856617647058831</c:v>
                </c:pt>
                <c:pt idx="4">
                  <c:v>0.90579044117647045</c:v>
                </c:pt>
                <c:pt idx="5">
                  <c:v>0.93624665775401084</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numCache>
            </c:numRef>
          </c:yVal>
          <c:smooth val="1"/>
        </c:ser>
        <c:dLbls>
          <c:showLegendKey val="0"/>
          <c:showVal val="0"/>
          <c:showCatName val="0"/>
          <c:showSerName val="0"/>
          <c:showPercent val="0"/>
          <c:showBubbleSize val="0"/>
        </c:dLbls>
        <c:axId val="133954944"/>
        <c:axId val="147781504"/>
      </c:scatterChart>
      <c:valAx>
        <c:axId val="133954944"/>
        <c:scaling>
          <c:orientation val="minMax"/>
          <c:max val="30"/>
          <c:min val="0"/>
        </c:scaling>
        <c:delete val="0"/>
        <c:axPos val="b"/>
        <c:majorGridlines>
          <c:spPr>
            <a:ln w="3175">
              <a:solidFill>
                <a:srgbClr val="000000"/>
              </a:solidFill>
              <a:prstDash val="solid"/>
            </a:ln>
          </c:spPr>
        </c:majorGridlines>
        <c:title>
          <c:tx>
            <c:rich>
              <a:bodyPr/>
              <a:lstStyle/>
              <a:p>
                <a:pPr>
                  <a:defRPr lang="ja-JP" sz="800" b="0" i="0" u="none" strike="noStrike" baseline="0">
                    <a:solidFill>
                      <a:srgbClr val="000000"/>
                    </a:solidFill>
                    <a:latin typeface="ＭＳ Ｐゴシック"/>
                    <a:ea typeface="ＭＳ Ｐゴシック"/>
                    <a:cs typeface="ＭＳ Ｐゴシック"/>
                  </a:defRPr>
                </a:pPr>
                <a:r>
                  <a:rPr lang="en-US" altLang="en-US"/>
                  <a:t>VIN (V)</a:t>
                </a:r>
              </a:p>
            </c:rich>
          </c:tx>
          <c:layout>
            <c:manualLayout>
              <c:xMode val="edge"/>
              <c:yMode val="edge"/>
              <c:x val="0.49162069825070753"/>
              <c:y val="0.90351245567988214"/>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lang="ja-JP" sz="800" b="0" i="0" u="none" strike="noStrike" baseline="0">
                <a:solidFill>
                  <a:srgbClr val="000000"/>
                </a:solidFill>
                <a:latin typeface="ＭＳ Ｐゴシック"/>
                <a:ea typeface="ＭＳ Ｐゴシック"/>
                <a:cs typeface="ＭＳ Ｐゴシック"/>
              </a:defRPr>
            </a:pPr>
            <a:endParaRPr lang="en-US"/>
          </a:p>
        </c:txPr>
        <c:crossAx val="147781504"/>
        <c:crossesAt val="0"/>
        <c:crossBetween val="midCat"/>
      </c:valAx>
      <c:valAx>
        <c:axId val="147781504"/>
        <c:scaling>
          <c:orientation val="minMax"/>
          <c:max val="1"/>
          <c:min val="0"/>
        </c:scaling>
        <c:delete val="0"/>
        <c:axPos val="l"/>
        <c:majorGridlines>
          <c:spPr>
            <a:ln w="3175">
              <a:solidFill>
                <a:srgbClr val="000000"/>
              </a:solidFill>
              <a:prstDash val="solid"/>
            </a:ln>
          </c:spPr>
        </c:majorGridlines>
        <c:title>
          <c:tx>
            <c:rich>
              <a:bodyPr/>
              <a:lstStyle/>
              <a:p>
                <a:pPr>
                  <a:defRPr lang="ja-JP" sz="1100" b="0" i="0" u="none" strike="noStrike" baseline="0">
                    <a:solidFill>
                      <a:srgbClr val="000000"/>
                    </a:solidFill>
                    <a:latin typeface="Calibri"/>
                    <a:ea typeface="Calibri"/>
                    <a:cs typeface="Calibri"/>
                  </a:defRPr>
                </a:pPr>
                <a:r>
                  <a:rPr lang="en-US" sz="1000" b="0" i="0" u="none" strike="noStrike" baseline="0">
                    <a:solidFill>
                      <a:srgbClr val="000000"/>
                    </a:solidFill>
                    <a:latin typeface="ＭＳ Ｐゴシック"/>
                    <a:ea typeface="ＭＳ Ｐゴシック"/>
                  </a:rPr>
                  <a:t>I</a:t>
                </a:r>
                <a:r>
                  <a:rPr lang="en-US" sz="1000" b="0" i="0" u="none" strike="noStrike" baseline="-25000">
                    <a:solidFill>
                      <a:srgbClr val="000000"/>
                    </a:solidFill>
                    <a:latin typeface="ＭＳ Ｐゴシック"/>
                    <a:ea typeface="ＭＳ Ｐゴシック"/>
                  </a:rPr>
                  <a:t>IND(ripple)</a:t>
                </a:r>
                <a:r>
                  <a:rPr lang="en-US" sz="1000" b="0" i="0" u="none" strike="noStrike" baseline="0">
                    <a:solidFill>
                      <a:srgbClr val="000000"/>
                    </a:solidFill>
                    <a:latin typeface="ＭＳ Ｐゴシック"/>
                    <a:ea typeface="ＭＳ Ｐゴシック"/>
                  </a:rPr>
                  <a:t> vs Imax ratio</a:t>
                </a:r>
              </a:p>
            </c:rich>
          </c:tx>
          <c:layout>
            <c:manualLayout>
              <c:xMode val="edge"/>
              <c:yMode val="edge"/>
              <c:x val="2.7932960893854754E-2"/>
              <c:y val="0.20175530690242674"/>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lang="ja-JP" sz="800" b="0" i="0" u="none" strike="noStrike" baseline="0">
                <a:solidFill>
                  <a:srgbClr val="000000"/>
                </a:solidFill>
                <a:latin typeface="ＭＳ Ｐゴシック"/>
                <a:ea typeface="ＭＳ Ｐゴシック"/>
                <a:cs typeface="ＭＳ Ｐゴシック"/>
              </a:defRPr>
            </a:pPr>
            <a:endParaRPr lang="en-US"/>
          </a:p>
        </c:txPr>
        <c:crossAx val="133954944"/>
        <c:crossesAt val="0"/>
        <c:crossBetween val="midCat"/>
        <c:majorUnit val="0.1"/>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en-US"/>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42479435557025"/>
          <c:y val="0.11842155985111648"/>
          <c:w val="0.77374407208023166"/>
          <c:h val="0.70614337540850936"/>
        </c:manualLayout>
      </c:layout>
      <c:scatterChart>
        <c:scatterStyle val="smoothMarker"/>
        <c:varyColors val="0"/>
        <c:ser>
          <c:idx val="0"/>
          <c:order val="0"/>
          <c:tx>
            <c:strRef>
              <c:f>'D-CAP2'!$F$211</c:f>
              <c:strCache>
                <c:ptCount val="1"/>
                <c:pt idx="0">
                  <c:v>LIR</c:v>
                </c:pt>
              </c:strCache>
            </c:strRef>
          </c:tx>
          <c:spPr>
            <a:ln w="28575">
              <a:noFill/>
            </a:ln>
          </c:spPr>
          <c:marker>
            <c:symbol val="diamond"/>
            <c:size val="5"/>
            <c:spPr>
              <a:solidFill>
                <a:srgbClr val="000080"/>
              </a:solidFill>
              <a:ln>
                <a:solidFill>
                  <a:srgbClr val="000080"/>
                </a:solidFill>
                <a:prstDash val="solid"/>
              </a:ln>
            </c:spPr>
          </c:marker>
          <c:xVal>
            <c:numRef>
              <c:f>'D-CAP2'!$E$212:$E$262</c:f>
              <c:numCache>
                <c:formatCode>0.0_);[Red]\(0.0\)</c:formatCode>
                <c:ptCount val="51"/>
                <c:pt idx="0">
                  <c:v>3</c:v>
                </c:pt>
                <c:pt idx="1">
                  <c:v>3.5</c:v>
                </c:pt>
                <c:pt idx="2">
                  <c:v>4</c:v>
                </c:pt>
                <c:pt idx="3">
                  <c:v>4.5</c:v>
                </c:pt>
                <c:pt idx="4">
                  <c:v>5</c:v>
                </c:pt>
                <c:pt idx="5">
                  <c:v>5.5</c:v>
                </c:pt>
                <c:pt idx="6">
                  <c:v>6</c:v>
                </c:pt>
                <c:pt idx="7">
                  <c:v>6.5</c:v>
                </c:pt>
                <c:pt idx="8">
                  <c:v>7</c:v>
                </c:pt>
                <c:pt idx="9">
                  <c:v>7.5</c:v>
                </c:pt>
                <c:pt idx="10">
                  <c:v>8</c:v>
                </c:pt>
                <c:pt idx="11">
                  <c:v>8.5</c:v>
                </c:pt>
                <c:pt idx="12">
                  <c:v>9</c:v>
                </c:pt>
                <c:pt idx="13">
                  <c:v>9.5</c:v>
                </c:pt>
                <c:pt idx="14">
                  <c:v>10</c:v>
                </c:pt>
                <c:pt idx="15">
                  <c:v>10.5</c:v>
                </c:pt>
                <c:pt idx="16">
                  <c:v>11</c:v>
                </c:pt>
                <c:pt idx="17">
                  <c:v>11.5</c:v>
                </c:pt>
                <c:pt idx="18">
                  <c:v>12</c:v>
                </c:pt>
                <c:pt idx="19">
                  <c:v>12.5</c:v>
                </c:pt>
                <c:pt idx="20">
                  <c:v>13</c:v>
                </c:pt>
                <c:pt idx="21">
                  <c:v>13.5</c:v>
                </c:pt>
                <c:pt idx="22">
                  <c:v>14</c:v>
                </c:pt>
                <c:pt idx="23">
                  <c:v>14.5</c:v>
                </c:pt>
                <c:pt idx="24">
                  <c:v>15</c:v>
                </c:pt>
                <c:pt idx="25">
                  <c:v>15.5</c:v>
                </c:pt>
                <c:pt idx="26">
                  <c:v>16</c:v>
                </c:pt>
                <c:pt idx="27">
                  <c:v>16.5</c:v>
                </c:pt>
                <c:pt idx="28">
                  <c:v>17</c:v>
                </c:pt>
                <c:pt idx="29">
                  <c:v>17.5</c:v>
                </c:pt>
                <c:pt idx="30">
                  <c:v>18</c:v>
                </c:pt>
                <c:pt idx="31">
                  <c:v>18.5</c:v>
                </c:pt>
                <c:pt idx="32">
                  <c:v>19</c:v>
                </c:pt>
                <c:pt idx="33">
                  <c:v>19.5</c:v>
                </c:pt>
                <c:pt idx="34">
                  <c:v>20</c:v>
                </c:pt>
                <c:pt idx="35">
                  <c:v>20.5</c:v>
                </c:pt>
                <c:pt idx="36">
                  <c:v>21</c:v>
                </c:pt>
                <c:pt idx="37">
                  <c:v>21.5</c:v>
                </c:pt>
                <c:pt idx="38">
                  <c:v>22</c:v>
                </c:pt>
                <c:pt idx="39">
                  <c:v>22.5</c:v>
                </c:pt>
                <c:pt idx="40">
                  <c:v>23</c:v>
                </c:pt>
                <c:pt idx="41">
                  <c:v>23.5</c:v>
                </c:pt>
                <c:pt idx="42">
                  <c:v>24</c:v>
                </c:pt>
                <c:pt idx="43">
                  <c:v>24.5</c:v>
                </c:pt>
                <c:pt idx="44">
                  <c:v>25</c:v>
                </c:pt>
                <c:pt idx="45">
                  <c:v>25.5</c:v>
                </c:pt>
                <c:pt idx="46">
                  <c:v>26</c:v>
                </c:pt>
                <c:pt idx="47">
                  <c:v>26.5</c:v>
                </c:pt>
                <c:pt idx="48">
                  <c:v>27</c:v>
                </c:pt>
                <c:pt idx="49">
                  <c:v>27.5</c:v>
                </c:pt>
                <c:pt idx="50">
                  <c:v>28</c:v>
                </c:pt>
              </c:numCache>
            </c:numRef>
          </c:xVal>
          <c:yVal>
            <c:numRef>
              <c:f>'D-CAP2'!$G$212:$G$262</c:f>
              <c:numCache>
                <c:formatCode>0.000_ </c:formatCode>
                <c:ptCount val="51"/>
                <c:pt idx="0">
                  <c:v>-1</c:v>
                </c:pt>
                <c:pt idx="1">
                  <c:v>-1</c:v>
                </c:pt>
                <c:pt idx="2">
                  <c:v>-1</c:v>
                </c:pt>
                <c:pt idx="3">
                  <c:v>0.315</c:v>
                </c:pt>
                <c:pt idx="4">
                  <c:v>0.32850000000000001</c:v>
                </c:pt>
                <c:pt idx="5">
                  <c:v>0.33954545454545459</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numCache>
            </c:numRef>
          </c:yVal>
          <c:smooth val="1"/>
        </c:ser>
        <c:dLbls>
          <c:showLegendKey val="0"/>
          <c:showVal val="0"/>
          <c:showCatName val="0"/>
          <c:showSerName val="0"/>
          <c:showPercent val="0"/>
          <c:showBubbleSize val="0"/>
        </c:dLbls>
        <c:axId val="148377984"/>
        <c:axId val="148380288"/>
      </c:scatterChart>
      <c:valAx>
        <c:axId val="148377984"/>
        <c:scaling>
          <c:orientation val="minMax"/>
          <c:max val="30"/>
          <c:min val="0"/>
        </c:scaling>
        <c:delete val="0"/>
        <c:axPos val="b"/>
        <c:majorGridlines>
          <c:spPr>
            <a:ln w="3175">
              <a:solidFill>
                <a:srgbClr val="000000"/>
              </a:solidFill>
              <a:prstDash val="solid"/>
            </a:ln>
          </c:spPr>
        </c:majorGridlines>
        <c:title>
          <c:tx>
            <c:rich>
              <a:bodyPr/>
              <a:lstStyle/>
              <a:p>
                <a:pPr>
                  <a:defRPr lang="ja-JP" sz="800" b="0" i="0" u="none" strike="noStrike" baseline="0">
                    <a:solidFill>
                      <a:srgbClr val="000000"/>
                    </a:solidFill>
                    <a:latin typeface="ＭＳ Ｐゴシック"/>
                    <a:ea typeface="ＭＳ Ｐゴシック"/>
                    <a:cs typeface="ＭＳ Ｐゴシック"/>
                  </a:defRPr>
                </a:pPr>
                <a:r>
                  <a:rPr lang="en-US" altLang="en-US"/>
                  <a:t>VIN (V)</a:t>
                </a:r>
              </a:p>
            </c:rich>
          </c:tx>
          <c:layout>
            <c:manualLayout>
              <c:xMode val="edge"/>
              <c:yMode val="edge"/>
              <c:x val="0.49162069825070753"/>
              <c:y val="0.90351245567988214"/>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lang="ja-JP" sz="800" b="0" i="0" u="none" strike="noStrike" baseline="0">
                <a:solidFill>
                  <a:srgbClr val="000000"/>
                </a:solidFill>
                <a:latin typeface="ＭＳ Ｐゴシック"/>
                <a:ea typeface="ＭＳ Ｐゴシック"/>
                <a:cs typeface="ＭＳ Ｐゴシック"/>
              </a:defRPr>
            </a:pPr>
            <a:endParaRPr lang="en-US"/>
          </a:p>
        </c:txPr>
        <c:crossAx val="148380288"/>
        <c:crossesAt val="0"/>
        <c:crossBetween val="midCat"/>
      </c:valAx>
      <c:valAx>
        <c:axId val="148380288"/>
        <c:scaling>
          <c:orientation val="minMax"/>
          <c:max val="1"/>
          <c:min val="0"/>
        </c:scaling>
        <c:delete val="0"/>
        <c:axPos val="l"/>
        <c:majorGridlines>
          <c:spPr>
            <a:ln w="3175">
              <a:solidFill>
                <a:srgbClr val="000000"/>
              </a:solidFill>
              <a:prstDash val="solid"/>
            </a:ln>
          </c:spPr>
        </c:majorGridlines>
        <c:title>
          <c:tx>
            <c:rich>
              <a:bodyPr/>
              <a:lstStyle/>
              <a:p>
                <a:pPr>
                  <a:defRPr lang="ja-JP" sz="1100" b="0" i="0" u="none" strike="noStrike" baseline="0">
                    <a:solidFill>
                      <a:srgbClr val="000000"/>
                    </a:solidFill>
                    <a:latin typeface="Calibri"/>
                    <a:ea typeface="Calibri"/>
                    <a:cs typeface="Calibri"/>
                  </a:defRPr>
                </a:pPr>
                <a:r>
                  <a:rPr lang="en-US" sz="1000" b="0" i="0" u="none" strike="noStrike" baseline="0">
                    <a:solidFill>
                      <a:srgbClr val="000000"/>
                    </a:solidFill>
                    <a:latin typeface="ＭＳ Ｐゴシック"/>
                    <a:ea typeface="ＭＳ Ｐゴシック"/>
                  </a:rPr>
                  <a:t>I</a:t>
                </a:r>
                <a:r>
                  <a:rPr lang="en-US" sz="1000" b="0" i="0" u="none" strike="noStrike" baseline="-25000">
                    <a:solidFill>
                      <a:srgbClr val="000000"/>
                    </a:solidFill>
                    <a:latin typeface="ＭＳ Ｐゴシック"/>
                    <a:ea typeface="ＭＳ Ｐゴシック"/>
                  </a:rPr>
                  <a:t>IND(ripple)</a:t>
                </a:r>
                <a:r>
                  <a:rPr lang="en-US" sz="1000" b="0" i="0" u="none" strike="noStrike" baseline="0">
                    <a:solidFill>
                      <a:srgbClr val="000000"/>
                    </a:solidFill>
                    <a:latin typeface="ＭＳ Ｐゴシック"/>
                    <a:ea typeface="ＭＳ Ｐゴシック"/>
                  </a:rPr>
                  <a:t> vs Imax ratio</a:t>
                </a:r>
              </a:p>
            </c:rich>
          </c:tx>
          <c:layout>
            <c:manualLayout>
              <c:xMode val="edge"/>
              <c:yMode val="edge"/>
              <c:x val="2.7932960893854754E-2"/>
              <c:y val="0.20175530690242674"/>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lang="ja-JP" sz="800" b="0" i="0" u="none" strike="noStrike" baseline="0">
                <a:solidFill>
                  <a:srgbClr val="000000"/>
                </a:solidFill>
                <a:latin typeface="ＭＳ Ｐゴシック"/>
                <a:ea typeface="ＭＳ Ｐゴシック"/>
                <a:cs typeface="ＭＳ Ｐゴシック"/>
              </a:defRPr>
            </a:pPr>
            <a:endParaRPr lang="en-US"/>
          </a:p>
        </c:txPr>
        <c:crossAx val="148377984"/>
        <c:crossesAt val="0"/>
        <c:crossBetween val="midCat"/>
        <c:majorUnit val="0.1"/>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en-US"/>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jpeg"/><Relationship Id="rId1" Type="http://schemas.openxmlformats.org/officeDocument/2006/relationships/chart" Target="../charts/chart1.xml"/><Relationship Id="rId5" Type="http://schemas.openxmlformats.org/officeDocument/2006/relationships/image" Target="../media/image4.emf"/><Relationship Id="rId4" Type="http://schemas.openxmlformats.org/officeDocument/2006/relationships/image" Target="../media/image3.em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1.jpeg"/><Relationship Id="rId1" Type="http://schemas.openxmlformats.org/officeDocument/2006/relationships/chart" Target="../charts/chart2.xml"/><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15</xdr:col>
      <xdr:colOff>161925</xdr:colOff>
      <xdr:row>11</xdr:row>
      <xdr:rowOff>76200</xdr:rowOff>
    </xdr:from>
    <xdr:to>
      <xdr:col>19</xdr:col>
      <xdr:colOff>447675</xdr:colOff>
      <xdr:row>23</xdr:row>
      <xdr:rowOff>95250</xdr:rowOff>
    </xdr:to>
    <xdr:graphicFrame macro="">
      <xdr:nvGraphicFramePr>
        <xdr:cNvPr id="1547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342900</xdr:colOff>
      <xdr:row>90</xdr:row>
      <xdr:rowOff>142875</xdr:rowOff>
    </xdr:from>
    <xdr:to>
      <xdr:col>17</xdr:col>
      <xdr:colOff>66675</xdr:colOff>
      <xdr:row>110</xdr:row>
      <xdr:rowOff>38100</xdr:rowOff>
    </xdr:to>
    <xdr:sp macro="" textlink="">
      <xdr:nvSpPr>
        <xdr:cNvPr id="15479" name="Rectangle 55"/>
        <xdr:cNvSpPr>
          <a:spLocks noChangeArrowheads="1"/>
        </xdr:cNvSpPr>
      </xdr:nvSpPr>
      <xdr:spPr bwMode="auto">
        <a:xfrm>
          <a:off x="6772275" y="15687675"/>
          <a:ext cx="5972175" cy="0"/>
        </a:xfrm>
        <a:prstGeom prst="rect">
          <a:avLst/>
        </a:prstGeom>
        <a:noFill/>
        <a:ln w="25400">
          <a:solidFill>
            <a:srgbClr val="FF0000"/>
          </a:solidFill>
          <a:miter lim="800000"/>
          <a:headEnd/>
          <a:tailEnd/>
        </a:ln>
      </xdr:spPr>
    </xdr:sp>
    <xdr:clientData/>
  </xdr:twoCellAnchor>
  <xdr:twoCellAnchor>
    <xdr:from>
      <xdr:col>9</xdr:col>
      <xdr:colOff>0</xdr:colOff>
      <xdr:row>102</xdr:row>
      <xdr:rowOff>76200</xdr:rowOff>
    </xdr:from>
    <xdr:to>
      <xdr:col>9</xdr:col>
      <xdr:colOff>333375</xdr:colOff>
      <xdr:row>102</xdr:row>
      <xdr:rowOff>76200</xdr:rowOff>
    </xdr:to>
    <xdr:sp macro="" textlink="">
      <xdr:nvSpPr>
        <xdr:cNvPr id="15480" name="Line 56"/>
        <xdr:cNvSpPr>
          <a:spLocks noChangeShapeType="1"/>
        </xdr:cNvSpPr>
      </xdr:nvSpPr>
      <xdr:spPr bwMode="auto">
        <a:xfrm flipH="1">
          <a:off x="6429375" y="15687675"/>
          <a:ext cx="333375" cy="0"/>
        </a:xfrm>
        <a:prstGeom prst="line">
          <a:avLst/>
        </a:prstGeom>
        <a:noFill/>
        <a:ln w="19050">
          <a:solidFill>
            <a:srgbClr val="FF0000"/>
          </a:solidFill>
          <a:round/>
          <a:headEnd/>
          <a:tailEnd type="stealth" w="lg" len="lg"/>
        </a:ln>
      </xdr:spPr>
    </xdr:sp>
    <xdr:clientData/>
  </xdr:twoCellAnchor>
  <xdr:twoCellAnchor>
    <xdr:from>
      <xdr:col>5</xdr:col>
      <xdr:colOff>28575</xdr:colOff>
      <xdr:row>103</xdr:row>
      <xdr:rowOff>9525</xdr:rowOff>
    </xdr:from>
    <xdr:to>
      <xdr:col>8</xdr:col>
      <xdr:colOff>304800</xdr:colOff>
      <xdr:row>116</xdr:row>
      <xdr:rowOff>104775</xdr:rowOff>
    </xdr:to>
    <xdr:grpSp>
      <xdr:nvGrpSpPr>
        <xdr:cNvPr id="15481" name="Group 76"/>
        <xdr:cNvGrpSpPr>
          <a:grpSpLocks/>
        </xdr:cNvGrpSpPr>
      </xdr:nvGrpSpPr>
      <xdr:grpSpPr bwMode="auto">
        <a:xfrm>
          <a:off x="3333750" y="15687675"/>
          <a:ext cx="2619375" cy="0"/>
          <a:chOff x="345" y="255"/>
          <a:chExt cx="213" cy="318"/>
        </a:xfrm>
      </xdr:grpSpPr>
      <xdr:sp macro="" textlink="">
        <xdr:nvSpPr>
          <xdr:cNvPr id="15487" name="Line 77"/>
          <xdr:cNvSpPr>
            <a:spLocks noChangeShapeType="1"/>
          </xdr:cNvSpPr>
        </xdr:nvSpPr>
        <xdr:spPr bwMode="auto">
          <a:xfrm flipH="1">
            <a:off x="345" y="573"/>
            <a:ext cx="213" cy="0"/>
          </a:xfrm>
          <a:prstGeom prst="line">
            <a:avLst/>
          </a:prstGeom>
          <a:noFill/>
          <a:ln w="19050">
            <a:solidFill>
              <a:srgbClr val="FF0000"/>
            </a:solidFill>
            <a:round/>
            <a:headEnd/>
            <a:tailEnd type="stealth" w="lg" len="lg"/>
          </a:ln>
        </xdr:spPr>
      </xdr:sp>
      <xdr:sp macro="" textlink="">
        <xdr:nvSpPr>
          <xdr:cNvPr id="15488" name="Line 78"/>
          <xdr:cNvSpPr>
            <a:spLocks noChangeShapeType="1"/>
          </xdr:cNvSpPr>
        </xdr:nvSpPr>
        <xdr:spPr bwMode="auto">
          <a:xfrm rot="5400000" flipH="1">
            <a:off x="398" y="414"/>
            <a:ext cx="317" cy="0"/>
          </a:xfrm>
          <a:prstGeom prst="line">
            <a:avLst/>
          </a:prstGeom>
          <a:noFill/>
          <a:ln w="19050">
            <a:solidFill>
              <a:srgbClr val="FF0000"/>
            </a:solidFill>
            <a:round/>
            <a:headEnd/>
            <a:tailEnd type="none" w="lg" len="lg"/>
          </a:ln>
        </xdr:spPr>
      </xdr:sp>
    </xdr:grpSp>
    <xdr:clientData/>
  </xdr:twoCellAnchor>
  <xdr:twoCellAnchor>
    <xdr:from>
      <xdr:col>3</xdr:col>
      <xdr:colOff>561975</xdr:colOff>
      <xdr:row>215</xdr:row>
      <xdr:rowOff>28575</xdr:rowOff>
    </xdr:from>
    <xdr:to>
      <xdr:col>7</xdr:col>
      <xdr:colOff>219075</xdr:colOff>
      <xdr:row>269</xdr:row>
      <xdr:rowOff>104775</xdr:rowOff>
    </xdr:to>
    <xdr:sp macro="" textlink="">
      <xdr:nvSpPr>
        <xdr:cNvPr id="15482" name="Rectangle 80"/>
        <xdr:cNvSpPr>
          <a:spLocks noChangeArrowheads="1"/>
        </xdr:cNvSpPr>
      </xdr:nvSpPr>
      <xdr:spPr bwMode="auto">
        <a:xfrm>
          <a:off x="2305050" y="22917150"/>
          <a:ext cx="2781300" cy="9829800"/>
        </a:xfrm>
        <a:prstGeom prst="rect">
          <a:avLst/>
        </a:prstGeom>
        <a:solidFill>
          <a:srgbClr val="C0C0C0"/>
        </a:solidFill>
        <a:ln w="9525">
          <a:noFill/>
          <a:miter lim="800000"/>
          <a:headEnd/>
          <a:tailEnd/>
        </a:ln>
      </xdr:spPr>
    </xdr:sp>
    <xdr:clientData/>
  </xdr:twoCellAnchor>
  <xdr:twoCellAnchor>
    <xdr:from>
      <xdr:col>0</xdr:col>
      <xdr:colOff>38100</xdr:colOff>
      <xdr:row>0</xdr:row>
      <xdr:rowOff>38100</xdr:rowOff>
    </xdr:from>
    <xdr:to>
      <xdr:col>3</xdr:col>
      <xdr:colOff>200025</xdr:colOff>
      <xdr:row>4</xdr:row>
      <xdr:rowOff>9525</xdr:rowOff>
    </xdr:to>
    <xdr:pic>
      <xdr:nvPicPr>
        <xdr:cNvPr id="15483" name="Picture 81" descr="2c_cmyk"/>
        <xdr:cNvPicPr>
          <a:picLocks noChangeAspect="1" noChangeArrowheads="1"/>
        </xdr:cNvPicPr>
      </xdr:nvPicPr>
      <xdr:blipFill>
        <a:blip xmlns:r="http://schemas.openxmlformats.org/officeDocument/2006/relationships" r:embed="rId2" cstate="print"/>
        <a:srcRect/>
        <a:stretch>
          <a:fillRect/>
        </a:stretch>
      </xdr:blipFill>
      <xdr:spPr bwMode="auto">
        <a:xfrm>
          <a:off x="38100" y="38100"/>
          <a:ext cx="1905000" cy="657225"/>
        </a:xfrm>
        <a:prstGeom prst="rect">
          <a:avLst/>
        </a:prstGeom>
        <a:noFill/>
        <a:ln w="9525">
          <a:noFill/>
          <a:miter lim="800000"/>
          <a:headEnd/>
          <a:tailEnd/>
        </a:ln>
      </xdr:spPr>
    </xdr:pic>
    <xdr:clientData/>
  </xdr:twoCellAnchor>
  <xdr:twoCellAnchor editAs="oneCell">
    <xdr:from>
      <xdr:col>9</xdr:col>
      <xdr:colOff>304800</xdr:colOff>
      <xdr:row>25</xdr:row>
      <xdr:rowOff>66675</xdr:rowOff>
    </xdr:from>
    <xdr:to>
      <xdr:col>22</xdr:col>
      <xdr:colOff>390525</xdr:colOff>
      <xdr:row>58</xdr:row>
      <xdr:rowOff>0</xdr:rowOff>
    </xdr:to>
    <xdr:pic>
      <xdr:nvPicPr>
        <xdr:cNvPr id="15484" name="Picture 120"/>
        <xdr:cNvPicPr>
          <a:picLocks noChangeAspect="1" noChangeArrowheads="1"/>
        </xdr:cNvPicPr>
      </xdr:nvPicPr>
      <xdr:blipFill>
        <a:blip xmlns:r="http://schemas.openxmlformats.org/officeDocument/2006/relationships" r:embed="rId3" cstate="print"/>
        <a:srcRect/>
        <a:stretch>
          <a:fillRect/>
        </a:stretch>
      </xdr:blipFill>
      <xdr:spPr bwMode="auto">
        <a:xfrm>
          <a:off x="6734175" y="4543425"/>
          <a:ext cx="9953625" cy="5657850"/>
        </a:xfrm>
        <a:prstGeom prst="rect">
          <a:avLst/>
        </a:prstGeom>
        <a:solidFill>
          <a:srgbClr val="FFFFFF"/>
        </a:solidFill>
        <a:ln w="9525">
          <a:noFill/>
          <a:miter lim="800000"/>
          <a:headEnd/>
          <a:tailEnd/>
        </a:ln>
      </xdr:spPr>
    </xdr:pic>
    <xdr:clientData/>
  </xdr:twoCellAnchor>
  <xdr:twoCellAnchor editAs="oneCell">
    <xdr:from>
      <xdr:col>1</xdr:col>
      <xdr:colOff>200025</xdr:colOff>
      <xdr:row>44</xdr:row>
      <xdr:rowOff>85725</xdr:rowOff>
    </xdr:from>
    <xdr:to>
      <xdr:col>3</xdr:col>
      <xdr:colOff>647700</xdr:colOff>
      <xdr:row>47</xdr:row>
      <xdr:rowOff>19050</xdr:rowOff>
    </xdr:to>
    <xdr:pic>
      <xdr:nvPicPr>
        <xdr:cNvPr id="15485" name="Picture 121"/>
        <xdr:cNvPicPr>
          <a:picLocks noChangeAspect="1" noChangeArrowheads="1"/>
        </xdr:cNvPicPr>
      </xdr:nvPicPr>
      <xdr:blipFill>
        <a:blip xmlns:r="http://schemas.openxmlformats.org/officeDocument/2006/relationships" r:embed="rId4" cstate="print"/>
        <a:srcRect/>
        <a:stretch>
          <a:fillRect/>
        </a:stretch>
      </xdr:blipFill>
      <xdr:spPr bwMode="auto">
        <a:xfrm>
          <a:off x="381000" y="7839075"/>
          <a:ext cx="2009775" cy="447675"/>
        </a:xfrm>
        <a:prstGeom prst="rect">
          <a:avLst/>
        </a:prstGeom>
        <a:noFill/>
        <a:ln w="9525">
          <a:noFill/>
          <a:miter lim="800000"/>
          <a:headEnd/>
          <a:tailEnd/>
        </a:ln>
      </xdr:spPr>
    </xdr:pic>
    <xdr:clientData/>
  </xdr:twoCellAnchor>
  <xdr:twoCellAnchor editAs="oneCell">
    <xdr:from>
      <xdr:col>4</xdr:col>
      <xdr:colOff>438150</xdr:colOff>
      <xdr:row>44</xdr:row>
      <xdr:rowOff>76200</xdr:rowOff>
    </xdr:from>
    <xdr:to>
      <xdr:col>6</xdr:col>
      <xdr:colOff>390525</xdr:colOff>
      <xdr:row>47</xdr:row>
      <xdr:rowOff>19050</xdr:rowOff>
    </xdr:to>
    <xdr:pic>
      <xdr:nvPicPr>
        <xdr:cNvPr id="15486" name="Picture 122"/>
        <xdr:cNvPicPr>
          <a:picLocks noChangeAspect="1" noChangeArrowheads="1"/>
        </xdr:cNvPicPr>
      </xdr:nvPicPr>
      <xdr:blipFill>
        <a:blip xmlns:r="http://schemas.openxmlformats.org/officeDocument/2006/relationships" r:embed="rId5" cstate="print"/>
        <a:srcRect/>
        <a:stretch>
          <a:fillRect/>
        </a:stretch>
      </xdr:blipFill>
      <xdr:spPr bwMode="auto">
        <a:xfrm>
          <a:off x="2962275" y="7829550"/>
          <a:ext cx="1514475" cy="4572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161925</xdr:colOff>
      <xdr:row>11</xdr:row>
      <xdr:rowOff>76200</xdr:rowOff>
    </xdr:from>
    <xdr:to>
      <xdr:col>19</xdr:col>
      <xdr:colOff>447675</xdr:colOff>
      <xdr:row>23</xdr:row>
      <xdr:rowOff>95250</xdr:rowOff>
    </xdr:to>
    <xdr:graphicFrame macro="">
      <xdr:nvGraphicFramePr>
        <xdr:cNvPr id="1241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342900</xdr:colOff>
      <xdr:row>88</xdr:row>
      <xdr:rowOff>142875</xdr:rowOff>
    </xdr:from>
    <xdr:to>
      <xdr:col>17</xdr:col>
      <xdr:colOff>66675</xdr:colOff>
      <xdr:row>107</xdr:row>
      <xdr:rowOff>38100</xdr:rowOff>
    </xdr:to>
    <xdr:sp macro="" textlink="">
      <xdr:nvSpPr>
        <xdr:cNvPr id="12419" name="Rectangle 65"/>
        <xdr:cNvSpPr>
          <a:spLocks noChangeArrowheads="1"/>
        </xdr:cNvSpPr>
      </xdr:nvSpPr>
      <xdr:spPr bwMode="auto">
        <a:xfrm>
          <a:off x="6772275" y="15306675"/>
          <a:ext cx="5972175" cy="0"/>
        </a:xfrm>
        <a:prstGeom prst="rect">
          <a:avLst/>
        </a:prstGeom>
        <a:noFill/>
        <a:ln w="25400">
          <a:solidFill>
            <a:srgbClr val="FF0000"/>
          </a:solidFill>
          <a:miter lim="800000"/>
          <a:headEnd/>
          <a:tailEnd/>
        </a:ln>
      </xdr:spPr>
    </xdr:sp>
    <xdr:clientData/>
  </xdr:twoCellAnchor>
  <xdr:twoCellAnchor>
    <xdr:from>
      <xdr:col>9</xdr:col>
      <xdr:colOff>0</xdr:colOff>
      <xdr:row>99</xdr:row>
      <xdr:rowOff>76200</xdr:rowOff>
    </xdr:from>
    <xdr:to>
      <xdr:col>9</xdr:col>
      <xdr:colOff>333375</xdr:colOff>
      <xdr:row>99</xdr:row>
      <xdr:rowOff>76200</xdr:rowOff>
    </xdr:to>
    <xdr:sp macro="" textlink="">
      <xdr:nvSpPr>
        <xdr:cNvPr id="12420" name="Line 66"/>
        <xdr:cNvSpPr>
          <a:spLocks noChangeShapeType="1"/>
        </xdr:cNvSpPr>
      </xdr:nvSpPr>
      <xdr:spPr bwMode="auto">
        <a:xfrm flipH="1">
          <a:off x="6429375" y="15306675"/>
          <a:ext cx="333375" cy="0"/>
        </a:xfrm>
        <a:prstGeom prst="line">
          <a:avLst/>
        </a:prstGeom>
        <a:noFill/>
        <a:ln w="19050">
          <a:solidFill>
            <a:srgbClr val="FF0000"/>
          </a:solidFill>
          <a:round/>
          <a:headEnd/>
          <a:tailEnd type="stealth" w="lg" len="lg"/>
        </a:ln>
      </xdr:spPr>
    </xdr:sp>
    <xdr:clientData/>
  </xdr:twoCellAnchor>
  <xdr:twoCellAnchor>
    <xdr:from>
      <xdr:col>5</xdr:col>
      <xdr:colOff>28575</xdr:colOff>
      <xdr:row>100</xdr:row>
      <xdr:rowOff>9525</xdr:rowOff>
    </xdr:from>
    <xdr:to>
      <xdr:col>8</xdr:col>
      <xdr:colOff>304800</xdr:colOff>
      <xdr:row>113</xdr:row>
      <xdr:rowOff>104775</xdr:rowOff>
    </xdr:to>
    <xdr:grpSp>
      <xdr:nvGrpSpPr>
        <xdr:cNvPr id="12421" name="Group 86"/>
        <xdr:cNvGrpSpPr>
          <a:grpSpLocks/>
        </xdr:cNvGrpSpPr>
      </xdr:nvGrpSpPr>
      <xdr:grpSpPr bwMode="auto">
        <a:xfrm>
          <a:off x="3333750" y="15306675"/>
          <a:ext cx="2619375" cy="0"/>
          <a:chOff x="345" y="255"/>
          <a:chExt cx="213" cy="318"/>
        </a:xfrm>
      </xdr:grpSpPr>
      <xdr:sp macro="" textlink="">
        <xdr:nvSpPr>
          <xdr:cNvPr id="12426" name="Line 87"/>
          <xdr:cNvSpPr>
            <a:spLocks noChangeShapeType="1"/>
          </xdr:cNvSpPr>
        </xdr:nvSpPr>
        <xdr:spPr bwMode="auto">
          <a:xfrm flipH="1">
            <a:off x="345" y="573"/>
            <a:ext cx="213" cy="0"/>
          </a:xfrm>
          <a:prstGeom prst="line">
            <a:avLst/>
          </a:prstGeom>
          <a:noFill/>
          <a:ln w="19050">
            <a:solidFill>
              <a:srgbClr val="FF0000"/>
            </a:solidFill>
            <a:round/>
            <a:headEnd/>
            <a:tailEnd type="stealth" w="lg" len="lg"/>
          </a:ln>
        </xdr:spPr>
      </xdr:sp>
      <xdr:sp macro="" textlink="">
        <xdr:nvSpPr>
          <xdr:cNvPr id="12427" name="Line 88"/>
          <xdr:cNvSpPr>
            <a:spLocks noChangeShapeType="1"/>
          </xdr:cNvSpPr>
        </xdr:nvSpPr>
        <xdr:spPr bwMode="auto">
          <a:xfrm rot="5400000" flipH="1">
            <a:off x="398" y="414"/>
            <a:ext cx="317" cy="0"/>
          </a:xfrm>
          <a:prstGeom prst="line">
            <a:avLst/>
          </a:prstGeom>
          <a:noFill/>
          <a:ln w="19050">
            <a:solidFill>
              <a:srgbClr val="FF0000"/>
            </a:solidFill>
            <a:round/>
            <a:headEnd/>
            <a:tailEnd type="none" w="lg" len="lg"/>
          </a:ln>
        </xdr:spPr>
      </xdr:sp>
    </xdr:grpSp>
    <xdr:clientData/>
  </xdr:twoCellAnchor>
  <xdr:twoCellAnchor>
    <xdr:from>
      <xdr:col>3</xdr:col>
      <xdr:colOff>561975</xdr:colOff>
      <xdr:row>209</xdr:row>
      <xdr:rowOff>28575</xdr:rowOff>
    </xdr:from>
    <xdr:to>
      <xdr:col>7</xdr:col>
      <xdr:colOff>219075</xdr:colOff>
      <xdr:row>263</xdr:row>
      <xdr:rowOff>104775</xdr:rowOff>
    </xdr:to>
    <xdr:sp macro="" textlink="">
      <xdr:nvSpPr>
        <xdr:cNvPr id="12422" name="Rectangle 90"/>
        <xdr:cNvSpPr>
          <a:spLocks noChangeArrowheads="1"/>
        </xdr:cNvSpPr>
      </xdr:nvSpPr>
      <xdr:spPr bwMode="auto">
        <a:xfrm>
          <a:off x="2305050" y="23221950"/>
          <a:ext cx="2781300" cy="9829800"/>
        </a:xfrm>
        <a:prstGeom prst="rect">
          <a:avLst/>
        </a:prstGeom>
        <a:solidFill>
          <a:srgbClr val="C0C0C0"/>
        </a:solidFill>
        <a:ln w="9525">
          <a:noFill/>
          <a:miter lim="800000"/>
          <a:headEnd/>
          <a:tailEnd/>
        </a:ln>
      </xdr:spPr>
    </xdr:sp>
    <xdr:clientData/>
  </xdr:twoCellAnchor>
  <xdr:twoCellAnchor>
    <xdr:from>
      <xdr:col>0</xdr:col>
      <xdr:colOff>38100</xdr:colOff>
      <xdr:row>0</xdr:row>
      <xdr:rowOff>38100</xdr:rowOff>
    </xdr:from>
    <xdr:to>
      <xdr:col>3</xdr:col>
      <xdr:colOff>200025</xdr:colOff>
      <xdr:row>4</xdr:row>
      <xdr:rowOff>9525</xdr:rowOff>
    </xdr:to>
    <xdr:pic>
      <xdr:nvPicPr>
        <xdr:cNvPr id="12423" name="Picture 91" descr="2c_cmyk"/>
        <xdr:cNvPicPr>
          <a:picLocks noChangeAspect="1" noChangeArrowheads="1"/>
        </xdr:cNvPicPr>
      </xdr:nvPicPr>
      <xdr:blipFill>
        <a:blip xmlns:r="http://schemas.openxmlformats.org/officeDocument/2006/relationships" r:embed="rId2" cstate="print"/>
        <a:srcRect/>
        <a:stretch>
          <a:fillRect/>
        </a:stretch>
      </xdr:blipFill>
      <xdr:spPr bwMode="auto">
        <a:xfrm>
          <a:off x="38100" y="38100"/>
          <a:ext cx="1905000" cy="657225"/>
        </a:xfrm>
        <a:prstGeom prst="rect">
          <a:avLst/>
        </a:prstGeom>
        <a:noFill/>
        <a:ln w="9525">
          <a:noFill/>
          <a:miter lim="800000"/>
          <a:headEnd/>
          <a:tailEnd/>
        </a:ln>
      </xdr:spPr>
    </xdr:pic>
    <xdr:clientData/>
  </xdr:twoCellAnchor>
  <xdr:twoCellAnchor editAs="oneCell">
    <xdr:from>
      <xdr:col>9</xdr:col>
      <xdr:colOff>333375</xdr:colOff>
      <xdr:row>25</xdr:row>
      <xdr:rowOff>28575</xdr:rowOff>
    </xdr:from>
    <xdr:to>
      <xdr:col>22</xdr:col>
      <xdr:colOff>438150</xdr:colOff>
      <xdr:row>58</xdr:row>
      <xdr:rowOff>9525</xdr:rowOff>
    </xdr:to>
    <xdr:pic>
      <xdr:nvPicPr>
        <xdr:cNvPr id="12424" name="Picture 132"/>
        <xdr:cNvPicPr>
          <a:picLocks noChangeAspect="1" noChangeArrowheads="1"/>
        </xdr:cNvPicPr>
      </xdr:nvPicPr>
      <xdr:blipFill>
        <a:blip xmlns:r="http://schemas.openxmlformats.org/officeDocument/2006/relationships" r:embed="rId3" cstate="print"/>
        <a:srcRect/>
        <a:stretch>
          <a:fillRect/>
        </a:stretch>
      </xdr:blipFill>
      <xdr:spPr bwMode="auto">
        <a:xfrm>
          <a:off x="6762750" y="4505325"/>
          <a:ext cx="9972675" cy="5667375"/>
        </a:xfrm>
        <a:prstGeom prst="rect">
          <a:avLst/>
        </a:prstGeom>
        <a:solidFill>
          <a:srgbClr val="FFFFFF"/>
        </a:solidFill>
        <a:ln w="9525">
          <a:noFill/>
          <a:miter lim="800000"/>
          <a:headEnd/>
          <a:tailEnd/>
        </a:ln>
      </xdr:spPr>
    </xdr:pic>
    <xdr:clientData/>
  </xdr:twoCellAnchor>
  <xdr:twoCellAnchor editAs="oneCell">
    <xdr:from>
      <xdr:col>1</xdr:col>
      <xdr:colOff>409575</xdr:colOff>
      <xdr:row>41</xdr:row>
      <xdr:rowOff>0</xdr:rowOff>
    </xdr:from>
    <xdr:to>
      <xdr:col>4</xdr:col>
      <xdr:colOff>314325</xdr:colOff>
      <xdr:row>44</xdr:row>
      <xdr:rowOff>0</xdr:rowOff>
    </xdr:to>
    <xdr:pic>
      <xdr:nvPicPr>
        <xdr:cNvPr id="12425" name="Picture 133"/>
        <xdr:cNvPicPr>
          <a:picLocks noChangeAspect="1" noChangeArrowheads="1"/>
        </xdr:cNvPicPr>
      </xdr:nvPicPr>
      <xdr:blipFill>
        <a:blip xmlns:r="http://schemas.openxmlformats.org/officeDocument/2006/relationships" r:embed="rId4" cstate="print"/>
        <a:srcRect/>
        <a:stretch>
          <a:fillRect/>
        </a:stretch>
      </xdr:blipFill>
      <xdr:spPr bwMode="auto">
        <a:xfrm>
          <a:off x="590550" y="7229475"/>
          <a:ext cx="2247900" cy="514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68"/>
  <sheetViews>
    <sheetView view="pageBreakPreview" zoomScale="90" zoomScaleNormal="100" zoomScaleSheetLayoutView="90" workbookViewId="0">
      <selection activeCell="I6" sqref="I6"/>
    </sheetView>
  </sheetViews>
  <sheetFormatPr defaultColWidth="10.28515625" defaultRowHeight="13.5"/>
  <cols>
    <col min="1" max="1" width="2.7109375" style="30" customWidth="1"/>
    <col min="2" max="19" width="11.7109375" style="30" customWidth="1"/>
    <col min="20" max="16384" width="10.28515625" style="30"/>
  </cols>
  <sheetData>
    <row r="1" spans="1:26">
      <c r="A1" s="111"/>
      <c r="B1" s="112"/>
      <c r="C1" s="112"/>
      <c r="D1" s="112"/>
      <c r="E1" s="112"/>
      <c r="F1" s="112"/>
      <c r="G1" s="112"/>
      <c r="H1" s="112"/>
      <c r="I1" s="112"/>
      <c r="J1" s="112"/>
      <c r="K1" s="112"/>
      <c r="L1" s="112"/>
      <c r="M1" s="105"/>
      <c r="N1" s="105"/>
      <c r="O1" s="104"/>
      <c r="P1" s="102"/>
      <c r="Q1" s="102"/>
      <c r="R1" s="102"/>
      <c r="S1" s="102"/>
      <c r="T1" s="102"/>
      <c r="U1" s="102"/>
      <c r="V1" s="102"/>
      <c r="W1" s="102"/>
      <c r="X1" s="102"/>
      <c r="Y1" s="102"/>
      <c r="Z1" s="102"/>
    </row>
    <row r="2" spans="1:26">
      <c r="A2" s="113"/>
      <c r="B2" s="114"/>
      <c r="C2" s="114"/>
      <c r="D2" s="114"/>
      <c r="E2" s="114"/>
      <c r="F2" s="114"/>
      <c r="G2" s="114"/>
      <c r="H2" s="114"/>
      <c r="I2" s="114"/>
      <c r="J2" s="114"/>
      <c r="K2" s="114"/>
      <c r="L2" s="114"/>
      <c r="M2" s="104"/>
      <c r="N2" s="104"/>
      <c r="O2" s="104"/>
      <c r="P2" s="102"/>
      <c r="Q2" s="102"/>
      <c r="R2" s="102"/>
      <c r="S2" s="102"/>
      <c r="T2" s="102"/>
      <c r="U2" s="102"/>
      <c r="V2" s="102"/>
      <c r="W2" s="102"/>
      <c r="X2" s="102"/>
      <c r="Y2" s="102"/>
      <c r="Z2" s="102"/>
    </row>
    <row r="3" spans="1:26">
      <c r="A3" s="113"/>
      <c r="B3" s="114"/>
      <c r="C3" s="114"/>
      <c r="D3" s="114"/>
      <c r="E3" s="114"/>
      <c r="F3" s="114"/>
      <c r="G3" s="114"/>
      <c r="H3" s="114"/>
      <c r="I3" s="114"/>
      <c r="J3" s="114"/>
      <c r="K3" s="114"/>
      <c r="L3" s="114"/>
      <c r="M3" s="104"/>
      <c r="N3" s="104"/>
      <c r="O3" s="104"/>
      <c r="P3" s="102"/>
      <c r="Q3" s="102"/>
      <c r="R3" s="102"/>
      <c r="S3" s="102"/>
      <c r="T3" s="102"/>
      <c r="U3" s="102"/>
      <c r="V3" s="102"/>
      <c r="W3" s="102"/>
      <c r="X3" s="102"/>
      <c r="Y3" s="102"/>
      <c r="Z3" s="102"/>
    </row>
    <row r="4" spans="1:26">
      <c r="A4" s="113"/>
      <c r="B4" s="114"/>
      <c r="C4" s="114"/>
      <c r="D4" s="114"/>
      <c r="E4" s="114"/>
      <c r="F4" s="114"/>
      <c r="G4" s="114"/>
      <c r="H4" s="114"/>
      <c r="I4" s="114"/>
      <c r="J4" s="114"/>
      <c r="K4" s="114"/>
      <c r="L4" s="114"/>
      <c r="M4" s="104"/>
      <c r="N4" s="104"/>
      <c r="O4" s="104"/>
      <c r="P4" s="102"/>
      <c r="Q4" s="102"/>
      <c r="R4" s="102"/>
      <c r="S4" s="102"/>
      <c r="T4" s="102"/>
      <c r="U4" s="102"/>
      <c r="V4" s="102"/>
      <c r="W4" s="102"/>
      <c r="X4" s="102"/>
      <c r="Y4" s="102"/>
      <c r="Z4" s="102"/>
    </row>
    <row r="5" spans="1:26">
      <c r="A5" s="113"/>
      <c r="B5" s="114"/>
      <c r="C5" s="114"/>
      <c r="D5" s="114"/>
      <c r="E5" s="114"/>
      <c r="F5" s="114"/>
      <c r="G5" s="114"/>
      <c r="H5" s="114"/>
      <c r="I5" s="114"/>
      <c r="J5" s="114"/>
      <c r="K5" s="114"/>
      <c r="L5" s="114"/>
      <c r="M5" s="104"/>
      <c r="N5" s="104"/>
      <c r="O5" s="104"/>
      <c r="P5" s="102"/>
      <c r="Q5" s="102"/>
      <c r="R5" s="102"/>
      <c r="S5" s="102"/>
      <c r="T5" s="102"/>
      <c r="U5" s="102"/>
      <c r="V5" s="102"/>
      <c r="W5" s="102"/>
      <c r="X5" s="102"/>
      <c r="Y5" s="102"/>
      <c r="Z5" s="102"/>
    </row>
    <row r="6" spans="1:26" ht="15">
      <c r="A6" s="113"/>
      <c r="B6" s="2" t="s">
        <v>17</v>
      </c>
      <c r="C6" s="3"/>
      <c r="D6" s="3"/>
      <c r="E6" s="3"/>
      <c r="F6" s="3"/>
      <c r="G6" s="114"/>
      <c r="H6" s="114"/>
      <c r="I6" s="114"/>
      <c r="J6" s="114"/>
      <c r="K6" s="114"/>
      <c r="L6" s="114"/>
      <c r="M6" s="104"/>
      <c r="N6" s="104"/>
      <c r="O6" s="104"/>
      <c r="P6" s="102"/>
      <c r="Q6" s="102"/>
      <c r="R6" s="102"/>
      <c r="S6" s="102"/>
      <c r="T6" s="102"/>
      <c r="U6" s="102"/>
      <c r="V6" s="102"/>
      <c r="W6" s="102"/>
      <c r="X6" s="102"/>
      <c r="Y6" s="102"/>
      <c r="Z6" s="102"/>
    </row>
    <row r="7" spans="1:26" ht="15">
      <c r="A7" s="113"/>
      <c r="B7" s="2" t="s">
        <v>222</v>
      </c>
      <c r="C7" s="3"/>
      <c r="D7" s="3"/>
      <c r="E7" s="3"/>
      <c r="F7" s="3"/>
      <c r="G7" s="114"/>
      <c r="H7" s="114"/>
      <c r="I7" s="114"/>
      <c r="J7" s="114"/>
      <c r="K7" s="114"/>
      <c r="L7" s="114"/>
      <c r="M7" s="104"/>
      <c r="N7" s="104"/>
      <c r="O7" s="104"/>
      <c r="P7" s="102"/>
      <c r="Q7" s="102"/>
      <c r="R7" s="102"/>
      <c r="S7" s="102"/>
      <c r="T7" s="102"/>
      <c r="U7" s="102"/>
      <c r="V7" s="102"/>
      <c r="W7" s="102"/>
      <c r="X7" s="102"/>
      <c r="Y7" s="102"/>
      <c r="Z7" s="102"/>
    </row>
    <row r="8" spans="1:26" ht="14.25">
      <c r="A8" s="20"/>
      <c r="B8" s="21"/>
      <c r="C8" s="21"/>
      <c r="D8" s="21"/>
      <c r="E8" s="115"/>
      <c r="F8" s="115"/>
      <c r="G8" s="115"/>
      <c r="I8" s="22"/>
      <c r="J8" s="23"/>
      <c r="K8" s="10"/>
      <c r="L8" s="10"/>
      <c r="M8" s="104"/>
      <c r="N8" s="104"/>
      <c r="O8" s="104"/>
      <c r="P8" s="102"/>
      <c r="Q8" s="102"/>
      <c r="R8" s="102"/>
      <c r="S8" s="102"/>
      <c r="T8" s="102"/>
      <c r="U8" s="102"/>
      <c r="V8" s="102"/>
      <c r="W8" s="102"/>
      <c r="X8" s="102"/>
      <c r="Y8" s="102"/>
      <c r="Z8" s="102"/>
    </row>
    <row r="9" spans="1:26" ht="15">
      <c r="A9" s="24"/>
      <c r="B9" s="25" t="s">
        <v>206</v>
      </c>
      <c r="C9" s="31"/>
      <c r="D9" s="116"/>
      <c r="E9" s="116"/>
      <c r="F9" s="116"/>
      <c r="G9" s="26"/>
      <c r="H9" s="27"/>
      <c r="I9" s="27"/>
      <c r="J9" s="27"/>
      <c r="K9" s="27"/>
      <c r="L9" s="27"/>
      <c r="M9" s="104"/>
      <c r="N9" s="104"/>
      <c r="O9" s="104"/>
      <c r="P9" s="102"/>
      <c r="Q9" s="102"/>
      <c r="R9" s="102"/>
      <c r="S9" s="102"/>
      <c r="T9" s="102"/>
      <c r="U9" s="102"/>
      <c r="V9" s="102"/>
      <c r="W9" s="102"/>
      <c r="X9" s="102"/>
      <c r="Y9" s="102"/>
      <c r="Z9" s="102"/>
    </row>
    <row r="10" spans="1:26" ht="14.25">
      <c r="A10" s="117"/>
      <c r="B10" s="28"/>
      <c r="C10" s="28"/>
      <c r="D10" s="28"/>
      <c r="E10" s="115"/>
      <c r="F10" s="115"/>
      <c r="G10" s="115"/>
      <c r="H10" s="10"/>
      <c r="I10" s="10"/>
      <c r="J10" s="10"/>
      <c r="K10" s="10"/>
      <c r="L10" s="10"/>
      <c r="M10" s="104"/>
      <c r="N10" s="104"/>
      <c r="O10" s="104"/>
      <c r="P10" s="102"/>
      <c r="Q10" s="102"/>
      <c r="R10" s="102"/>
      <c r="S10" s="102"/>
      <c r="T10" s="102"/>
      <c r="U10" s="102"/>
      <c r="V10" s="102"/>
      <c r="W10" s="102"/>
      <c r="X10" s="102"/>
      <c r="Y10" s="102"/>
      <c r="Z10" s="102"/>
    </row>
    <row r="11" spans="1:26" ht="15">
      <c r="A11" s="117"/>
      <c r="B11" s="28" t="s">
        <v>18</v>
      </c>
      <c r="C11" s="28"/>
      <c r="D11" s="28"/>
      <c r="E11" s="115"/>
      <c r="F11" s="115"/>
      <c r="G11" s="28" t="s">
        <v>20</v>
      </c>
      <c r="H11" s="10"/>
      <c r="I11" s="10"/>
      <c r="J11" s="10"/>
      <c r="K11" s="279" t="s">
        <v>121</v>
      </c>
      <c r="L11" s="279"/>
      <c r="M11" s="120" t="s">
        <v>122</v>
      </c>
      <c r="N11" s="279" t="s">
        <v>114</v>
      </c>
      <c r="O11" s="279"/>
      <c r="P11" s="102"/>
      <c r="Q11" s="102"/>
      <c r="R11" s="102"/>
      <c r="S11" s="102"/>
      <c r="T11" s="102"/>
      <c r="U11" s="102"/>
      <c r="V11" s="102"/>
      <c r="W11" s="102"/>
      <c r="X11" s="102"/>
      <c r="Y11" s="102"/>
      <c r="Z11" s="102"/>
    </row>
    <row r="12" spans="1:26" ht="14.25">
      <c r="A12" s="117"/>
      <c r="B12" s="4" t="s">
        <v>15</v>
      </c>
      <c r="C12" s="28"/>
      <c r="D12" s="28"/>
      <c r="E12" s="115"/>
      <c r="F12" s="115"/>
      <c r="G12" s="118"/>
      <c r="H12" s="10"/>
      <c r="I12" s="10"/>
      <c r="J12" s="10"/>
      <c r="K12" s="280" t="s">
        <v>180</v>
      </c>
      <c r="L12" s="280"/>
      <c r="M12" s="122" t="s">
        <v>184</v>
      </c>
      <c r="N12" s="281" t="s">
        <v>115</v>
      </c>
      <c r="O12" s="282"/>
      <c r="P12" s="102"/>
      <c r="Q12" s="102"/>
      <c r="R12" s="102"/>
      <c r="S12" s="102"/>
      <c r="T12" s="102"/>
      <c r="U12" s="102"/>
      <c r="V12" s="102"/>
      <c r="W12" s="102"/>
      <c r="X12" s="102"/>
      <c r="Y12" s="102"/>
      <c r="Z12" s="102"/>
    </row>
    <row r="13" spans="1:26" ht="14.25">
      <c r="A13" s="117"/>
      <c r="B13" s="28" t="s">
        <v>119</v>
      </c>
      <c r="C13" s="28"/>
      <c r="D13" s="28"/>
      <c r="E13" s="115"/>
      <c r="F13" s="115"/>
      <c r="G13" s="115" t="s">
        <v>120</v>
      </c>
      <c r="H13" s="10"/>
      <c r="I13" s="10"/>
      <c r="J13" s="10"/>
      <c r="K13" s="280" t="s">
        <v>181</v>
      </c>
      <c r="L13" s="280"/>
      <c r="M13" s="122" t="s">
        <v>185</v>
      </c>
      <c r="N13" s="283"/>
      <c r="O13" s="284"/>
      <c r="P13" s="102"/>
      <c r="Q13" s="102"/>
      <c r="R13" s="102"/>
      <c r="S13" s="102"/>
      <c r="T13" s="102"/>
      <c r="U13" s="102"/>
      <c r="V13" s="102"/>
      <c r="W13" s="102"/>
      <c r="X13" s="102"/>
      <c r="Y13" s="102"/>
      <c r="Z13" s="102"/>
    </row>
    <row r="14" spans="1:26" ht="14.25">
      <c r="A14" s="117"/>
      <c r="B14" s="28" t="s">
        <v>8</v>
      </c>
      <c r="C14" s="28"/>
      <c r="D14" s="28"/>
      <c r="E14" s="115"/>
      <c r="F14" s="115"/>
      <c r="G14" s="119"/>
      <c r="H14" s="10"/>
      <c r="I14" s="10"/>
      <c r="J14" s="10"/>
      <c r="K14" s="280" t="s">
        <v>183</v>
      </c>
      <c r="L14" s="280"/>
      <c r="M14" s="122" t="s">
        <v>185</v>
      </c>
      <c r="N14" s="281" t="s">
        <v>116</v>
      </c>
      <c r="O14" s="282"/>
      <c r="P14" s="102"/>
      <c r="Q14" s="102"/>
      <c r="R14" s="102"/>
      <c r="S14" s="102"/>
      <c r="T14" s="102"/>
      <c r="U14" s="102"/>
      <c r="V14" s="102"/>
      <c r="W14" s="102"/>
      <c r="X14" s="102"/>
      <c r="Y14" s="102"/>
      <c r="Z14" s="102"/>
    </row>
    <row r="15" spans="1:26" ht="14.25">
      <c r="A15" s="117"/>
      <c r="B15" s="28"/>
      <c r="C15" s="28"/>
      <c r="D15" s="28"/>
      <c r="E15" s="115"/>
      <c r="F15" s="115"/>
      <c r="G15" s="115"/>
      <c r="H15" s="10"/>
      <c r="I15" s="10"/>
      <c r="J15" s="10"/>
      <c r="K15" s="280" t="s">
        <v>182</v>
      </c>
      <c r="L15" s="280"/>
      <c r="M15" s="122" t="s">
        <v>184</v>
      </c>
      <c r="N15" s="283"/>
      <c r="O15" s="284"/>
      <c r="P15" s="102"/>
      <c r="Q15" s="102"/>
      <c r="R15" s="102"/>
      <c r="S15" s="102"/>
      <c r="T15" s="102"/>
      <c r="U15" s="102"/>
      <c r="V15" s="102"/>
      <c r="W15" s="102"/>
      <c r="X15" s="102"/>
      <c r="Y15" s="102"/>
      <c r="Z15" s="102"/>
    </row>
    <row r="16" spans="1:26" ht="15">
      <c r="A16" s="117"/>
      <c r="B16" s="5" t="s">
        <v>19</v>
      </c>
      <c r="C16" s="6"/>
      <c r="D16" s="6"/>
      <c r="E16" s="115"/>
      <c r="F16" s="115"/>
      <c r="G16" s="115"/>
      <c r="H16" s="102"/>
      <c r="I16" s="10"/>
      <c r="J16" s="10"/>
      <c r="K16" s="252"/>
      <c r="L16" s="252"/>
      <c r="M16" s="177"/>
      <c r="N16" s="252"/>
      <c r="O16" s="252"/>
      <c r="P16" s="102"/>
      <c r="Q16" s="102"/>
      <c r="R16" s="102"/>
      <c r="S16" s="102"/>
      <c r="T16" s="102"/>
      <c r="U16" s="102"/>
      <c r="V16" s="102"/>
      <c r="W16" s="102"/>
      <c r="X16" s="102"/>
      <c r="Y16" s="102"/>
      <c r="Z16" s="102"/>
    </row>
    <row r="17" spans="1:26" ht="14.25">
      <c r="A17" s="117"/>
      <c r="B17" s="270" t="s">
        <v>21</v>
      </c>
      <c r="C17" s="121" t="s">
        <v>123</v>
      </c>
      <c r="D17" s="121" t="s">
        <v>124</v>
      </c>
      <c r="E17" s="121" t="s">
        <v>125</v>
      </c>
      <c r="F17" s="121" t="s">
        <v>22</v>
      </c>
      <c r="G17" s="115"/>
      <c r="H17" s="102"/>
      <c r="I17" s="10"/>
      <c r="J17" s="10"/>
      <c r="K17" s="253"/>
      <c r="L17" s="253"/>
      <c r="M17" s="178"/>
      <c r="N17" s="272"/>
      <c r="O17" s="253"/>
      <c r="P17" s="102"/>
      <c r="Q17" s="102"/>
      <c r="R17" s="102"/>
      <c r="S17" s="102"/>
      <c r="T17" s="102"/>
      <c r="U17" s="102"/>
      <c r="V17" s="102"/>
      <c r="W17" s="102"/>
      <c r="X17" s="102"/>
      <c r="Y17" s="102"/>
      <c r="Z17" s="102"/>
    </row>
    <row r="18" spans="1:26" ht="14.25">
      <c r="A18" s="117"/>
      <c r="B18" s="271"/>
      <c r="C18" s="123">
        <v>4.5</v>
      </c>
      <c r="D18" s="123">
        <v>5</v>
      </c>
      <c r="E18" s="123">
        <v>5.5</v>
      </c>
      <c r="F18" s="121" t="s">
        <v>23</v>
      </c>
      <c r="G18" s="115"/>
      <c r="H18" s="102"/>
      <c r="I18" s="10"/>
      <c r="J18" s="10"/>
      <c r="K18" s="253"/>
      <c r="L18" s="253"/>
      <c r="M18" s="178"/>
      <c r="N18" s="253"/>
      <c r="O18" s="253"/>
      <c r="P18" s="102"/>
      <c r="Q18" s="102"/>
      <c r="R18" s="102"/>
      <c r="S18" s="102"/>
      <c r="T18" s="102"/>
      <c r="U18" s="102"/>
      <c r="V18" s="102"/>
      <c r="W18" s="102"/>
      <c r="X18" s="102"/>
      <c r="Y18" s="102"/>
      <c r="Z18" s="102"/>
    </row>
    <row r="19" spans="1:26" ht="14.25">
      <c r="A19" s="117"/>
      <c r="B19" s="7" t="s">
        <v>24</v>
      </c>
      <c r="C19" s="8"/>
      <c r="D19" s="8"/>
      <c r="E19" s="124"/>
      <c r="F19" s="125"/>
      <c r="G19" s="115"/>
      <c r="H19" s="102"/>
      <c r="I19" s="126"/>
      <c r="J19" s="125"/>
      <c r="K19" s="253"/>
      <c r="L19" s="253"/>
      <c r="M19" s="178"/>
      <c r="N19" s="272"/>
      <c r="O19" s="253"/>
      <c r="P19" s="102"/>
      <c r="Q19" s="102"/>
      <c r="R19" s="102"/>
      <c r="S19" s="102"/>
      <c r="T19" s="102"/>
      <c r="U19" s="102"/>
      <c r="V19" s="102"/>
      <c r="W19" s="102"/>
      <c r="X19" s="102"/>
      <c r="Y19" s="102"/>
      <c r="Z19" s="102"/>
    </row>
    <row r="20" spans="1:26" ht="14.25">
      <c r="A20" s="117"/>
      <c r="B20" s="270" t="s">
        <v>25</v>
      </c>
      <c r="C20" s="121" t="s">
        <v>26</v>
      </c>
      <c r="D20" s="121" t="s">
        <v>27</v>
      </c>
      <c r="E20" s="121" t="s">
        <v>22</v>
      </c>
      <c r="F20" s="124"/>
      <c r="G20" s="125"/>
      <c r="H20" s="127"/>
      <c r="I20" s="126"/>
      <c r="J20" s="126"/>
      <c r="K20" s="253"/>
      <c r="L20" s="253"/>
      <c r="M20" s="178"/>
      <c r="N20" s="253"/>
      <c r="O20" s="253"/>
      <c r="P20" s="102"/>
      <c r="Q20" s="102"/>
      <c r="R20" s="102"/>
      <c r="S20" s="102"/>
      <c r="T20" s="102"/>
      <c r="U20" s="102"/>
      <c r="V20" s="102"/>
      <c r="W20" s="102"/>
      <c r="X20" s="102"/>
      <c r="Y20" s="102"/>
      <c r="Z20" s="102"/>
    </row>
    <row r="21" spans="1:26">
      <c r="A21" s="117"/>
      <c r="B21" s="271"/>
      <c r="C21" s="128">
        <v>0</v>
      </c>
      <c r="D21" s="128">
        <v>60</v>
      </c>
      <c r="E21" s="9" t="s">
        <v>28</v>
      </c>
      <c r="F21" s="124"/>
      <c r="G21" s="125"/>
      <c r="H21" s="115"/>
      <c r="I21" s="126"/>
      <c r="J21" s="126"/>
      <c r="K21" s="125"/>
      <c r="L21" s="115"/>
      <c r="M21" s="104"/>
      <c r="N21" s="104"/>
      <c r="O21" s="104"/>
      <c r="P21" s="102"/>
      <c r="Q21" s="102"/>
      <c r="R21" s="102"/>
      <c r="S21" s="102"/>
      <c r="T21" s="102"/>
      <c r="U21" s="102"/>
      <c r="V21" s="102"/>
      <c r="W21" s="102"/>
      <c r="X21" s="102"/>
      <c r="Y21" s="102"/>
      <c r="Z21" s="102"/>
    </row>
    <row r="22" spans="1:26">
      <c r="A22" s="117"/>
      <c r="B22" s="5" t="s">
        <v>29</v>
      </c>
      <c r="C22" s="124"/>
      <c r="D22" s="124"/>
      <c r="E22" s="124"/>
      <c r="F22" s="115"/>
      <c r="G22" s="115"/>
      <c r="H22" s="115"/>
      <c r="I22" s="115"/>
      <c r="J22" s="115"/>
      <c r="K22" s="115"/>
      <c r="L22" s="115"/>
      <c r="M22" s="104"/>
      <c r="N22" s="104"/>
      <c r="O22" s="104"/>
      <c r="P22" s="102"/>
      <c r="Q22" s="102"/>
      <c r="R22" s="102"/>
      <c r="S22" s="102"/>
      <c r="T22" s="102"/>
      <c r="U22" s="102"/>
      <c r="V22" s="102"/>
      <c r="W22" s="102"/>
      <c r="X22" s="102"/>
      <c r="Y22" s="102"/>
      <c r="Z22" s="102"/>
    </row>
    <row r="23" spans="1:26">
      <c r="A23" s="117"/>
      <c r="B23" s="121" t="s">
        <v>30</v>
      </c>
      <c r="C23" s="121" t="s">
        <v>130</v>
      </c>
      <c r="D23" s="121" t="s">
        <v>131</v>
      </c>
      <c r="E23" s="121" t="s">
        <v>132</v>
      </c>
      <c r="F23" s="254" t="s">
        <v>31</v>
      </c>
      <c r="G23" s="254"/>
      <c r="H23" s="121" t="s">
        <v>32</v>
      </c>
      <c r="I23" s="33" t="s">
        <v>33</v>
      </c>
      <c r="J23" s="115"/>
      <c r="K23" s="115"/>
      <c r="L23" s="115"/>
      <c r="M23" s="104"/>
      <c r="N23" s="104"/>
      <c r="O23" s="104"/>
      <c r="P23" s="102"/>
      <c r="Q23" s="102"/>
      <c r="R23" s="102"/>
      <c r="S23" s="102"/>
      <c r="T23" s="102"/>
      <c r="U23" s="102"/>
      <c r="V23" s="102"/>
      <c r="W23" s="102"/>
      <c r="X23" s="102"/>
      <c r="Y23" s="102"/>
      <c r="Z23" s="102"/>
    </row>
    <row r="24" spans="1:26">
      <c r="A24" s="117"/>
      <c r="B24" s="121" t="s">
        <v>34</v>
      </c>
      <c r="C24" s="129">
        <v>1.35</v>
      </c>
      <c r="D24" s="129">
        <v>4</v>
      </c>
      <c r="E24" s="100">
        <v>400</v>
      </c>
      <c r="F24" s="255">
        <f>G95</f>
        <v>1.9099431818181822</v>
      </c>
      <c r="G24" s="256"/>
      <c r="H24" s="129">
        <v>0.68</v>
      </c>
      <c r="I24" s="130">
        <v>20</v>
      </c>
      <c r="J24" s="115"/>
      <c r="K24" s="115"/>
      <c r="L24" s="115"/>
      <c r="M24" s="104"/>
      <c r="N24" s="104"/>
      <c r="O24" s="104"/>
      <c r="P24" s="102"/>
      <c r="Q24" s="102"/>
      <c r="R24" s="102"/>
      <c r="S24" s="102"/>
      <c r="T24" s="102"/>
      <c r="U24" s="102"/>
      <c r="V24" s="102"/>
      <c r="W24" s="102"/>
      <c r="X24" s="102"/>
      <c r="Y24" s="102"/>
      <c r="Z24" s="102"/>
    </row>
    <row r="25" spans="1:26">
      <c r="A25" s="117"/>
      <c r="B25" s="121" t="s">
        <v>22</v>
      </c>
      <c r="C25" s="131" t="s">
        <v>23</v>
      </c>
      <c r="D25" s="131" t="s">
        <v>35</v>
      </c>
      <c r="E25" s="121" t="s">
        <v>133</v>
      </c>
      <c r="F25" s="254" t="s">
        <v>36</v>
      </c>
      <c r="G25" s="257"/>
      <c r="H25" s="131" t="s">
        <v>134</v>
      </c>
      <c r="I25" s="132" t="s">
        <v>135</v>
      </c>
      <c r="J25" s="115"/>
      <c r="K25" s="115"/>
      <c r="L25" s="115"/>
      <c r="M25" s="104"/>
      <c r="N25" s="104"/>
      <c r="O25" s="104"/>
      <c r="P25" s="102"/>
      <c r="Q25" s="102"/>
      <c r="R25" s="102"/>
      <c r="S25" s="102"/>
      <c r="T25" s="102"/>
      <c r="U25" s="102"/>
      <c r="V25" s="102"/>
      <c r="W25" s="102"/>
      <c r="X25" s="102"/>
      <c r="Y25" s="102"/>
      <c r="Z25" s="102"/>
    </row>
    <row r="26" spans="1:26">
      <c r="A26" s="117"/>
      <c r="B26" s="126"/>
      <c r="C26" s="133"/>
      <c r="D26" s="133"/>
      <c r="E26" s="125"/>
      <c r="F26" s="133"/>
      <c r="G26" s="134"/>
      <c r="H26" s="115"/>
      <c r="I26" s="115"/>
      <c r="J26" s="115"/>
      <c r="K26" s="115"/>
      <c r="L26" s="115"/>
      <c r="M26" s="104"/>
      <c r="N26" s="104"/>
      <c r="O26" s="104"/>
      <c r="P26" s="102"/>
      <c r="Q26" s="102"/>
      <c r="R26" s="102"/>
      <c r="S26" s="102"/>
      <c r="T26" s="102"/>
      <c r="U26" s="102"/>
      <c r="V26" s="102"/>
      <c r="W26" s="102"/>
      <c r="X26" s="102"/>
      <c r="Y26" s="102"/>
      <c r="Z26" s="102"/>
    </row>
    <row r="27" spans="1:26">
      <c r="A27" s="117"/>
      <c r="B27" s="126"/>
      <c r="C27" s="133"/>
      <c r="D27" s="133"/>
      <c r="E27" s="125"/>
      <c r="F27" s="133"/>
      <c r="G27" s="134"/>
      <c r="H27" s="115"/>
      <c r="I27" s="115"/>
      <c r="J27" s="115"/>
      <c r="K27" s="115"/>
      <c r="L27" s="115"/>
      <c r="M27" s="104"/>
      <c r="N27" s="104"/>
      <c r="O27" s="104"/>
      <c r="P27" s="102"/>
      <c r="Q27" s="102"/>
      <c r="R27" s="102"/>
      <c r="S27" s="102"/>
      <c r="T27" s="102"/>
      <c r="U27" s="102"/>
      <c r="V27" s="102"/>
      <c r="W27" s="102"/>
      <c r="X27" s="102"/>
      <c r="Y27" s="102"/>
      <c r="Z27" s="102"/>
    </row>
    <row r="28" spans="1:26">
      <c r="A28" s="117"/>
      <c r="B28" s="29" t="s">
        <v>14</v>
      </c>
      <c r="C28" s="133"/>
      <c r="D28" s="133"/>
      <c r="E28" s="125"/>
      <c r="F28" s="133"/>
      <c r="G28" s="115"/>
      <c r="H28" s="115"/>
      <c r="I28" s="115"/>
      <c r="J28" s="115"/>
      <c r="K28" s="115"/>
      <c r="L28" s="115"/>
      <c r="M28" s="104"/>
      <c r="N28" s="104"/>
      <c r="O28" s="104"/>
      <c r="P28" s="102"/>
      <c r="Q28" s="102"/>
      <c r="R28" s="102"/>
      <c r="S28" s="102"/>
      <c r="T28" s="102"/>
      <c r="U28" s="102"/>
      <c r="V28" s="102"/>
      <c r="W28" s="102"/>
      <c r="X28" s="102"/>
      <c r="Y28" s="102"/>
      <c r="Z28" s="102"/>
    </row>
    <row r="29" spans="1:26">
      <c r="A29" s="117"/>
      <c r="B29" s="121" t="s">
        <v>30</v>
      </c>
      <c r="C29" s="131" t="s">
        <v>103</v>
      </c>
      <c r="D29" s="199" t="s">
        <v>105</v>
      </c>
      <c r="E29" s="199"/>
      <c r="F29" s="131" t="s">
        <v>102</v>
      </c>
      <c r="G29" s="260" t="s">
        <v>37</v>
      </c>
      <c r="H29" s="260"/>
      <c r="I29" s="115"/>
      <c r="J29" s="115"/>
      <c r="K29" s="115"/>
      <c r="L29" s="115"/>
      <c r="M29" s="104"/>
      <c r="N29" s="104"/>
      <c r="O29" s="104"/>
      <c r="P29" s="102"/>
      <c r="Q29" s="102"/>
      <c r="R29" s="102"/>
      <c r="S29" s="102"/>
      <c r="T29" s="102"/>
      <c r="U29" s="102"/>
      <c r="V29" s="102"/>
      <c r="W29" s="102"/>
      <c r="X29" s="102"/>
      <c r="Y29" s="102"/>
      <c r="Z29" s="102"/>
    </row>
    <row r="30" spans="1:26">
      <c r="A30" s="117"/>
      <c r="B30" s="121" t="s">
        <v>34</v>
      </c>
      <c r="C30" s="135">
        <v>20</v>
      </c>
      <c r="D30" s="261">
        <f>E133</f>
        <v>59.516823470418231</v>
      </c>
      <c r="E30" s="262"/>
      <c r="F30" s="135">
        <v>100</v>
      </c>
      <c r="G30" s="263">
        <f>E135</f>
        <v>1.5027343828490922</v>
      </c>
      <c r="H30" s="264"/>
      <c r="I30" s="115"/>
      <c r="J30" s="115"/>
      <c r="K30" s="115"/>
      <c r="L30" s="115"/>
      <c r="M30" s="104"/>
      <c r="N30" s="104"/>
      <c r="O30" s="104"/>
      <c r="P30" s="102"/>
      <c r="Q30" s="102"/>
      <c r="R30" s="102"/>
      <c r="S30" s="102"/>
      <c r="T30" s="102"/>
      <c r="U30" s="102"/>
      <c r="V30" s="102"/>
      <c r="W30" s="102"/>
      <c r="X30" s="102"/>
      <c r="Y30" s="102"/>
      <c r="Z30" s="102"/>
    </row>
    <row r="31" spans="1:26">
      <c r="A31" s="117"/>
      <c r="B31" s="121" t="s">
        <v>22</v>
      </c>
      <c r="C31" s="131" t="s">
        <v>38</v>
      </c>
      <c r="D31" s="217" t="s">
        <v>38</v>
      </c>
      <c r="E31" s="218"/>
      <c r="F31" s="131" t="s">
        <v>38</v>
      </c>
      <c r="G31" s="204" t="s">
        <v>23</v>
      </c>
      <c r="H31" s="206"/>
      <c r="I31" s="115"/>
      <c r="J31" s="115"/>
      <c r="K31" s="115"/>
      <c r="L31" s="115"/>
      <c r="M31" s="104"/>
      <c r="N31" s="104"/>
      <c r="O31" s="104"/>
      <c r="P31" s="102"/>
      <c r="Q31" s="102"/>
      <c r="R31" s="102"/>
      <c r="S31" s="102"/>
      <c r="T31" s="102"/>
      <c r="U31" s="102"/>
      <c r="V31" s="102"/>
      <c r="W31" s="102"/>
      <c r="X31" s="102"/>
      <c r="Y31" s="102"/>
      <c r="Z31" s="102"/>
    </row>
    <row r="32" spans="1:26">
      <c r="A32" s="117"/>
      <c r="B32" s="126"/>
      <c r="C32" s="133"/>
      <c r="D32" s="133"/>
      <c r="E32" s="125"/>
      <c r="F32" s="133"/>
      <c r="G32" s="134"/>
      <c r="H32" s="115"/>
      <c r="I32" s="115"/>
      <c r="J32" s="115"/>
      <c r="K32" s="115"/>
      <c r="L32" s="115"/>
      <c r="M32" s="104"/>
      <c r="N32" s="104"/>
      <c r="O32" s="104"/>
      <c r="P32" s="102"/>
      <c r="Q32" s="102"/>
      <c r="R32" s="102"/>
      <c r="S32" s="102"/>
      <c r="T32" s="102"/>
      <c r="U32" s="102"/>
      <c r="V32" s="102"/>
      <c r="W32" s="102"/>
      <c r="X32" s="102"/>
      <c r="Y32" s="102"/>
      <c r="Z32" s="102"/>
    </row>
    <row r="33" spans="1:26">
      <c r="A33" s="117"/>
      <c r="B33" s="126"/>
      <c r="C33" s="133"/>
      <c r="D33" s="133"/>
      <c r="E33" s="125"/>
      <c r="F33" s="133"/>
      <c r="G33" s="115"/>
      <c r="H33" s="115"/>
      <c r="I33" s="115"/>
      <c r="J33" s="115"/>
      <c r="K33" s="115"/>
      <c r="L33" s="115"/>
      <c r="M33" s="104"/>
      <c r="N33" s="104"/>
      <c r="O33" s="104"/>
      <c r="P33" s="102"/>
      <c r="Q33" s="102"/>
      <c r="R33" s="102"/>
      <c r="S33" s="102"/>
      <c r="T33" s="102"/>
      <c r="U33" s="102"/>
      <c r="V33" s="102"/>
      <c r="W33" s="102"/>
      <c r="X33" s="102"/>
      <c r="Y33" s="102"/>
      <c r="Z33" s="102"/>
    </row>
    <row r="34" spans="1:26">
      <c r="A34" s="117"/>
      <c r="B34" s="126"/>
      <c r="C34" s="133"/>
      <c r="D34" s="133"/>
      <c r="E34" s="125"/>
      <c r="F34" s="133"/>
      <c r="G34" s="115"/>
      <c r="H34" s="115"/>
      <c r="I34" s="115"/>
      <c r="J34" s="115"/>
      <c r="K34" s="115"/>
      <c r="L34" s="115"/>
      <c r="M34" s="104"/>
      <c r="N34" s="104"/>
      <c r="O34" s="104"/>
      <c r="P34" s="102"/>
      <c r="Q34" s="102"/>
      <c r="R34" s="102"/>
      <c r="S34" s="102"/>
      <c r="T34" s="102"/>
      <c r="U34" s="102"/>
      <c r="V34" s="102"/>
      <c r="W34" s="102"/>
      <c r="X34" s="102"/>
      <c r="Y34" s="102"/>
      <c r="Z34" s="102"/>
    </row>
    <row r="35" spans="1:26">
      <c r="A35" s="117"/>
      <c r="B35" s="19" t="s">
        <v>16</v>
      </c>
      <c r="C35" s="133"/>
      <c r="D35" s="133"/>
      <c r="E35" s="125"/>
      <c r="F35" s="133"/>
      <c r="G35" s="115"/>
      <c r="H35" s="115"/>
      <c r="I35" s="115"/>
      <c r="J35" s="115"/>
      <c r="K35" s="115"/>
      <c r="L35" s="115"/>
      <c r="M35" s="104"/>
      <c r="N35" s="104"/>
      <c r="O35" s="104"/>
      <c r="P35" s="102"/>
      <c r="Q35" s="102"/>
      <c r="R35" s="102"/>
      <c r="S35" s="102"/>
      <c r="T35" s="102"/>
      <c r="U35" s="102"/>
      <c r="V35" s="102"/>
      <c r="W35" s="102"/>
      <c r="X35" s="102"/>
      <c r="Y35" s="102"/>
      <c r="Z35" s="102"/>
    </row>
    <row r="36" spans="1:26" ht="14.25">
      <c r="A36" s="117"/>
      <c r="B36" s="5" t="s">
        <v>187</v>
      </c>
      <c r="C36" s="125"/>
      <c r="D36" s="125"/>
      <c r="E36" s="125"/>
      <c r="F36" s="137"/>
      <c r="G36" s="137"/>
      <c r="H36" s="137"/>
      <c r="I36" s="10"/>
      <c r="J36" s="115"/>
      <c r="K36" s="115"/>
      <c r="L36" s="115"/>
      <c r="M36" s="104"/>
      <c r="N36" s="104"/>
      <c r="O36" s="104"/>
      <c r="P36" s="102"/>
      <c r="Q36" s="102"/>
      <c r="R36" s="102"/>
      <c r="S36" s="102"/>
      <c r="T36" s="102"/>
      <c r="U36" s="102"/>
      <c r="V36" s="102"/>
      <c r="W36" s="102"/>
      <c r="X36" s="102"/>
      <c r="Y36" s="102"/>
      <c r="Z36" s="102"/>
    </row>
    <row r="37" spans="1:26">
      <c r="A37" s="117"/>
      <c r="B37" s="136"/>
      <c r="C37" s="99" t="s">
        <v>108</v>
      </c>
      <c r="D37" s="108"/>
      <c r="E37" s="102"/>
      <c r="F37" s="102"/>
      <c r="G37" s="102"/>
      <c r="H37" s="102"/>
      <c r="I37" s="108"/>
      <c r="J37" s="108"/>
      <c r="K37" s="102"/>
      <c r="L37" s="138"/>
      <c r="M37" s="104"/>
      <c r="N37" s="104"/>
      <c r="O37" s="104"/>
      <c r="P37" s="102"/>
      <c r="Q37" s="102"/>
      <c r="R37" s="102"/>
      <c r="S37" s="102"/>
      <c r="T37" s="102"/>
      <c r="U37" s="102"/>
      <c r="V37" s="102"/>
      <c r="W37" s="102"/>
      <c r="X37" s="102"/>
      <c r="Y37" s="102"/>
      <c r="Z37" s="102"/>
    </row>
    <row r="38" spans="1:26">
      <c r="A38" s="117"/>
      <c r="B38" s="121" t="s">
        <v>34</v>
      </c>
      <c r="C38" s="100">
        <v>1320</v>
      </c>
      <c r="D38" s="108"/>
      <c r="E38" s="102"/>
      <c r="F38" s="102"/>
      <c r="G38" s="102"/>
      <c r="H38" s="102"/>
      <c r="I38" s="108"/>
      <c r="J38" s="108"/>
      <c r="K38" s="102"/>
      <c r="L38" s="138"/>
      <c r="M38" s="104"/>
      <c r="N38" s="104"/>
      <c r="O38" s="104"/>
      <c r="P38" s="102"/>
      <c r="Q38" s="102"/>
      <c r="R38" s="102"/>
      <c r="S38" s="102"/>
      <c r="T38" s="102"/>
      <c r="U38" s="102"/>
      <c r="V38" s="102"/>
      <c r="W38" s="102"/>
      <c r="X38" s="102"/>
      <c r="Y38" s="102"/>
      <c r="Z38" s="102"/>
    </row>
    <row r="39" spans="1:26">
      <c r="A39" s="117"/>
      <c r="B39" s="121" t="s">
        <v>22</v>
      </c>
      <c r="C39" s="131" t="s">
        <v>39</v>
      </c>
      <c r="D39" s="108"/>
      <c r="E39" s="102"/>
      <c r="F39" s="102"/>
      <c r="G39" s="102"/>
      <c r="H39" s="102"/>
      <c r="I39" s="108"/>
      <c r="J39" s="108"/>
      <c r="K39" s="102"/>
      <c r="L39" s="133"/>
      <c r="M39" s="104"/>
      <c r="N39" s="104"/>
      <c r="O39" s="104"/>
      <c r="P39" s="102"/>
      <c r="Q39" s="102"/>
      <c r="R39" s="102"/>
      <c r="S39" s="102"/>
      <c r="T39" s="102"/>
      <c r="U39" s="102"/>
      <c r="V39" s="102"/>
      <c r="W39" s="102"/>
      <c r="X39" s="102"/>
      <c r="Y39" s="102"/>
      <c r="Z39" s="102"/>
    </row>
    <row r="40" spans="1:26">
      <c r="A40" s="117"/>
      <c r="B40" s="5" t="s">
        <v>9</v>
      </c>
      <c r="D40" s="102"/>
      <c r="E40" s="102"/>
      <c r="F40" s="102"/>
      <c r="G40" s="102"/>
      <c r="I40" s="125"/>
      <c r="J40" s="125"/>
      <c r="K40" s="125"/>
      <c r="L40" s="115"/>
      <c r="M40" s="104"/>
      <c r="N40" s="104"/>
      <c r="O40" s="104"/>
      <c r="P40" s="102"/>
      <c r="Q40" s="102"/>
      <c r="R40" s="102"/>
      <c r="S40" s="102"/>
      <c r="T40" s="102"/>
      <c r="U40" s="102"/>
      <c r="V40" s="102"/>
      <c r="W40" s="102"/>
      <c r="X40" s="102"/>
      <c r="Y40" s="102"/>
      <c r="Z40" s="102"/>
    </row>
    <row r="41" spans="1:26" ht="14.25">
      <c r="A41" s="117"/>
      <c r="B41" s="136"/>
      <c r="C41" s="190" t="s">
        <v>218</v>
      </c>
      <c r="D41" s="192"/>
      <c r="E41" s="191"/>
      <c r="F41" s="190" t="s">
        <v>219</v>
      </c>
      <c r="G41" s="192"/>
      <c r="H41" s="191"/>
      <c r="I41" s="121" t="s">
        <v>40</v>
      </c>
      <c r="J41" s="108"/>
      <c r="K41" s="102"/>
      <c r="L41" s="115"/>
      <c r="M41" s="104"/>
      <c r="N41" s="104"/>
      <c r="O41" s="104"/>
      <c r="P41" s="102"/>
      <c r="Q41" s="102"/>
      <c r="R41" s="102"/>
      <c r="S41" s="102"/>
      <c r="T41" s="102"/>
      <c r="U41" s="102"/>
      <c r="V41" s="102"/>
      <c r="W41" s="102"/>
      <c r="X41" s="102"/>
      <c r="Y41" s="102"/>
      <c r="Z41" s="102"/>
    </row>
    <row r="42" spans="1:26">
      <c r="A42" s="117"/>
      <c r="B42" s="121" t="s">
        <v>34</v>
      </c>
      <c r="C42" s="194" t="str">
        <f>"More than "&amp;TEXT(E161,"#.0")</f>
        <v>More than .9</v>
      </c>
      <c r="D42" s="195"/>
      <c r="E42" s="196"/>
      <c r="F42" s="194" t="str">
        <f>"More than "&amp;TEXT(E98,"#.0")</f>
        <v>More than 4.0</v>
      </c>
      <c r="G42" s="195"/>
      <c r="H42" s="196"/>
      <c r="I42" s="123">
        <v>1.5</v>
      </c>
      <c r="J42" s="108"/>
      <c r="K42" s="102"/>
      <c r="L42" s="115"/>
      <c r="M42" s="104"/>
      <c r="N42" s="104"/>
      <c r="O42" s="104"/>
      <c r="P42" s="102"/>
      <c r="Q42" s="102"/>
      <c r="R42" s="102"/>
      <c r="S42" s="102"/>
      <c r="T42" s="102"/>
      <c r="U42" s="102"/>
      <c r="V42" s="102"/>
      <c r="W42" s="102"/>
      <c r="X42" s="102"/>
      <c r="Y42" s="102"/>
      <c r="Z42" s="102"/>
    </row>
    <row r="43" spans="1:26">
      <c r="A43" s="117"/>
      <c r="B43" s="121" t="s">
        <v>22</v>
      </c>
      <c r="C43" s="189" t="s">
        <v>43</v>
      </c>
      <c r="D43" s="193"/>
      <c r="E43" s="191"/>
      <c r="F43" s="189" t="s">
        <v>43</v>
      </c>
      <c r="G43" s="193"/>
      <c r="H43" s="191"/>
      <c r="I43" s="131" t="s">
        <v>41</v>
      </c>
      <c r="J43" s="108"/>
      <c r="K43" s="102"/>
      <c r="L43" s="115"/>
      <c r="M43" s="104"/>
      <c r="N43" s="104"/>
      <c r="O43" s="104"/>
      <c r="P43" s="102"/>
      <c r="Q43" s="102"/>
      <c r="R43" s="102"/>
      <c r="S43" s="102"/>
      <c r="T43" s="102"/>
      <c r="U43" s="102"/>
      <c r="V43" s="102"/>
      <c r="W43" s="102"/>
      <c r="X43" s="102"/>
      <c r="Y43" s="102"/>
      <c r="Z43" s="102"/>
    </row>
    <row r="44" spans="1:26">
      <c r="A44" s="117"/>
      <c r="B44" s="126" t="s">
        <v>208</v>
      </c>
      <c r="C44" s="197" t="s">
        <v>223</v>
      </c>
      <c r="D44" s="133"/>
      <c r="E44" s="125"/>
      <c r="F44" s="133"/>
      <c r="G44" s="115"/>
      <c r="H44" s="115"/>
      <c r="I44" s="115"/>
      <c r="J44" s="115"/>
      <c r="K44" s="115"/>
      <c r="L44" s="115"/>
      <c r="M44" s="104"/>
      <c r="N44" s="104"/>
      <c r="O44" s="104"/>
      <c r="P44" s="102"/>
      <c r="Q44" s="102"/>
      <c r="R44" s="102"/>
      <c r="S44" s="102"/>
      <c r="T44" s="102"/>
      <c r="U44" s="102"/>
      <c r="V44" s="102"/>
      <c r="W44" s="102"/>
      <c r="X44" s="102"/>
      <c r="Y44" s="102"/>
      <c r="Z44" s="102"/>
    </row>
    <row r="45" spans="1:26">
      <c r="A45" s="117"/>
      <c r="B45" s="126"/>
      <c r="C45" s="133"/>
      <c r="D45" s="133"/>
      <c r="E45" s="125"/>
      <c r="F45" s="133"/>
      <c r="G45" s="115"/>
      <c r="H45" s="102"/>
      <c r="I45" s="102"/>
      <c r="J45" s="102"/>
      <c r="K45" s="115"/>
      <c r="L45" s="115"/>
      <c r="M45" s="104"/>
      <c r="N45" s="104"/>
      <c r="O45" s="104"/>
      <c r="P45" s="102"/>
      <c r="Q45" s="102"/>
      <c r="R45" s="102"/>
      <c r="S45" s="102"/>
      <c r="T45" s="102"/>
      <c r="U45" s="102"/>
      <c r="V45" s="102"/>
      <c r="W45" s="102"/>
      <c r="X45" s="102"/>
      <c r="Y45" s="102"/>
      <c r="Z45" s="102"/>
    </row>
    <row r="46" spans="1:26">
      <c r="A46" s="117"/>
      <c r="B46" s="126"/>
      <c r="C46" s="133"/>
      <c r="D46" s="133"/>
      <c r="E46" s="125"/>
      <c r="F46" s="133"/>
      <c r="G46" s="115"/>
      <c r="H46" s="102"/>
      <c r="I46" s="102"/>
      <c r="J46" s="102"/>
      <c r="K46" s="115"/>
      <c r="L46" s="115"/>
      <c r="M46" s="104"/>
      <c r="N46" s="104"/>
      <c r="O46" s="104"/>
      <c r="P46" s="102"/>
      <c r="Q46" s="102"/>
      <c r="R46" s="102"/>
      <c r="S46" s="102"/>
      <c r="T46" s="102"/>
      <c r="U46" s="102"/>
      <c r="V46" s="102"/>
      <c r="W46" s="102"/>
      <c r="X46" s="102"/>
      <c r="Y46" s="102"/>
      <c r="Z46" s="102"/>
    </row>
    <row r="47" spans="1:26">
      <c r="A47" s="117"/>
      <c r="B47" s="126"/>
      <c r="C47" s="133"/>
      <c r="D47" s="133"/>
      <c r="E47" s="125"/>
      <c r="F47" s="133"/>
      <c r="G47" s="115"/>
      <c r="H47" s="102"/>
      <c r="I47" s="102"/>
      <c r="J47" s="102"/>
      <c r="K47" s="115"/>
      <c r="L47" s="115"/>
      <c r="M47" s="104"/>
      <c r="N47" s="104"/>
      <c r="O47" s="104"/>
      <c r="P47" s="102"/>
      <c r="Q47" s="102"/>
      <c r="R47" s="102"/>
      <c r="S47" s="102"/>
      <c r="T47" s="102"/>
      <c r="U47" s="102"/>
      <c r="V47" s="102"/>
      <c r="W47" s="102"/>
      <c r="X47" s="102"/>
      <c r="Y47" s="102"/>
      <c r="Z47" s="102"/>
    </row>
    <row r="48" spans="1:26">
      <c r="A48" s="117"/>
      <c r="B48" s="126"/>
      <c r="C48" s="133"/>
      <c r="D48" s="133"/>
      <c r="E48" s="125"/>
      <c r="F48" s="133"/>
      <c r="G48" s="115"/>
      <c r="H48" s="115"/>
      <c r="I48" s="115"/>
      <c r="J48" s="115"/>
      <c r="K48" s="115"/>
      <c r="L48" s="115"/>
      <c r="M48" s="104"/>
      <c r="N48" s="104"/>
      <c r="O48" s="104"/>
      <c r="P48" s="102"/>
      <c r="Q48" s="102"/>
      <c r="R48" s="102"/>
      <c r="S48" s="102"/>
      <c r="T48" s="102"/>
      <c r="U48" s="102"/>
      <c r="V48" s="102"/>
      <c r="W48" s="102"/>
      <c r="X48" s="102"/>
      <c r="Y48" s="102"/>
      <c r="Z48" s="102"/>
    </row>
    <row r="49" spans="1:26" ht="14.25">
      <c r="A49" s="117"/>
      <c r="B49" s="126"/>
      <c r="C49" s="291" t="s">
        <v>177</v>
      </c>
      <c r="D49" s="291"/>
      <c r="E49" s="173" t="s">
        <v>175</v>
      </c>
      <c r="F49" s="102"/>
      <c r="G49" s="204" t="s">
        <v>220</v>
      </c>
      <c r="H49" s="205"/>
      <c r="I49" s="206"/>
      <c r="J49" s="102"/>
      <c r="K49" s="102"/>
      <c r="L49" s="102"/>
      <c r="M49" s="104"/>
      <c r="N49" s="104"/>
      <c r="O49" s="104"/>
      <c r="P49" s="102"/>
      <c r="Q49" s="102"/>
      <c r="R49" s="102"/>
      <c r="S49" s="102"/>
      <c r="T49" s="102"/>
      <c r="U49" s="102"/>
      <c r="V49" s="102"/>
      <c r="W49" s="102"/>
      <c r="X49" s="102"/>
      <c r="Y49" s="102"/>
      <c r="Z49" s="102"/>
    </row>
    <row r="50" spans="1:26" ht="14.25">
      <c r="A50" s="117"/>
      <c r="B50" s="126"/>
      <c r="C50" s="292">
        <f>E139</f>
        <v>80.38128438984613</v>
      </c>
      <c r="D50" s="292"/>
      <c r="E50" s="174">
        <f>E138</f>
        <v>133.33333333333334</v>
      </c>
      <c r="F50" s="102"/>
      <c r="G50" s="210">
        <f>C24*I42/(E24*H24*0.001)</f>
        <v>7.444852941176471</v>
      </c>
      <c r="H50" s="211"/>
      <c r="I50" s="212"/>
      <c r="J50" s="102"/>
      <c r="K50" s="102"/>
      <c r="L50" s="102"/>
      <c r="M50" s="104"/>
      <c r="N50" s="104"/>
      <c r="O50" s="104"/>
      <c r="P50" s="102"/>
      <c r="Q50" s="102"/>
      <c r="R50" s="102"/>
      <c r="S50" s="102"/>
      <c r="T50" s="102"/>
      <c r="U50" s="102"/>
      <c r="V50" s="102"/>
      <c r="W50" s="102"/>
      <c r="X50" s="102"/>
      <c r="Y50" s="102"/>
      <c r="Z50" s="102"/>
    </row>
    <row r="51" spans="1:26" ht="14.25">
      <c r="A51" s="117"/>
      <c r="B51" s="126"/>
      <c r="C51" s="217" t="s">
        <v>173</v>
      </c>
      <c r="D51" s="218"/>
      <c r="E51" s="173" t="s">
        <v>173</v>
      </c>
      <c r="F51" s="102"/>
      <c r="G51" s="207" t="s">
        <v>221</v>
      </c>
      <c r="H51" s="208"/>
      <c r="I51" s="209"/>
      <c r="J51" s="102"/>
      <c r="K51" s="102"/>
      <c r="L51" s="115"/>
      <c r="M51" s="104"/>
      <c r="N51" s="104"/>
      <c r="O51" s="104"/>
      <c r="P51" s="102"/>
      <c r="Q51" s="102"/>
      <c r="R51" s="102"/>
      <c r="S51" s="102"/>
      <c r="T51" s="102"/>
      <c r="U51" s="102"/>
      <c r="V51" s="102"/>
      <c r="W51" s="102"/>
      <c r="X51" s="102"/>
      <c r="Y51" s="102"/>
      <c r="Z51" s="102"/>
    </row>
    <row r="52" spans="1:26">
      <c r="A52" s="117"/>
      <c r="B52" s="126"/>
      <c r="C52" s="133"/>
      <c r="D52" s="133"/>
      <c r="E52" s="125"/>
      <c r="F52" s="133"/>
      <c r="G52" s="115"/>
      <c r="H52" s="115"/>
      <c r="I52" s="115"/>
      <c r="J52" s="115"/>
      <c r="K52" s="115"/>
      <c r="L52" s="115"/>
      <c r="M52" s="104"/>
      <c r="N52" s="104"/>
      <c r="O52" s="104"/>
      <c r="P52" s="102"/>
      <c r="Q52" s="102"/>
      <c r="R52" s="102"/>
      <c r="S52" s="102"/>
      <c r="T52" s="102"/>
      <c r="U52" s="102"/>
      <c r="V52" s="102"/>
      <c r="W52" s="102"/>
      <c r="X52" s="102"/>
      <c r="Y52" s="102"/>
      <c r="Z52" s="102"/>
    </row>
    <row r="53" spans="1:26">
      <c r="A53" s="117"/>
      <c r="B53" s="29" t="s">
        <v>4</v>
      </c>
      <c r="C53" s="133"/>
      <c r="D53" s="133"/>
      <c r="E53" s="125"/>
      <c r="F53" s="133"/>
      <c r="G53" s="115"/>
      <c r="H53" s="115"/>
      <c r="I53" s="115"/>
      <c r="J53" s="115"/>
      <c r="K53" s="115"/>
      <c r="L53" s="115"/>
      <c r="M53" s="104"/>
      <c r="N53" s="104"/>
      <c r="O53" s="104"/>
      <c r="P53" s="102"/>
      <c r="Q53" s="102"/>
      <c r="R53" s="102"/>
      <c r="S53" s="102"/>
      <c r="T53" s="102"/>
      <c r="U53" s="102"/>
      <c r="V53" s="102"/>
      <c r="W53" s="102"/>
      <c r="X53" s="102"/>
      <c r="Y53" s="102"/>
      <c r="Z53" s="102"/>
    </row>
    <row r="54" spans="1:26">
      <c r="A54" s="117"/>
      <c r="B54" s="5" t="s">
        <v>10</v>
      </c>
      <c r="C54" s="115"/>
      <c r="D54" s="139"/>
      <c r="E54" s="115"/>
      <c r="F54" s="115"/>
      <c r="G54" s="115"/>
      <c r="H54" s="140"/>
      <c r="I54" s="115"/>
      <c r="J54" s="139"/>
      <c r="K54" s="115"/>
      <c r="L54" s="141"/>
      <c r="M54" s="104"/>
      <c r="N54" s="104"/>
      <c r="O54" s="104"/>
      <c r="P54" s="102"/>
      <c r="Q54" s="102"/>
      <c r="R54" s="102"/>
      <c r="S54" s="102"/>
      <c r="T54" s="102"/>
      <c r="U54" s="102"/>
      <c r="V54" s="102"/>
      <c r="W54" s="102"/>
      <c r="X54" s="102"/>
      <c r="Y54" s="102"/>
      <c r="Z54" s="102"/>
    </row>
    <row r="55" spans="1:26" ht="14.25" customHeight="1">
      <c r="A55" s="117"/>
      <c r="B55" s="265" t="s">
        <v>42</v>
      </c>
      <c r="C55" s="161" t="s">
        <v>155</v>
      </c>
      <c r="D55" s="267" t="s">
        <v>156</v>
      </c>
      <c r="E55" s="268"/>
      <c r="F55" s="268"/>
      <c r="G55" s="268"/>
      <c r="H55" s="269"/>
      <c r="I55" s="161" t="s">
        <v>153</v>
      </c>
      <c r="J55" s="102"/>
      <c r="K55" s="141"/>
      <c r="L55" s="115"/>
      <c r="M55" s="104"/>
      <c r="N55" s="104"/>
      <c r="O55" s="104"/>
      <c r="P55" s="102"/>
      <c r="Q55" s="102"/>
      <c r="R55" s="102"/>
      <c r="S55" s="102"/>
      <c r="T55" s="102"/>
      <c r="U55" s="102"/>
      <c r="V55" s="102"/>
      <c r="W55" s="102"/>
      <c r="X55" s="102"/>
      <c r="Y55" s="102"/>
      <c r="Z55" s="102"/>
    </row>
    <row r="56" spans="1:26" ht="14.25">
      <c r="A56" s="117"/>
      <c r="B56" s="266"/>
      <c r="C56" s="172" t="s">
        <v>157</v>
      </c>
      <c r="D56" s="142" t="s">
        <v>26</v>
      </c>
      <c r="E56" s="142" t="s">
        <v>101</v>
      </c>
      <c r="F56" s="142" t="s">
        <v>158</v>
      </c>
      <c r="G56" s="164" t="s">
        <v>159</v>
      </c>
      <c r="H56" s="142" t="s">
        <v>210</v>
      </c>
      <c r="I56" s="162" t="s">
        <v>154</v>
      </c>
      <c r="J56" s="102"/>
      <c r="K56" s="141"/>
      <c r="L56" s="115"/>
      <c r="M56" s="104"/>
      <c r="N56" s="104"/>
      <c r="O56" s="104"/>
      <c r="P56" s="102"/>
      <c r="Q56" s="102"/>
      <c r="R56" s="102"/>
      <c r="S56" s="102"/>
      <c r="T56" s="102"/>
      <c r="U56" s="102"/>
      <c r="V56" s="102"/>
      <c r="W56" s="102"/>
      <c r="X56" s="102"/>
      <c r="Y56" s="102"/>
      <c r="Z56" s="102"/>
    </row>
    <row r="57" spans="1:26">
      <c r="A57" s="117"/>
      <c r="B57" s="121" t="s">
        <v>34</v>
      </c>
      <c r="C57" s="144">
        <v>5</v>
      </c>
      <c r="D57" s="184">
        <f>E57^2/F57</f>
        <v>1.5750000000000002</v>
      </c>
      <c r="E57" s="144">
        <v>2.1</v>
      </c>
      <c r="F57" s="144">
        <v>2.8</v>
      </c>
      <c r="G57" s="1">
        <v>1</v>
      </c>
      <c r="H57" s="144">
        <v>1.22</v>
      </c>
      <c r="I57" s="144">
        <v>1.75</v>
      </c>
      <c r="J57" s="102"/>
      <c r="K57" s="141"/>
      <c r="L57" s="115"/>
      <c r="M57" s="104"/>
      <c r="N57" s="104"/>
      <c r="O57" s="104"/>
      <c r="P57" s="102"/>
      <c r="Q57" s="102"/>
      <c r="R57" s="102"/>
      <c r="S57" s="102"/>
      <c r="T57" s="102"/>
      <c r="U57" s="102"/>
      <c r="V57" s="102"/>
      <c r="W57" s="102"/>
      <c r="X57" s="102"/>
      <c r="Y57" s="102"/>
      <c r="Z57" s="102"/>
    </row>
    <row r="58" spans="1:26">
      <c r="A58" s="117"/>
      <c r="B58" s="121" t="s">
        <v>22</v>
      </c>
      <c r="C58" s="121" t="s">
        <v>43</v>
      </c>
      <c r="D58" s="121" t="s">
        <v>43</v>
      </c>
      <c r="E58" s="121" t="s">
        <v>43</v>
      </c>
      <c r="F58" s="121" t="s">
        <v>43</v>
      </c>
      <c r="G58" s="121" t="s">
        <v>44</v>
      </c>
      <c r="H58" s="121" t="s">
        <v>44</v>
      </c>
      <c r="I58" s="121" t="s">
        <v>43</v>
      </c>
      <c r="J58" s="102"/>
      <c r="K58" s="141"/>
      <c r="L58" s="115"/>
      <c r="M58" s="104"/>
      <c r="N58" s="104"/>
      <c r="O58" s="104"/>
      <c r="P58" s="102"/>
      <c r="Q58" s="102"/>
      <c r="R58" s="102"/>
      <c r="S58" s="102"/>
      <c r="T58" s="102"/>
      <c r="U58" s="102"/>
      <c r="V58" s="102"/>
      <c r="W58" s="102"/>
      <c r="X58" s="102"/>
      <c r="Y58" s="102"/>
      <c r="Z58" s="102"/>
    </row>
    <row r="59" spans="1:26">
      <c r="A59" s="117"/>
      <c r="B59" s="146" t="s">
        <v>211</v>
      </c>
      <c r="C59" s="125"/>
      <c r="D59" s="125"/>
      <c r="E59" s="125"/>
      <c r="F59" s="125"/>
      <c r="G59" s="125"/>
      <c r="H59" s="124"/>
      <c r="I59" s="115"/>
      <c r="J59" s="115"/>
      <c r="K59" s="115"/>
      <c r="L59" s="141"/>
      <c r="M59" s="104"/>
      <c r="N59" s="104"/>
      <c r="O59" s="104"/>
      <c r="P59" s="102"/>
      <c r="Q59" s="102"/>
      <c r="R59" s="102"/>
      <c r="S59" s="102"/>
      <c r="T59" s="102"/>
      <c r="U59" s="102"/>
      <c r="V59" s="102"/>
      <c r="W59" s="102"/>
      <c r="X59" s="102"/>
      <c r="Y59" s="102"/>
      <c r="Z59" s="102"/>
    </row>
    <row r="60" spans="1:26">
      <c r="A60" s="117"/>
      <c r="B60" s="5" t="s">
        <v>11</v>
      </c>
      <c r="C60" s="125"/>
      <c r="D60" s="125"/>
      <c r="E60" s="125"/>
      <c r="F60" s="125"/>
      <c r="G60" s="125"/>
      <c r="H60" s="140"/>
      <c r="I60" s="115"/>
      <c r="J60" s="139"/>
      <c r="K60" s="115"/>
      <c r="L60" s="141"/>
      <c r="M60" s="104"/>
      <c r="N60" s="104"/>
      <c r="O60" s="104"/>
      <c r="P60" s="102"/>
      <c r="Q60" s="102"/>
      <c r="R60" s="102"/>
      <c r="S60" s="102"/>
      <c r="T60" s="102"/>
      <c r="U60" s="102"/>
      <c r="V60" s="102"/>
      <c r="W60" s="102"/>
      <c r="X60" s="102"/>
      <c r="Y60" s="102"/>
      <c r="Z60" s="102"/>
    </row>
    <row r="61" spans="1:26" ht="14.25">
      <c r="A61" s="117"/>
      <c r="B61" s="136"/>
      <c r="C61" s="204" t="s">
        <v>136</v>
      </c>
      <c r="D61" s="206"/>
      <c r="E61" s="121" t="s">
        <v>45</v>
      </c>
      <c r="F61" s="125"/>
      <c r="G61" s="125"/>
      <c r="H61" s="143"/>
      <c r="I61" s="203"/>
      <c r="J61" s="203"/>
      <c r="K61" s="147"/>
      <c r="L61" s="10"/>
      <c r="M61" s="104"/>
      <c r="N61" s="104"/>
      <c r="O61" s="104"/>
      <c r="P61" s="102"/>
      <c r="Q61" s="102"/>
      <c r="R61" s="102"/>
      <c r="S61" s="102"/>
      <c r="T61" s="102"/>
      <c r="U61" s="102"/>
      <c r="V61" s="102"/>
      <c r="W61" s="102"/>
      <c r="X61" s="102"/>
      <c r="Y61" s="102"/>
      <c r="Z61" s="102"/>
    </row>
    <row r="62" spans="1:26" ht="14.25">
      <c r="A62" s="117"/>
      <c r="B62" s="121" t="s">
        <v>34</v>
      </c>
      <c r="C62" s="261" t="str">
        <f>"More than "&amp;TEXT(I103,"#.0")</f>
        <v>More than 6.7</v>
      </c>
      <c r="D62" s="262"/>
      <c r="E62" s="129">
        <v>39</v>
      </c>
      <c r="F62" s="124"/>
      <c r="G62" s="124"/>
      <c r="H62" s="145"/>
      <c r="I62" s="293"/>
      <c r="J62" s="293"/>
      <c r="K62" s="148"/>
      <c r="L62" s="10"/>
      <c r="M62" s="104"/>
      <c r="N62" s="104"/>
      <c r="O62" s="104"/>
      <c r="P62" s="102"/>
      <c r="Q62" s="102"/>
      <c r="R62" s="102"/>
      <c r="S62" s="102"/>
      <c r="T62" s="102"/>
      <c r="U62" s="102"/>
      <c r="V62" s="102"/>
      <c r="W62" s="102"/>
      <c r="X62" s="102"/>
      <c r="Y62" s="102"/>
      <c r="Z62" s="102"/>
    </row>
    <row r="63" spans="1:26">
      <c r="A63" s="117"/>
      <c r="B63" s="121" t="s">
        <v>22</v>
      </c>
      <c r="C63" s="217" t="s">
        <v>46</v>
      </c>
      <c r="D63" s="218"/>
      <c r="E63" s="131" t="s">
        <v>46</v>
      </c>
      <c r="F63" s="133"/>
      <c r="G63" s="133"/>
      <c r="H63" s="126"/>
      <c r="I63" s="203"/>
      <c r="J63" s="203"/>
      <c r="K63" s="125"/>
      <c r="L63" s="115"/>
      <c r="M63" s="104"/>
      <c r="N63" s="104"/>
      <c r="O63" s="104"/>
      <c r="P63" s="102"/>
      <c r="Q63" s="102"/>
      <c r="R63" s="102"/>
      <c r="S63" s="102"/>
      <c r="T63" s="102"/>
      <c r="U63" s="102"/>
      <c r="V63" s="102"/>
      <c r="W63" s="102"/>
      <c r="X63" s="102"/>
      <c r="Y63" s="102"/>
      <c r="Z63" s="102"/>
    </row>
    <row r="64" spans="1:26">
      <c r="A64" s="117"/>
      <c r="B64" s="5" t="s">
        <v>12</v>
      </c>
      <c r="C64" s="124"/>
      <c r="D64" s="124"/>
      <c r="E64" s="115"/>
      <c r="F64" s="115"/>
      <c r="G64" s="124"/>
      <c r="H64" s="140"/>
      <c r="I64" s="124"/>
      <c r="J64" s="124"/>
      <c r="K64" s="115"/>
      <c r="L64" s="115"/>
      <c r="M64" s="104"/>
      <c r="N64" s="104"/>
      <c r="O64" s="104"/>
      <c r="P64" s="102"/>
      <c r="Q64" s="102"/>
      <c r="R64" s="102"/>
      <c r="S64" s="102"/>
      <c r="T64" s="102"/>
      <c r="U64" s="102"/>
      <c r="V64" s="102"/>
      <c r="W64" s="102"/>
      <c r="X64" s="102"/>
      <c r="Y64" s="102"/>
      <c r="Z64" s="102"/>
    </row>
    <row r="65" spans="1:26" ht="14.25">
      <c r="A65" s="117"/>
      <c r="B65" s="244"/>
      <c r="C65" s="204" t="s">
        <v>137</v>
      </c>
      <c r="D65" s="205"/>
      <c r="E65" s="205"/>
      <c r="F65" s="206"/>
      <c r="G65" s="10"/>
      <c r="H65" s="146"/>
      <c r="I65" s="141"/>
      <c r="J65" s="141"/>
      <c r="K65" s="141"/>
      <c r="L65" s="141"/>
      <c r="M65" s="104"/>
      <c r="N65" s="104"/>
      <c r="O65" s="104"/>
      <c r="P65" s="102"/>
      <c r="Q65" s="102"/>
      <c r="R65" s="102"/>
      <c r="S65" s="102"/>
      <c r="T65" s="102"/>
      <c r="U65" s="102"/>
      <c r="V65" s="102"/>
      <c r="W65" s="102"/>
      <c r="X65" s="102"/>
      <c r="Y65" s="102"/>
      <c r="Z65" s="102"/>
    </row>
    <row r="66" spans="1:26" ht="14.25">
      <c r="A66" s="117"/>
      <c r="B66" s="245"/>
      <c r="C66" s="149" t="s">
        <v>138</v>
      </c>
      <c r="D66" s="150" t="s">
        <v>139</v>
      </c>
      <c r="E66" s="150" t="s">
        <v>140</v>
      </c>
      <c r="F66" s="150" t="s">
        <v>22</v>
      </c>
      <c r="G66" s="10"/>
      <c r="H66" s="125"/>
      <c r="I66" s="125"/>
      <c r="J66" s="125"/>
      <c r="K66" s="125"/>
      <c r="L66" s="125"/>
      <c r="M66" s="104"/>
      <c r="N66" s="104"/>
      <c r="O66" s="104"/>
      <c r="P66" s="102"/>
      <c r="Q66" s="102"/>
      <c r="R66" s="102"/>
      <c r="S66" s="102"/>
      <c r="T66" s="102"/>
      <c r="U66" s="102"/>
      <c r="V66" s="102"/>
      <c r="W66" s="102"/>
      <c r="X66" s="102"/>
      <c r="Y66" s="102"/>
      <c r="Z66" s="102"/>
    </row>
    <row r="67" spans="1:26" ht="14.25">
      <c r="A67" s="117"/>
      <c r="B67" s="97" t="s">
        <v>47</v>
      </c>
      <c r="C67" s="11">
        <f>F119</f>
        <v>24.960676492212603</v>
      </c>
      <c r="D67" s="11">
        <f>E119</f>
        <v>25.037207613680543</v>
      </c>
      <c r="E67" s="11">
        <f>G119</f>
        <v>25.099794576291998</v>
      </c>
      <c r="F67" s="151" t="s">
        <v>35</v>
      </c>
      <c r="G67" s="10"/>
      <c r="H67" s="145"/>
      <c r="I67" s="137"/>
      <c r="J67" s="137"/>
      <c r="K67" s="137"/>
      <c r="L67" s="125"/>
      <c r="M67" s="104"/>
      <c r="N67" s="104"/>
      <c r="O67" s="104"/>
      <c r="P67" s="102"/>
      <c r="Q67" s="102"/>
      <c r="R67" s="102"/>
      <c r="S67" s="102"/>
      <c r="T67" s="102"/>
      <c r="U67" s="102"/>
      <c r="V67" s="102"/>
      <c r="W67" s="102"/>
      <c r="X67" s="102"/>
      <c r="Y67" s="102"/>
      <c r="Z67" s="102"/>
    </row>
    <row r="68" spans="1:26" ht="14.25">
      <c r="A68" s="117"/>
      <c r="B68" s="97" t="s">
        <v>48</v>
      </c>
      <c r="C68" s="288">
        <f>E118</f>
        <v>48.75</v>
      </c>
      <c r="D68" s="289"/>
      <c r="E68" s="290"/>
      <c r="F68" s="151" t="s">
        <v>49</v>
      </c>
      <c r="G68" s="10"/>
      <c r="H68" s="145"/>
      <c r="I68" s="152"/>
      <c r="J68" s="152"/>
      <c r="K68" s="152"/>
      <c r="L68" s="137"/>
      <c r="M68" s="104"/>
      <c r="N68" s="104"/>
      <c r="O68" s="104"/>
      <c r="P68" s="102"/>
      <c r="Q68" s="102"/>
      <c r="R68" s="102"/>
      <c r="S68" s="102"/>
      <c r="T68" s="102"/>
      <c r="U68" s="102"/>
      <c r="V68" s="102"/>
      <c r="W68" s="102"/>
      <c r="X68" s="102"/>
      <c r="Y68" s="102"/>
      <c r="Z68" s="102"/>
    </row>
    <row r="69" spans="1:26">
      <c r="A69" s="117"/>
      <c r="B69" s="5" t="s">
        <v>13</v>
      </c>
      <c r="C69" s="115"/>
      <c r="D69" s="115"/>
      <c r="E69" s="141"/>
      <c r="F69" s="115"/>
      <c r="G69" s="115"/>
      <c r="H69" s="140"/>
      <c r="I69" s="115"/>
      <c r="J69" s="115"/>
      <c r="K69" s="141"/>
      <c r="L69" s="115"/>
      <c r="M69" s="104"/>
      <c r="N69" s="104"/>
      <c r="O69" s="104"/>
      <c r="P69" s="102"/>
      <c r="Q69" s="102"/>
      <c r="R69" s="102"/>
      <c r="S69" s="102"/>
      <c r="T69" s="102"/>
      <c r="U69" s="102"/>
      <c r="V69" s="102"/>
      <c r="W69" s="102"/>
      <c r="X69" s="102"/>
      <c r="Y69" s="102"/>
      <c r="Z69" s="102"/>
    </row>
    <row r="70" spans="1:26" ht="37.5" customHeight="1">
      <c r="A70" s="117"/>
      <c r="B70" s="244"/>
      <c r="C70" s="224" t="s">
        <v>141</v>
      </c>
      <c r="D70" s="225"/>
      <c r="E70" s="224" t="s">
        <v>142</v>
      </c>
      <c r="F70" s="225"/>
      <c r="G70" s="137"/>
      <c r="H70" s="146"/>
      <c r="I70" s="139"/>
      <c r="J70" s="139"/>
      <c r="K70" s="139"/>
      <c r="L70" s="10"/>
      <c r="M70" s="104"/>
      <c r="N70" s="104"/>
      <c r="O70" s="104"/>
      <c r="P70" s="102"/>
      <c r="Q70" s="102"/>
      <c r="R70" s="102"/>
      <c r="S70" s="102"/>
      <c r="T70" s="102"/>
      <c r="U70" s="102"/>
      <c r="V70" s="102"/>
      <c r="W70" s="102"/>
      <c r="X70" s="102"/>
      <c r="Y70" s="102"/>
      <c r="Z70" s="102"/>
    </row>
    <row r="71" spans="1:26" ht="14.25">
      <c r="A71" s="117"/>
      <c r="B71" s="245"/>
      <c r="C71" s="13" t="s">
        <v>47</v>
      </c>
      <c r="D71" s="14" t="s">
        <v>48</v>
      </c>
      <c r="E71" s="15" t="s">
        <v>47</v>
      </c>
      <c r="F71" s="14" t="s">
        <v>48</v>
      </c>
      <c r="G71" s="115"/>
      <c r="H71" s="125"/>
      <c r="I71" s="98"/>
      <c r="J71" s="98"/>
      <c r="K71" s="16"/>
      <c r="L71" s="10"/>
      <c r="M71" s="104"/>
      <c r="N71" s="104"/>
      <c r="O71" s="104"/>
      <c r="P71" s="102"/>
      <c r="Q71" s="102"/>
      <c r="R71" s="102"/>
      <c r="S71" s="102"/>
      <c r="T71" s="102"/>
      <c r="U71" s="102"/>
      <c r="V71" s="102"/>
      <c r="W71" s="102"/>
      <c r="X71" s="102"/>
      <c r="Y71" s="102"/>
      <c r="Z71" s="102"/>
    </row>
    <row r="72" spans="1:26" ht="14.25">
      <c r="A72" s="117"/>
      <c r="B72" s="121" t="s">
        <v>34</v>
      </c>
      <c r="C72" s="11">
        <f>E120</f>
        <v>16.378124016720513</v>
      </c>
      <c r="D72" s="109">
        <f>L115</f>
        <v>38.719687500000006</v>
      </c>
      <c r="E72" s="11">
        <f>E121</f>
        <v>38.313765504006383</v>
      </c>
      <c r="F72" s="109">
        <f>M116</f>
        <v>62.446312499999991</v>
      </c>
      <c r="G72" s="115"/>
      <c r="H72" s="145"/>
      <c r="I72" s="12"/>
      <c r="J72" s="12"/>
      <c r="K72" s="152"/>
      <c r="L72" s="10"/>
      <c r="M72" s="104"/>
      <c r="N72" s="104"/>
      <c r="O72" s="104"/>
      <c r="P72" s="102"/>
      <c r="Q72" s="102"/>
      <c r="R72" s="102"/>
      <c r="S72" s="102"/>
      <c r="T72" s="102"/>
      <c r="U72" s="102"/>
      <c r="V72" s="102"/>
      <c r="W72" s="102"/>
      <c r="X72" s="102"/>
      <c r="Y72" s="102"/>
      <c r="Z72" s="102"/>
    </row>
    <row r="73" spans="1:26" ht="14.25">
      <c r="A73" s="117"/>
      <c r="B73" s="150" t="s">
        <v>22</v>
      </c>
      <c r="C73" s="121" t="s">
        <v>35</v>
      </c>
      <c r="D73" s="151" t="s">
        <v>49</v>
      </c>
      <c r="E73" s="121" t="s">
        <v>35</v>
      </c>
      <c r="F73" s="151" t="s">
        <v>49</v>
      </c>
      <c r="G73" s="10"/>
      <c r="H73" s="10"/>
      <c r="I73" s="10"/>
      <c r="J73" s="10"/>
      <c r="K73" s="125"/>
      <c r="L73" s="125"/>
      <c r="M73" s="104"/>
      <c r="N73" s="104"/>
      <c r="O73" s="104"/>
      <c r="P73" s="102"/>
      <c r="Q73" s="102"/>
      <c r="R73" s="102"/>
      <c r="S73" s="102"/>
      <c r="T73" s="102"/>
      <c r="U73" s="102"/>
      <c r="V73" s="102"/>
      <c r="W73" s="102"/>
      <c r="X73" s="102"/>
      <c r="Y73" s="102"/>
      <c r="Z73" s="102"/>
    </row>
    <row r="74" spans="1:26" ht="14.25">
      <c r="A74" s="117"/>
      <c r="B74" s="153" t="s">
        <v>212</v>
      </c>
      <c r="C74" s="125"/>
      <c r="D74" s="137"/>
      <c r="E74" s="125"/>
      <c r="F74" s="137"/>
      <c r="G74" s="17"/>
      <c r="H74" s="10"/>
      <c r="I74" s="10"/>
      <c r="J74" s="10"/>
      <c r="K74" s="115"/>
      <c r="L74" s="154"/>
      <c r="M74" s="104"/>
      <c r="N74" s="104"/>
      <c r="O74" s="104"/>
      <c r="P74" s="102"/>
      <c r="Q74" s="102"/>
      <c r="R74" s="102"/>
      <c r="S74" s="102"/>
      <c r="T74" s="102"/>
      <c r="U74" s="102"/>
      <c r="V74" s="102"/>
      <c r="W74" s="102"/>
      <c r="X74" s="102"/>
      <c r="Y74" s="102"/>
      <c r="Z74" s="102"/>
    </row>
    <row r="75" spans="1:26" ht="14.25">
      <c r="A75" s="117"/>
      <c r="B75" s="153" t="s">
        <v>167</v>
      </c>
      <c r="C75" s="125"/>
      <c r="D75" s="137"/>
      <c r="E75" s="125"/>
      <c r="F75" s="137"/>
      <c r="G75" s="17"/>
      <c r="H75" s="10"/>
      <c r="I75" s="10"/>
      <c r="J75" s="10"/>
      <c r="K75" s="115"/>
      <c r="L75" s="154"/>
      <c r="M75" s="104"/>
      <c r="N75" s="104"/>
      <c r="O75" s="104"/>
      <c r="P75" s="102"/>
      <c r="Q75" s="102"/>
      <c r="R75" s="102"/>
      <c r="S75" s="102"/>
      <c r="T75" s="102"/>
      <c r="U75" s="102"/>
      <c r="V75" s="102"/>
      <c r="W75" s="102"/>
      <c r="X75" s="102"/>
      <c r="Y75" s="102"/>
      <c r="Z75" s="102"/>
    </row>
    <row r="76" spans="1:26" ht="14.25">
      <c r="A76" s="117"/>
      <c r="B76" s="153" t="s">
        <v>213</v>
      </c>
      <c r="C76" s="125"/>
      <c r="D76" s="137"/>
      <c r="E76" s="125"/>
      <c r="F76" s="137"/>
      <c r="G76" s="17"/>
      <c r="H76" s="10"/>
      <c r="I76" s="10"/>
      <c r="J76" s="10"/>
      <c r="K76" s="125"/>
      <c r="L76" s="133"/>
      <c r="M76" s="104"/>
      <c r="N76" s="104"/>
      <c r="O76" s="104"/>
      <c r="P76" s="102"/>
      <c r="Q76" s="102"/>
      <c r="R76" s="102"/>
      <c r="S76" s="102"/>
      <c r="T76" s="102"/>
      <c r="U76" s="102"/>
      <c r="V76" s="102"/>
      <c r="W76" s="102"/>
      <c r="X76" s="102"/>
      <c r="Y76" s="102"/>
      <c r="Z76" s="102"/>
    </row>
    <row r="77" spans="1:26">
      <c r="A77" s="117"/>
      <c r="B77" s="17" t="s">
        <v>50</v>
      </c>
      <c r="C77" s="125"/>
      <c r="D77" s="137"/>
      <c r="E77" s="125"/>
      <c r="F77" s="137"/>
      <c r="G77" s="137"/>
      <c r="H77" s="137"/>
      <c r="I77" s="137"/>
      <c r="J77" s="125"/>
      <c r="K77" s="125"/>
      <c r="L77" s="124"/>
      <c r="M77" s="104"/>
      <c r="N77" s="104"/>
      <c r="O77" s="104"/>
      <c r="P77" s="102"/>
      <c r="Q77" s="102"/>
      <c r="R77" s="102"/>
      <c r="S77" s="102"/>
      <c r="T77" s="102"/>
      <c r="U77" s="102"/>
      <c r="V77" s="102"/>
      <c r="W77" s="102"/>
      <c r="X77" s="102"/>
      <c r="Y77" s="102"/>
      <c r="Z77" s="102"/>
    </row>
    <row r="78" spans="1:26">
      <c r="A78" s="117"/>
      <c r="B78" s="18"/>
      <c r="C78" s="125"/>
      <c r="D78" s="137"/>
      <c r="E78" s="125"/>
      <c r="F78" s="137"/>
      <c r="G78" s="137"/>
      <c r="H78" s="137"/>
      <c r="I78" s="137"/>
      <c r="J78" s="125"/>
      <c r="K78" s="125"/>
      <c r="L78" s="124"/>
      <c r="M78" s="104"/>
      <c r="N78" s="104"/>
      <c r="O78" s="104"/>
      <c r="P78" s="102"/>
      <c r="Q78" s="102"/>
      <c r="R78" s="102"/>
      <c r="S78" s="102"/>
      <c r="T78" s="102"/>
      <c r="U78" s="102"/>
      <c r="V78" s="102"/>
      <c r="W78" s="102"/>
      <c r="X78" s="102"/>
      <c r="Y78" s="102"/>
      <c r="Z78" s="102"/>
    </row>
    <row r="79" spans="1:26" ht="14.25">
      <c r="A79" s="117"/>
      <c r="B79" s="5" t="s">
        <v>143</v>
      </c>
      <c r="C79" s="124"/>
      <c r="D79" s="124"/>
      <c r="E79" s="115"/>
      <c r="F79" s="115"/>
      <c r="G79" s="124"/>
      <c r="H79" s="5"/>
      <c r="I79" s="10"/>
      <c r="J79" s="10"/>
      <c r="K79" s="10"/>
      <c r="L79" s="10"/>
      <c r="M79" s="104"/>
      <c r="N79" s="104"/>
      <c r="O79" s="104"/>
      <c r="P79" s="102"/>
      <c r="Q79" s="102"/>
      <c r="R79" s="102"/>
      <c r="S79" s="102"/>
      <c r="T79" s="102"/>
      <c r="U79" s="102"/>
      <c r="V79" s="102"/>
      <c r="W79" s="102"/>
      <c r="X79" s="102"/>
      <c r="Y79" s="102"/>
      <c r="Z79" s="102"/>
    </row>
    <row r="80" spans="1:26" ht="14.25">
      <c r="A80" s="117"/>
      <c r="B80" s="316"/>
      <c r="C80" s="317"/>
      <c r="D80" s="121" t="s">
        <v>138</v>
      </c>
      <c r="E80" s="121" t="s">
        <v>139</v>
      </c>
      <c r="F80" s="121" t="s">
        <v>140</v>
      </c>
      <c r="G80" s="121" t="s">
        <v>22</v>
      </c>
      <c r="H80" s="10"/>
      <c r="I80" s="10"/>
      <c r="J80" s="10"/>
      <c r="K80" s="10"/>
      <c r="L80" s="10"/>
      <c r="M80" s="104"/>
      <c r="N80" s="104"/>
      <c r="O80" s="104"/>
      <c r="P80" s="102"/>
      <c r="Q80" s="102"/>
      <c r="R80" s="102"/>
      <c r="S80" s="102"/>
      <c r="T80" s="102"/>
      <c r="U80" s="102"/>
      <c r="V80" s="102"/>
      <c r="W80" s="102"/>
      <c r="X80" s="102"/>
      <c r="Y80" s="102"/>
      <c r="Z80" s="102"/>
    </row>
    <row r="81" spans="1:26" ht="14.25">
      <c r="A81" s="117"/>
      <c r="B81" s="219" t="s">
        <v>144</v>
      </c>
      <c r="C81" s="220"/>
      <c r="D81" s="11">
        <f>F111</f>
        <v>3.492781555853782</v>
      </c>
      <c r="E81" s="11">
        <f>E111</f>
        <v>3.6458437987896626</v>
      </c>
      <c r="F81" s="11">
        <f>G111</f>
        <v>3.77101772401257</v>
      </c>
      <c r="G81" s="155" t="s">
        <v>109</v>
      </c>
      <c r="H81" s="10"/>
      <c r="I81" s="10"/>
      <c r="J81" s="10"/>
      <c r="K81" s="10"/>
      <c r="L81" s="10"/>
      <c r="M81" s="104"/>
      <c r="N81" s="104"/>
      <c r="O81" s="104"/>
      <c r="P81" s="102"/>
      <c r="Q81" s="102"/>
      <c r="R81" s="102"/>
      <c r="S81" s="102"/>
      <c r="T81" s="102"/>
      <c r="U81" s="102"/>
      <c r="V81" s="102"/>
      <c r="W81" s="102"/>
      <c r="X81" s="102"/>
      <c r="Y81" s="102"/>
      <c r="Z81" s="102"/>
    </row>
    <row r="82" spans="1:26" ht="14.25">
      <c r="A82" s="117"/>
      <c r="B82" s="258" t="s">
        <v>100</v>
      </c>
      <c r="C82" s="259"/>
      <c r="D82" s="156">
        <f>F115</f>
        <v>4.3659769448172279</v>
      </c>
      <c r="E82" s="156">
        <f>E115</f>
        <v>4.5573047484870788</v>
      </c>
      <c r="F82" s="156">
        <f>G115</f>
        <v>4.7137721550157128</v>
      </c>
      <c r="G82" s="221" t="s">
        <v>49</v>
      </c>
      <c r="H82" s="10"/>
      <c r="I82" s="10"/>
      <c r="J82" s="10"/>
      <c r="K82" s="10"/>
      <c r="L82" s="10"/>
      <c r="M82" s="104"/>
      <c r="N82" s="104"/>
      <c r="O82" s="104"/>
      <c r="P82" s="102"/>
      <c r="Q82" s="102"/>
      <c r="R82" s="102"/>
      <c r="S82" s="102"/>
      <c r="T82" s="102"/>
      <c r="U82" s="102"/>
      <c r="V82" s="102"/>
      <c r="W82" s="102"/>
      <c r="X82" s="102"/>
      <c r="Y82" s="102"/>
      <c r="Z82" s="102"/>
    </row>
    <row r="83" spans="1:26" ht="14.25">
      <c r="A83" s="117"/>
      <c r="B83" s="258" t="s">
        <v>101</v>
      </c>
      <c r="C83" s="259"/>
      <c r="D83" s="156">
        <f>F114</f>
        <v>5.2391723337806733</v>
      </c>
      <c r="E83" s="156">
        <f>E114</f>
        <v>5.4687656981844937</v>
      </c>
      <c r="F83" s="156">
        <f>G114</f>
        <v>5.6565265860188552</v>
      </c>
      <c r="G83" s="222"/>
      <c r="H83" s="10"/>
      <c r="I83" s="10"/>
      <c r="J83" s="10"/>
      <c r="K83" s="10"/>
      <c r="L83" s="10"/>
      <c r="M83" s="104"/>
      <c r="N83" s="104"/>
      <c r="O83" s="104"/>
      <c r="P83" s="102"/>
      <c r="Q83" s="102"/>
      <c r="R83" s="102"/>
      <c r="S83" s="102"/>
      <c r="T83" s="102"/>
      <c r="U83" s="102"/>
      <c r="V83" s="102"/>
      <c r="W83" s="102"/>
      <c r="X83" s="102"/>
      <c r="Y83" s="102"/>
      <c r="Z83" s="102"/>
    </row>
    <row r="84" spans="1:26" ht="14.25">
      <c r="A84" s="117"/>
      <c r="B84" s="258" t="s">
        <v>27</v>
      </c>
      <c r="C84" s="259"/>
      <c r="D84" s="156">
        <f>F113</f>
        <v>6.5489654172258405</v>
      </c>
      <c r="E84" s="156">
        <f>E113</f>
        <v>6.8359571227306173</v>
      </c>
      <c r="F84" s="156">
        <f>G113</f>
        <v>7.0706582325235683</v>
      </c>
      <c r="G84" s="223"/>
      <c r="H84" s="10"/>
      <c r="I84" s="10"/>
      <c r="J84" s="10"/>
      <c r="K84" s="10"/>
      <c r="L84" s="10"/>
      <c r="M84" s="104"/>
      <c r="N84" s="104"/>
      <c r="O84" s="104"/>
      <c r="P84" s="102"/>
      <c r="Q84" s="102"/>
      <c r="R84" s="102"/>
      <c r="S84" s="102"/>
      <c r="T84" s="102"/>
      <c r="U84" s="102"/>
      <c r="V84" s="102"/>
      <c r="W84" s="102"/>
      <c r="X84" s="102"/>
      <c r="Y84" s="102"/>
      <c r="Z84" s="102"/>
    </row>
    <row r="85" spans="1:26" ht="14.25">
      <c r="A85" s="117"/>
      <c r="B85" s="153"/>
      <c r="C85" s="125"/>
      <c r="D85" s="137"/>
      <c r="E85" s="125"/>
      <c r="F85" s="137"/>
      <c r="G85" s="17"/>
      <c r="H85" s="137"/>
      <c r="I85" s="10"/>
      <c r="J85" s="10"/>
      <c r="K85" s="10"/>
      <c r="L85" s="10"/>
      <c r="M85" s="104"/>
      <c r="N85" s="104"/>
      <c r="O85" s="104"/>
      <c r="P85" s="102"/>
      <c r="Q85" s="102"/>
      <c r="R85" s="102"/>
      <c r="S85" s="102"/>
      <c r="T85" s="102"/>
      <c r="U85" s="102"/>
      <c r="V85" s="102"/>
      <c r="W85" s="102"/>
      <c r="X85" s="102"/>
      <c r="Y85" s="102"/>
      <c r="Z85" s="102"/>
    </row>
    <row r="86" spans="1:26" ht="14.25">
      <c r="A86" s="117"/>
      <c r="B86" s="17"/>
      <c r="C86" s="125"/>
      <c r="D86" s="137"/>
      <c r="E86" s="125"/>
      <c r="F86" s="137"/>
      <c r="G86" s="137"/>
      <c r="H86" s="137"/>
      <c r="I86" s="10"/>
      <c r="J86" s="10"/>
      <c r="K86" s="10"/>
      <c r="L86" s="10"/>
      <c r="M86" s="104"/>
      <c r="N86" s="104"/>
      <c r="O86" s="104"/>
      <c r="P86" s="102"/>
      <c r="Q86" s="102"/>
      <c r="R86" s="102"/>
      <c r="S86" s="102"/>
      <c r="T86" s="102"/>
      <c r="U86" s="102"/>
      <c r="V86" s="102"/>
      <c r="W86" s="102"/>
      <c r="X86" s="102"/>
      <c r="Y86" s="102"/>
      <c r="Z86" s="102"/>
    </row>
    <row r="87" spans="1:26" ht="15" thickBot="1">
      <c r="A87" s="117"/>
      <c r="B87" s="17"/>
      <c r="C87" s="125"/>
      <c r="D87" s="137"/>
      <c r="E87" s="125"/>
      <c r="F87" s="137"/>
      <c r="G87" s="137"/>
      <c r="H87" s="137"/>
      <c r="I87" s="10"/>
      <c r="J87" s="10"/>
      <c r="K87" s="10"/>
      <c r="L87" s="10"/>
      <c r="M87" s="104"/>
      <c r="N87" s="157"/>
      <c r="O87" s="104"/>
      <c r="P87" s="102"/>
      <c r="Q87" s="102"/>
      <c r="R87" s="102"/>
      <c r="S87" s="102"/>
      <c r="T87" s="102"/>
      <c r="U87" s="102"/>
      <c r="V87" s="102"/>
      <c r="W87" s="102"/>
      <c r="X87" s="102"/>
      <c r="Y87" s="102"/>
      <c r="Z87" s="102"/>
    </row>
    <row r="88" spans="1:26" hidden="1"/>
    <row r="89" spans="1:26" ht="15" hidden="1" thickBot="1">
      <c r="B89" s="34"/>
      <c r="C89" s="34"/>
      <c r="D89" s="34"/>
      <c r="E89" s="35"/>
      <c r="F89" s="36"/>
      <c r="G89" s="37"/>
      <c r="H89" s="38"/>
      <c r="I89" s="34"/>
      <c r="J89" s="34"/>
      <c r="K89" s="34"/>
      <c r="L89" s="34"/>
      <c r="M89" s="34"/>
      <c r="N89" s="34"/>
      <c r="O89" s="34"/>
      <c r="P89" s="34"/>
      <c r="Q89" s="34"/>
      <c r="R89" s="34"/>
      <c r="S89" s="34"/>
      <c r="T89" s="34"/>
    </row>
    <row r="90" spans="1:26" ht="15" hidden="1" thickTop="1">
      <c r="B90" s="313"/>
      <c r="C90" s="314"/>
      <c r="D90" s="315"/>
      <c r="E90" s="39" t="s">
        <v>51</v>
      </c>
      <c r="F90" s="39" t="s">
        <v>52</v>
      </c>
      <c r="G90" s="39" t="s">
        <v>53</v>
      </c>
      <c r="H90" s="40"/>
      <c r="I90" s="41"/>
      <c r="J90" s="42"/>
      <c r="K90" s="43" t="s">
        <v>54</v>
      </c>
      <c r="L90" s="43"/>
      <c r="M90" s="43"/>
      <c r="N90" s="43"/>
      <c r="O90" s="43" t="s">
        <v>55</v>
      </c>
      <c r="P90" s="43"/>
      <c r="Q90" s="43"/>
      <c r="R90" s="44"/>
      <c r="S90" s="45"/>
      <c r="T90" s="34"/>
    </row>
    <row r="91" spans="1:26" ht="14.25" hidden="1">
      <c r="B91" s="200" t="s">
        <v>56</v>
      </c>
      <c r="C91" s="201"/>
      <c r="D91" s="202"/>
      <c r="E91" s="46">
        <f>D18</f>
        <v>5</v>
      </c>
      <c r="F91" s="46">
        <f>C18</f>
        <v>4.5</v>
      </c>
      <c r="G91" s="46">
        <f>E18</f>
        <v>5.5</v>
      </c>
      <c r="H91" s="38"/>
      <c r="I91" s="41"/>
      <c r="J91" s="45"/>
      <c r="K91" s="47" t="s">
        <v>57</v>
      </c>
      <c r="L91" s="47"/>
      <c r="M91" s="47"/>
      <c r="N91" s="47"/>
      <c r="O91" s="47" t="s">
        <v>57</v>
      </c>
      <c r="P91" s="47"/>
      <c r="Q91" s="47"/>
      <c r="R91" s="41"/>
      <c r="S91" s="45"/>
      <c r="T91" s="34"/>
      <c r="U91" s="46">
        <f>E91</f>
        <v>5</v>
      </c>
      <c r="V91" s="46">
        <f>F91</f>
        <v>4.5</v>
      </c>
      <c r="W91" s="46">
        <f>G91</f>
        <v>5.5</v>
      </c>
    </row>
    <row r="92" spans="1:26" ht="14.25" hidden="1">
      <c r="B92" s="200" t="s">
        <v>58</v>
      </c>
      <c r="C92" s="201"/>
      <c r="D92" s="202"/>
      <c r="E92" s="48">
        <f>C24</f>
        <v>1.35</v>
      </c>
      <c r="F92" s="49">
        <f t="shared" ref="F92:G94" si="0">E92</f>
        <v>1.35</v>
      </c>
      <c r="G92" s="49">
        <f t="shared" si="0"/>
        <v>1.35</v>
      </c>
      <c r="H92" s="38"/>
      <c r="I92" s="41"/>
      <c r="J92" s="45"/>
      <c r="K92" s="50" t="s">
        <v>59</v>
      </c>
      <c r="L92" s="51">
        <f>$F$124</f>
        <v>0</v>
      </c>
      <c r="M92" s="51">
        <f>$G$124</f>
        <v>60</v>
      </c>
      <c r="N92" s="47"/>
      <c r="O92" s="50" t="s">
        <v>59</v>
      </c>
      <c r="P92" s="51">
        <f>$F$124</f>
        <v>0</v>
      </c>
      <c r="Q92" s="51">
        <f>$G$124</f>
        <v>60</v>
      </c>
      <c r="R92" s="41"/>
      <c r="S92" s="45"/>
      <c r="T92" s="34"/>
      <c r="U92" s="46">
        <f>E92</f>
        <v>1.35</v>
      </c>
      <c r="V92" s="49">
        <f t="shared" ref="V92:W94" si="1">U92</f>
        <v>1.35</v>
      </c>
      <c r="W92" s="49">
        <f t="shared" si="1"/>
        <v>1.35</v>
      </c>
    </row>
    <row r="93" spans="1:26" ht="14.25" hidden="1">
      <c r="B93" s="200" t="s">
        <v>60</v>
      </c>
      <c r="C93" s="201"/>
      <c r="D93" s="202"/>
      <c r="E93" s="48">
        <f>D24</f>
        <v>4</v>
      </c>
      <c r="F93" s="49">
        <f t="shared" si="0"/>
        <v>4</v>
      </c>
      <c r="G93" s="49">
        <f t="shared" si="0"/>
        <v>4</v>
      </c>
      <c r="H93" s="38"/>
      <c r="I93" s="41"/>
      <c r="J93" s="45"/>
      <c r="K93" s="50">
        <f>$F$123</f>
        <v>9</v>
      </c>
      <c r="L93" s="52">
        <f>8*($F$116-$F$110/2)*($F$106*(1+(L92-25)*$E$127*(0.000001)))/(K93*(1+(L92-25)*$E$125*(0.000001)))</f>
        <v>3.5615027335905194</v>
      </c>
      <c r="M93" s="52">
        <f>8*($F$116-$F$110/2)*($F$106*(1+(M92-25)*$E$127*(0.000001)))/(K93*(1+(M92-25)*$E$125*(0.000001)))</f>
        <v>3.2116573776370325</v>
      </c>
      <c r="N93" s="47"/>
      <c r="O93" s="50">
        <f>$F$123</f>
        <v>9</v>
      </c>
      <c r="P93" s="52">
        <f>8*($G$116-$G$110/2)*($G$106*(1+(P92-25)*$G$127*(0.000001)))/(O93*(1+(P92-25)*$G$125*(0.000001)))</f>
        <v>3.2206481013985138</v>
      </c>
      <c r="Q93" s="52">
        <f>8*($G$116-$G$110/2)*($G$106*(1+(Q92-25)*$G$127*(0.000001)))/(O93*(1+(Q92-25)*$G$125*(0.000001)))</f>
        <v>2.9042847947504868</v>
      </c>
      <c r="R93" s="41"/>
      <c r="S93" s="45"/>
      <c r="T93" s="34"/>
      <c r="U93" s="46">
        <f>E93</f>
        <v>4</v>
      </c>
      <c r="V93" s="49">
        <f t="shared" si="1"/>
        <v>4</v>
      </c>
      <c r="W93" s="49">
        <f t="shared" si="1"/>
        <v>4</v>
      </c>
    </row>
    <row r="94" spans="1:26" ht="14.25" hidden="1">
      <c r="B94" s="200" t="s">
        <v>61</v>
      </c>
      <c r="C94" s="201"/>
      <c r="D94" s="202"/>
      <c r="E94" s="54">
        <f>E24</f>
        <v>400</v>
      </c>
      <c r="F94" s="49">
        <f t="shared" si="0"/>
        <v>400</v>
      </c>
      <c r="G94" s="49">
        <f t="shared" si="0"/>
        <v>400</v>
      </c>
      <c r="H94" s="38"/>
      <c r="I94" s="41"/>
      <c r="J94" s="45"/>
      <c r="K94" s="50">
        <f>$G$123</f>
        <v>11</v>
      </c>
      <c r="L94" s="52">
        <f>8*($F$116-$F$110/2)*($F$106*(1+(L92-25)*$E$127*(0.000001)))/(K94*(1+(L92-25)*$E$125*(0.000001)))</f>
        <v>2.9139567820286065</v>
      </c>
      <c r="M94" s="52">
        <f>8*($F$116-$F$110/2)*($F$106*(1+(M92-25)*$E$127*(0.000001)))/(K94*(1+(M92-25)*$E$125*(0.000001)))</f>
        <v>2.6277196726121179</v>
      </c>
      <c r="N94" s="47"/>
      <c r="O94" s="50">
        <f>$G$123</f>
        <v>11</v>
      </c>
      <c r="P94" s="52">
        <f>8*($G$116-$G$110/2)*($G$106*(1+(P92-25)*$G$127*(0.000001)))/(O94*(1+(P92-25)*$G$125*(0.000001)))</f>
        <v>2.6350757193260566</v>
      </c>
      <c r="Q94" s="52">
        <f>8*($G$116-$G$110/2)*($G$106*(1+(Q92-25)*$G$127*(0.000001)))/(O94*(1+(Q92-25)*$G$125*(0.000001)))</f>
        <v>2.376233013886762</v>
      </c>
      <c r="R94" s="41"/>
      <c r="S94" s="45"/>
      <c r="T94" s="34"/>
      <c r="U94" s="46">
        <f>E94</f>
        <v>400</v>
      </c>
      <c r="V94" s="49">
        <f t="shared" si="1"/>
        <v>400</v>
      </c>
      <c r="W94" s="49">
        <f t="shared" si="1"/>
        <v>400</v>
      </c>
    </row>
    <row r="95" spans="1:26" ht="14.25" hidden="1">
      <c r="B95" s="200" t="s">
        <v>62</v>
      </c>
      <c r="C95" s="201"/>
      <c r="D95" s="202"/>
      <c r="E95" s="53"/>
      <c r="F95" s="53"/>
      <c r="G95" s="103">
        <f>3*1000*(G91-G92)*G92/(G93*G94*G91)</f>
        <v>1.9099431818181822</v>
      </c>
      <c r="H95" s="38"/>
      <c r="I95" s="41"/>
      <c r="J95" s="45"/>
      <c r="K95" s="47"/>
      <c r="L95" s="47"/>
      <c r="M95" s="47"/>
      <c r="N95" s="47"/>
      <c r="O95" s="47"/>
      <c r="P95" s="47"/>
      <c r="Q95" s="47"/>
      <c r="R95" s="41"/>
      <c r="S95" s="45"/>
      <c r="T95" s="34"/>
      <c r="U95" s="53"/>
      <c r="V95" s="53"/>
      <c r="W95" s="103">
        <f>3*1000*(W91-W92)*W92/(W93*W94*W91)</f>
        <v>1.9099431818181822</v>
      </c>
    </row>
    <row r="96" spans="1:26" ht="14.25" hidden="1">
      <c r="B96" s="200" t="s">
        <v>64</v>
      </c>
      <c r="C96" s="201"/>
      <c r="D96" s="202"/>
      <c r="E96" s="48">
        <f>H24</f>
        <v>0.68</v>
      </c>
      <c r="F96" s="49">
        <f t="shared" ref="F96:G108" si="2">E96</f>
        <v>0.68</v>
      </c>
      <c r="G96" s="49">
        <f t="shared" si="2"/>
        <v>0.68</v>
      </c>
      <c r="H96" s="38"/>
      <c r="I96" s="41"/>
      <c r="J96" s="45"/>
      <c r="K96" s="50" t="s">
        <v>63</v>
      </c>
      <c r="L96" s="51">
        <f>L92</f>
        <v>0</v>
      </c>
      <c r="M96" s="51">
        <f>M92</f>
        <v>60</v>
      </c>
      <c r="N96" s="55"/>
      <c r="O96" s="51" t="s">
        <v>63</v>
      </c>
      <c r="P96" s="51">
        <f>P92</f>
        <v>0</v>
      </c>
      <c r="Q96" s="51">
        <f>Q92</f>
        <v>60</v>
      </c>
      <c r="R96" s="41"/>
      <c r="S96" s="45"/>
      <c r="T96" s="34"/>
      <c r="U96" s="46">
        <f>E96</f>
        <v>0.68</v>
      </c>
      <c r="V96" s="49">
        <f>U96</f>
        <v>0.68</v>
      </c>
      <c r="W96" s="49">
        <f>V96</f>
        <v>0.68</v>
      </c>
    </row>
    <row r="97" spans="2:23" ht="14.25" hidden="1">
      <c r="B97" s="106" t="s">
        <v>65</v>
      </c>
      <c r="C97" s="107"/>
      <c r="D97" s="169"/>
      <c r="E97" s="170">
        <f>I24</f>
        <v>20</v>
      </c>
      <c r="F97" s="49">
        <f t="shared" si="2"/>
        <v>20</v>
      </c>
      <c r="G97" s="49">
        <f t="shared" si="2"/>
        <v>20</v>
      </c>
      <c r="H97" s="38"/>
      <c r="I97" s="41"/>
      <c r="J97" s="45"/>
      <c r="K97" s="50">
        <f>$F$123</f>
        <v>9</v>
      </c>
      <c r="L97" s="56">
        <f>8*($F$116-$F$112/2)*($F$106*(1+(L96-25)*$E$127*(0.000001)))/(K97*(1+(L96-25)*$E$125*(0.000001)))</f>
        <v>4.9877860003393302</v>
      </c>
      <c r="M97" s="52">
        <f>8*($F$116-$F$112/2)*($F$106*(1+(M96-25)*$E$127*(0.000001)))/(K97*(1+(M96-25)*$E$125*(0.000001)))</f>
        <v>4.4978372626194627</v>
      </c>
      <c r="N97" s="47"/>
      <c r="O97" s="50">
        <f>$F$123</f>
        <v>9</v>
      </c>
      <c r="P97" s="52">
        <f>8*($G$116-$G$112/2)*($G$106*(1+(P96-25)*$E$127*(0.000001)))/(O97*(1+(P96-25)*$E$125*(0.000001)))</f>
        <v>4.7605495788779928</v>
      </c>
      <c r="Q97" s="52">
        <f>8*($G$116-$G$112/2)*($G$106*(1+(Q96-25)*$E$127*(0.000001)))/(O97*(1+(Q96-25)*$E$125*(0.000001)))</f>
        <v>4.2929222073617659</v>
      </c>
      <c r="R97" s="41"/>
      <c r="S97" s="45"/>
      <c r="T97" s="34"/>
      <c r="U97" s="46">
        <f>E97</f>
        <v>20</v>
      </c>
      <c r="V97" s="49">
        <f>U97</f>
        <v>20</v>
      </c>
      <c r="W97" s="49">
        <f>V97</f>
        <v>20</v>
      </c>
    </row>
    <row r="98" spans="2:23" ht="14.25" hidden="1">
      <c r="B98" s="310" t="s">
        <v>176</v>
      </c>
      <c r="C98" s="311"/>
      <c r="D98" s="312"/>
      <c r="E98" s="57">
        <f>0.02*E96*E94/E92</f>
        <v>4.0296296296296292</v>
      </c>
      <c r="F98" s="49"/>
      <c r="G98" s="49"/>
      <c r="H98" s="38"/>
      <c r="I98" s="41"/>
      <c r="J98" s="45"/>
      <c r="K98" s="50"/>
      <c r="L98" s="56"/>
      <c r="M98" s="52"/>
      <c r="N98" s="47"/>
      <c r="O98" s="50"/>
      <c r="P98" s="52"/>
      <c r="Q98" s="52"/>
      <c r="R98" s="41"/>
      <c r="S98" s="45"/>
      <c r="T98" s="34"/>
      <c r="U98" s="57">
        <f>0.02*U96*U94/U92</f>
        <v>4.0296296296296292</v>
      </c>
      <c r="V98" s="49"/>
      <c r="W98" s="49"/>
    </row>
    <row r="99" spans="2:23" ht="14.25" hidden="1">
      <c r="B99" s="200" t="s">
        <v>66</v>
      </c>
      <c r="C99" s="201"/>
      <c r="D99" s="202"/>
      <c r="E99" s="46">
        <f>I42</f>
        <v>1.5</v>
      </c>
      <c r="F99" s="49">
        <f t="shared" si="2"/>
        <v>1.5</v>
      </c>
      <c r="G99" s="49">
        <f t="shared" si="2"/>
        <v>1.5</v>
      </c>
      <c r="H99" s="38"/>
      <c r="I99" s="41"/>
      <c r="J99" s="45"/>
      <c r="K99" s="50">
        <f>$G$123</f>
        <v>11</v>
      </c>
      <c r="L99" s="52">
        <f>8*($F$116-$F$112/2)*($F$106*(1+(L96-25)*$E$127*(0.000001)))/(K99*(1+(L96-25)*$E$125*(0.000001)))</f>
        <v>4.0809158184594514</v>
      </c>
      <c r="M99" s="52">
        <f>8*($F$116-$F$112/2)*($F$106*(1+(M96-25)*$E$127*(0.000001)))/(K99*(1+(M96-25)*$E$125*(0.000001)))</f>
        <v>3.6800486694159247</v>
      </c>
      <c r="N99" s="47"/>
      <c r="O99" s="50">
        <f>$G$123</f>
        <v>11</v>
      </c>
      <c r="P99" s="52">
        <f>8*($G$116-$G$112/2)*($G$106*(1+(P96-25)*$E$127*(0.000001)))/(O99*(1+(P96-25)*$E$125*(0.000001)))</f>
        <v>3.8949951099910849</v>
      </c>
      <c r="Q99" s="52">
        <f>8*($G$116-$G$112/2)*($G$106*(1+(Q96-25)*$E$127*(0.000001)))/(O99*(1+(Q96-25)*$E$125*(0.000001)))</f>
        <v>3.5123908969323536</v>
      </c>
      <c r="R99" s="41"/>
      <c r="S99" s="45"/>
      <c r="T99" s="34"/>
      <c r="U99" s="46">
        <f t="shared" ref="U99:U104" si="3">E99</f>
        <v>1.5</v>
      </c>
      <c r="V99" s="49">
        <f t="shared" ref="V99:W108" si="4">U99</f>
        <v>1.5</v>
      </c>
      <c r="W99" s="49">
        <f t="shared" si="4"/>
        <v>1.5</v>
      </c>
    </row>
    <row r="100" spans="2:23" ht="14.25" hidden="1">
      <c r="B100" s="238" t="s">
        <v>168</v>
      </c>
      <c r="C100" s="239"/>
      <c r="D100" s="240"/>
      <c r="E100" s="48">
        <f>C57</f>
        <v>5</v>
      </c>
      <c r="F100" s="49">
        <f t="shared" si="2"/>
        <v>5</v>
      </c>
      <c r="G100" s="49">
        <f t="shared" si="2"/>
        <v>5</v>
      </c>
      <c r="H100" s="38"/>
      <c r="I100" s="41"/>
      <c r="J100" s="45"/>
      <c r="K100" s="47"/>
      <c r="L100" s="47"/>
      <c r="M100" s="47"/>
      <c r="N100" s="47"/>
      <c r="O100" s="47"/>
      <c r="P100" s="47"/>
      <c r="Q100" s="47"/>
      <c r="R100" s="41"/>
      <c r="S100" s="45"/>
      <c r="T100" s="34"/>
      <c r="U100" s="46">
        <f t="shared" si="3"/>
        <v>5</v>
      </c>
      <c r="V100" s="49">
        <f t="shared" si="4"/>
        <v>5</v>
      </c>
      <c r="W100" s="49">
        <f t="shared" si="4"/>
        <v>5</v>
      </c>
    </row>
    <row r="101" spans="2:23" ht="14.25" hidden="1">
      <c r="B101" s="200" t="s">
        <v>169</v>
      </c>
      <c r="C101" s="201"/>
      <c r="D101" s="202"/>
      <c r="E101" s="48">
        <f>D57</f>
        <v>1.5750000000000002</v>
      </c>
      <c r="F101" s="49">
        <f t="shared" si="2"/>
        <v>1.5750000000000002</v>
      </c>
      <c r="G101" s="49">
        <f t="shared" si="2"/>
        <v>1.5750000000000002</v>
      </c>
      <c r="H101" s="38"/>
      <c r="I101" s="41"/>
      <c r="J101" s="45"/>
      <c r="K101" s="47" t="s">
        <v>54</v>
      </c>
      <c r="L101" s="47"/>
      <c r="M101" s="47"/>
      <c r="N101" s="47"/>
      <c r="O101" s="47" t="s">
        <v>55</v>
      </c>
      <c r="P101" s="47"/>
      <c r="Q101" s="47"/>
      <c r="R101" s="41"/>
      <c r="S101" s="45"/>
      <c r="T101" s="34"/>
      <c r="U101" s="46">
        <f t="shared" si="3"/>
        <v>1.5750000000000002</v>
      </c>
      <c r="V101" s="49">
        <f t="shared" si="4"/>
        <v>1.5750000000000002</v>
      </c>
      <c r="W101" s="49">
        <f t="shared" si="4"/>
        <v>1.5750000000000002</v>
      </c>
    </row>
    <row r="102" spans="2:23" ht="14.25" hidden="1">
      <c r="B102" s="200" t="s">
        <v>170</v>
      </c>
      <c r="C102" s="201"/>
      <c r="D102" s="202"/>
      <c r="E102" s="48">
        <f>E57</f>
        <v>2.1</v>
      </c>
      <c r="F102" s="49">
        <f t="shared" si="2"/>
        <v>2.1</v>
      </c>
      <c r="G102" s="49">
        <f t="shared" si="2"/>
        <v>2.1</v>
      </c>
      <c r="H102" s="38"/>
      <c r="I102" s="58" t="s">
        <v>67</v>
      </c>
      <c r="J102" s="45"/>
      <c r="K102" s="47" t="s">
        <v>68</v>
      </c>
      <c r="L102" s="47"/>
      <c r="M102" s="47"/>
      <c r="N102" s="47"/>
      <c r="O102" s="47" t="s">
        <v>0</v>
      </c>
      <c r="P102" s="47"/>
      <c r="Q102" s="47"/>
      <c r="R102" s="41"/>
      <c r="S102" s="45"/>
      <c r="T102" s="34"/>
      <c r="U102" s="46">
        <f t="shared" si="3"/>
        <v>2.1</v>
      </c>
      <c r="V102" s="49">
        <f t="shared" si="4"/>
        <v>2.1</v>
      </c>
      <c r="W102" s="49">
        <f t="shared" si="4"/>
        <v>2.1</v>
      </c>
    </row>
    <row r="103" spans="2:23" ht="14.25" hidden="1">
      <c r="B103" s="200" t="s">
        <v>171</v>
      </c>
      <c r="C103" s="201"/>
      <c r="D103" s="202"/>
      <c r="E103" s="48">
        <f>F57</f>
        <v>2.8</v>
      </c>
      <c r="F103" s="49">
        <f t="shared" si="2"/>
        <v>2.8</v>
      </c>
      <c r="G103" s="49">
        <f t="shared" si="2"/>
        <v>2.8</v>
      </c>
      <c r="H103" s="38"/>
      <c r="I103" s="59">
        <f>MAX(L93:M94,L104:M105,L97:M99,L109:M110,P93:Q94,P97:Q99,P104:Q105,P109:Q110)</f>
        <v>6.6503813337857727</v>
      </c>
      <c r="J103" s="45"/>
      <c r="K103" s="50" t="s">
        <v>59</v>
      </c>
      <c r="L103" s="51">
        <f>$F$124</f>
        <v>0</v>
      </c>
      <c r="M103" s="51">
        <f>$G$124</f>
        <v>60</v>
      </c>
      <c r="N103" s="34"/>
      <c r="O103" s="50" t="s">
        <v>59</v>
      </c>
      <c r="P103" s="51">
        <f>$F$124</f>
        <v>0</v>
      </c>
      <c r="Q103" s="51">
        <f>$G$124</f>
        <v>60</v>
      </c>
      <c r="R103" s="41"/>
      <c r="S103" s="45"/>
      <c r="T103" s="34"/>
      <c r="U103" s="46">
        <f t="shared" si="3"/>
        <v>2.8</v>
      </c>
      <c r="V103" s="49">
        <f t="shared" si="4"/>
        <v>2.8</v>
      </c>
      <c r="W103" s="49">
        <f t="shared" si="4"/>
        <v>2.8</v>
      </c>
    </row>
    <row r="104" spans="2:23" ht="14.25" hidden="1">
      <c r="B104" s="200" t="s">
        <v>69</v>
      </c>
      <c r="C104" s="201"/>
      <c r="D104" s="202"/>
      <c r="E104" s="48">
        <f>G57</f>
        <v>1</v>
      </c>
      <c r="F104" s="49">
        <f t="shared" si="2"/>
        <v>1</v>
      </c>
      <c r="G104" s="49">
        <f t="shared" si="2"/>
        <v>1</v>
      </c>
      <c r="H104" s="38"/>
      <c r="I104" s="41"/>
      <c r="J104" s="45"/>
      <c r="K104" s="50">
        <f>$F$123</f>
        <v>9</v>
      </c>
      <c r="L104" s="52">
        <f>8*($F$116-$F$110/2)*($F$107*(1+(L103-25)*$E$127*(0.000001)))/(K104*(1+(L103-25)*$E$125*(0.000001)))</f>
        <v>4.7486703114540258</v>
      </c>
      <c r="M104" s="52">
        <f>8*($F$116-$F$110/2)*($F$107*(1+(M103-25)*$E$127*(0.000001)))/(K104*(1+(M103-25)*$E$125*(0.000001)))</f>
        <v>4.2822098368493764</v>
      </c>
      <c r="N104" s="47"/>
      <c r="O104" s="50">
        <f>$F$123</f>
        <v>9</v>
      </c>
      <c r="P104" s="52">
        <f>8*($G$116-$G$110/2)*($G$107*(1+(P103-25)*$G$127*(0.000001)))/(O104*(1+(P103-25)*$G$125*(0.000001)))</f>
        <v>4.294197468531352</v>
      </c>
      <c r="Q104" s="52">
        <f>8*($G$116-$G$110/2)*($G$107*(1+(Q103-25)*$G$127*(0.000001)))/(O104*(1+(Q103-25)*$G$125*(0.000001)))</f>
        <v>3.8723797263339814</v>
      </c>
      <c r="R104" s="41"/>
      <c r="S104" s="45"/>
      <c r="U104" s="46">
        <f t="shared" si="3"/>
        <v>1</v>
      </c>
      <c r="V104" s="49">
        <f t="shared" si="4"/>
        <v>1</v>
      </c>
      <c r="W104" s="49">
        <f t="shared" si="4"/>
        <v>1</v>
      </c>
    </row>
    <row r="105" spans="2:23" ht="14.25" hidden="1">
      <c r="B105" s="200" t="s">
        <v>169</v>
      </c>
      <c r="C105" s="201"/>
      <c r="D105" s="202"/>
      <c r="E105" s="61">
        <f>E101/E104</f>
        <v>1.5750000000000002</v>
      </c>
      <c r="F105" s="49">
        <f t="shared" si="2"/>
        <v>1.5750000000000002</v>
      </c>
      <c r="G105" s="49">
        <f t="shared" si="2"/>
        <v>1.5750000000000002</v>
      </c>
      <c r="H105" s="38"/>
      <c r="I105" s="41"/>
      <c r="J105" s="45"/>
      <c r="K105" s="50">
        <f>$G$123</f>
        <v>11</v>
      </c>
      <c r="L105" s="52">
        <f>8*($F$116-$F$110/2)*($F$107*(1+(L103-25)*$E$127*(0.000001)))/(K105*(1+(L103-25)*$E$125*(0.000001)))</f>
        <v>3.8852757093714754</v>
      </c>
      <c r="M105" s="52">
        <f>8*($F$116-$F$110/2)*($F$107*(1+(M103-25)*$E$127*(0.000001)))/(K105*(1+(M103-25)*$E$125*(0.000001)))</f>
        <v>3.5036262301494903</v>
      </c>
      <c r="N105" s="47"/>
      <c r="O105" s="50">
        <f>$G$123</f>
        <v>11</v>
      </c>
      <c r="P105" s="52">
        <f>8*($G$116-$G$110/2)*($G$107*(1+(P103-25)*$G$127*(0.000001)))/(O105*(1+(P103-25)*$G$125*(0.000001)))</f>
        <v>3.5134342924347424</v>
      </c>
      <c r="Q105" s="52">
        <f>8*($G$116-$G$110/2)*($G$107*(1+(Q103-25)*$G$127*(0.000001)))/(O105*(1+(Q103-25)*$G$125*(0.000001)))</f>
        <v>3.1683106851823486</v>
      </c>
      <c r="R105" s="41"/>
      <c r="S105" s="34"/>
      <c r="U105" s="61">
        <f>U101/U104</f>
        <v>1.5750000000000002</v>
      </c>
      <c r="V105" s="49">
        <f t="shared" si="4"/>
        <v>1.5750000000000002</v>
      </c>
      <c r="W105" s="49">
        <f t="shared" si="4"/>
        <v>1.5750000000000002</v>
      </c>
    </row>
    <row r="106" spans="2:23" ht="14.25" hidden="1">
      <c r="B106" s="200" t="s">
        <v>170</v>
      </c>
      <c r="C106" s="201"/>
      <c r="D106" s="202"/>
      <c r="E106" s="61">
        <f>E102/E104</f>
        <v>2.1</v>
      </c>
      <c r="F106" s="49">
        <f t="shared" si="2"/>
        <v>2.1</v>
      </c>
      <c r="G106" s="49">
        <f t="shared" si="2"/>
        <v>2.1</v>
      </c>
      <c r="H106" s="38"/>
      <c r="I106" s="41"/>
      <c r="J106" s="45"/>
      <c r="K106" s="47"/>
      <c r="L106" s="47"/>
      <c r="M106" s="47"/>
      <c r="N106" s="47"/>
      <c r="O106" s="47"/>
      <c r="P106" s="47"/>
      <c r="Q106" s="47"/>
      <c r="R106" s="41"/>
      <c r="S106" s="34"/>
      <c r="U106" s="61">
        <f>U102/U104</f>
        <v>2.1</v>
      </c>
      <c r="V106" s="49">
        <f t="shared" si="4"/>
        <v>2.1</v>
      </c>
      <c r="W106" s="49">
        <f t="shared" si="4"/>
        <v>2.1</v>
      </c>
    </row>
    <row r="107" spans="2:23" ht="14.25" hidden="1">
      <c r="B107" s="200" t="s">
        <v>171</v>
      </c>
      <c r="C107" s="201"/>
      <c r="D107" s="202"/>
      <c r="E107" s="61">
        <f>E103/E104</f>
        <v>2.8</v>
      </c>
      <c r="F107" s="49">
        <f t="shared" si="2"/>
        <v>2.8</v>
      </c>
      <c r="G107" s="49">
        <f t="shared" si="2"/>
        <v>2.8</v>
      </c>
      <c r="H107" s="38"/>
      <c r="I107" s="41"/>
      <c r="J107" s="45"/>
      <c r="K107" s="47"/>
      <c r="L107" s="47"/>
      <c r="M107" s="47"/>
      <c r="N107" s="47"/>
      <c r="O107" s="47"/>
      <c r="P107" s="47"/>
      <c r="Q107" s="47"/>
      <c r="R107" s="41"/>
      <c r="S107" s="34"/>
      <c r="U107" s="61">
        <f>U103/U104</f>
        <v>2.8</v>
      </c>
      <c r="V107" s="49">
        <f t="shared" si="4"/>
        <v>2.8</v>
      </c>
      <c r="W107" s="49">
        <f t="shared" si="4"/>
        <v>2.8</v>
      </c>
    </row>
    <row r="108" spans="2:23" ht="14.25" hidden="1">
      <c r="B108" s="238" t="s">
        <v>163</v>
      </c>
      <c r="C108" s="239"/>
      <c r="D108" s="240"/>
      <c r="E108" s="61">
        <f>I57</f>
        <v>1.75</v>
      </c>
      <c r="F108" s="49">
        <f t="shared" si="2"/>
        <v>1.75</v>
      </c>
      <c r="G108" s="49">
        <f t="shared" si="2"/>
        <v>1.75</v>
      </c>
      <c r="H108" s="65"/>
      <c r="I108" s="41"/>
      <c r="J108" s="45"/>
      <c r="K108" s="50" t="s">
        <v>63</v>
      </c>
      <c r="L108" s="51">
        <f>L103</f>
        <v>0</v>
      </c>
      <c r="M108" s="51">
        <f>M103</f>
        <v>60</v>
      </c>
      <c r="N108" s="55"/>
      <c r="O108" s="51" t="s">
        <v>63</v>
      </c>
      <c r="P108" s="51">
        <f>P103</f>
        <v>0</v>
      </c>
      <c r="Q108" s="51">
        <f>Q103</f>
        <v>60</v>
      </c>
      <c r="R108" s="41"/>
      <c r="S108" s="34"/>
      <c r="U108" s="46">
        <f>E108</f>
        <v>1.75</v>
      </c>
      <c r="V108" s="49">
        <f t="shared" si="4"/>
        <v>1.75</v>
      </c>
      <c r="W108" s="49">
        <f t="shared" si="4"/>
        <v>1.75</v>
      </c>
    </row>
    <row r="109" spans="2:23" ht="14.25" hidden="1">
      <c r="B109" s="233" t="s">
        <v>70</v>
      </c>
      <c r="C109" s="234"/>
      <c r="D109" s="235"/>
      <c r="E109" s="64">
        <f>(E92+E93*(E106+E108)*0.001)/(E91-E93*(E100-E106)*0.001)</f>
        <v>0.27371501884371746</v>
      </c>
      <c r="F109" s="64">
        <f>(F92+F93*(F106+F108)*0.001)/(F91-F93*(F100-F106)*0.001)</f>
        <v>0.30420639871669192</v>
      </c>
      <c r="G109" s="66">
        <f>(G92+G93*(G106+G108)*0.001)/(G91-G93*(G100-G106)*0.001)</f>
        <v>0.24877924349537206</v>
      </c>
      <c r="H109" s="65"/>
      <c r="I109" s="41"/>
      <c r="J109" s="45"/>
      <c r="K109" s="50">
        <f>$F$123</f>
        <v>9</v>
      </c>
      <c r="L109" s="56">
        <f>8*($F$116-$F$112/2)*($F$107*(1+(L108-25)*$E$127*(0.000001)))/(K109*(1+(L108-25)*$E$125*(0.000001)))</f>
        <v>6.6503813337857727</v>
      </c>
      <c r="M109" s="52">
        <f>8*($F$116-$F$112/2)*($F$107*(1+(M108-25)*$E$127*(0.000001)))/(K109*(1+(M108-25)*$E$125*(0.000001)))</f>
        <v>5.9971163501592821</v>
      </c>
      <c r="N109" s="47"/>
      <c r="O109" s="50">
        <f>$F$123</f>
        <v>9</v>
      </c>
      <c r="P109" s="52">
        <f>8*($G$116-$G$112/2)*($G$107*(1+(P108-25)*$E$127*(0.000001)))/(O109*(1+(P108-25)*$E$125*(0.000001)))</f>
        <v>6.3473994385039898</v>
      </c>
      <c r="Q109" s="52">
        <f>8*($G$116-$G$112/2)*($G$107*(1+(Q108-25)*$E$127*(0.000001)))/(O109*(1+(Q108-25)*$E$125*(0.000001)))</f>
        <v>5.7238962764823524</v>
      </c>
      <c r="R109" s="41"/>
      <c r="S109" s="34"/>
      <c r="U109" s="64">
        <f>(U92+U93*(U106+U108)*0.001)/(U91-U93*(U100-U106)*0.001)</f>
        <v>0.27371501884371746</v>
      </c>
      <c r="V109" s="64">
        <f>(V92+V93*(V106+V108)*0.001)/(V91-V93*(V100-V106)*0.001)</f>
        <v>0.30420639871669192</v>
      </c>
      <c r="W109" s="66">
        <f>(W92+W93*(W106+W108)*0.001)/(W91-W93*(W100-W106)*0.001)</f>
        <v>0.24877924349537206</v>
      </c>
    </row>
    <row r="110" spans="2:23" ht="14.25" hidden="1">
      <c r="B110" s="230" t="s">
        <v>96</v>
      </c>
      <c r="C110" s="231"/>
      <c r="D110" s="232"/>
      <c r="E110" s="66">
        <f>(E91-E92-E93*(E100+E108)*0.001)*E109/(E96*(1-E97/100)*(0.001)*E94)</f>
        <v>4.5573047484870779</v>
      </c>
      <c r="F110" s="166">
        <f>(F91-F92-F93*(F100+F108)*0.001)*F109/(F96*(1-F97/100)*(0.001)*F94)</f>
        <v>4.365976944817227</v>
      </c>
      <c r="G110" s="167">
        <f>(G91-G92-G93*(G100+G108)*0.001)*G109/(G96*(1-G97/100)*(0.001)*G94)</f>
        <v>4.7137721550157119</v>
      </c>
      <c r="H110" s="65"/>
      <c r="I110" s="41"/>
      <c r="J110" s="45"/>
      <c r="K110" s="50">
        <f>$G$123</f>
        <v>11</v>
      </c>
      <c r="L110" s="52">
        <f>8*($F$116-$F$112/2)*($F$107*(1+(L108-25)*$E$127*(0.000001)))/(K110*(1+(L108-25)*$E$125*(0.000001)))</f>
        <v>5.4412210912792682</v>
      </c>
      <c r="M110" s="52">
        <f>8*($F$116-$F$112/2)*($F$107*(1+(M108-25)*$E$127*(0.000001)))/(K110*(1+(M108-25)*$E$125*(0.000001)))</f>
        <v>4.9067315592212317</v>
      </c>
      <c r="N110" s="47"/>
      <c r="O110" s="50">
        <f>$G$123</f>
        <v>11</v>
      </c>
      <c r="P110" s="52">
        <f>8*($G$116-$G$112/2)*($G$107*(1+(P108-25)*$E$127*(0.000001)))/(O110*(1+(P108-25)*$E$125*(0.000001)))</f>
        <v>5.1933268133214456</v>
      </c>
      <c r="Q110" s="52">
        <f>8*($G$116-$G$112/2)*($G$107*(1+(Q108-25)*$E$127*(0.000001)))/(O110*(1+(Q108-25)*$E$125*(0.000001)))</f>
        <v>4.6831878625764709</v>
      </c>
      <c r="R110" s="41"/>
      <c r="S110" s="34"/>
      <c r="U110" s="66">
        <f>(U91-U92-U93*(U100+U108)*0.001)*U109/(U96*(1-U97/100)*(0.001)*U94)</f>
        <v>4.5573047484870779</v>
      </c>
      <c r="V110" s="166">
        <f>(V91-V92-V93*(V100+V108)*0.001)*V109/(V96*(1-V97/100)*(0.001)*V94)</f>
        <v>4.365976944817227</v>
      </c>
      <c r="W110" s="167">
        <f>(W91-W92-W93*(W100+W108)*0.001)*W109/(W96*(1-W97/100)*(0.001)*W94)</f>
        <v>4.7137721550157119</v>
      </c>
    </row>
    <row r="111" spans="2:23" ht="15" hidden="1" thickBot="1">
      <c r="B111" s="273" t="s">
        <v>97</v>
      </c>
      <c r="C111" s="274"/>
      <c r="D111" s="275"/>
      <c r="E111" s="67">
        <f>(E91-E92-E93*(E100+E108)*0.001)*E109/(E96*(0.001)*E94)</f>
        <v>3.6458437987896626</v>
      </c>
      <c r="F111" s="67">
        <f>(F91-F92-F93*(F100+F108)*0.001)*F109/(F96*(0.001)*F94)</f>
        <v>3.492781555853782</v>
      </c>
      <c r="G111" s="168">
        <f>(G91-G92-G93*(G100+G108)*0.001)*G109/(G96*(0.001)*G94)</f>
        <v>3.77101772401257</v>
      </c>
      <c r="H111" s="65"/>
      <c r="I111" s="41"/>
      <c r="J111" s="69"/>
      <c r="K111" s="70"/>
      <c r="L111" s="70"/>
      <c r="M111" s="70"/>
      <c r="N111" s="70"/>
      <c r="O111" s="70"/>
      <c r="P111" s="70"/>
      <c r="Q111" s="70"/>
      <c r="R111" s="71"/>
      <c r="S111" s="34"/>
      <c r="U111" s="67">
        <f>(U91-U92-U93*(U100+U108)*0.001)*U109/(U96*(0.001)*U94)</f>
        <v>3.6458437987896626</v>
      </c>
      <c r="V111" s="67">
        <f>(V91-V92-V93*(V100+V108)*0.001)*V109/(V96*(0.001)*V94)</f>
        <v>3.492781555853782</v>
      </c>
      <c r="W111" s="168">
        <f>(W91-W92-W93*(W100+W108)*0.001)*W109/(W96*(0.001)*W94)</f>
        <v>3.77101772401257</v>
      </c>
    </row>
    <row r="112" spans="2:23" ht="15" hidden="1" thickTop="1">
      <c r="B112" s="276" t="s">
        <v>98</v>
      </c>
      <c r="C112" s="277"/>
      <c r="D112" s="278"/>
      <c r="E112" s="68">
        <f>(E91-E92-E93*(E100+E108)*0.001)*E109/(E96*(1+E97/100)*(0.001)*E94)</f>
        <v>3.0382031656580524</v>
      </c>
      <c r="F112" s="68">
        <f>(F91-F92-F93*(F100+F108)*0.001)*F109/(F96*(1+F97/100)*(0.001)*F94)</f>
        <v>2.9106512965448186</v>
      </c>
      <c r="G112" s="68">
        <f>(G91-G92-G93*(G100+G108)*0.001)*G109/(G96*(1+G97/100)*(0.001)*G94)</f>
        <v>3.1425147700104752</v>
      </c>
      <c r="H112" s="73"/>
      <c r="I112" s="74"/>
      <c r="J112" s="42"/>
      <c r="K112" s="43"/>
      <c r="L112" s="43"/>
      <c r="M112" s="43"/>
      <c r="N112" s="43"/>
      <c r="O112" s="43"/>
      <c r="P112" s="43"/>
      <c r="Q112" s="43"/>
      <c r="R112" s="44"/>
      <c r="S112" s="34"/>
      <c r="U112" s="68">
        <f>(U91-U92-U93*(U100+U108)*0.001)*U109/(U96*(1+U97/100)*(0.001)*U94)</f>
        <v>3.0382031656580524</v>
      </c>
      <c r="V112" s="68">
        <f>(V91-V92-V93*(V100+V108)*0.001)*V109/(V96*(1+V97/100)*(0.001)*V94)</f>
        <v>2.9106512965448186</v>
      </c>
      <c r="W112" s="68">
        <f>(W91-W92-W93*(W100+W108)*0.001)*W109/(W96*(1+W97/100)*(0.001)*W94)</f>
        <v>3.1425147700104752</v>
      </c>
    </row>
    <row r="113" spans="2:19" ht="14.25" hidden="1">
      <c r="B113" s="246" t="s">
        <v>71</v>
      </c>
      <c r="C113" s="247"/>
      <c r="D113" s="248"/>
      <c r="E113" s="72">
        <f>E110*$E$99</f>
        <v>6.8359571227306173</v>
      </c>
      <c r="F113" s="72">
        <f>F110*$F$99</f>
        <v>6.5489654172258405</v>
      </c>
      <c r="G113" s="72">
        <f>G110*$G$99</f>
        <v>7.0706582325235683</v>
      </c>
      <c r="H113" s="73"/>
      <c r="I113" s="74"/>
      <c r="J113" s="45"/>
      <c r="K113" s="47" t="s">
        <v>73</v>
      </c>
      <c r="L113" s="47"/>
      <c r="M113" s="47"/>
      <c r="N113" s="47"/>
      <c r="O113" s="47"/>
      <c r="P113" s="47"/>
      <c r="Q113" s="47"/>
      <c r="R113" s="41"/>
      <c r="S113" s="45"/>
    </row>
    <row r="114" spans="2:19" ht="14.25" hidden="1">
      <c r="B114" s="249" t="s">
        <v>72</v>
      </c>
      <c r="C114" s="250"/>
      <c r="D114" s="251"/>
      <c r="E114" s="75">
        <f>E111*$E$99</f>
        <v>5.4687656981844937</v>
      </c>
      <c r="F114" s="75">
        <f>F111*$F$99</f>
        <v>5.2391723337806733</v>
      </c>
      <c r="G114" s="75">
        <f>G111*$G$99</f>
        <v>5.6565265860188552</v>
      </c>
      <c r="H114" s="73"/>
      <c r="I114" s="74"/>
      <c r="J114" s="45"/>
      <c r="K114" s="50"/>
      <c r="L114" s="51">
        <f>$F$124</f>
        <v>0</v>
      </c>
      <c r="M114" s="51">
        <f>$G$124</f>
        <v>60</v>
      </c>
      <c r="N114" s="55"/>
      <c r="O114" s="51"/>
      <c r="P114" s="51">
        <f>$F$124</f>
        <v>0</v>
      </c>
      <c r="Q114" s="51">
        <f>$G$124</f>
        <v>60</v>
      </c>
      <c r="R114" s="41"/>
      <c r="S114" s="45"/>
    </row>
    <row r="115" spans="2:19" ht="14.25" hidden="1">
      <c r="B115" s="318" t="s">
        <v>74</v>
      </c>
      <c r="C115" s="319"/>
      <c r="D115" s="320"/>
      <c r="E115" s="76">
        <f>E112*$E$99</f>
        <v>4.5573047484870788</v>
      </c>
      <c r="F115" s="76">
        <f>F112*$F$99</f>
        <v>4.3659769448172279</v>
      </c>
      <c r="G115" s="76">
        <f>G112*$G$99</f>
        <v>4.7137721550157128</v>
      </c>
      <c r="H115" s="73"/>
      <c r="I115" s="41"/>
      <c r="J115" s="45"/>
      <c r="K115" s="50">
        <f>$F$123</f>
        <v>9</v>
      </c>
      <c r="L115" s="77">
        <f>$E$117*K115*(1+(L114-25)*$E$125*0.000001)/8</f>
        <v>38.719687500000006</v>
      </c>
      <c r="M115" s="62">
        <f>$E$117*K115*(1+(M114-25)*$E$125*0.000001)/8</f>
        <v>51.092437499999996</v>
      </c>
      <c r="N115" s="47"/>
      <c r="O115" s="50">
        <f>$F$123</f>
        <v>9</v>
      </c>
      <c r="P115" s="57">
        <f>$E$117*O115*(1+(P114-25)*$E$125*0.000001)/8</f>
        <v>38.719687500000006</v>
      </c>
      <c r="Q115" s="57">
        <f>$E$117*O115*(1+(Q114-25)*$E$125*0.000001)/8</f>
        <v>51.092437499999996</v>
      </c>
      <c r="R115" s="41"/>
      <c r="S115" s="45"/>
    </row>
    <row r="116" spans="2:19" ht="14.25" hidden="1">
      <c r="B116" s="200" t="s">
        <v>77</v>
      </c>
      <c r="C116" s="201"/>
      <c r="D116" s="202"/>
      <c r="E116" s="79">
        <f>E93</f>
        <v>4</v>
      </c>
      <c r="F116" s="79">
        <f>E116</f>
        <v>4</v>
      </c>
      <c r="G116" s="79">
        <f>F116</f>
        <v>4</v>
      </c>
      <c r="H116" s="73"/>
      <c r="I116" s="41"/>
      <c r="J116" s="45"/>
      <c r="K116" s="50">
        <f>$G$123</f>
        <v>11</v>
      </c>
      <c r="L116" s="62">
        <f>$E$117*K116*(1+(L114-25)*$E$125*0.000001)/8</f>
        <v>47.324062500000004</v>
      </c>
      <c r="M116" s="77">
        <f>$E$117*K116*(1+(M114-25)*$E$125*0.000001)/8</f>
        <v>62.446312499999991</v>
      </c>
      <c r="N116" s="47"/>
      <c r="O116" s="50">
        <f>$G$123</f>
        <v>11</v>
      </c>
      <c r="P116" s="57">
        <f>$E$117*O116*(1+(P114-25)*$E$125*0.000001)/8</f>
        <v>47.324062500000004</v>
      </c>
      <c r="Q116" s="57">
        <f>$E$117*O116*(1+(Q114-25)*$E$125*0.000001)/8</f>
        <v>62.446312499999991</v>
      </c>
      <c r="R116" s="41"/>
      <c r="S116" s="45"/>
    </row>
    <row r="117" spans="2:19" ht="15" hidden="1" thickBot="1">
      <c r="B117" s="200" t="s">
        <v>78</v>
      </c>
      <c r="C117" s="201"/>
      <c r="D117" s="202"/>
      <c r="E117" s="46">
        <f>E62</f>
        <v>39</v>
      </c>
      <c r="F117" s="81"/>
      <c r="G117" s="82"/>
      <c r="H117" s="73"/>
      <c r="I117" s="34"/>
      <c r="J117" s="69"/>
      <c r="K117" s="70"/>
      <c r="L117" s="70"/>
      <c r="M117" s="70"/>
      <c r="N117" s="70"/>
      <c r="O117" s="70"/>
      <c r="P117" s="70"/>
      <c r="Q117" s="70"/>
      <c r="R117" s="71"/>
      <c r="S117" s="45"/>
    </row>
    <row r="118" spans="2:19" ht="15" hidden="1" thickTop="1">
      <c r="B118" s="241" t="s">
        <v>79</v>
      </c>
      <c r="C118" s="242"/>
      <c r="D118" s="243"/>
      <c r="E118" s="84">
        <f>E117*$E$123/8</f>
        <v>48.75</v>
      </c>
      <c r="F118" s="85"/>
      <c r="G118" s="80"/>
      <c r="H118" s="78"/>
      <c r="I118" s="34"/>
      <c r="J118" s="42"/>
      <c r="K118" s="43" t="s">
        <v>75</v>
      </c>
      <c r="L118" s="43"/>
      <c r="M118" s="43"/>
      <c r="N118" s="43"/>
      <c r="O118" s="43" t="s">
        <v>76</v>
      </c>
      <c r="P118" s="43"/>
      <c r="Q118" s="43"/>
      <c r="R118" s="44"/>
      <c r="S118" s="45"/>
    </row>
    <row r="119" spans="2:19" ht="14.25" hidden="1">
      <c r="B119" s="241" t="s">
        <v>80</v>
      </c>
      <c r="C119" s="242"/>
      <c r="D119" s="243"/>
      <c r="E119" s="84">
        <f>$E$117*$E$123/(8*E106)+E111/2</f>
        <v>25.037207613680543</v>
      </c>
      <c r="F119" s="84">
        <f>$E$117*$E$123/(8*F106)+F111/2</f>
        <v>24.960676492212603</v>
      </c>
      <c r="G119" s="84">
        <f>$E$117*$E$123/(8*G106)+G111/2</f>
        <v>25.099794576291998</v>
      </c>
      <c r="H119" s="78"/>
      <c r="I119" s="41"/>
      <c r="J119" s="45"/>
      <c r="K119" s="47" t="s">
        <v>172</v>
      </c>
      <c r="L119" s="47"/>
      <c r="M119" s="47"/>
      <c r="N119" s="47"/>
      <c r="O119" s="47" t="s">
        <v>172</v>
      </c>
      <c r="P119" s="47"/>
      <c r="Q119" s="47"/>
      <c r="R119" s="41"/>
      <c r="S119" s="45"/>
    </row>
    <row r="120" spans="2:19" ht="14.25" hidden="1">
      <c r="B120" s="213" t="s">
        <v>81</v>
      </c>
      <c r="C120" s="214"/>
      <c r="D120" s="215"/>
      <c r="E120" s="86">
        <f>MIN(L121:M122,P121:Q122,L125:M126,P125:Q126,L131:M132,P131:Q132,L135:M136,P135:Q136)</f>
        <v>16.378124016720513</v>
      </c>
      <c r="F120" s="87"/>
      <c r="G120" s="87"/>
      <c r="H120" s="78"/>
      <c r="I120" s="34"/>
      <c r="J120" s="45"/>
      <c r="K120" s="50" t="s">
        <v>59</v>
      </c>
      <c r="L120" s="51">
        <f>$F$124</f>
        <v>0</v>
      </c>
      <c r="M120" s="51">
        <f>$G$124</f>
        <v>60</v>
      </c>
      <c r="N120" s="55"/>
      <c r="O120" s="51" t="s">
        <v>59</v>
      </c>
      <c r="P120" s="51">
        <f>$F$124</f>
        <v>0</v>
      </c>
      <c r="Q120" s="51">
        <f>$G$124</f>
        <v>60</v>
      </c>
      <c r="R120" s="41"/>
      <c r="S120" s="45"/>
    </row>
    <row r="121" spans="2:19" ht="14.25" hidden="1">
      <c r="B121" s="213" t="s">
        <v>82</v>
      </c>
      <c r="C121" s="214"/>
      <c r="D121" s="215"/>
      <c r="E121" s="86">
        <f>MAX(L121:M122,P121:Q122,L125:M126,P125:Q126,L131:M132,P131:Q132,L135:M136,P135:Q136)</f>
        <v>38.313765504006383</v>
      </c>
      <c r="H121" s="80"/>
      <c r="I121" s="34"/>
      <c r="J121" s="45"/>
      <c r="K121" s="50">
        <f>$F$123</f>
        <v>9</v>
      </c>
      <c r="L121" s="52">
        <f>$E$117*K121*(1+(L120-25)*$E$125*0.000001)/(8*$E$105*(1+(L120-25)*$E$127*0.000001))+$F$110/2</f>
        <v>28.712407794094126</v>
      </c>
      <c r="M121" s="52">
        <f>$E$117*K121*(1+(M120-25)*$E$125*0.000001)/(8*$E$105*(1+(M120-25)*$E$127*0.000001))+$F$110/2</f>
        <v>31.602253457725588</v>
      </c>
      <c r="N121" s="47"/>
      <c r="O121" s="50">
        <f>$F$123</f>
        <v>9</v>
      </c>
      <c r="P121" s="52">
        <f>$E$117*O121*(1+(P120-25)*$E$125*0.000001)/(8*$E$105*(1+(P120-25)*$E$127*0.000001))+$G$110/2</f>
        <v>28.886305399193368</v>
      </c>
      <c r="Q121" s="52">
        <f>$E$117*O121*(1+(Q120-25)*$E$125*0.000001)/(8*$E$105*(1+(Q120-25)*$E$127*0.000001))+$G$110/2</f>
        <v>31.77615106282483</v>
      </c>
      <c r="R121" s="41"/>
      <c r="S121" s="45"/>
    </row>
    <row r="122" spans="2:19" ht="14.25" hidden="1">
      <c r="H122" s="38"/>
      <c r="I122" s="34"/>
      <c r="J122" s="45"/>
      <c r="K122" s="50">
        <f>$G$123</f>
        <v>11</v>
      </c>
      <c r="L122" s="52">
        <f>$E$117*K122*(1+(L120-25)*$E$125*0.000001)/(8*$E$105*(1+(L120-25)*$E$127*0.000001))+$F$110/2</f>
        <v>34.607834310024231</v>
      </c>
      <c r="M122" s="52">
        <f>$E$117*K122*(1+(M120-25)*$E$125*0.000001)/(8*$E$105*(1+(M120-25)*$E$127*0.000001))+$F$110/2</f>
        <v>38.139867898907141</v>
      </c>
      <c r="N122" s="47"/>
      <c r="O122" s="50">
        <f>$G$123</f>
        <v>11</v>
      </c>
      <c r="P122" s="56">
        <f>$E$117*O122*(1+(P120-25)*$E$125*0.000001)/(8*$E$105*(1+(P120-25)*$E$127*0.000001))+$G$110/2</f>
        <v>34.78173191512348</v>
      </c>
      <c r="Q122" s="83">
        <f>$E$117*O122*(1+(Q120-25)*$E$125*0.000001)/(8*$E$105*(1+(Q120-25)*$E$127*0.000001))+$G$110/2</f>
        <v>38.313765504006383</v>
      </c>
      <c r="R122" s="41"/>
      <c r="S122" s="45"/>
    </row>
    <row r="123" spans="2:19" ht="14.25" hidden="1">
      <c r="B123" s="304" t="s">
        <v>83</v>
      </c>
      <c r="C123" s="305"/>
      <c r="D123" s="306"/>
      <c r="E123" s="89">
        <v>10</v>
      </c>
      <c r="F123" s="89">
        <v>9</v>
      </c>
      <c r="G123" s="89">
        <v>11</v>
      </c>
      <c r="H123" s="38"/>
      <c r="I123" s="34"/>
      <c r="J123" s="45"/>
      <c r="K123" s="47"/>
      <c r="L123" s="47"/>
      <c r="M123" s="38"/>
      <c r="N123" s="38"/>
      <c r="O123" s="38"/>
      <c r="P123" s="38"/>
      <c r="Q123" s="38"/>
      <c r="R123" s="41"/>
      <c r="S123" s="45"/>
    </row>
    <row r="124" spans="2:19" ht="14.25" hidden="1">
      <c r="B124" s="200" t="s">
        <v>84</v>
      </c>
      <c r="C124" s="201"/>
      <c r="D124" s="202"/>
      <c r="E124" s="48">
        <v>25</v>
      </c>
      <c r="F124" s="48">
        <f>C21</f>
        <v>0</v>
      </c>
      <c r="G124" s="48">
        <f>D21</f>
        <v>60</v>
      </c>
      <c r="H124" s="80"/>
      <c r="I124" s="34"/>
      <c r="J124" s="45"/>
      <c r="K124" s="50" t="s">
        <v>63</v>
      </c>
      <c r="L124" s="51">
        <f>L120</f>
        <v>0</v>
      </c>
      <c r="M124" s="51">
        <f>M120</f>
        <v>60</v>
      </c>
      <c r="N124" s="55"/>
      <c r="O124" s="51" t="s">
        <v>63</v>
      </c>
      <c r="P124" s="51">
        <f>P120</f>
        <v>0</v>
      </c>
      <c r="Q124" s="51">
        <f>Q120</f>
        <v>60</v>
      </c>
      <c r="R124" s="41"/>
      <c r="S124" s="45"/>
    </row>
    <row r="125" spans="2:19" ht="14.25" hidden="1">
      <c r="B125" s="307" t="s">
        <v>86</v>
      </c>
      <c r="C125" s="308"/>
      <c r="D125" s="309"/>
      <c r="E125" s="90">
        <v>4700</v>
      </c>
      <c r="F125" s="49">
        <f>E125</f>
        <v>4700</v>
      </c>
      <c r="G125" s="49">
        <f>F125</f>
        <v>4700</v>
      </c>
      <c r="H125" s="88"/>
      <c r="I125" s="34"/>
      <c r="J125" s="45"/>
      <c r="K125" s="50">
        <f>$F$123</f>
        <v>9</v>
      </c>
      <c r="L125" s="52">
        <f>$E$117*K125*(1+(L124-25)*$E$125*0.000001)/(8*$E$105*(1+(L124-25)*$E$127*0.000001))+$F$112/2</f>
        <v>27.984744969957923</v>
      </c>
      <c r="M125" s="52">
        <f>$E$117*K125*(1+(M124-25)*$E$125*0.000001)/(8*$E$105*(1+(M124-25)*$E$127*0.000001))+$F$112/2</f>
        <v>30.874590633589385</v>
      </c>
      <c r="N125" s="47"/>
      <c r="O125" s="50">
        <f>$F$123</f>
        <v>9</v>
      </c>
      <c r="P125" s="52">
        <f>$E$117*O125*(1+(P124-25)*$E$125*0.000001)/(8*$E$105*(1+(P124-25)*$E$127*0.000001))+$G$112/2</f>
        <v>28.100676706690749</v>
      </c>
      <c r="Q125" s="52">
        <f>$E$117*O125*(1+(Q124-25)*$E$125*0.000001)/(8*$E$105*(1+(Q124-25)*$E$127*0.000001))+$G$112/2</f>
        <v>30.990522370322211</v>
      </c>
      <c r="R125" s="41"/>
      <c r="S125" s="45"/>
    </row>
    <row r="126" spans="2:19" ht="14.25" hidden="1">
      <c r="B126" s="285" t="s">
        <v>87</v>
      </c>
      <c r="C126" s="286"/>
      <c r="D126" s="287"/>
      <c r="E126" s="49">
        <f>E123*(1+(E124-25)*E125*(0.000001))</f>
        <v>10</v>
      </c>
      <c r="F126" s="91">
        <f>F123*(1+(F124-25)*F125*(0.000001))</f>
        <v>7.9425000000000008</v>
      </c>
      <c r="G126" s="91">
        <f>G123*(1+(G124-25)*G125*(0.000001))</f>
        <v>12.809499999999998</v>
      </c>
      <c r="H126" s="88"/>
      <c r="I126" s="34"/>
      <c r="J126" s="45"/>
      <c r="K126" s="50">
        <f>$G$123</f>
        <v>11</v>
      </c>
      <c r="L126" s="52">
        <f>$E$117*K126*(1+(L124-25)*$E$125*0.000001)/(8*$E$105*(1+(L124-25)*$E$127*0.000001))+$F$112/2</f>
        <v>33.880171485888027</v>
      </c>
      <c r="M126" s="52">
        <f>$E$117*K126*(1+(M124-25)*$E$125*0.000001)/(8*$E$105*(1+(M124-25)*$E$127*0.000001))+$F$112/2</f>
        <v>37.412205074770931</v>
      </c>
      <c r="N126" s="47"/>
      <c r="O126" s="50">
        <f>$G$123</f>
        <v>11</v>
      </c>
      <c r="P126" s="52">
        <f>$E$117*O126*(1+(P124-25)*$E$125*0.000001)/(8*$E$105*(1+(P124-25)*$E$127*0.000001))+$G$112/2</f>
        <v>33.99610322262086</v>
      </c>
      <c r="Q126" s="52">
        <f>$E$117*O126*(1+(Q124-25)*$E$125*0.000001)/(8*$E$105*(1+(Q124-25)*$E$127*0.000001))+$G$112/2</f>
        <v>37.528136811503764</v>
      </c>
      <c r="R126" s="41"/>
      <c r="S126" s="45"/>
    </row>
    <row r="127" spans="2:19" ht="14.25" hidden="1">
      <c r="B127" s="200" t="s">
        <v>88</v>
      </c>
      <c r="C127" s="201"/>
      <c r="D127" s="202"/>
      <c r="E127" s="48">
        <f>(H57-1)/75*1000000</f>
        <v>2933.333333333333</v>
      </c>
      <c r="F127" s="49">
        <f>E127</f>
        <v>2933.333333333333</v>
      </c>
      <c r="G127" s="49">
        <f>F127</f>
        <v>2933.333333333333</v>
      </c>
      <c r="H127" s="88"/>
      <c r="I127" s="34"/>
      <c r="J127" s="45"/>
      <c r="K127" s="47"/>
      <c r="L127" s="47"/>
      <c r="M127" s="47"/>
      <c r="N127" s="47"/>
      <c r="O127" s="47"/>
      <c r="P127" s="47"/>
      <c r="Q127" s="47"/>
      <c r="R127" s="41"/>
      <c r="S127" s="45"/>
    </row>
    <row r="128" spans="2:19" ht="14.25" hidden="1">
      <c r="B128" s="285" t="s">
        <v>89</v>
      </c>
      <c r="C128" s="286"/>
      <c r="D128" s="287"/>
      <c r="E128" s="49">
        <f>E107*(1+(E124-25)*E127*(0.000001))</f>
        <v>2.8</v>
      </c>
      <c r="F128" s="91">
        <f>F107*(1+(F124-25)*F127*(0.000001))</f>
        <v>2.5946666666666665</v>
      </c>
      <c r="G128" s="91">
        <f>G107*(1+(G124-25)*G127*(0.000001))</f>
        <v>3.0874666666666664</v>
      </c>
      <c r="H128" s="88"/>
      <c r="I128" s="34"/>
      <c r="J128" s="45"/>
      <c r="K128" s="47" t="s">
        <v>75</v>
      </c>
      <c r="L128" s="47"/>
      <c r="M128" s="47"/>
      <c r="N128" s="47"/>
      <c r="O128" s="47" t="s">
        <v>76</v>
      </c>
      <c r="P128" s="47"/>
      <c r="Q128" s="38"/>
      <c r="R128" s="41"/>
      <c r="S128" s="45"/>
    </row>
    <row r="129" spans="2:26" ht="14.25" hidden="1">
      <c r="H129" s="38"/>
      <c r="I129" s="34"/>
      <c r="J129" s="45"/>
      <c r="K129" s="47" t="s">
        <v>85</v>
      </c>
      <c r="L129" s="47"/>
      <c r="M129" s="47"/>
      <c r="N129" s="47"/>
      <c r="O129" s="47" t="s">
        <v>85</v>
      </c>
      <c r="P129" s="47"/>
      <c r="Q129" s="47"/>
      <c r="R129" s="41"/>
      <c r="S129" s="45"/>
    </row>
    <row r="130" spans="2:26" ht="14.25" hidden="1">
      <c r="B130" s="34" t="s">
        <v>145</v>
      </c>
      <c r="H130" s="185"/>
      <c r="I130" s="34"/>
      <c r="J130" s="45"/>
      <c r="K130" s="50" t="s">
        <v>59</v>
      </c>
      <c r="L130" s="51">
        <f>$F$124</f>
        <v>0</v>
      </c>
      <c r="M130" s="51">
        <f>$G$124</f>
        <v>60</v>
      </c>
      <c r="N130" s="55"/>
      <c r="O130" s="51" t="s">
        <v>59</v>
      </c>
      <c r="P130" s="51">
        <f>$F$124</f>
        <v>0</v>
      </c>
      <c r="Q130" s="51">
        <f>$G$124</f>
        <v>60</v>
      </c>
      <c r="R130" s="41"/>
      <c r="S130" s="45"/>
    </row>
    <row r="131" spans="2:26" ht="14.25" hidden="1">
      <c r="B131" s="238" t="s">
        <v>110</v>
      </c>
      <c r="C131" s="239"/>
      <c r="D131" s="240"/>
      <c r="E131" s="92">
        <v>1.8</v>
      </c>
      <c r="H131" s="185"/>
      <c r="I131" s="34"/>
      <c r="J131" s="45"/>
      <c r="K131" s="50">
        <f>$F$123</f>
        <v>9</v>
      </c>
      <c r="L131" s="52">
        <f>$E$117*K131*(1+(L130-25)*$E$125*0.000001)/(8*$E$107*(1+(L130-25)*$E$127*0.000001))+$F$110/2</f>
        <v>17.105786840856716</v>
      </c>
      <c r="M131" s="52">
        <f>$E$117*K131*(1+(M130-25)*$E$125*0.000001)/(8*$E$107*(1+(M130-25)*$E$127*0.000001))+$F$110/2</f>
        <v>18.731325026649415</v>
      </c>
      <c r="N131" s="47"/>
      <c r="O131" s="50">
        <f>$F$123</f>
        <v>9</v>
      </c>
      <c r="P131" s="52">
        <f>$E$117*O131*(1+(P130-25)*$E$125*0.000001)/(8*$E$107*(1+(P130-25)*$E$127*0.000001))+$G$110/2</f>
        <v>17.279684445955958</v>
      </c>
      <c r="Q131" s="52">
        <f>$E$117*O131*(1+(Q130-25)*$E$125*0.000001)/(8*$E$107*(1+(Q130-25)*$E$127*0.000001))+$G$110/2</f>
        <v>18.905222631748657</v>
      </c>
      <c r="R131" s="41"/>
      <c r="S131" s="45"/>
    </row>
    <row r="132" spans="2:26" ht="14.25" hidden="1">
      <c r="B132" s="200" t="s">
        <v>146</v>
      </c>
      <c r="C132" s="201"/>
      <c r="D132" s="202"/>
      <c r="E132" s="48">
        <f>C30</f>
        <v>20</v>
      </c>
      <c r="H132" s="88"/>
      <c r="I132" s="34"/>
      <c r="J132" s="45"/>
      <c r="K132" s="50">
        <f>$G$123</f>
        <v>11</v>
      </c>
      <c r="L132" s="52">
        <f>$E$117*K132*(1+(L130-25)*$E$125*0.000001)/(8*$E$107*(1+(L130-25)*$E$127*0.000001))+$F$110/2</f>
        <v>20.421964256067405</v>
      </c>
      <c r="M132" s="52">
        <f>$E$117*K132*(1+(M130-25)*$E$125*0.000001)/(8*$E$107*(1+(M130-25)*$E$127*0.000001))+$F$110/2</f>
        <v>22.408733149814037</v>
      </c>
      <c r="N132" s="47"/>
      <c r="O132" s="50">
        <f>$G$123</f>
        <v>11</v>
      </c>
      <c r="P132" s="52">
        <f>$E$117*O132*(1+(P130-25)*$E$125*0.000001)/(8*$E$107*(1+(P130-25)*$E$127*0.000001))+$G$110/2</f>
        <v>20.595861861166647</v>
      </c>
      <c r="Q132" s="52">
        <f>$E$117*O132*(1+(Q130-25)*$E$125*0.000001)/(8*$E$107*(1+(Q130-25)*$E$127*0.000001))+$G$110/2</f>
        <v>22.582630754913279</v>
      </c>
      <c r="R132" s="41"/>
      <c r="S132" s="45"/>
    </row>
    <row r="133" spans="2:26" ht="14.25" hidden="1">
      <c r="B133" s="241" t="s">
        <v>106</v>
      </c>
      <c r="C133" s="242"/>
      <c r="D133" s="243"/>
      <c r="E133" s="94">
        <f>E132/(E131/(E92-E114/2000)-1)</f>
        <v>59.516823470418231</v>
      </c>
      <c r="H133" s="88"/>
      <c r="I133" s="34"/>
      <c r="J133" s="45"/>
      <c r="K133" s="47"/>
      <c r="L133" s="47"/>
      <c r="M133" s="38"/>
      <c r="N133" s="47"/>
      <c r="O133" s="38"/>
      <c r="P133" s="38"/>
      <c r="Q133" s="38"/>
      <c r="R133" s="41"/>
      <c r="S133" s="45"/>
    </row>
    <row r="134" spans="2:26" ht="14.25" hidden="1">
      <c r="B134" s="200" t="s">
        <v>90</v>
      </c>
      <c r="C134" s="201"/>
      <c r="D134" s="202"/>
      <c r="E134" s="96">
        <f>F30</f>
        <v>100</v>
      </c>
      <c r="F134" s="34"/>
      <c r="G134" s="236" t="s">
        <v>112</v>
      </c>
      <c r="H134" s="50">
        <v>300</v>
      </c>
      <c r="I134" s="34"/>
      <c r="J134" s="45"/>
      <c r="K134" s="50" t="s">
        <v>63</v>
      </c>
      <c r="L134" s="51">
        <f>L130</f>
        <v>0</v>
      </c>
      <c r="M134" s="51">
        <f>M130</f>
        <v>60</v>
      </c>
      <c r="N134" s="55"/>
      <c r="O134" s="51" t="s">
        <v>63</v>
      </c>
      <c r="P134" s="51">
        <f>P130</f>
        <v>0</v>
      </c>
      <c r="Q134" s="51">
        <f>Q130</f>
        <v>60</v>
      </c>
      <c r="R134" s="41"/>
      <c r="S134" s="45"/>
    </row>
    <row r="135" spans="2:26" ht="14.25" hidden="1">
      <c r="B135" s="241" t="s">
        <v>111</v>
      </c>
      <c r="C135" s="242"/>
      <c r="D135" s="243"/>
      <c r="E135" s="94">
        <f>E131*E134/(E132+E134)+E114/2000</f>
        <v>1.5027343828490922</v>
      </c>
      <c r="F135" s="34"/>
      <c r="G135" s="237"/>
      <c r="H135" s="50">
        <v>400</v>
      </c>
      <c r="I135" s="34"/>
      <c r="J135" s="45"/>
      <c r="K135" s="50">
        <f>$F$123</f>
        <v>9</v>
      </c>
      <c r="L135" s="83">
        <f>$E$117*K135*(1+(L134-25)*$E$125*0.000001)/(8*$E$107*(1+(L134-25)*$E$127*0.000001))+$F$112/2</f>
        <v>16.378124016720513</v>
      </c>
      <c r="M135" s="56">
        <f>$E$117*K135*(1+(M134-25)*$E$125*0.000001)/(8*$E$107*(1+(M134-25)*$E$127*0.000001))+$F$112/2</f>
        <v>18.003662202513212</v>
      </c>
      <c r="N135" s="47"/>
      <c r="O135" s="50">
        <f>$F$123</f>
        <v>9</v>
      </c>
      <c r="P135" s="52">
        <f>$E$117*O135*(1+(P134-25)*$E$125*0.000001)/(8*$E$107*(1+(P134-25)*$E$127*0.000001))+$G$112/2</f>
        <v>16.494055753453338</v>
      </c>
      <c r="Q135" s="52">
        <f>$E$117*O135*(1+(Q134-25)*$E$125*0.000001)/(8*$E$107*(1+(Q134-25)*$E$127*0.000001))+$G$112/2</f>
        <v>18.119593939246037</v>
      </c>
      <c r="R135" s="41"/>
      <c r="S135" s="45"/>
    </row>
    <row r="136" spans="2:26" ht="14.25" hidden="1">
      <c r="F136" s="34"/>
      <c r="G136" s="34"/>
      <c r="H136" s="171"/>
      <c r="I136" s="93"/>
      <c r="J136" s="45"/>
      <c r="K136" s="50">
        <f>$G$123</f>
        <v>11</v>
      </c>
      <c r="L136" s="52">
        <f>$E$117*K136*(1+(L134-25)*$E$125*0.000001)/(8*$E$107*(1+(L134-25)*$E$127*0.000001))+$F$112/2</f>
        <v>19.694301431931201</v>
      </c>
      <c r="M136" s="52">
        <f>$E$117*K136*(1+(M134-25)*$E$125*0.000001)/(8*$E$107*(1+(M134-25)*$E$127*0.000001))+$F$112/2</f>
        <v>21.681070325677833</v>
      </c>
      <c r="N136" s="47"/>
      <c r="O136" s="50">
        <f>$G$123</f>
        <v>11</v>
      </c>
      <c r="P136" s="52">
        <f>$E$117*O136*(1+(P134-25)*$E$125*0.000001)/(8*$E$107*(1+(P134-25)*$E$127*0.000001))+$G$112/2</f>
        <v>19.810233168664027</v>
      </c>
      <c r="Q136" s="52">
        <f>$E$117*O136*(1+(Q134-25)*$E$125*0.000001)/(8*$E$107*(1+(Q134-25)*$E$127*0.000001))+$G$112/2</f>
        <v>21.797002062410662</v>
      </c>
      <c r="R136" s="41"/>
      <c r="S136" s="45"/>
    </row>
    <row r="137" spans="2:26" ht="15" hidden="1" thickBot="1">
      <c r="B137" s="34" t="s">
        <v>207</v>
      </c>
      <c r="C137" s="34"/>
      <c r="D137" s="34"/>
      <c r="E137" s="34"/>
      <c r="F137" s="34"/>
      <c r="G137" s="34"/>
      <c r="H137" s="38"/>
      <c r="I137" s="93"/>
      <c r="J137" s="69"/>
      <c r="K137" s="70"/>
      <c r="L137" s="95"/>
      <c r="M137" s="95"/>
      <c r="N137" s="95"/>
      <c r="O137" s="70"/>
      <c r="P137" s="70"/>
      <c r="Q137" s="70"/>
      <c r="R137" s="71"/>
      <c r="S137" s="45"/>
    </row>
    <row r="138" spans="2:26" ht="15" hidden="1" thickTop="1">
      <c r="B138" s="227" t="s">
        <v>113</v>
      </c>
      <c r="C138" s="228"/>
      <c r="D138" s="229"/>
      <c r="E138" s="86">
        <f>E94/3</f>
        <v>133.33333333333334</v>
      </c>
      <c r="F138" s="34"/>
      <c r="G138" s="185"/>
      <c r="H138" s="185"/>
      <c r="I138" s="93"/>
      <c r="J138" s="34"/>
      <c r="K138" s="34"/>
      <c r="L138" s="34"/>
      <c r="M138" s="34"/>
      <c r="N138" s="34"/>
      <c r="O138" s="34"/>
      <c r="P138" s="34"/>
      <c r="Q138" s="34"/>
      <c r="R138" s="43"/>
      <c r="S138" s="47"/>
    </row>
    <row r="139" spans="2:26" ht="14.25" hidden="1" customHeight="1">
      <c r="B139" s="227" t="s">
        <v>174</v>
      </c>
      <c r="C139" s="228"/>
      <c r="D139" s="229"/>
      <c r="E139" s="50">
        <f>1/(2*PI()*E99*C38*0.000001)</f>
        <v>80.38128438984613</v>
      </c>
      <c r="F139" s="34"/>
      <c r="G139" s="185"/>
      <c r="H139" s="185"/>
      <c r="I139" s="93"/>
      <c r="J139" s="47"/>
      <c r="M139" s="34"/>
      <c r="N139" s="34"/>
      <c r="O139" s="34"/>
      <c r="P139" s="34"/>
      <c r="Q139" s="34"/>
      <c r="R139" s="47"/>
      <c r="S139" s="38"/>
    </row>
    <row r="140" spans="2:26" ht="14.25" hidden="1">
      <c r="B140" s="227"/>
      <c r="C140" s="228"/>
      <c r="D140" s="229"/>
      <c r="E140" s="86"/>
      <c r="F140" s="34"/>
      <c r="G140" s="185"/>
      <c r="H140" s="185"/>
      <c r="I140" s="93"/>
      <c r="O140" s="34"/>
      <c r="P140" s="34"/>
      <c r="Q140" s="34"/>
      <c r="R140" s="34"/>
      <c r="S140" s="34"/>
    </row>
    <row r="141" spans="2:26" ht="14.25" hidden="1">
      <c r="B141" s="34"/>
      <c r="C141" s="34"/>
      <c r="D141" s="34"/>
      <c r="E141" s="34"/>
      <c r="F141" s="34"/>
      <c r="I141" s="93"/>
      <c r="J141" s="34"/>
      <c r="K141" s="34"/>
      <c r="L141" s="34"/>
      <c r="M141" s="34"/>
      <c r="N141" s="34"/>
      <c r="O141" s="34"/>
      <c r="P141" s="34"/>
      <c r="Q141" s="34"/>
    </row>
    <row r="142" spans="2:26" ht="14.25" hidden="1">
      <c r="B142" s="158" t="s">
        <v>150</v>
      </c>
      <c r="C142" s="158"/>
      <c r="D142" s="158"/>
      <c r="F142" s="34"/>
      <c r="G142" s="34"/>
      <c r="J142" s="34"/>
      <c r="K142" s="34"/>
      <c r="L142" s="34"/>
      <c r="M142" s="34"/>
      <c r="N142" s="34"/>
      <c r="O142" s="34"/>
      <c r="P142" s="34"/>
      <c r="Q142" s="34"/>
      <c r="R142" s="158" t="s">
        <v>150</v>
      </c>
      <c r="S142" s="158"/>
      <c r="T142" s="158"/>
      <c r="V142" s="34"/>
      <c r="W142" s="34"/>
      <c r="Z142" s="34"/>
    </row>
    <row r="143" spans="2:26" ht="14.25" hidden="1">
      <c r="B143" s="226" t="s">
        <v>5</v>
      </c>
      <c r="C143" s="226"/>
      <c r="D143" s="226"/>
      <c r="E143" s="101">
        <f>C166</f>
        <v>8</v>
      </c>
      <c r="F143" s="159">
        <f t="shared" ref="F143:G146" si="5">E143</f>
        <v>8</v>
      </c>
      <c r="G143" s="159">
        <f t="shared" si="5"/>
        <v>8</v>
      </c>
      <c r="H143" s="34"/>
      <c r="I143" s="34"/>
      <c r="J143" s="34"/>
      <c r="K143" s="34"/>
      <c r="L143" s="34"/>
      <c r="M143" s="34"/>
      <c r="N143" s="34"/>
      <c r="O143" s="34"/>
      <c r="P143" s="34"/>
      <c r="Q143" s="34"/>
      <c r="R143" s="226" t="s">
        <v>5</v>
      </c>
      <c r="S143" s="226"/>
      <c r="T143" s="226"/>
      <c r="U143" s="101">
        <f>S166</f>
        <v>8</v>
      </c>
      <c r="V143" s="159">
        <f t="shared" ref="V143:W146" si="6">U143</f>
        <v>8</v>
      </c>
      <c r="W143" s="159">
        <f t="shared" si="6"/>
        <v>8</v>
      </c>
      <c r="X143" s="34"/>
      <c r="Y143" s="34"/>
      <c r="Z143" s="34"/>
    </row>
    <row r="144" spans="2:26" ht="14.25" hidden="1">
      <c r="B144" s="226" t="s">
        <v>1</v>
      </c>
      <c r="C144" s="226"/>
      <c r="D144" s="226"/>
      <c r="E144" s="101">
        <f>D166</f>
        <v>0</v>
      </c>
      <c r="F144" s="159">
        <f t="shared" si="5"/>
        <v>0</v>
      </c>
      <c r="G144" s="159">
        <f t="shared" si="5"/>
        <v>0</v>
      </c>
      <c r="H144" s="34"/>
      <c r="I144" s="34"/>
      <c r="J144" s="34"/>
      <c r="K144" s="34"/>
      <c r="L144" s="34"/>
      <c r="M144" s="34"/>
      <c r="N144" s="34"/>
      <c r="O144" s="34"/>
      <c r="P144" s="34"/>
      <c r="Q144" s="34"/>
      <c r="R144" s="226" t="s">
        <v>1</v>
      </c>
      <c r="S144" s="226"/>
      <c r="T144" s="226"/>
      <c r="U144" s="101">
        <f>T166</f>
        <v>0</v>
      </c>
      <c r="V144" s="159">
        <f t="shared" si="6"/>
        <v>0</v>
      </c>
      <c r="W144" s="159">
        <f t="shared" si="6"/>
        <v>0</v>
      </c>
      <c r="X144" s="34"/>
      <c r="Y144" s="34"/>
      <c r="Z144" s="34"/>
    </row>
    <row r="145" spans="2:26" ht="14.25" hidden="1">
      <c r="B145" s="226" t="s">
        <v>6</v>
      </c>
      <c r="C145" s="226"/>
      <c r="D145" s="226"/>
      <c r="E145" s="57">
        <f>E166</f>
        <v>6</v>
      </c>
      <c r="F145" s="159">
        <f t="shared" si="5"/>
        <v>6</v>
      </c>
      <c r="G145" s="159">
        <f t="shared" si="5"/>
        <v>6</v>
      </c>
      <c r="H145" s="34"/>
      <c r="I145" s="34"/>
      <c r="J145" s="34"/>
      <c r="K145" s="34"/>
      <c r="L145" s="34"/>
      <c r="M145" s="34"/>
      <c r="N145" s="34"/>
      <c r="O145" s="34"/>
      <c r="P145" s="34"/>
      <c r="Q145" s="34"/>
      <c r="R145" s="226" t="s">
        <v>6</v>
      </c>
      <c r="S145" s="226"/>
      <c r="T145" s="226"/>
      <c r="U145" s="57">
        <f>U166</f>
        <v>6</v>
      </c>
      <c r="V145" s="159">
        <f t="shared" si="6"/>
        <v>6</v>
      </c>
      <c r="W145" s="159">
        <f t="shared" si="6"/>
        <v>6</v>
      </c>
      <c r="X145" s="34"/>
      <c r="Y145" s="34"/>
      <c r="Z145" s="34"/>
    </row>
    <row r="146" spans="2:26" ht="14.25" hidden="1">
      <c r="B146" s="226" t="s">
        <v>7</v>
      </c>
      <c r="C146" s="226"/>
      <c r="D146" s="226"/>
      <c r="E146" s="101">
        <f>G166</f>
        <v>4</v>
      </c>
      <c r="F146" s="159">
        <f t="shared" si="5"/>
        <v>4</v>
      </c>
      <c r="G146" s="159">
        <f t="shared" si="5"/>
        <v>4</v>
      </c>
      <c r="H146" s="34"/>
      <c r="I146" s="34"/>
      <c r="J146" s="34"/>
      <c r="K146" s="34"/>
      <c r="L146" s="34"/>
      <c r="M146" s="34"/>
      <c r="N146" s="34"/>
      <c r="O146" s="34"/>
      <c r="P146" s="34"/>
      <c r="Q146" s="34"/>
      <c r="R146" s="226" t="s">
        <v>7</v>
      </c>
      <c r="S146" s="226"/>
      <c r="T146" s="226"/>
      <c r="U146" s="101">
        <f>W166</f>
        <v>4</v>
      </c>
      <c r="V146" s="159">
        <f t="shared" si="6"/>
        <v>4</v>
      </c>
      <c r="W146" s="159">
        <f t="shared" si="6"/>
        <v>4</v>
      </c>
      <c r="X146" s="34"/>
      <c r="Y146" s="34"/>
      <c r="Z146" s="34"/>
    </row>
    <row r="147" spans="2:26" ht="14.25" hidden="1">
      <c r="B147" s="226" t="s">
        <v>2</v>
      </c>
      <c r="C147" s="226"/>
      <c r="D147" s="226"/>
      <c r="E147" s="50">
        <f>(E143-E144)^2/(E145*2)</f>
        <v>5.333333333333333</v>
      </c>
      <c r="F147" s="50">
        <f>(F143-F144)^2/(F145*2)</f>
        <v>5.333333333333333</v>
      </c>
      <c r="G147" s="50">
        <f>(G143-G144)^2/(G145*2)</f>
        <v>5.333333333333333</v>
      </c>
      <c r="H147" s="34"/>
      <c r="I147" s="34"/>
      <c r="J147" s="34"/>
      <c r="K147" s="34"/>
      <c r="L147" s="34"/>
      <c r="M147" s="34"/>
      <c r="N147" s="34"/>
      <c r="O147" s="34"/>
      <c r="P147" s="34"/>
      <c r="Q147" s="34"/>
      <c r="R147" s="226" t="s">
        <v>2</v>
      </c>
      <c r="S147" s="226"/>
      <c r="T147" s="226"/>
      <c r="U147" s="50">
        <f>(U143-U144)^2/(U145*2)</f>
        <v>5.333333333333333</v>
      </c>
      <c r="V147" s="50">
        <f>(V143-V144)^2/(V145*2)</f>
        <v>5.333333333333333</v>
      </c>
      <c r="W147" s="50">
        <f>(W143-W144)^2/(W145*2)</f>
        <v>5.333333333333333</v>
      </c>
      <c r="X147" s="34"/>
      <c r="Y147" s="34"/>
      <c r="Z147" s="34"/>
    </row>
    <row r="148" spans="2:26" ht="14.25" hidden="1">
      <c r="B148" s="295" t="s">
        <v>91</v>
      </c>
      <c r="C148" s="296"/>
      <c r="D148" s="297"/>
      <c r="E148" s="57">
        <f>(E143-E144+E110/2)^2*E96*(1-E97/100)/(E92*2)</f>
        <v>21.286658473709274</v>
      </c>
      <c r="F148" s="57">
        <f>(F143-F144+F110/2)^2*F96*(1-F97/100)/(F92*2)</f>
        <v>20.89227048173646</v>
      </c>
      <c r="G148" s="57">
        <f>(G143-G144+G110/2)^2*G96*(1-G97/100)/(G92*2)</f>
        <v>21.611929087787768</v>
      </c>
      <c r="H148" s="34"/>
      <c r="I148" s="34"/>
      <c r="J148" s="34"/>
      <c r="K148" s="34"/>
      <c r="L148" s="34"/>
      <c r="M148" s="34"/>
      <c r="N148" s="34"/>
      <c r="O148" s="34"/>
      <c r="P148" s="34"/>
      <c r="Q148" s="34"/>
      <c r="R148" s="295" t="s">
        <v>91</v>
      </c>
      <c r="S148" s="296"/>
      <c r="T148" s="297"/>
      <c r="U148" s="57">
        <f>(U143-U144+U110/2)^2*U96*(1-U97/100)/(U92*2)</f>
        <v>21.286658473709274</v>
      </c>
      <c r="V148" s="57">
        <f>(V143-V144+V110/2)^2*V96*(1-V97/100)/(V92*2)</f>
        <v>20.89227048173646</v>
      </c>
      <c r="W148" s="57">
        <f>(W143-W144+W110/2)^2*W96*(1-W97/100)/(W92*2)</f>
        <v>21.611929087787768</v>
      </c>
      <c r="X148" s="34"/>
      <c r="Y148" s="34"/>
      <c r="Z148" s="34"/>
    </row>
    <row r="149" spans="2:26" ht="14.25" hidden="1">
      <c r="B149" s="298"/>
      <c r="C149" s="299"/>
      <c r="D149" s="300"/>
      <c r="E149" s="57">
        <f>(E143-E144+E111/2)^2*E96/(E92*2)</f>
        <v>24.301133465294509</v>
      </c>
      <c r="F149" s="57">
        <f>(F143-F144+F111/2)^2*F96/(F92*2)</f>
        <v>23.923944656785068</v>
      </c>
      <c r="G149" s="57">
        <f>(G143-G144+G111/2)^2*G96/(G92*2)</f>
        <v>24.611790412350835</v>
      </c>
      <c r="H149" s="34"/>
      <c r="I149" s="34"/>
      <c r="J149" s="34"/>
      <c r="K149" s="34"/>
      <c r="L149" s="34"/>
      <c r="M149" s="34"/>
      <c r="N149" s="34"/>
      <c r="O149" s="34"/>
      <c r="P149" s="34"/>
      <c r="Q149" s="34"/>
      <c r="R149" s="298"/>
      <c r="S149" s="299"/>
      <c r="T149" s="300"/>
      <c r="U149" s="57">
        <f>(U143-U144+U111/2)^2*U96/(U92*2)</f>
        <v>24.301133465294509</v>
      </c>
      <c r="V149" s="57">
        <f>(V143-V144+V111/2)^2*V96/(V92*2)</f>
        <v>23.923944656785068</v>
      </c>
      <c r="W149" s="57">
        <f>(W143-W144+W111/2)^2*W96/(W92*2)</f>
        <v>24.611790412350835</v>
      </c>
      <c r="X149" s="34"/>
      <c r="Y149" s="34"/>
      <c r="Z149" s="34"/>
    </row>
    <row r="150" spans="2:26" ht="14.25" hidden="1">
      <c r="B150" s="301"/>
      <c r="C150" s="302"/>
      <c r="D150" s="303"/>
      <c r="E150" s="57">
        <f>(E143-E144+E112/2)^2*E96*(1+E97/100)/(E92*2)</f>
        <v>27.385351360919241</v>
      </c>
      <c r="F150" s="57">
        <f>(F143-F144+F112/2)^2*F96*(1+F97/100)/(F92*2)</f>
        <v>27.019628674718703</v>
      </c>
      <c r="G150" s="57">
        <f>(G143-G144+G112/2)^2*G96*(1+G97/100)/(G92*2)</f>
        <v>27.686265863294118</v>
      </c>
      <c r="H150" s="34"/>
      <c r="I150" s="34"/>
      <c r="J150" s="34"/>
      <c r="K150" s="34"/>
      <c r="L150" s="34"/>
      <c r="M150" s="34"/>
      <c r="N150" s="34"/>
      <c r="O150" s="34"/>
      <c r="P150" s="34"/>
      <c r="Q150" s="34"/>
      <c r="R150" s="301"/>
      <c r="S150" s="302"/>
      <c r="T150" s="303"/>
      <c r="U150" s="57">
        <f>(U143-U144+U112/2)^2*U96*(1+U97/100)/(U92*2)</f>
        <v>27.385351360919241</v>
      </c>
      <c r="V150" s="57">
        <f>(V143-V144+V112/2)^2*V96*(1+V97/100)/(V92*2)</f>
        <v>27.019628674718703</v>
      </c>
      <c r="W150" s="57">
        <f>(W143-W144+W112/2)^2*W96*(1+W97/100)/(W92*2)</f>
        <v>27.686265863294118</v>
      </c>
      <c r="X150" s="34"/>
      <c r="Y150" s="34"/>
      <c r="Z150" s="34"/>
    </row>
    <row r="151" spans="2:26" ht="14.25" hidden="1">
      <c r="B151" s="216" t="s">
        <v>104</v>
      </c>
      <c r="C151" s="216"/>
      <c r="D151" s="216"/>
      <c r="E151" s="57">
        <f>(E143-E144)*(1000/E94)*(E92/E91)</f>
        <v>5.4</v>
      </c>
      <c r="F151" s="57">
        <f>(F143-F144)*(1000/F94)*(F92/F91)</f>
        <v>6.0000000000000009</v>
      </c>
      <c r="G151" s="57">
        <f>(G143-G144)*(1000/G94)*(G92/G91)</f>
        <v>4.9090909090909101</v>
      </c>
      <c r="H151" s="34"/>
      <c r="I151" s="34"/>
      <c r="J151" s="34"/>
      <c r="K151" s="34"/>
      <c r="L151" s="34"/>
      <c r="M151" s="34"/>
      <c r="N151" s="34"/>
      <c r="O151" s="34"/>
      <c r="P151" s="34"/>
      <c r="Q151" s="34"/>
      <c r="R151" s="216" t="s">
        <v>104</v>
      </c>
      <c r="S151" s="216"/>
      <c r="T151" s="216"/>
      <c r="U151" s="57">
        <f>(U143-U144)*(1000/U94)*(U92/U91)</f>
        <v>5.4</v>
      </c>
      <c r="V151" s="57">
        <f>(V143-V144)*(1000/V94)*(V92/V91)</f>
        <v>6.0000000000000009</v>
      </c>
      <c r="W151" s="57">
        <f>(W143-W144)*(1000/W94)*(W92/W91)</f>
        <v>4.9090909090909101</v>
      </c>
      <c r="X151" s="34"/>
      <c r="Y151" s="34"/>
      <c r="Z151" s="34"/>
    </row>
    <row r="152" spans="2:26" ht="14.25" hidden="1">
      <c r="B152" s="295" t="s">
        <v>92</v>
      </c>
      <c r="C152" s="296"/>
      <c r="D152" s="297"/>
      <c r="E152" s="57">
        <f>(E148+E151-E147)*100/(E146*E92)</f>
        <v>395.43194704399889</v>
      </c>
      <c r="F152" s="57">
        <f>(F148+F151-F147)*100/(F146*F92)</f>
        <v>399.23957682228013</v>
      </c>
      <c r="G152" s="57">
        <f>(G148+G151-G147)*100/(G146*G92)</f>
        <v>392.36456784343233</v>
      </c>
      <c r="H152" s="34"/>
      <c r="I152" s="34"/>
      <c r="J152" s="34"/>
      <c r="K152" s="34"/>
      <c r="L152" s="34"/>
      <c r="M152" s="34"/>
      <c r="N152" s="34"/>
      <c r="O152" s="34"/>
      <c r="P152" s="34"/>
      <c r="Q152" s="34"/>
      <c r="R152" s="295" t="s">
        <v>92</v>
      </c>
      <c r="S152" s="296"/>
      <c r="T152" s="297"/>
      <c r="U152" s="57">
        <f>(U148-U147)*100/(U146*U92)</f>
        <v>295.43194704399889</v>
      </c>
      <c r="V152" s="57">
        <f>(V148-V147)*100/(V146*V92)</f>
        <v>288.12846571116904</v>
      </c>
      <c r="W152" s="57">
        <f>(W148-W147)*100/(W146*W92)</f>
        <v>301.45547693434139</v>
      </c>
      <c r="X152" s="34"/>
      <c r="Y152" s="34"/>
      <c r="Z152" s="34"/>
    </row>
    <row r="153" spans="2:26" ht="14.25" hidden="1">
      <c r="B153" s="298"/>
      <c r="C153" s="299"/>
      <c r="D153" s="300"/>
      <c r="E153" s="57">
        <f>(E149+E151-E147)*100/(E146*E92)</f>
        <v>451.25555799928111</v>
      </c>
      <c r="F153" s="57">
        <f>(F149+F151-F147)*100/(F146*F92)</f>
        <v>455.38169117503213</v>
      </c>
      <c r="G153" s="57">
        <f>(G149+G151-G147)*100/(G146*G92)</f>
        <v>447.91755533534098</v>
      </c>
      <c r="H153" s="34"/>
      <c r="I153" s="34"/>
      <c r="J153" s="34"/>
      <c r="K153" s="34"/>
      <c r="L153" s="34"/>
      <c r="M153" s="34"/>
      <c r="N153" s="34"/>
      <c r="O153" s="34"/>
      <c r="P153" s="34"/>
      <c r="Q153" s="34"/>
      <c r="R153" s="298"/>
      <c r="S153" s="299"/>
      <c r="T153" s="300"/>
      <c r="U153" s="57">
        <f>(U149-U147)*100/(U146*U92)</f>
        <v>351.255557999281</v>
      </c>
      <c r="V153" s="57">
        <f>(V149-V147)*100/(V146*V92)</f>
        <v>344.27058006392099</v>
      </c>
      <c r="W153" s="57">
        <f>(W149-W147)*100/(W146*W92)</f>
        <v>357.00846442625004</v>
      </c>
      <c r="X153" s="34"/>
      <c r="Y153" s="34"/>
      <c r="Z153" s="34"/>
    </row>
    <row r="154" spans="2:26" ht="14.25" hidden="1">
      <c r="B154" s="301"/>
      <c r="C154" s="302"/>
      <c r="D154" s="303"/>
      <c r="E154" s="175">
        <f>(E150+E151-E147)*100/(E146*E92)</f>
        <v>508.37070421455383</v>
      </c>
      <c r="F154" s="175">
        <f>(F150+F151-F147)*100/(F146*F92)</f>
        <v>512.70917298861798</v>
      </c>
      <c r="G154" s="175">
        <f>(G150+G151-G147)*100/(G146*G92)</f>
        <v>504.85228590836476</v>
      </c>
      <c r="H154" s="34"/>
      <c r="I154" s="34"/>
      <c r="J154" s="34"/>
      <c r="K154" s="34"/>
      <c r="L154" s="34"/>
      <c r="M154" s="34"/>
      <c r="N154" s="34"/>
      <c r="O154" s="34"/>
      <c r="P154" s="34"/>
      <c r="Q154" s="34"/>
      <c r="R154" s="301"/>
      <c r="S154" s="302"/>
      <c r="T154" s="303"/>
      <c r="U154" s="175">
        <f>(U150-U147)*100/(U146*U92)</f>
        <v>408.37070421455383</v>
      </c>
      <c r="V154" s="175">
        <f>(V150-V147)*100/(V146*V92)</f>
        <v>401.59806187750684</v>
      </c>
      <c r="W154" s="175">
        <f>(W150-W147)*100/(W146*W92)</f>
        <v>413.94319499927377</v>
      </c>
      <c r="X154" s="34"/>
      <c r="Y154" s="34"/>
      <c r="Z154" s="34"/>
    </row>
    <row r="155" spans="2:26" ht="14.25" hidden="1">
      <c r="B155" s="226" t="s">
        <v>197</v>
      </c>
      <c r="C155" s="226"/>
      <c r="D155" s="226"/>
      <c r="E155" s="175">
        <f>MAX(E152:G154)</f>
        <v>512.70917298861798</v>
      </c>
      <c r="F155" s="182"/>
      <c r="G155" s="182"/>
      <c r="H155" s="34"/>
      <c r="I155" s="34"/>
      <c r="J155" s="34"/>
      <c r="K155" s="34"/>
      <c r="L155" s="34"/>
      <c r="M155" s="34"/>
      <c r="N155" s="34"/>
      <c r="O155" s="34"/>
      <c r="P155" s="34"/>
      <c r="Q155" s="34"/>
      <c r="R155" s="226" t="s">
        <v>197</v>
      </c>
      <c r="S155" s="226"/>
      <c r="T155" s="226"/>
      <c r="U155" s="175">
        <f>MAX(U152:W154)</f>
        <v>413.94319499927377</v>
      </c>
      <c r="V155" s="182"/>
      <c r="W155" s="182"/>
      <c r="X155" s="34"/>
      <c r="Y155" s="34"/>
      <c r="Z155" s="34"/>
    </row>
    <row r="156" spans="2:26" ht="14.25" hidden="1">
      <c r="B156" s="226"/>
      <c r="C156" s="226"/>
      <c r="D156" s="226"/>
      <c r="E156" s="57">
        <f>IF(E155&lt;0,10, E155)</f>
        <v>512.70917298861798</v>
      </c>
      <c r="F156" s="183"/>
      <c r="G156" s="160"/>
      <c r="H156" s="34"/>
      <c r="I156" s="34"/>
      <c r="J156" s="34"/>
      <c r="K156" s="34"/>
      <c r="L156" s="34"/>
      <c r="M156" s="34"/>
      <c r="N156" s="34"/>
      <c r="O156" s="34"/>
      <c r="P156" s="34"/>
      <c r="Q156" s="34"/>
      <c r="R156" s="226"/>
      <c r="S156" s="226"/>
      <c r="T156" s="226"/>
      <c r="U156" s="57">
        <f>IF(U155&lt;0,10, U155)</f>
        <v>413.94319499927377</v>
      </c>
      <c r="V156" s="183"/>
      <c r="W156" s="160"/>
      <c r="X156" s="34"/>
      <c r="Y156" s="34"/>
      <c r="Z156" s="34"/>
    </row>
    <row r="157" spans="2:26" ht="14.25" hidden="1">
      <c r="B157" s="216" t="s">
        <v>151</v>
      </c>
      <c r="C157" s="216"/>
      <c r="D157" s="216"/>
      <c r="E157" s="110">
        <f>MAX(E156:G156)</f>
        <v>512.70917298861798</v>
      </c>
      <c r="F157" s="160"/>
      <c r="G157" s="160"/>
      <c r="H157" s="34"/>
      <c r="I157" s="34"/>
      <c r="J157" s="34"/>
      <c r="K157" s="34"/>
      <c r="L157" s="34"/>
      <c r="M157" s="34"/>
      <c r="N157" s="34"/>
      <c r="O157" s="34"/>
      <c r="P157" s="34"/>
      <c r="Q157" s="34"/>
      <c r="R157" s="216" t="s">
        <v>151</v>
      </c>
      <c r="S157" s="216"/>
      <c r="T157" s="216"/>
      <c r="U157" s="110">
        <f>MAX(U156:W156)</f>
        <v>413.94319499927377</v>
      </c>
      <c r="V157" s="160"/>
      <c r="W157" s="160"/>
      <c r="X157" s="34"/>
      <c r="Y157" s="34"/>
      <c r="Z157" s="34"/>
    </row>
    <row r="158" spans="2:26" ht="14.25" hidden="1">
      <c r="B158" s="226" t="s">
        <v>93</v>
      </c>
      <c r="C158" s="226"/>
      <c r="D158" s="226"/>
      <c r="E158" s="110">
        <f>C38</f>
        <v>1320</v>
      </c>
      <c r="F158" s="160"/>
      <c r="G158" s="160"/>
      <c r="H158" s="34"/>
      <c r="I158" s="34"/>
      <c r="J158" s="34"/>
      <c r="K158" s="34"/>
      <c r="L158" s="34"/>
      <c r="M158" s="34"/>
      <c r="N158" s="34"/>
      <c r="O158" s="34"/>
      <c r="P158" s="34"/>
      <c r="Q158" s="34"/>
      <c r="R158" s="226" t="s">
        <v>93</v>
      </c>
      <c r="S158" s="226"/>
      <c r="T158" s="226"/>
      <c r="U158" s="110">
        <f>E158</f>
        <v>1320</v>
      </c>
      <c r="V158" s="160"/>
      <c r="W158" s="160"/>
      <c r="X158" s="34"/>
      <c r="Y158" s="34"/>
      <c r="Z158" s="34"/>
    </row>
    <row r="159" spans="2:26" ht="14.25" hidden="1">
      <c r="B159" s="226" t="s">
        <v>3</v>
      </c>
      <c r="C159" s="226"/>
      <c r="D159" s="226"/>
      <c r="E159" s="50">
        <v>0</v>
      </c>
      <c r="F159" s="34"/>
      <c r="G159" s="34"/>
      <c r="H159" s="34"/>
      <c r="I159" s="34"/>
      <c r="J159" s="34"/>
      <c r="K159" s="34"/>
      <c r="L159" s="34"/>
      <c r="M159" s="34"/>
      <c r="N159" s="34"/>
      <c r="O159" s="34"/>
      <c r="P159" s="34"/>
      <c r="Q159" s="34"/>
      <c r="R159" s="226" t="s">
        <v>3</v>
      </c>
      <c r="S159" s="226"/>
      <c r="T159" s="226"/>
      <c r="U159" s="50">
        <f>E159</f>
        <v>0</v>
      </c>
      <c r="V159" s="34"/>
      <c r="W159" s="34"/>
      <c r="X159" s="34"/>
      <c r="Y159" s="34"/>
      <c r="Z159" s="34"/>
    </row>
    <row r="160" spans="2:26" ht="14.25" hidden="1">
      <c r="B160" s="34"/>
      <c r="C160" s="34"/>
      <c r="D160" s="34"/>
      <c r="E160" s="34"/>
      <c r="F160" s="34"/>
      <c r="G160" s="34"/>
      <c r="L160" s="34"/>
      <c r="M160" s="34"/>
      <c r="N160" s="34"/>
      <c r="O160" s="34"/>
      <c r="P160" s="34"/>
      <c r="Q160" s="34"/>
      <c r="R160" s="34"/>
      <c r="S160" s="34"/>
      <c r="T160" s="34"/>
      <c r="U160" s="34"/>
      <c r="V160" s="34"/>
      <c r="W160" s="34"/>
    </row>
    <row r="161" spans="2:26" ht="14.25" hidden="1">
      <c r="B161" s="294" t="s">
        <v>178</v>
      </c>
      <c r="C161" s="294"/>
      <c r="D161" s="294"/>
      <c r="E161" s="175">
        <f>1000000/(2*PI()*E138*C38)</f>
        <v>0.90428944938576894</v>
      </c>
      <c r="F161" s="34"/>
      <c r="G161" s="34"/>
      <c r="L161" s="34"/>
      <c r="M161" s="34"/>
      <c r="N161" s="34"/>
      <c r="O161" s="34"/>
      <c r="P161" s="34"/>
      <c r="Q161" s="34"/>
      <c r="R161" s="294"/>
      <c r="S161" s="294"/>
      <c r="T161" s="294"/>
      <c r="U161" s="175"/>
      <c r="V161" s="34"/>
      <c r="W161" s="34"/>
    </row>
    <row r="162" spans="2:26" ht="14.25" hidden="1">
      <c r="B162" s="294" t="s">
        <v>179</v>
      </c>
      <c r="C162" s="294"/>
      <c r="D162" s="294"/>
      <c r="E162" s="175">
        <f>IF(E98&gt;=E161,E98,E161)</f>
        <v>4.0296296296296292</v>
      </c>
      <c r="F162" s="34"/>
      <c r="G162" s="34"/>
      <c r="L162" s="34"/>
      <c r="M162" s="34"/>
      <c r="N162" s="34"/>
      <c r="O162" s="93"/>
      <c r="P162" s="93"/>
      <c r="Q162" s="93"/>
      <c r="R162" s="294"/>
      <c r="S162" s="294"/>
      <c r="T162" s="294"/>
      <c r="U162" s="175"/>
      <c r="V162" s="34"/>
      <c r="W162" s="34"/>
    </row>
    <row r="163" spans="2:26" ht="14.25" hidden="1">
      <c r="B163" s="34"/>
      <c r="C163" s="34"/>
      <c r="D163" s="34"/>
      <c r="E163" s="34"/>
      <c r="F163" s="34"/>
      <c r="G163" s="93"/>
      <c r="H163" s="34"/>
      <c r="I163" s="34"/>
      <c r="J163" s="34"/>
      <c r="K163" s="34"/>
      <c r="L163" s="34"/>
      <c r="M163" s="34"/>
      <c r="N163" s="34"/>
      <c r="O163" s="93"/>
      <c r="P163" s="93"/>
      <c r="Q163" s="93"/>
      <c r="R163" s="34"/>
      <c r="S163" s="34"/>
      <c r="T163" s="34"/>
      <c r="U163" s="34"/>
      <c r="V163" s="34"/>
      <c r="W163" s="93"/>
      <c r="X163" s="34"/>
      <c r="Y163" s="34"/>
      <c r="Z163" s="34"/>
    </row>
    <row r="164" spans="2:26" ht="14.25" hidden="1">
      <c r="B164" s="5" t="s">
        <v>188</v>
      </c>
      <c r="C164" s="125"/>
      <c r="D164" s="125"/>
      <c r="E164" s="125"/>
      <c r="F164" s="137"/>
      <c r="G164" s="137"/>
      <c r="H164" s="137"/>
      <c r="I164" s="10"/>
      <c r="J164" s="115"/>
      <c r="K164" s="115"/>
      <c r="L164" s="93"/>
      <c r="M164" s="93"/>
      <c r="N164" s="93"/>
      <c r="O164" s="93"/>
      <c r="P164" s="93"/>
      <c r="Q164" s="93"/>
      <c r="R164" s="5" t="s">
        <v>188</v>
      </c>
      <c r="S164" s="125"/>
      <c r="T164" s="125"/>
      <c r="U164" s="125"/>
      <c r="V164" s="137"/>
      <c r="W164" s="137"/>
      <c r="X164" s="137"/>
      <c r="Y164" s="10"/>
      <c r="Z164" s="115"/>
    </row>
    <row r="165" spans="2:26" ht="14.25" hidden="1">
      <c r="B165" s="136"/>
      <c r="C165" s="179" t="s">
        <v>189</v>
      </c>
      <c r="D165" s="179" t="s">
        <v>190</v>
      </c>
      <c r="E165" s="291" t="s">
        <v>191</v>
      </c>
      <c r="F165" s="291"/>
      <c r="G165" s="291" t="s">
        <v>192</v>
      </c>
      <c r="H165" s="291"/>
      <c r="I165" s="204" t="s">
        <v>99</v>
      </c>
      <c r="J165" s="206"/>
      <c r="K165" s="180"/>
      <c r="L165" s="93"/>
      <c r="M165" s="93"/>
      <c r="N165" s="93"/>
      <c r="O165" s="93"/>
      <c r="P165" s="93"/>
      <c r="Q165" s="93"/>
      <c r="R165" s="136"/>
      <c r="S165" s="179" t="s">
        <v>189</v>
      </c>
      <c r="T165" s="179" t="s">
        <v>190</v>
      </c>
      <c r="U165" s="291" t="s">
        <v>191</v>
      </c>
      <c r="V165" s="291"/>
      <c r="W165" s="291" t="s">
        <v>192</v>
      </c>
      <c r="X165" s="291"/>
      <c r="Y165" s="204" t="s">
        <v>99</v>
      </c>
      <c r="Z165" s="206"/>
    </row>
    <row r="166" spans="2:26" ht="14.25" hidden="1">
      <c r="B166" s="121" t="s">
        <v>34</v>
      </c>
      <c r="C166" s="186">
        <v>8</v>
      </c>
      <c r="D166" s="186">
        <v>0</v>
      </c>
      <c r="E166" s="321">
        <v>6</v>
      </c>
      <c r="F166" s="322"/>
      <c r="G166" s="324">
        <v>4</v>
      </c>
      <c r="H166" s="325"/>
      <c r="I166" s="326" t="str">
        <f>"More than "&amp;TEXT(E157,"#")</f>
        <v>More than 513</v>
      </c>
      <c r="J166" s="327"/>
      <c r="K166" s="187"/>
      <c r="L166" s="93"/>
      <c r="M166" s="93"/>
      <c r="N166" s="93"/>
      <c r="O166" s="93"/>
      <c r="P166" s="93"/>
      <c r="Q166" s="93"/>
      <c r="R166" s="121" t="s">
        <v>34</v>
      </c>
      <c r="S166" s="186">
        <f>C166</f>
        <v>8</v>
      </c>
      <c r="T166" s="186">
        <f>D166</f>
        <v>0</v>
      </c>
      <c r="U166" s="321">
        <f>E166</f>
        <v>6</v>
      </c>
      <c r="V166" s="322"/>
      <c r="W166" s="324">
        <f>G166</f>
        <v>4</v>
      </c>
      <c r="X166" s="325"/>
      <c r="Y166" s="326" t="str">
        <f>"More than "&amp;TEXT(U157,"#")</f>
        <v>More than 414</v>
      </c>
      <c r="Z166" s="327"/>
    </row>
    <row r="167" spans="2:26" hidden="1">
      <c r="B167" s="121" t="s">
        <v>22</v>
      </c>
      <c r="C167" s="176" t="s">
        <v>35</v>
      </c>
      <c r="D167" s="176" t="s">
        <v>35</v>
      </c>
      <c r="E167" s="217" t="s">
        <v>193</v>
      </c>
      <c r="F167" s="218"/>
      <c r="G167" s="217" t="s">
        <v>194</v>
      </c>
      <c r="H167" s="218"/>
      <c r="I167" s="217" t="s">
        <v>39</v>
      </c>
      <c r="J167" s="218"/>
      <c r="K167" s="181"/>
      <c r="L167" s="32"/>
      <c r="M167" s="32"/>
      <c r="N167" s="32"/>
      <c r="O167" s="32"/>
      <c r="P167" s="32"/>
      <c r="Q167" s="32"/>
      <c r="R167" s="121" t="s">
        <v>22</v>
      </c>
      <c r="S167" s="176" t="s">
        <v>35</v>
      </c>
      <c r="T167" s="176" t="s">
        <v>35</v>
      </c>
      <c r="U167" s="217" t="s">
        <v>193</v>
      </c>
      <c r="V167" s="218"/>
      <c r="W167" s="217" t="s">
        <v>194</v>
      </c>
      <c r="X167" s="218"/>
      <c r="Y167" s="217" t="s">
        <v>39</v>
      </c>
      <c r="Z167" s="218"/>
    </row>
    <row r="168" spans="2:26" hidden="1">
      <c r="G168" s="32"/>
      <c r="J168" s="32"/>
      <c r="K168" s="32"/>
      <c r="L168" s="32"/>
      <c r="M168" s="32"/>
      <c r="N168" s="32"/>
      <c r="O168" s="32"/>
      <c r="P168" s="32"/>
      <c r="Q168" s="32"/>
      <c r="W168" s="32"/>
      <c r="Z168" s="32"/>
    </row>
    <row r="169" spans="2:26" ht="14.25" hidden="1">
      <c r="B169" s="226" t="s">
        <v>196</v>
      </c>
      <c r="C169" s="226"/>
      <c r="D169" s="226"/>
      <c r="E169" s="110">
        <f>E158*(1-E159/100)</f>
        <v>1320</v>
      </c>
      <c r="K169" s="185"/>
      <c r="L169" s="185"/>
      <c r="M169" s="185"/>
      <c r="N169" s="185"/>
      <c r="O169" s="32"/>
      <c r="P169" s="32"/>
      <c r="Q169" s="32"/>
      <c r="R169" s="226" t="s">
        <v>196</v>
      </c>
      <c r="S169" s="226"/>
      <c r="T169" s="226"/>
      <c r="U169" s="110">
        <f>U158*(1-U159/100)</f>
        <v>1320</v>
      </c>
    </row>
    <row r="170" spans="2:26" ht="14.25" hidden="1">
      <c r="B170" s="323" t="s">
        <v>199</v>
      </c>
      <c r="C170" s="296"/>
      <c r="D170" s="297"/>
      <c r="E170" s="57">
        <f>1000*(E148+E151-E147)/$E$169</f>
        <v>16.176761469981773</v>
      </c>
      <c r="F170" s="57">
        <f>1000*(F148+F151-F147)/$E$169</f>
        <v>16.332528142729643</v>
      </c>
      <c r="G170" s="57">
        <f>1000*(G148+G151-G147)/$E$169</f>
        <v>16.051277775413141</v>
      </c>
      <c r="K170" s="185"/>
      <c r="L170" s="185"/>
      <c r="M170" s="185"/>
      <c r="N170" s="185"/>
      <c r="O170" s="32"/>
      <c r="P170" s="32"/>
      <c r="Q170" s="32"/>
      <c r="R170" s="323" t="s">
        <v>198</v>
      </c>
      <c r="S170" s="296"/>
      <c r="T170" s="297"/>
      <c r="U170" s="57">
        <f>1000*(U148-U147)/$E$169</f>
        <v>12.085852379072684</v>
      </c>
      <c r="V170" s="57">
        <f>1000*(V148-V147)/$E$169</f>
        <v>11.787073597275098</v>
      </c>
      <c r="W170" s="57">
        <f>1000*(W148-W147)/$E$169</f>
        <v>12.332269510950331</v>
      </c>
    </row>
    <row r="171" spans="2:26" ht="14.25" hidden="1">
      <c r="B171" s="298"/>
      <c r="C171" s="299"/>
      <c r="D171" s="300"/>
      <c r="E171" s="57">
        <f>1000*(E149+E151-E147)/$E$169</f>
        <v>18.460454645425138</v>
      </c>
      <c r="F171" s="57">
        <f>1000*(F149+F151-F147)/$E$169</f>
        <v>18.62925100261495</v>
      </c>
      <c r="G171" s="57">
        <f>1000*(G149+G151-G147)/$E$169</f>
        <v>18.323899990991222</v>
      </c>
      <c r="J171" s="32"/>
      <c r="K171" s="32"/>
      <c r="L171" s="32"/>
      <c r="M171" s="32"/>
      <c r="N171" s="32"/>
      <c r="O171" s="32"/>
      <c r="P171" s="32"/>
      <c r="Q171" s="32"/>
      <c r="R171" s="298"/>
      <c r="S171" s="299"/>
      <c r="T171" s="300"/>
      <c r="U171" s="57">
        <f>1000*(U149-U147)/$E$169</f>
        <v>14.369545554516042</v>
      </c>
      <c r="V171" s="57">
        <f>1000*(V149-V147)/$E$169</f>
        <v>14.083796457160407</v>
      </c>
      <c r="W171" s="57">
        <f>1000*(W149-W147)/$E$169</f>
        <v>14.604891726528411</v>
      </c>
      <c r="Z171" s="32"/>
    </row>
    <row r="172" spans="2:26" ht="14.25" hidden="1">
      <c r="B172" s="301"/>
      <c r="C172" s="302"/>
      <c r="D172" s="303"/>
      <c r="E172" s="57">
        <f>1000*(E150+E151-E147)/$E$169</f>
        <v>20.796983354231752</v>
      </c>
      <c r="F172" s="57">
        <f>1000*(F150+F151-F147)/$E$169</f>
        <v>20.974466167716191</v>
      </c>
      <c r="G172" s="57">
        <f>1000*(G150+G151-G147)/$E$169</f>
        <v>20.653048059887652</v>
      </c>
      <c r="J172" s="32"/>
      <c r="K172" s="32"/>
      <c r="L172" s="32"/>
      <c r="M172" s="32"/>
      <c r="N172" s="32"/>
      <c r="O172" s="32"/>
      <c r="P172" s="32"/>
      <c r="Q172" s="32"/>
      <c r="R172" s="301"/>
      <c r="S172" s="302"/>
      <c r="T172" s="303"/>
      <c r="U172" s="57">
        <f>1000*(U150-U147)/$E$169</f>
        <v>16.706074263322659</v>
      </c>
      <c r="V172" s="57">
        <f>1000*(V150-V147)/$E$169</f>
        <v>16.429011622261644</v>
      </c>
      <c r="W172" s="57">
        <f>1000*(W150-W147)/$E$169</f>
        <v>16.934039795424837</v>
      </c>
      <c r="Z172" s="32"/>
    </row>
    <row r="173" spans="2:26" hidden="1">
      <c r="G173" s="32"/>
      <c r="J173" s="32"/>
      <c r="K173" s="32"/>
      <c r="L173" s="32"/>
      <c r="M173" s="32"/>
      <c r="N173" s="32"/>
      <c r="O173" s="32"/>
      <c r="P173" s="32"/>
      <c r="Q173" s="32"/>
      <c r="R173" s="32"/>
      <c r="S173" s="32"/>
      <c r="T173" s="32"/>
      <c r="U173" s="32"/>
      <c r="V173" s="32"/>
      <c r="W173" s="32"/>
    </row>
    <row r="174" spans="2:26">
      <c r="G174" s="32"/>
      <c r="J174" s="32"/>
      <c r="K174" s="32"/>
      <c r="L174" s="32"/>
      <c r="M174" s="32"/>
      <c r="N174" s="32"/>
      <c r="O174" s="32"/>
      <c r="P174" s="32"/>
      <c r="Q174" s="32"/>
    </row>
    <row r="217" spans="5:7" ht="14.25">
      <c r="E217" s="60" t="s">
        <v>94</v>
      </c>
      <c r="F217" s="60" t="s">
        <v>95</v>
      </c>
      <c r="G217" s="60" t="s">
        <v>95</v>
      </c>
    </row>
    <row r="218" spans="5:7" ht="14.25">
      <c r="E218" s="62">
        <v>3</v>
      </c>
      <c r="F218" s="63">
        <f t="shared" ref="F218:F249" si="7">(E218-$E$92)*$E$92/(E218*$E$96*$E$94*0.001*$E$93)</f>
        <v>0.68244485294117641</v>
      </c>
      <c r="G218" s="63">
        <f t="shared" ref="G218:G249" si="8">IF(AND(E218&gt;=$F$91,E218&lt;=$G$91),F218,-1)</f>
        <v>-1</v>
      </c>
    </row>
    <row r="219" spans="5:7" ht="14.25">
      <c r="E219" s="62">
        <v>3.5</v>
      </c>
      <c r="F219" s="63">
        <f t="shared" si="7"/>
        <v>0.7622111344537813</v>
      </c>
      <c r="G219" s="63">
        <f t="shared" si="8"/>
        <v>-1</v>
      </c>
    </row>
    <row r="220" spans="5:7" ht="14.25">
      <c r="E220" s="62">
        <v>4</v>
      </c>
      <c r="F220" s="63">
        <f t="shared" si="7"/>
        <v>0.82203584558823528</v>
      </c>
      <c r="G220" s="63">
        <f t="shared" si="8"/>
        <v>-1</v>
      </c>
    </row>
    <row r="221" spans="5:7" ht="14.25">
      <c r="E221" s="62">
        <v>4.5</v>
      </c>
      <c r="F221" s="63">
        <f t="shared" si="7"/>
        <v>0.86856617647058831</v>
      </c>
      <c r="G221" s="63">
        <f t="shared" si="8"/>
        <v>0.86856617647058831</v>
      </c>
    </row>
    <row r="222" spans="5:7" ht="14.25">
      <c r="E222" s="62">
        <v>5</v>
      </c>
      <c r="F222" s="63">
        <f t="shared" si="7"/>
        <v>0.90579044117647045</v>
      </c>
      <c r="G222" s="63">
        <f t="shared" si="8"/>
        <v>0.90579044117647045</v>
      </c>
    </row>
    <row r="223" spans="5:7" ht="14.25">
      <c r="E223" s="62">
        <v>5.5</v>
      </c>
      <c r="F223" s="63">
        <f t="shared" si="7"/>
        <v>0.93624665775401084</v>
      </c>
      <c r="G223" s="63">
        <f t="shared" si="8"/>
        <v>0.93624665775401084</v>
      </c>
    </row>
    <row r="224" spans="5:7" ht="14.25">
      <c r="E224" s="62">
        <v>6</v>
      </c>
      <c r="F224" s="63">
        <f t="shared" si="7"/>
        <v>0.96162683823529416</v>
      </c>
      <c r="G224" s="63">
        <f t="shared" si="8"/>
        <v>-1</v>
      </c>
    </row>
    <row r="225" spans="5:7" ht="14.25">
      <c r="E225" s="62">
        <v>6.5</v>
      </c>
      <c r="F225" s="63">
        <f t="shared" si="7"/>
        <v>0.98310237556561098</v>
      </c>
      <c r="G225" s="63">
        <f t="shared" si="8"/>
        <v>-1</v>
      </c>
    </row>
    <row r="226" spans="5:7" ht="14.25">
      <c r="E226" s="62">
        <v>7</v>
      </c>
      <c r="F226" s="63">
        <f t="shared" si="7"/>
        <v>1.0015099789915967</v>
      </c>
      <c r="G226" s="63">
        <f t="shared" si="8"/>
        <v>-1</v>
      </c>
    </row>
    <row r="227" spans="5:7" ht="14.25">
      <c r="E227" s="62">
        <v>7.5</v>
      </c>
      <c r="F227" s="63">
        <f t="shared" si="7"/>
        <v>1.0174632352941175</v>
      </c>
      <c r="G227" s="63">
        <f t="shared" si="8"/>
        <v>-1</v>
      </c>
    </row>
    <row r="228" spans="5:7" ht="14.25">
      <c r="E228" s="62">
        <v>8</v>
      </c>
      <c r="F228" s="63">
        <f t="shared" si="7"/>
        <v>1.0314223345588236</v>
      </c>
      <c r="G228" s="63">
        <f t="shared" si="8"/>
        <v>-1</v>
      </c>
    </row>
    <row r="229" spans="5:7" ht="14.25">
      <c r="E229" s="62">
        <v>8.5</v>
      </c>
      <c r="F229" s="63">
        <f t="shared" si="7"/>
        <v>1.0437391868512114</v>
      </c>
      <c r="G229" s="63">
        <f t="shared" si="8"/>
        <v>-1</v>
      </c>
    </row>
    <row r="230" spans="5:7" ht="14.25">
      <c r="E230" s="62">
        <v>9</v>
      </c>
      <c r="F230" s="63">
        <f t="shared" si="7"/>
        <v>1.0546875</v>
      </c>
      <c r="G230" s="63">
        <f t="shared" si="8"/>
        <v>-1</v>
      </c>
    </row>
    <row r="231" spans="5:7" ht="14.25">
      <c r="E231" s="62">
        <v>9.5</v>
      </c>
      <c r="F231" s="63">
        <f t="shared" si="7"/>
        <v>1.0644833591331269</v>
      </c>
      <c r="G231" s="63">
        <f t="shared" si="8"/>
        <v>-1</v>
      </c>
    </row>
    <row r="232" spans="5:7" ht="14.25">
      <c r="E232" s="62">
        <v>10</v>
      </c>
      <c r="F232" s="63">
        <f t="shared" si="7"/>
        <v>1.0732996323529411</v>
      </c>
      <c r="G232" s="63">
        <f t="shared" si="8"/>
        <v>-1</v>
      </c>
    </row>
    <row r="233" spans="5:7" ht="14.25">
      <c r="E233" s="62">
        <v>10.5</v>
      </c>
      <c r="F233" s="63">
        <f t="shared" si="7"/>
        <v>1.0812762605042019</v>
      </c>
      <c r="G233" s="63">
        <f t="shared" si="8"/>
        <v>-1</v>
      </c>
    </row>
    <row r="234" spans="5:7" ht="14.25">
      <c r="E234" s="62">
        <v>11</v>
      </c>
      <c r="F234" s="63">
        <f t="shared" si="7"/>
        <v>1.0885277406417113</v>
      </c>
      <c r="G234" s="63">
        <f t="shared" si="8"/>
        <v>-1</v>
      </c>
    </row>
    <row r="235" spans="5:7" ht="14.25">
      <c r="E235" s="62">
        <v>11.5</v>
      </c>
      <c r="F235" s="63">
        <f t="shared" si="7"/>
        <v>1.0951486572890026</v>
      </c>
      <c r="G235" s="63">
        <f t="shared" si="8"/>
        <v>-1</v>
      </c>
    </row>
    <row r="236" spans="5:7" ht="14.25">
      <c r="E236" s="62">
        <v>12</v>
      </c>
      <c r="F236" s="63">
        <f t="shared" si="7"/>
        <v>1.101217830882353</v>
      </c>
      <c r="G236" s="63">
        <f t="shared" si="8"/>
        <v>-1</v>
      </c>
    </row>
    <row r="237" spans="5:7" ht="14.25">
      <c r="E237" s="62">
        <v>12.5</v>
      </c>
      <c r="F237" s="63">
        <f t="shared" si="7"/>
        <v>1.1068014705882354</v>
      </c>
      <c r="G237" s="63">
        <f t="shared" si="8"/>
        <v>-1</v>
      </c>
    </row>
    <row r="238" spans="5:7" ht="14.25">
      <c r="E238" s="62">
        <v>13</v>
      </c>
      <c r="F238" s="63">
        <f t="shared" si="7"/>
        <v>1.1119555995475114</v>
      </c>
      <c r="G238" s="63">
        <f t="shared" si="8"/>
        <v>-1</v>
      </c>
    </row>
    <row r="239" spans="5:7" ht="14.25">
      <c r="E239" s="62">
        <v>13.5</v>
      </c>
      <c r="F239" s="63">
        <f t="shared" si="7"/>
        <v>1.1167279411764703</v>
      </c>
      <c r="G239" s="63">
        <f t="shared" si="8"/>
        <v>-1</v>
      </c>
    </row>
    <row r="240" spans="5:7" ht="14.25">
      <c r="E240" s="62">
        <v>14</v>
      </c>
      <c r="F240" s="63">
        <f t="shared" si="7"/>
        <v>1.121159401260504</v>
      </c>
      <c r="G240" s="63">
        <f t="shared" si="8"/>
        <v>-1</v>
      </c>
    </row>
    <row r="241" spans="5:7" ht="14.25">
      <c r="E241" s="62">
        <v>14.5</v>
      </c>
      <c r="F241" s="63">
        <f t="shared" si="7"/>
        <v>1.1252852434077079</v>
      </c>
      <c r="G241" s="63">
        <f t="shared" si="8"/>
        <v>-1</v>
      </c>
    </row>
    <row r="242" spans="5:7" ht="14.25">
      <c r="E242" s="62">
        <v>15</v>
      </c>
      <c r="F242" s="63">
        <f t="shared" si="7"/>
        <v>1.1291360294117645</v>
      </c>
      <c r="G242" s="63">
        <f t="shared" si="8"/>
        <v>-1</v>
      </c>
    </row>
    <row r="243" spans="5:7" ht="14.25">
      <c r="E243" s="62">
        <v>15.5</v>
      </c>
      <c r="F243" s="63">
        <f t="shared" si="7"/>
        <v>1.1327383776091082</v>
      </c>
      <c r="G243" s="63">
        <f t="shared" si="8"/>
        <v>-1</v>
      </c>
    </row>
    <row r="244" spans="5:7" ht="14.25">
      <c r="E244" s="62">
        <v>16</v>
      </c>
      <c r="F244" s="63">
        <f t="shared" si="7"/>
        <v>1.1361155790441178</v>
      </c>
      <c r="G244" s="63">
        <f t="shared" si="8"/>
        <v>-1</v>
      </c>
    </row>
    <row r="245" spans="5:7" ht="14.25">
      <c r="E245" s="62">
        <v>16.5</v>
      </c>
      <c r="F245" s="63">
        <f t="shared" si="7"/>
        <v>1.139288101604278</v>
      </c>
      <c r="G245" s="63">
        <f t="shared" si="8"/>
        <v>-1</v>
      </c>
    </row>
    <row r="246" spans="5:7" ht="14.25">
      <c r="E246" s="62">
        <v>17</v>
      </c>
      <c r="F246" s="63">
        <f t="shared" si="7"/>
        <v>1.1422740051903115</v>
      </c>
      <c r="G246" s="63">
        <f t="shared" si="8"/>
        <v>-1</v>
      </c>
    </row>
    <row r="247" spans="5:7" ht="14.25">
      <c r="E247" s="62">
        <v>17.5</v>
      </c>
      <c r="F247" s="63">
        <f t="shared" si="7"/>
        <v>1.1450892857142856</v>
      </c>
      <c r="G247" s="63">
        <f t="shared" si="8"/>
        <v>-1</v>
      </c>
    </row>
    <row r="248" spans="5:7" ht="14.25">
      <c r="E248" s="62">
        <v>18</v>
      </c>
      <c r="F248" s="63">
        <f t="shared" si="7"/>
        <v>1.1477481617647058</v>
      </c>
      <c r="G248" s="63">
        <f t="shared" si="8"/>
        <v>-1</v>
      </c>
    </row>
    <row r="249" spans="5:7" ht="14.25">
      <c r="E249" s="62">
        <v>18.5</v>
      </c>
      <c r="F249" s="63">
        <f t="shared" si="7"/>
        <v>1.1502633147853736</v>
      </c>
      <c r="G249" s="63">
        <f t="shared" si="8"/>
        <v>-1</v>
      </c>
    </row>
    <row r="250" spans="5:7" ht="14.25">
      <c r="E250" s="62">
        <v>19</v>
      </c>
      <c r="F250" s="63">
        <f t="shared" ref="F250:F268" si="9">(E250-$E$92)*$E$92/(E250*$E$96*$E$94*0.001*$E$93)</f>
        <v>1.1526460913312691</v>
      </c>
      <c r="G250" s="63">
        <f t="shared" ref="G250:G268" si="10">IF(AND(E250&gt;=$F$91,E250&lt;=$G$91),F250,-1)</f>
        <v>-1</v>
      </c>
    </row>
    <row r="251" spans="5:7" ht="14.25">
      <c r="E251" s="62">
        <v>19.5</v>
      </c>
      <c r="F251" s="63">
        <f t="shared" si="9"/>
        <v>1.1549066742081446</v>
      </c>
      <c r="G251" s="63">
        <f t="shared" si="10"/>
        <v>-1</v>
      </c>
    </row>
    <row r="252" spans="5:7" ht="14.25">
      <c r="E252" s="62">
        <v>20</v>
      </c>
      <c r="F252" s="63">
        <f t="shared" si="9"/>
        <v>1.1570542279411762</v>
      </c>
      <c r="G252" s="63">
        <f t="shared" si="10"/>
        <v>-1</v>
      </c>
    </row>
    <row r="253" spans="5:7" ht="14.25">
      <c r="E253" s="62">
        <v>20.5</v>
      </c>
      <c r="F253" s="63">
        <f t="shared" si="9"/>
        <v>1.1590970229555233</v>
      </c>
      <c r="G253" s="63">
        <f t="shared" si="10"/>
        <v>-1</v>
      </c>
    </row>
    <row r="254" spans="5:7" ht="14.25">
      <c r="E254" s="62">
        <v>21</v>
      </c>
      <c r="F254" s="63">
        <f t="shared" si="9"/>
        <v>1.1610425420168067</v>
      </c>
      <c r="G254" s="63">
        <f t="shared" si="10"/>
        <v>-1</v>
      </c>
    </row>
    <row r="255" spans="5:7" ht="14.25">
      <c r="E255" s="62">
        <v>21.5</v>
      </c>
      <c r="F255" s="63">
        <f t="shared" si="9"/>
        <v>1.1628975718194254</v>
      </c>
      <c r="G255" s="63">
        <f t="shared" si="10"/>
        <v>-1</v>
      </c>
    </row>
    <row r="256" spans="5:7" ht="14.25">
      <c r="E256" s="62">
        <v>22</v>
      </c>
      <c r="F256" s="63">
        <f t="shared" si="9"/>
        <v>1.1646682820855616</v>
      </c>
      <c r="G256" s="63">
        <f t="shared" si="10"/>
        <v>-1</v>
      </c>
    </row>
    <row r="257" spans="5:7" ht="14.25">
      <c r="E257" s="62">
        <v>22.5</v>
      </c>
      <c r="F257" s="63">
        <f t="shared" si="9"/>
        <v>1.166360294117647</v>
      </c>
      <c r="G257" s="63">
        <f t="shared" si="10"/>
        <v>-1</v>
      </c>
    </row>
    <row r="258" spans="5:7" ht="14.25">
      <c r="E258" s="62">
        <v>23</v>
      </c>
      <c r="F258" s="63">
        <f t="shared" si="9"/>
        <v>1.167978740409207</v>
      </c>
      <c r="G258" s="63">
        <f t="shared" si="10"/>
        <v>-1</v>
      </c>
    </row>
    <row r="259" spans="5:7" ht="14.25">
      <c r="E259" s="62">
        <v>23.5</v>
      </c>
      <c r="F259" s="63">
        <f t="shared" si="9"/>
        <v>1.1695283166458073</v>
      </c>
      <c r="G259" s="63">
        <f t="shared" si="10"/>
        <v>-1</v>
      </c>
    </row>
    <row r="260" spans="5:7" ht="14.25">
      <c r="E260" s="62">
        <v>24</v>
      </c>
      <c r="F260" s="63">
        <f t="shared" si="9"/>
        <v>1.1710133272058822</v>
      </c>
      <c r="G260" s="63">
        <f t="shared" si="10"/>
        <v>-1</v>
      </c>
    </row>
    <row r="261" spans="5:7" ht="14.25">
      <c r="E261" s="62">
        <v>24.5</v>
      </c>
      <c r="F261" s="63">
        <f t="shared" si="9"/>
        <v>1.1724377250900362</v>
      </c>
      <c r="G261" s="63">
        <f t="shared" si="10"/>
        <v>-1</v>
      </c>
    </row>
    <row r="262" spans="5:7" ht="14.25">
      <c r="E262" s="62">
        <v>25</v>
      </c>
      <c r="F262" s="63">
        <f t="shared" si="9"/>
        <v>1.1738051470588236</v>
      </c>
      <c r="G262" s="63">
        <f t="shared" si="10"/>
        <v>-1</v>
      </c>
    </row>
    <row r="263" spans="5:7" ht="14.25">
      <c r="E263" s="62">
        <v>25.5</v>
      </c>
      <c r="F263" s="63">
        <f t="shared" si="9"/>
        <v>1.1751189446366781</v>
      </c>
      <c r="G263" s="63">
        <f t="shared" si="10"/>
        <v>-1</v>
      </c>
    </row>
    <row r="264" spans="5:7" ht="14.25">
      <c r="E264" s="62">
        <v>26</v>
      </c>
      <c r="F264" s="63">
        <f t="shared" si="9"/>
        <v>1.1763822115384617</v>
      </c>
      <c r="G264" s="63">
        <f t="shared" si="10"/>
        <v>-1</v>
      </c>
    </row>
    <row r="265" spans="5:7" ht="14.25">
      <c r="E265" s="62">
        <v>26.5</v>
      </c>
      <c r="F265" s="63">
        <f t="shared" si="9"/>
        <v>1.1775978079911209</v>
      </c>
      <c r="G265" s="63">
        <f t="shared" si="10"/>
        <v>-1</v>
      </c>
    </row>
    <row r="266" spans="5:7" ht="14.25">
      <c r="E266" s="62">
        <v>27</v>
      </c>
      <c r="F266" s="63">
        <f t="shared" si="9"/>
        <v>1.1787683823529409</v>
      </c>
      <c r="G266" s="63">
        <f t="shared" si="10"/>
        <v>-1</v>
      </c>
    </row>
    <row r="267" spans="5:7" ht="14.25">
      <c r="E267" s="62">
        <v>27.5</v>
      </c>
      <c r="F267" s="63">
        <f t="shared" si="9"/>
        <v>1.1798963903743314</v>
      </c>
      <c r="G267" s="63">
        <f t="shared" si="10"/>
        <v>-1</v>
      </c>
    </row>
    <row r="268" spans="5:7" ht="14.25">
      <c r="E268" s="62">
        <v>28</v>
      </c>
      <c r="F268" s="63">
        <f t="shared" si="9"/>
        <v>1.1809841123949578</v>
      </c>
      <c r="G268" s="63">
        <f t="shared" si="10"/>
        <v>-1</v>
      </c>
    </row>
  </sheetData>
  <sheetProtection password="CCD8" sheet="1" objects="1" scenarios="1"/>
  <mergeCells count="151">
    <mergeCell ref="Y167:Z167"/>
    <mergeCell ref="R169:T169"/>
    <mergeCell ref="W165:X165"/>
    <mergeCell ref="Y165:Z165"/>
    <mergeCell ref="U166:V166"/>
    <mergeCell ref="W166:X166"/>
    <mergeCell ref="Y166:Z166"/>
    <mergeCell ref="U167:V167"/>
    <mergeCell ref="W167:X167"/>
    <mergeCell ref="U165:V165"/>
    <mergeCell ref="B170:D172"/>
    <mergeCell ref="R143:T143"/>
    <mergeCell ref="R144:T144"/>
    <mergeCell ref="R145:T145"/>
    <mergeCell ref="R146:T146"/>
    <mergeCell ref="R147:T147"/>
    <mergeCell ref="R170:T172"/>
    <mergeCell ref="E167:F167"/>
    <mergeCell ref="R159:T159"/>
    <mergeCell ref="R161:T161"/>
    <mergeCell ref="R162:T162"/>
    <mergeCell ref="R148:T150"/>
    <mergeCell ref="B169:D169"/>
    <mergeCell ref="B155:D155"/>
    <mergeCell ref="G166:H166"/>
    <mergeCell ref="I166:J166"/>
    <mergeCell ref="B161:D161"/>
    <mergeCell ref="B159:D159"/>
    <mergeCell ref="R157:T157"/>
    <mergeCell ref="R152:T154"/>
    <mergeCell ref="R155:T155"/>
    <mergeCell ref="R156:T156"/>
    <mergeCell ref="R158:T158"/>
    <mergeCell ref="K14:L14"/>
    <mergeCell ref="B95:D95"/>
    <mergeCell ref="B99:D99"/>
    <mergeCell ref="B93:D93"/>
    <mergeCell ref="B98:D98"/>
    <mergeCell ref="G167:H167"/>
    <mergeCell ref="I167:J167"/>
    <mergeCell ref="B90:D90"/>
    <mergeCell ref="B70:B71"/>
    <mergeCell ref="B83:C83"/>
    <mergeCell ref="B80:C80"/>
    <mergeCell ref="B118:D118"/>
    <mergeCell ref="B106:D106"/>
    <mergeCell ref="B107:D107"/>
    <mergeCell ref="B115:D115"/>
    <mergeCell ref="G165:H165"/>
    <mergeCell ref="I165:J165"/>
    <mergeCell ref="E166:F166"/>
    <mergeCell ref="E165:F165"/>
    <mergeCell ref="B102:D102"/>
    <mergeCell ref="B101:D101"/>
    <mergeCell ref="B105:D105"/>
    <mergeCell ref="B108:D108"/>
    <mergeCell ref="B156:D156"/>
    <mergeCell ref="B162:D162"/>
    <mergeCell ref="B148:D150"/>
    <mergeCell ref="B152:D154"/>
    <mergeCell ref="B134:D134"/>
    <mergeCell ref="B138:D138"/>
    <mergeCell ref="B119:D119"/>
    <mergeCell ref="B127:D127"/>
    <mergeCell ref="B126:D126"/>
    <mergeCell ref="B123:D123"/>
    <mergeCell ref="B125:D125"/>
    <mergeCell ref="B124:D124"/>
    <mergeCell ref="B120:D120"/>
    <mergeCell ref="K11:L11"/>
    <mergeCell ref="N11:O11"/>
    <mergeCell ref="K12:L12"/>
    <mergeCell ref="N12:O13"/>
    <mergeCell ref="K13:L13"/>
    <mergeCell ref="B158:D158"/>
    <mergeCell ref="B151:D151"/>
    <mergeCell ref="B145:D145"/>
    <mergeCell ref="B146:D146"/>
    <mergeCell ref="B147:D147"/>
    <mergeCell ref="B128:D128"/>
    <mergeCell ref="B131:D131"/>
    <mergeCell ref="N14:O15"/>
    <mergeCell ref="K15:L15"/>
    <mergeCell ref="E70:F70"/>
    <mergeCell ref="K20:L20"/>
    <mergeCell ref="C68:E68"/>
    <mergeCell ref="C65:F65"/>
    <mergeCell ref="C49:D49"/>
    <mergeCell ref="C50:D50"/>
    <mergeCell ref="I62:J62"/>
    <mergeCell ref="I63:J63"/>
    <mergeCell ref="B116:D116"/>
    <mergeCell ref="B133:D133"/>
    <mergeCell ref="K16:L16"/>
    <mergeCell ref="N16:O16"/>
    <mergeCell ref="K17:L17"/>
    <mergeCell ref="F23:G23"/>
    <mergeCell ref="F24:G24"/>
    <mergeCell ref="F25:G25"/>
    <mergeCell ref="B82:C82"/>
    <mergeCell ref="B84:C84"/>
    <mergeCell ref="G29:H29"/>
    <mergeCell ref="D30:E30"/>
    <mergeCell ref="G30:H30"/>
    <mergeCell ref="C51:D51"/>
    <mergeCell ref="B55:B56"/>
    <mergeCell ref="D55:H55"/>
    <mergeCell ref="C62:D62"/>
    <mergeCell ref="B17:B18"/>
    <mergeCell ref="N17:O18"/>
    <mergeCell ref="N19:O20"/>
    <mergeCell ref="K18:L18"/>
    <mergeCell ref="K19:L19"/>
    <mergeCell ref="B20:B21"/>
    <mergeCell ref="C61:D61"/>
    <mergeCell ref="B157:D157"/>
    <mergeCell ref="B144:D144"/>
    <mergeCell ref="B143:D143"/>
    <mergeCell ref="B139:D139"/>
    <mergeCell ref="B140:D140"/>
    <mergeCell ref="B110:D110"/>
    <mergeCell ref="B104:D104"/>
    <mergeCell ref="B109:D109"/>
    <mergeCell ref="G134:G135"/>
    <mergeCell ref="B135:D135"/>
    <mergeCell ref="B113:D113"/>
    <mergeCell ref="B114:D114"/>
    <mergeCell ref="B111:D111"/>
    <mergeCell ref="B112:D112"/>
    <mergeCell ref="B132:D132"/>
    <mergeCell ref="D29:E29"/>
    <mergeCell ref="B117:D117"/>
    <mergeCell ref="I61:J61"/>
    <mergeCell ref="G49:I49"/>
    <mergeCell ref="G51:I51"/>
    <mergeCell ref="G50:I50"/>
    <mergeCell ref="G31:H31"/>
    <mergeCell ref="B121:D121"/>
    <mergeCell ref="R151:T151"/>
    <mergeCell ref="C63:D63"/>
    <mergeCell ref="D31:E31"/>
    <mergeCell ref="B81:C81"/>
    <mergeCell ref="G82:G84"/>
    <mergeCell ref="C70:D70"/>
    <mergeCell ref="B91:D91"/>
    <mergeCell ref="B103:D103"/>
    <mergeCell ref="B96:D96"/>
    <mergeCell ref="B100:D100"/>
    <mergeCell ref="B94:D94"/>
    <mergeCell ref="B92:D92"/>
    <mergeCell ref="B65:B66"/>
  </mergeCells>
  <phoneticPr fontId="2"/>
  <conditionalFormatting sqref="L115:M116 P115:Q116">
    <cfRule type="cellIs" dxfId="10" priority="1" stopIfTrue="1" operator="greaterThan">
      <formula>375</formula>
    </cfRule>
  </conditionalFormatting>
  <conditionalFormatting sqref="D72 F72 C68:E68">
    <cfRule type="cellIs" dxfId="9" priority="2" stopIfTrue="1" operator="lessThan">
      <formula>25</formula>
    </cfRule>
    <cfRule type="cellIs" dxfId="8" priority="3" stopIfTrue="1" operator="greaterThan">
      <formula>375</formula>
    </cfRule>
  </conditionalFormatting>
  <conditionalFormatting sqref="C30">
    <cfRule type="cellIs" dxfId="7" priority="4" stopIfTrue="1" operator="lessThan">
      <formula>10</formula>
    </cfRule>
    <cfRule type="cellIs" dxfId="6" priority="5" stopIfTrue="1" operator="greaterThan">
      <formula>20</formula>
    </cfRule>
  </conditionalFormatting>
  <conditionalFormatting sqref="C50:D50">
    <cfRule type="cellIs" dxfId="5" priority="6" stopIfTrue="1" operator="greaterThan">
      <formula>$E$50</formula>
    </cfRule>
  </conditionalFormatting>
  <dataValidations count="6">
    <dataValidation type="decimal" operator="greaterThan" showInputMessage="1" showErrorMessage="1" sqref="K166">
      <formula1>E271</formula1>
    </dataValidation>
    <dataValidation operator="greaterThanOrEqual" allowBlank="1" showInputMessage="1" showErrorMessage="1" sqref="C42 F42"/>
    <dataValidation operator="greaterThan" showInputMessage="1" showErrorMessage="1" sqref="L38 C38"/>
    <dataValidation type="decimal" allowBlank="1" showInputMessage="1" showErrorMessage="1" sqref="C18:E18">
      <formula1>3</formula1>
      <formula2>28</formula2>
    </dataValidation>
    <dataValidation type="decimal" allowBlank="1" showInputMessage="1" showErrorMessage="1" sqref="C24">
      <formula1>0.7</formula1>
      <formula2>2.6</formula2>
    </dataValidation>
    <dataValidation type="list" operator="greaterThan" showInputMessage="1" showErrorMessage="1" sqref="E24">
      <formula1>$H$134:$H$135</formula1>
    </dataValidation>
  </dataValidations>
  <pageMargins left="0.63" right="0.15" top="0.98399999999999999" bottom="0.98399999999999999" header="0.51200000000000001" footer="0.51200000000000001"/>
  <pageSetup paperSize="9" scale="33" orientation="portrait" horizontalDpi="1200" verticalDpi="1200" r:id="rId1"/>
  <headerFooter alignWithMargins="0">
    <oddHeader>&amp;LTI Information – Selective Disclosure</oddHeader>
    <oddFooter>&amp;LTI Information – Selective Disclosure</oddFooter>
  </headerFooter>
  <colBreaks count="1" manualBreakCount="1">
    <brk id="26" max="82"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62"/>
  <sheetViews>
    <sheetView tabSelected="1" view="pageBreakPreview" topLeftCell="A41" zoomScaleNormal="100" zoomScaleSheetLayoutView="70" workbookViewId="0">
      <selection activeCell="L68" sqref="L68"/>
    </sheetView>
  </sheetViews>
  <sheetFormatPr defaultColWidth="10.28515625" defaultRowHeight="13.5"/>
  <cols>
    <col min="1" max="1" width="2.7109375" style="30" customWidth="1"/>
    <col min="2" max="19" width="11.7109375" style="30" customWidth="1"/>
    <col min="20" max="16384" width="10.28515625" style="30"/>
  </cols>
  <sheetData>
    <row r="1" spans="1:26">
      <c r="A1" s="111"/>
      <c r="B1" s="112"/>
      <c r="C1" s="112"/>
      <c r="D1" s="112"/>
      <c r="E1" s="112"/>
      <c r="F1" s="112"/>
      <c r="G1" s="112"/>
      <c r="H1" s="112"/>
      <c r="I1" s="112"/>
      <c r="J1" s="112"/>
      <c r="K1" s="112"/>
      <c r="L1" s="112"/>
      <c r="M1" s="105"/>
      <c r="N1" s="105"/>
      <c r="O1" s="104"/>
      <c r="P1" s="102"/>
      <c r="Q1" s="102"/>
      <c r="R1" s="102"/>
      <c r="S1" s="102"/>
      <c r="T1" s="102"/>
      <c r="U1" s="102"/>
      <c r="V1" s="102"/>
      <c r="W1" s="102"/>
      <c r="X1" s="102"/>
      <c r="Y1" s="102"/>
      <c r="Z1" s="102"/>
    </row>
    <row r="2" spans="1:26">
      <c r="A2" s="113"/>
      <c r="B2" s="114"/>
      <c r="C2" s="114"/>
      <c r="D2" s="114"/>
      <c r="E2" s="114"/>
      <c r="F2" s="114"/>
      <c r="G2" s="114"/>
      <c r="H2" s="114"/>
      <c r="I2" s="114"/>
      <c r="J2" s="114"/>
      <c r="K2" s="114"/>
      <c r="L2" s="114"/>
      <c r="M2" s="104"/>
      <c r="N2" s="104"/>
      <c r="O2" s="104"/>
      <c r="P2" s="102"/>
      <c r="Q2" s="102"/>
      <c r="R2" s="102"/>
      <c r="S2" s="102"/>
      <c r="T2" s="102"/>
      <c r="U2" s="102"/>
      <c r="V2" s="102"/>
      <c r="W2" s="102"/>
      <c r="X2" s="102"/>
      <c r="Y2" s="102"/>
      <c r="Z2" s="102"/>
    </row>
    <row r="3" spans="1:26">
      <c r="A3" s="113"/>
      <c r="B3" s="114"/>
      <c r="C3" s="114"/>
      <c r="D3" s="114"/>
      <c r="E3" s="114"/>
      <c r="F3" s="114"/>
      <c r="G3" s="114"/>
      <c r="H3" s="114"/>
      <c r="I3" s="114"/>
      <c r="J3" s="114"/>
      <c r="K3" s="114"/>
      <c r="L3" s="114"/>
      <c r="M3" s="104"/>
      <c r="N3" s="104"/>
      <c r="O3" s="104"/>
      <c r="P3" s="102"/>
      <c r="Q3" s="102"/>
      <c r="R3" s="102"/>
      <c r="S3" s="102"/>
      <c r="T3" s="102"/>
      <c r="U3" s="102"/>
      <c r="V3" s="102"/>
      <c r="W3" s="102"/>
      <c r="X3" s="102"/>
      <c r="Y3" s="102"/>
      <c r="Z3" s="102"/>
    </row>
    <row r="4" spans="1:26">
      <c r="A4" s="113"/>
      <c r="B4" s="114"/>
      <c r="C4" s="114"/>
      <c r="D4" s="114"/>
      <c r="E4" s="114"/>
      <c r="F4" s="114"/>
      <c r="G4" s="114"/>
      <c r="H4" s="114"/>
      <c r="I4" s="114"/>
      <c r="J4" s="114"/>
      <c r="K4" s="114"/>
      <c r="L4" s="114"/>
      <c r="M4" s="104"/>
      <c r="N4" s="104"/>
      <c r="O4" s="104"/>
      <c r="P4" s="102"/>
      <c r="Q4" s="102"/>
      <c r="R4" s="102"/>
      <c r="S4" s="102"/>
      <c r="T4" s="102"/>
      <c r="U4" s="102"/>
      <c r="V4" s="102"/>
      <c r="W4" s="102"/>
      <c r="X4" s="102"/>
      <c r="Y4" s="102"/>
      <c r="Z4" s="102"/>
    </row>
    <row r="5" spans="1:26">
      <c r="A5" s="113"/>
      <c r="B5" s="114"/>
      <c r="C5" s="114"/>
      <c r="D5" s="114"/>
      <c r="E5" s="114"/>
      <c r="F5" s="114"/>
      <c r="G5" s="114"/>
      <c r="H5" s="114"/>
      <c r="I5" s="114"/>
      <c r="J5" s="114"/>
      <c r="K5" s="114"/>
      <c r="L5" s="114"/>
      <c r="M5" s="104"/>
      <c r="N5" s="104"/>
      <c r="O5" s="104"/>
      <c r="P5" s="102"/>
      <c r="Q5" s="102"/>
      <c r="R5" s="102"/>
      <c r="S5" s="102"/>
      <c r="T5" s="102"/>
      <c r="U5" s="102"/>
      <c r="V5" s="102"/>
      <c r="W5" s="102"/>
      <c r="X5" s="102"/>
      <c r="Y5" s="102"/>
      <c r="Z5" s="102"/>
    </row>
    <row r="6" spans="1:26" ht="15">
      <c r="A6" s="113"/>
      <c r="B6" s="2" t="s">
        <v>17</v>
      </c>
      <c r="C6" s="3"/>
      <c r="D6" s="3"/>
      <c r="E6" s="3"/>
      <c r="F6" s="3"/>
      <c r="G6" s="114"/>
      <c r="H6" s="114"/>
      <c r="I6" s="114"/>
      <c r="J6" s="114"/>
      <c r="K6" s="114"/>
      <c r="L6" s="114"/>
      <c r="M6" s="104"/>
      <c r="N6" s="104"/>
      <c r="O6" s="104"/>
      <c r="P6" s="102"/>
      <c r="Q6" s="102"/>
      <c r="R6" s="102"/>
      <c r="S6" s="102"/>
      <c r="T6" s="102"/>
      <c r="U6" s="102"/>
      <c r="V6" s="102"/>
      <c r="W6" s="102"/>
      <c r="X6" s="102"/>
      <c r="Y6" s="102"/>
      <c r="Z6" s="102"/>
    </row>
    <row r="7" spans="1:26" ht="15">
      <c r="A7" s="113"/>
      <c r="B7" s="2" t="s">
        <v>226</v>
      </c>
      <c r="C7" s="3"/>
      <c r="D7" s="3"/>
      <c r="E7" s="3"/>
      <c r="F7" s="3"/>
      <c r="G7" s="114"/>
      <c r="H7" s="114"/>
      <c r="I7" s="114"/>
      <c r="J7" s="114"/>
      <c r="K7" s="114"/>
      <c r="L7" s="114"/>
      <c r="M7" s="104"/>
      <c r="N7" s="104"/>
      <c r="O7" s="104"/>
      <c r="P7" s="102"/>
      <c r="Q7" s="102"/>
      <c r="R7" s="102"/>
      <c r="S7" s="102"/>
      <c r="T7" s="102"/>
      <c r="U7" s="102"/>
      <c r="V7" s="102"/>
      <c r="W7" s="102"/>
      <c r="X7" s="102"/>
      <c r="Y7" s="102"/>
      <c r="Z7" s="102"/>
    </row>
    <row r="8" spans="1:26" ht="14.25">
      <c r="A8" s="20"/>
      <c r="B8" s="21"/>
      <c r="C8" s="21"/>
      <c r="D8" s="21"/>
      <c r="E8" s="115"/>
      <c r="F8" s="115"/>
      <c r="G8" s="115"/>
      <c r="I8" s="22"/>
      <c r="J8" s="23"/>
      <c r="K8" s="10"/>
      <c r="L8" s="10"/>
      <c r="M8" s="104"/>
      <c r="N8" s="104"/>
      <c r="O8" s="104"/>
      <c r="P8" s="102"/>
      <c r="Q8" s="102"/>
      <c r="R8" s="102"/>
      <c r="S8" s="102"/>
      <c r="T8" s="102"/>
      <c r="U8" s="102"/>
      <c r="V8" s="102"/>
      <c r="W8" s="102"/>
      <c r="X8" s="102"/>
      <c r="Y8" s="102"/>
      <c r="Z8" s="102"/>
    </row>
    <row r="9" spans="1:26" ht="15">
      <c r="A9" s="24"/>
      <c r="B9" s="25" t="s">
        <v>118</v>
      </c>
      <c r="C9" s="31"/>
      <c r="D9" s="116"/>
      <c r="E9" s="116"/>
      <c r="F9" s="116"/>
      <c r="G9" s="26"/>
      <c r="H9" s="27"/>
      <c r="I9" s="27"/>
      <c r="J9" s="27"/>
      <c r="K9" s="27"/>
      <c r="L9" s="27"/>
      <c r="M9" s="104"/>
      <c r="N9" s="104"/>
      <c r="O9" s="104"/>
      <c r="P9" s="102"/>
      <c r="Q9" s="102"/>
      <c r="R9" s="102"/>
      <c r="S9" s="102"/>
      <c r="T9" s="102"/>
      <c r="U9" s="102"/>
      <c r="V9" s="102"/>
      <c r="W9" s="102"/>
      <c r="X9" s="102"/>
      <c r="Y9" s="102"/>
      <c r="Z9" s="102"/>
    </row>
    <row r="10" spans="1:26" ht="14.25">
      <c r="A10" s="117"/>
      <c r="B10" s="28"/>
      <c r="C10" s="28"/>
      <c r="D10" s="28"/>
      <c r="E10" s="115"/>
      <c r="F10" s="115"/>
      <c r="G10" s="115"/>
      <c r="H10" s="10"/>
      <c r="I10" s="10"/>
      <c r="J10" s="10"/>
      <c r="K10" s="10"/>
      <c r="L10" s="10"/>
      <c r="M10" s="104"/>
      <c r="N10" s="104"/>
      <c r="O10" s="104"/>
      <c r="P10" s="102"/>
      <c r="Q10" s="102"/>
      <c r="R10" s="102"/>
      <c r="S10" s="102"/>
      <c r="T10" s="102"/>
      <c r="U10" s="102"/>
      <c r="V10" s="102"/>
      <c r="W10" s="102"/>
      <c r="X10" s="102"/>
      <c r="Y10" s="102"/>
      <c r="Z10" s="102"/>
    </row>
    <row r="11" spans="1:26" ht="15">
      <c r="A11" s="117"/>
      <c r="B11" s="28" t="s">
        <v>18</v>
      </c>
      <c r="C11" s="28"/>
      <c r="D11" s="28"/>
      <c r="E11" s="115"/>
      <c r="F11" s="115"/>
      <c r="G11" s="28" t="s">
        <v>20</v>
      </c>
      <c r="H11" s="10"/>
      <c r="I11" s="10"/>
      <c r="J11" s="10"/>
      <c r="K11" s="279" t="s">
        <v>121</v>
      </c>
      <c r="L11" s="279"/>
      <c r="M11" s="120" t="s">
        <v>122</v>
      </c>
      <c r="N11" s="279" t="s">
        <v>114</v>
      </c>
      <c r="O11" s="279"/>
      <c r="P11" s="102"/>
      <c r="Q11" s="102"/>
      <c r="R11" s="102"/>
      <c r="S11" s="102"/>
      <c r="T11" s="102"/>
      <c r="U11" s="102"/>
      <c r="V11" s="102"/>
      <c r="W11" s="102"/>
      <c r="X11" s="102"/>
      <c r="Y11" s="102"/>
      <c r="Z11" s="102"/>
    </row>
    <row r="12" spans="1:26" ht="14.25">
      <c r="A12" s="117"/>
      <c r="B12" s="4" t="s">
        <v>15</v>
      </c>
      <c r="C12" s="28"/>
      <c r="D12" s="28"/>
      <c r="E12" s="115"/>
      <c r="F12" s="115"/>
      <c r="G12" s="118"/>
      <c r="H12" s="10"/>
      <c r="I12" s="10"/>
      <c r="J12" s="10"/>
      <c r="K12" s="280" t="s">
        <v>126</v>
      </c>
      <c r="L12" s="280"/>
      <c r="M12" s="122" t="s">
        <v>117</v>
      </c>
      <c r="N12" s="281" t="s">
        <v>115</v>
      </c>
      <c r="O12" s="282"/>
      <c r="P12" s="102"/>
      <c r="Q12" s="102"/>
      <c r="R12" s="102"/>
      <c r="S12" s="102"/>
      <c r="T12" s="102"/>
      <c r="U12" s="102"/>
      <c r="V12" s="102"/>
      <c r="W12" s="102"/>
      <c r="X12" s="102"/>
      <c r="Y12" s="102"/>
      <c r="Z12" s="102"/>
    </row>
    <row r="13" spans="1:26" ht="14.25">
      <c r="A13" s="117"/>
      <c r="B13" s="28" t="s">
        <v>119</v>
      </c>
      <c r="C13" s="28"/>
      <c r="D13" s="28"/>
      <c r="E13" s="115"/>
      <c r="F13" s="115"/>
      <c r="G13" s="115" t="s">
        <v>120</v>
      </c>
      <c r="H13" s="10"/>
      <c r="I13" s="10"/>
      <c r="J13" s="10"/>
      <c r="K13" s="280" t="s">
        <v>127</v>
      </c>
      <c r="L13" s="280"/>
      <c r="M13" s="122" t="s">
        <v>128</v>
      </c>
      <c r="N13" s="283"/>
      <c r="O13" s="284"/>
      <c r="P13" s="102"/>
      <c r="Q13" s="102"/>
      <c r="R13" s="102"/>
      <c r="S13" s="102"/>
      <c r="T13" s="102"/>
      <c r="U13" s="102"/>
      <c r="V13" s="102"/>
      <c r="W13" s="102"/>
      <c r="X13" s="102"/>
      <c r="Y13" s="102"/>
      <c r="Z13" s="102"/>
    </row>
    <row r="14" spans="1:26" ht="14.25">
      <c r="A14" s="117"/>
      <c r="B14" s="28" t="s">
        <v>8</v>
      </c>
      <c r="C14" s="28"/>
      <c r="D14" s="28"/>
      <c r="E14" s="115"/>
      <c r="F14" s="115"/>
      <c r="G14" s="119"/>
      <c r="H14" s="10"/>
      <c r="I14" s="10"/>
      <c r="J14" s="10"/>
      <c r="K14" s="280" t="s">
        <v>225</v>
      </c>
      <c r="L14" s="280"/>
      <c r="M14" s="122" t="s">
        <v>128</v>
      </c>
      <c r="N14" s="281" t="s">
        <v>116</v>
      </c>
      <c r="O14" s="282"/>
      <c r="P14" s="102"/>
      <c r="Q14" s="102"/>
      <c r="R14" s="102"/>
      <c r="S14" s="102"/>
      <c r="T14" s="102"/>
      <c r="U14" s="102"/>
      <c r="V14" s="102"/>
      <c r="W14" s="102"/>
      <c r="X14" s="102"/>
      <c r="Y14" s="102"/>
      <c r="Z14" s="102"/>
    </row>
    <row r="15" spans="1:26" ht="14.25">
      <c r="A15" s="117"/>
      <c r="B15" s="28"/>
      <c r="C15" s="28"/>
      <c r="D15" s="28"/>
      <c r="E15" s="115"/>
      <c r="F15" s="115"/>
      <c r="G15" s="115"/>
      <c r="H15" s="10"/>
      <c r="I15" s="10"/>
      <c r="J15" s="10"/>
      <c r="K15" s="280" t="s">
        <v>129</v>
      </c>
      <c r="L15" s="280"/>
      <c r="M15" s="122" t="s">
        <v>117</v>
      </c>
      <c r="N15" s="283"/>
      <c r="O15" s="284"/>
      <c r="P15" s="102"/>
      <c r="Q15" s="102"/>
      <c r="R15" s="102"/>
      <c r="S15" s="102"/>
      <c r="T15" s="102"/>
      <c r="U15" s="102"/>
      <c r="V15" s="102"/>
      <c r="W15" s="102"/>
      <c r="X15" s="102"/>
      <c r="Y15" s="102"/>
      <c r="Z15" s="102"/>
    </row>
    <row r="16" spans="1:26" ht="15">
      <c r="A16" s="117"/>
      <c r="B16" s="5" t="s">
        <v>19</v>
      </c>
      <c r="C16" s="6"/>
      <c r="D16" s="6"/>
      <c r="E16" s="115"/>
      <c r="F16" s="115"/>
      <c r="G16" s="115"/>
      <c r="H16" s="102"/>
      <c r="I16" s="10"/>
      <c r="J16" s="10"/>
      <c r="K16" s="252"/>
      <c r="L16" s="252"/>
      <c r="M16" s="177"/>
      <c r="N16" s="252"/>
      <c r="O16" s="252"/>
      <c r="P16" s="102"/>
      <c r="Q16" s="102"/>
      <c r="R16" s="102"/>
      <c r="S16" s="102"/>
      <c r="T16" s="102"/>
      <c r="U16" s="102"/>
      <c r="V16" s="102"/>
      <c r="W16" s="102"/>
      <c r="X16" s="102"/>
      <c r="Y16" s="102"/>
      <c r="Z16" s="102"/>
    </row>
    <row r="17" spans="1:26" ht="14.25">
      <c r="A17" s="117"/>
      <c r="B17" s="270" t="s">
        <v>21</v>
      </c>
      <c r="C17" s="121" t="s">
        <v>123</v>
      </c>
      <c r="D17" s="121" t="s">
        <v>124</v>
      </c>
      <c r="E17" s="121" t="s">
        <v>125</v>
      </c>
      <c r="F17" s="121" t="s">
        <v>22</v>
      </c>
      <c r="G17" s="115"/>
      <c r="H17" s="102"/>
      <c r="I17" s="10"/>
      <c r="J17" s="10"/>
      <c r="K17" s="253"/>
      <c r="L17" s="253"/>
      <c r="M17" s="178"/>
      <c r="N17" s="272"/>
      <c r="O17" s="253"/>
      <c r="P17" s="102"/>
      <c r="Q17" s="102"/>
      <c r="R17" s="102"/>
      <c r="S17" s="102"/>
      <c r="T17" s="102"/>
      <c r="U17" s="102"/>
      <c r="V17" s="102"/>
      <c r="W17" s="102"/>
      <c r="X17" s="102"/>
      <c r="Y17" s="102"/>
      <c r="Z17" s="102"/>
    </row>
    <row r="18" spans="1:26" ht="14.25">
      <c r="A18" s="117"/>
      <c r="B18" s="271"/>
      <c r="C18" s="123">
        <v>4.5</v>
      </c>
      <c r="D18" s="123">
        <v>5</v>
      </c>
      <c r="E18" s="123">
        <v>5.5</v>
      </c>
      <c r="F18" s="121" t="s">
        <v>23</v>
      </c>
      <c r="G18" s="115"/>
      <c r="H18" s="102"/>
      <c r="I18" s="10"/>
      <c r="J18" s="10"/>
      <c r="K18" s="253"/>
      <c r="L18" s="253"/>
      <c r="M18" s="178"/>
      <c r="N18" s="253"/>
      <c r="O18" s="253"/>
      <c r="P18" s="102"/>
      <c r="Q18" s="102"/>
      <c r="R18" s="102"/>
      <c r="S18" s="102"/>
      <c r="T18" s="102"/>
      <c r="U18" s="102"/>
      <c r="V18" s="102"/>
      <c r="W18" s="102"/>
      <c r="X18" s="102"/>
      <c r="Y18" s="102"/>
      <c r="Z18" s="102"/>
    </row>
    <row r="19" spans="1:26" ht="14.25">
      <c r="A19" s="117"/>
      <c r="B19" s="7" t="s">
        <v>24</v>
      </c>
      <c r="C19" s="8"/>
      <c r="D19" s="8"/>
      <c r="E19" s="124"/>
      <c r="F19" s="125"/>
      <c r="G19" s="115"/>
      <c r="H19" s="102"/>
      <c r="I19" s="126"/>
      <c r="J19" s="125"/>
      <c r="K19" s="253"/>
      <c r="L19" s="253"/>
      <c r="M19" s="178"/>
      <c r="N19" s="272"/>
      <c r="O19" s="253"/>
      <c r="P19" s="102"/>
      <c r="Q19" s="102"/>
      <c r="R19" s="102"/>
      <c r="S19" s="102"/>
      <c r="T19" s="102"/>
      <c r="U19" s="102"/>
      <c r="V19" s="102"/>
      <c r="W19" s="102"/>
      <c r="X19" s="102"/>
      <c r="Y19" s="102"/>
      <c r="Z19" s="102"/>
    </row>
    <row r="20" spans="1:26" ht="14.25">
      <c r="A20" s="117"/>
      <c r="B20" s="270" t="s">
        <v>25</v>
      </c>
      <c r="C20" s="121" t="s">
        <v>26</v>
      </c>
      <c r="D20" s="121" t="s">
        <v>27</v>
      </c>
      <c r="E20" s="121" t="s">
        <v>22</v>
      </c>
      <c r="F20" s="124"/>
      <c r="G20" s="125"/>
      <c r="H20" s="127"/>
      <c r="I20" s="126"/>
      <c r="J20" s="126"/>
      <c r="K20" s="253"/>
      <c r="L20" s="253"/>
      <c r="M20" s="178"/>
      <c r="N20" s="253"/>
      <c r="O20" s="253"/>
      <c r="P20" s="102"/>
      <c r="Q20" s="102"/>
      <c r="R20" s="102"/>
      <c r="S20" s="102"/>
      <c r="T20" s="102"/>
      <c r="U20" s="102"/>
      <c r="V20" s="102"/>
      <c r="W20" s="102"/>
      <c r="X20" s="102"/>
      <c r="Y20" s="102"/>
      <c r="Z20" s="102"/>
    </row>
    <row r="21" spans="1:26">
      <c r="A21" s="117"/>
      <c r="B21" s="271"/>
      <c r="C21" s="128">
        <v>0</v>
      </c>
      <c r="D21" s="128">
        <v>60</v>
      </c>
      <c r="E21" s="9" t="s">
        <v>28</v>
      </c>
      <c r="F21" s="124"/>
      <c r="G21" s="125"/>
      <c r="H21" s="115"/>
      <c r="I21" s="126"/>
      <c r="J21" s="126"/>
      <c r="K21" s="125"/>
      <c r="L21" s="115"/>
      <c r="M21" s="104"/>
      <c r="N21" s="104"/>
      <c r="O21" s="104"/>
      <c r="P21" s="102"/>
      <c r="Q21" s="102"/>
      <c r="R21" s="102"/>
      <c r="S21" s="102"/>
      <c r="T21" s="102"/>
      <c r="U21" s="102"/>
      <c r="V21" s="102"/>
      <c r="W21" s="102"/>
      <c r="X21" s="102"/>
      <c r="Y21" s="102"/>
      <c r="Z21" s="102"/>
    </row>
    <row r="22" spans="1:26">
      <c r="A22" s="117"/>
      <c r="B22" s="5" t="s">
        <v>29</v>
      </c>
      <c r="C22" s="124"/>
      <c r="D22" s="124"/>
      <c r="E22" s="124"/>
      <c r="F22" s="115"/>
      <c r="G22" s="115"/>
      <c r="H22" s="115"/>
      <c r="I22" s="115"/>
      <c r="J22" s="115"/>
      <c r="K22" s="115"/>
      <c r="L22" s="115"/>
      <c r="M22" s="104"/>
      <c r="N22" s="104"/>
      <c r="O22" s="104"/>
      <c r="P22" s="102"/>
      <c r="Q22" s="102"/>
      <c r="R22" s="102"/>
      <c r="S22" s="102"/>
      <c r="T22" s="102"/>
      <c r="U22" s="102"/>
      <c r="V22" s="102"/>
      <c r="W22" s="102"/>
      <c r="X22" s="102"/>
      <c r="Y22" s="102"/>
      <c r="Z22" s="102"/>
    </row>
    <row r="23" spans="1:26">
      <c r="A23" s="117"/>
      <c r="B23" s="121" t="s">
        <v>30</v>
      </c>
      <c r="C23" s="121" t="s">
        <v>130</v>
      </c>
      <c r="D23" s="121" t="s">
        <v>131</v>
      </c>
      <c r="E23" s="121" t="s">
        <v>132</v>
      </c>
      <c r="F23" s="254" t="s">
        <v>31</v>
      </c>
      <c r="G23" s="254"/>
      <c r="H23" s="121" t="s">
        <v>32</v>
      </c>
      <c r="I23" s="33" t="s">
        <v>33</v>
      </c>
      <c r="J23" s="115"/>
      <c r="K23" s="115"/>
      <c r="L23" s="115"/>
      <c r="M23" s="104"/>
      <c r="N23" s="104"/>
      <c r="O23" s="104"/>
      <c r="P23" s="102"/>
      <c r="Q23" s="102"/>
      <c r="R23" s="102"/>
      <c r="S23" s="102"/>
      <c r="T23" s="102"/>
      <c r="U23" s="102"/>
      <c r="V23" s="102"/>
      <c r="W23" s="102"/>
      <c r="X23" s="102"/>
      <c r="Y23" s="102"/>
      <c r="Z23" s="102"/>
    </row>
    <row r="24" spans="1:26">
      <c r="A24" s="117"/>
      <c r="B24" s="121" t="s">
        <v>34</v>
      </c>
      <c r="C24" s="129">
        <v>1.35</v>
      </c>
      <c r="D24" s="129">
        <v>4</v>
      </c>
      <c r="E24" s="100">
        <v>500</v>
      </c>
      <c r="F24" s="255">
        <f>G93</f>
        <v>1.5279545454545458</v>
      </c>
      <c r="G24" s="256"/>
      <c r="H24" s="129">
        <v>1.5</v>
      </c>
      <c r="I24" s="130">
        <v>20</v>
      </c>
      <c r="J24" s="115"/>
      <c r="K24" s="115"/>
      <c r="L24" s="115"/>
      <c r="M24" s="104"/>
      <c r="N24" s="104"/>
      <c r="O24" s="104"/>
      <c r="P24" s="102"/>
      <c r="Q24" s="102"/>
      <c r="R24" s="102"/>
      <c r="S24" s="102"/>
      <c r="T24" s="102"/>
      <c r="U24" s="102"/>
      <c r="V24" s="102"/>
      <c r="W24" s="102"/>
      <c r="X24" s="102"/>
      <c r="Y24" s="102"/>
      <c r="Z24" s="102"/>
    </row>
    <row r="25" spans="1:26">
      <c r="A25" s="117"/>
      <c r="B25" s="121" t="s">
        <v>22</v>
      </c>
      <c r="C25" s="131" t="s">
        <v>23</v>
      </c>
      <c r="D25" s="131" t="s">
        <v>35</v>
      </c>
      <c r="E25" s="121" t="s">
        <v>133</v>
      </c>
      <c r="F25" s="254" t="s">
        <v>36</v>
      </c>
      <c r="G25" s="257"/>
      <c r="H25" s="131" t="s">
        <v>134</v>
      </c>
      <c r="I25" s="132" t="s">
        <v>135</v>
      </c>
      <c r="J25" s="115"/>
      <c r="K25" s="115"/>
      <c r="L25" s="115"/>
      <c r="M25" s="104"/>
      <c r="N25" s="104"/>
      <c r="O25" s="104"/>
      <c r="P25" s="102"/>
      <c r="Q25" s="102"/>
      <c r="R25" s="102"/>
      <c r="S25" s="102"/>
      <c r="T25" s="102"/>
      <c r="U25" s="102"/>
      <c r="V25" s="102"/>
      <c r="W25" s="102"/>
      <c r="X25" s="102"/>
      <c r="Y25" s="102"/>
      <c r="Z25" s="102"/>
    </row>
    <row r="26" spans="1:26">
      <c r="A26" s="117"/>
      <c r="B26" s="126"/>
      <c r="C26" s="133"/>
      <c r="D26" s="133"/>
      <c r="E26" s="125"/>
      <c r="F26" s="133"/>
      <c r="G26" s="134"/>
      <c r="H26" s="115"/>
      <c r="I26" s="115"/>
      <c r="J26" s="115"/>
      <c r="K26" s="115"/>
      <c r="L26" s="115"/>
      <c r="M26" s="104"/>
      <c r="N26" s="104"/>
      <c r="O26" s="104"/>
      <c r="P26" s="102"/>
      <c r="Q26" s="102"/>
      <c r="R26" s="102"/>
      <c r="S26" s="102"/>
      <c r="T26" s="102"/>
      <c r="U26" s="102"/>
      <c r="V26" s="102"/>
      <c r="W26" s="102"/>
      <c r="X26" s="102"/>
      <c r="Y26" s="102"/>
      <c r="Z26" s="102"/>
    </row>
    <row r="27" spans="1:26">
      <c r="A27" s="117"/>
      <c r="B27" s="126"/>
      <c r="C27" s="133"/>
      <c r="D27" s="133"/>
      <c r="E27" s="125"/>
      <c r="F27" s="133"/>
      <c r="G27" s="134"/>
      <c r="H27" s="115"/>
      <c r="I27" s="115"/>
      <c r="J27" s="115"/>
      <c r="K27" s="115"/>
      <c r="L27" s="115"/>
      <c r="M27" s="104"/>
      <c r="N27" s="104"/>
      <c r="O27" s="104"/>
      <c r="P27" s="102"/>
      <c r="Q27" s="102"/>
      <c r="R27" s="102"/>
      <c r="S27" s="102"/>
      <c r="T27" s="102"/>
      <c r="U27" s="102"/>
      <c r="V27" s="102"/>
      <c r="W27" s="102"/>
      <c r="X27" s="102"/>
      <c r="Y27" s="102"/>
      <c r="Z27" s="102"/>
    </row>
    <row r="28" spans="1:26">
      <c r="A28" s="117"/>
      <c r="B28" s="29" t="s">
        <v>14</v>
      </c>
      <c r="C28" s="133"/>
      <c r="D28" s="133"/>
      <c r="E28" s="125"/>
      <c r="F28" s="133"/>
      <c r="G28" s="115"/>
      <c r="H28" s="115"/>
      <c r="I28" s="115"/>
      <c r="J28" s="115"/>
      <c r="K28" s="115"/>
      <c r="L28" s="115"/>
      <c r="M28" s="104"/>
      <c r="N28" s="104"/>
      <c r="O28" s="104"/>
      <c r="P28" s="102"/>
      <c r="Q28" s="102"/>
      <c r="R28" s="102"/>
      <c r="S28" s="102"/>
      <c r="T28" s="102"/>
      <c r="U28" s="102"/>
      <c r="V28" s="102"/>
      <c r="W28" s="102"/>
      <c r="X28" s="102"/>
      <c r="Y28" s="102"/>
      <c r="Z28" s="102"/>
    </row>
    <row r="29" spans="1:26">
      <c r="A29" s="117"/>
      <c r="B29" s="121" t="s">
        <v>30</v>
      </c>
      <c r="C29" s="131" t="s">
        <v>103</v>
      </c>
      <c r="D29" s="199" t="s">
        <v>105</v>
      </c>
      <c r="E29" s="199"/>
      <c r="F29" s="131" t="s">
        <v>102</v>
      </c>
      <c r="G29" s="260" t="s">
        <v>37</v>
      </c>
      <c r="H29" s="260"/>
      <c r="I29" s="115"/>
      <c r="J29" s="115"/>
      <c r="K29" s="115"/>
      <c r="L29" s="115"/>
      <c r="M29" s="104"/>
      <c r="N29" s="104"/>
      <c r="O29" s="104"/>
      <c r="P29" s="102"/>
      <c r="Q29" s="102"/>
      <c r="R29" s="102"/>
      <c r="S29" s="102"/>
      <c r="T29" s="102"/>
      <c r="U29" s="102"/>
      <c r="V29" s="102"/>
      <c r="W29" s="102"/>
      <c r="X29" s="102"/>
      <c r="Y29" s="102"/>
      <c r="Z29" s="102"/>
    </row>
    <row r="30" spans="1:26">
      <c r="A30" s="117"/>
      <c r="B30" s="121" t="s">
        <v>34</v>
      </c>
      <c r="C30" s="135">
        <v>10</v>
      </c>
      <c r="D30" s="261">
        <f>E130</f>
        <v>29.940569639349285</v>
      </c>
      <c r="E30" s="262"/>
      <c r="F30" s="135">
        <v>30.1</v>
      </c>
      <c r="G30" s="263">
        <f>E132</f>
        <v>1.3517917809150692</v>
      </c>
      <c r="H30" s="264"/>
      <c r="I30" s="115"/>
      <c r="J30" s="115"/>
      <c r="K30" s="115"/>
      <c r="L30" s="115"/>
      <c r="M30" s="104"/>
      <c r="N30" s="104"/>
      <c r="O30" s="104"/>
      <c r="P30" s="102"/>
      <c r="Q30" s="102"/>
      <c r="R30" s="102"/>
      <c r="S30" s="102"/>
      <c r="T30" s="102"/>
      <c r="U30" s="102"/>
      <c r="V30" s="102"/>
      <c r="W30" s="102"/>
      <c r="X30" s="102"/>
      <c r="Y30" s="102"/>
      <c r="Z30" s="102"/>
    </row>
    <row r="31" spans="1:26">
      <c r="A31" s="117"/>
      <c r="B31" s="121" t="s">
        <v>22</v>
      </c>
      <c r="C31" s="131" t="s">
        <v>38</v>
      </c>
      <c r="D31" s="217" t="s">
        <v>38</v>
      </c>
      <c r="E31" s="218"/>
      <c r="F31" s="131" t="s">
        <v>38</v>
      </c>
      <c r="G31" s="204" t="s">
        <v>23</v>
      </c>
      <c r="H31" s="206"/>
      <c r="I31" s="115"/>
      <c r="J31" s="115"/>
      <c r="K31" s="115"/>
      <c r="L31" s="115"/>
      <c r="M31" s="104"/>
      <c r="N31" s="104"/>
      <c r="O31" s="104"/>
      <c r="P31" s="102"/>
      <c r="Q31" s="102"/>
      <c r="R31" s="102"/>
      <c r="S31" s="102"/>
      <c r="T31" s="102"/>
      <c r="U31" s="102"/>
      <c r="V31" s="102"/>
      <c r="W31" s="102"/>
      <c r="X31" s="102"/>
      <c r="Y31" s="102"/>
      <c r="Z31" s="102"/>
    </row>
    <row r="32" spans="1:26">
      <c r="A32" s="117"/>
      <c r="B32" s="126"/>
      <c r="C32" s="133"/>
      <c r="D32" s="133"/>
      <c r="E32" s="125"/>
      <c r="F32" s="133"/>
      <c r="G32" s="134"/>
      <c r="H32" s="115"/>
      <c r="I32" s="115"/>
      <c r="J32" s="115"/>
      <c r="K32" s="115"/>
      <c r="L32" s="115"/>
      <c r="M32" s="104"/>
      <c r="N32" s="104"/>
      <c r="O32" s="104"/>
      <c r="P32" s="102"/>
      <c r="Q32" s="102"/>
      <c r="R32" s="102"/>
      <c r="S32" s="102"/>
      <c r="T32" s="102"/>
      <c r="U32" s="102"/>
      <c r="V32" s="102"/>
      <c r="W32" s="102"/>
      <c r="X32" s="102"/>
      <c r="Y32" s="102"/>
      <c r="Z32" s="102"/>
    </row>
    <row r="33" spans="1:26">
      <c r="A33" s="117"/>
      <c r="B33" s="126"/>
      <c r="C33" s="133"/>
      <c r="D33" s="133"/>
      <c r="E33" s="125"/>
      <c r="F33" s="133"/>
      <c r="G33" s="115"/>
      <c r="H33" s="115"/>
      <c r="I33" s="115"/>
      <c r="J33" s="115"/>
      <c r="K33" s="115"/>
      <c r="L33" s="115"/>
      <c r="M33" s="104"/>
      <c r="N33" s="104"/>
      <c r="O33" s="104"/>
      <c r="P33" s="102"/>
      <c r="Q33" s="102"/>
      <c r="R33" s="102"/>
      <c r="S33" s="102"/>
      <c r="T33" s="102"/>
      <c r="U33" s="102"/>
      <c r="V33" s="102"/>
      <c r="W33" s="102"/>
      <c r="X33" s="102"/>
      <c r="Y33" s="102"/>
      <c r="Z33" s="102"/>
    </row>
    <row r="34" spans="1:26">
      <c r="A34" s="117"/>
      <c r="B34" s="126"/>
      <c r="C34" s="133"/>
      <c r="D34" s="133"/>
      <c r="E34" s="125"/>
      <c r="F34" s="133"/>
      <c r="G34" s="115"/>
      <c r="H34" s="115"/>
      <c r="I34" s="115"/>
      <c r="J34" s="115"/>
      <c r="K34" s="115"/>
      <c r="L34" s="115"/>
      <c r="M34" s="104"/>
      <c r="N34" s="104"/>
      <c r="O34" s="104"/>
      <c r="P34" s="102"/>
      <c r="Q34" s="102"/>
      <c r="R34" s="102"/>
      <c r="S34" s="102"/>
      <c r="T34" s="102"/>
      <c r="U34" s="102"/>
      <c r="V34" s="102"/>
      <c r="W34" s="102"/>
      <c r="X34" s="102"/>
      <c r="Y34" s="102"/>
      <c r="Z34" s="102"/>
    </row>
    <row r="35" spans="1:26">
      <c r="A35" s="117"/>
      <c r="B35" s="19" t="s">
        <v>16</v>
      </c>
      <c r="C35" s="133"/>
      <c r="D35" s="133"/>
      <c r="E35" s="125"/>
      <c r="F35" s="133"/>
      <c r="G35" s="115"/>
      <c r="H35" s="115"/>
      <c r="I35" s="115"/>
      <c r="J35" s="115"/>
      <c r="K35" s="115"/>
      <c r="L35" s="115"/>
      <c r="M35" s="104"/>
      <c r="N35" s="104"/>
      <c r="O35" s="104"/>
      <c r="P35" s="102"/>
      <c r="Q35" s="102"/>
      <c r="R35" s="102"/>
      <c r="S35" s="102"/>
      <c r="T35" s="102"/>
      <c r="U35" s="102"/>
      <c r="V35" s="102"/>
      <c r="W35" s="102"/>
      <c r="X35" s="102"/>
      <c r="Y35" s="102"/>
      <c r="Z35" s="102"/>
    </row>
    <row r="36" spans="1:26">
      <c r="A36" s="117"/>
      <c r="B36" s="5" t="s">
        <v>186</v>
      </c>
      <c r="C36" s="125"/>
      <c r="D36" s="125"/>
      <c r="E36" s="125"/>
      <c r="F36" s="133"/>
      <c r="G36" s="115"/>
      <c r="H36" s="115"/>
      <c r="I36" s="115"/>
      <c r="J36" s="115"/>
      <c r="K36" s="115"/>
      <c r="L36" s="115"/>
      <c r="M36" s="104"/>
      <c r="N36" s="104"/>
      <c r="O36" s="104"/>
      <c r="P36" s="102"/>
      <c r="Q36" s="102"/>
      <c r="R36" s="102"/>
      <c r="S36" s="102"/>
      <c r="T36" s="102"/>
      <c r="U36" s="102"/>
      <c r="V36" s="102"/>
      <c r="W36" s="102"/>
      <c r="X36" s="102"/>
      <c r="Y36" s="102"/>
      <c r="Z36" s="102"/>
    </row>
    <row r="37" spans="1:26" ht="14.25">
      <c r="A37" s="117"/>
      <c r="B37" s="136"/>
      <c r="C37" s="204" t="s">
        <v>216</v>
      </c>
      <c r="D37" s="206"/>
      <c r="E37" s="99" t="s">
        <v>200</v>
      </c>
      <c r="F37" s="291" t="s">
        <v>201</v>
      </c>
      <c r="G37" s="291"/>
      <c r="H37" s="198" t="s">
        <v>224</v>
      </c>
      <c r="I37" s="115"/>
      <c r="J37" s="115"/>
      <c r="K37" s="115"/>
      <c r="L37" s="115"/>
      <c r="M37" s="104"/>
      <c r="N37" s="104"/>
      <c r="O37" s="104"/>
      <c r="P37" s="102"/>
      <c r="Q37" s="102"/>
      <c r="R37" s="102"/>
      <c r="S37" s="102"/>
      <c r="T37" s="102"/>
      <c r="U37" s="102"/>
      <c r="V37" s="102"/>
      <c r="W37" s="102"/>
      <c r="X37" s="102"/>
      <c r="Y37" s="102"/>
      <c r="Z37" s="102"/>
    </row>
    <row r="38" spans="1:26">
      <c r="A38" s="117"/>
      <c r="B38" s="121" t="s">
        <v>34</v>
      </c>
      <c r="C38" s="326">
        <f>E137</f>
        <v>58.569019057817485</v>
      </c>
      <c r="D38" s="327"/>
      <c r="E38" s="100">
        <f>47*4*0.6</f>
        <v>112.8</v>
      </c>
      <c r="F38" s="292">
        <f>E138</f>
        <v>86.538148726089673</v>
      </c>
      <c r="G38" s="328"/>
      <c r="H38" s="156">
        <f>E135</f>
        <v>166.66666666666666</v>
      </c>
      <c r="I38" s="115"/>
      <c r="J38" s="115"/>
      <c r="K38" s="115"/>
      <c r="L38" s="115"/>
      <c r="M38" s="104"/>
      <c r="N38" s="104"/>
      <c r="O38" s="104"/>
      <c r="P38" s="102"/>
      <c r="Q38" s="102"/>
      <c r="R38" s="102"/>
      <c r="S38" s="102"/>
      <c r="T38" s="102"/>
      <c r="U38" s="102"/>
      <c r="V38" s="102"/>
      <c r="W38" s="102"/>
      <c r="X38" s="102"/>
      <c r="Y38" s="102"/>
      <c r="Z38" s="102"/>
    </row>
    <row r="39" spans="1:26">
      <c r="A39" s="117"/>
      <c r="B39" s="121" t="s">
        <v>22</v>
      </c>
      <c r="C39" s="217" t="s">
        <v>39</v>
      </c>
      <c r="D39" s="218"/>
      <c r="E39" s="99" t="s">
        <v>202</v>
      </c>
      <c r="F39" s="291" t="s">
        <v>203</v>
      </c>
      <c r="G39" s="291"/>
      <c r="H39" s="121" t="s">
        <v>204</v>
      </c>
      <c r="I39" s="115"/>
      <c r="J39" s="115"/>
      <c r="K39" s="115"/>
      <c r="L39" s="115"/>
      <c r="M39" s="104"/>
      <c r="N39" s="104"/>
      <c r="O39" s="104"/>
      <c r="P39" s="102"/>
      <c r="Q39" s="102"/>
      <c r="R39" s="102"/>
      <c r="S39" s="102"/>
      <c r="T39" s="102"/>
      <c r="U39" s="102"/>
      <c r="V39" s="102"/>
      <c r="W39" s="102"/>
      <c r="X39" s="102"/>
      <c r="Y39" s="102"/>
      <c r="Z39" s="102"/>
    </row>
    <row r="40" spans="1:26">
      <c r="A40" s="117"/>
      <c r="B40" s="126" t="s">
        <v>208</v>
      </c>
      <c r="C40" s="188" t="s">
        <v>209</v>
      </c>
      <c r="D40" s="108"/>
      <c r="E40" s="108"/>
      <c r="F40" s="108"/>
      <c r="G40" s="108"/>
      <c r="H40" s="108"/>
      <c r="I40" s="108"/>
      <c r="J40" s="108"/>
      <c r="K40" s="108"/>
      <c r="L40" s="115"/>
      <c r="M40" s="104"/>
      <c r="N40" s="104"/>
      <c r="O40" s="104"/>
      <c r="P40" s="102"/>
      <c r="Q40" s="102"/>
      <c r="R40" s="102"/>
      <c r="S40" s="102"/>
      <c r="T40" s="102"/>
      <c r="U40" s="102"/>
      <c r="V40" s="102"/>
      <c r="W40" s="102"/>
      <c r="X40" s="102"/>
      <c r="Y40" s="102"/>
      <c r="Z40" s="102"/>
    </row>
    <row r="41" spans="1:26">
      <c r="A41" s="117"/>
      <c r="B41" s="104"/>
      <c r="C41" s="104"/>
      <c r="D41" s="108"/>
      <c r="E41" s="108"/>
      <c r="F41" s="108"/>
      <c r="G41" s="108"/>
      <c r="H41" s="108"/>
      <c r="I41" s="108"/>
      <c r="J41" s="108"/>
      <c r="K41" s="108"/>
      <c r="L41" s="138"/>
      <c r="M41" s="104"/>
      <c r="N41" s="104"/>
      <c r="O41" s="104"/>
      <c r="P41" s="102"/>
      <c r="Q41" s="102"/>
      <c r="R41" s="102"/>
      <c r="S41" s="102"/>
      <c r="T41" s="102"/>
      <c r="U41" s="102"/>
      <c r="V41" s="102"/>
      <c r="W41" s="102"/>
      <c r="X41" s="102"/>
      <c r="Y41" s="102"/>
      <c r="Z41" s="102"/>
    </row>
    <row r="42" spans="1:26">
      <c r="A42" s="117"/>
      <c r="B42" s="104"/>
      <c r="C42" s="104"/>
      <c r="D42" s="108"/>
      <c r="E42" s="108"/>
      <c r="F42" s="108" t="s">
        <v>214</v>
      </c>
      <c r="G42" s="108"/>
      <c r="H42" s="108"/>
      <c r="I42" s="108"/>
      <c r="J42" s="108"/>
      <c r="K42" s="108"/>
      <c r="L42" s="138"/>
      <c r="M42" s="104"/>
      <c r="N42" s="104"/>
      <c r="O42" s="104"/>
      <c r="P42" s="102"/>
      <c r="Q42" s="102"/>
      <c r="R42" s="102"/>
      <c r="S42" s="102"/>
      <c r="T42" s="102"/>
      <c r="U42" s="102"/>
      <c r="V42" s="102"/>
      <c r="W42" s="102"/>
      <c r="X42" s="102"/>
      <c r="Y42" s="102"/>
      <c r="Z42" s="102"/>
    </row>
    <row r="43" spans="1:26">
      <c r="A43" s="117"/>
      <c r="B43" s="104"/>
      <c r="C43" s="104"/>
      <c r="D43" s="108"/>
      <c r="E43" s="108"/>
      <c r="F43" s="108" t="s">
        <v>215</v>
      </c>
      <c r="G43" s="108"/>
      <c r="H43" s="108"/>
      <c r="I43" s="108"/>
      <c r="J43" s="108"/>
      <c r="K43" s="108"/>
      <c r="L43" s="133"/>
      <c r="M43" s="104"/>
      <c r="N43" s="104"/>
      <c r="O43" s="104"/>
      <c r="P43" s="102"/>
      <c r="Q43" s="102"/>
      <c r="R43" s="102"/>
      <c r="S43" s="102"/>
      <c r="T43" s="102"/>
      <c r="U43" s="102"/>
      <c r="V43" s="102"/>
      <c r="W43" s="102"/>
      <c r="X43" s="102"/>
      <c r="Y43" s="102"/>
      <c r="Z43" s="102"/>
    </row>
    <row r="44" spans="1:26">
      <c r="A44" s="117"/>
      <c r="B44" s="104"/>
      <c r="C44" s="104"/>
      <c r="D44" s="102"/>
      <c r="E44" s="102"/>
      <c r="F44" s="104"/>
      <c r="G44" s="104"/>
      <c r="H44" s="104"/>
      <c r="I44" s="125"/>
      <c r="J44" s="125"/>
      <c r="K44" s="125"/>
      <c r="L44" s="115"/>
      <c r="M44" s="104"/>
      <c r="N44" s="104"/>
      <c r="O44" s="104"/>
      <c r="P44" s="102"/>
      <c r="Q44" s="102"/>
      <c r="R44" s="102"/>
      <c r="S44" s="102"/>
      <c r="T44" s="102"/>
      <c r="U44" s="102"/>
      <c r="V44" s="102"/>
      <c r="W44" s="102"/>
      <c r="X44" s="102"/>
      <c r="Y44" s="102"/>
      <c r="Z44" s="102"/>
    </row>
    <row r="45" spans="1:26">
      <c r="A45" s="117"/>
      <c r="B45" s="104"/>
      <c r="C45" s="104"/>
      <c r="D45" s="102"/>
      <c r="E45" s="102"/>
      <c r="F45" s="102"/>
      <c r="G45" s="102"/>
      <c r="H45" s="102"/>
      <c r="I45" s="125"/>
      <c r="J45" s="125"/>
      <c r="K45" s="125"/>
      <c r="L45" s="115"/>
      <c r="M45" s="104"/>
      <c r="N45" s="104"/>
      <c r="O45" s="104"/>
      <c r="P45" s="102"/>
      <c r="Q45" s="102"/>
      <c r="R45" s="102"/>
      <c r="S45" s="102"/>
      <c r="T45" s="102"/>
      <c r="U45" s="102"/>
      <c r="V45" s="102"/>
      <c r="W45" s="102"/>
      <c r="X45" s="102"/>
      <c r="Y45" s="102"/>
      <c r="Z45" s="102"/>
    </row>
    <row r="46" spans="1:26">
      <c r="A46" s="117"/>
      <c r="B46" s="5" t="s">
        <v>9</v>
      </c>
      <c r="C46" s="108"/>
      <c r="D46" s="102"/>
      <c r="E46" s="102"/>
      <c r="F46" s="102"/>
      <c r="G46" s="102"/>
      <c r="H46" s="102"/>
      <c r="I46" s="125"/>
      <c r="J46" s="125"/>
      <c r="K46" s="125"/>
      <c r="L46" s="115"/>
      <c r="M46" s="104"/>
      <c r="N46" s="104"/>
      <c r="O46" s="104"/>
      <c r="P46" s="102"/>
      <c r="Q46" s="102"/>
      <c r="R46" s="102"/>
      <c r="S46" s="102"/>
      <c r="T46" s="102"/>
      <c r="U46" s="102"/>
      <c r="V46" s="102"/>
      <c r="W46" s="102"/>
      <c r="X46" s="102"/>
      <c r="Y46" s="102"/>
      <c r="Z46" s="102"/>
    </row>
    <row r="47" spans="1:26">
      <c r="A47" s="117"/>
      <c r="B47" s="136"/>
      <c r="C47" s="121" t="s">
        <v>40</v>
      </c>
      <c r="D47" s="102"/>
      <c r="E47" s="102"/>
      <c r="F47" s="102"/>
      <c r="G47" s="102"/>
      <c r="H47" s="102"/>
      <c r="I47" s="125"/>
      <c r="J47" s="125"/>
      <c r="K47" s="125"/>
      <c r="L47" s="115"/>
      <c r="M47" s="104"/>
      <c r="N47" s="104"/>
      <c r="O47" s="104"/>
      <c r="P47" s="102"/>
      <c r="Q47" s="102"/>
      <c r="R47" s="102"/>
      <c r="S47" s="102"/>
      <c r="T47" s="102"/>
      <c r="U47" s="102"/>
      <c r="V47" s="102"/>
      <c r="W47" s="102"/>
      <c r="X47" s="102"/>
      <c r="Y47" s="102"/>
      <c r="Z47" s="102"/>
    </row>
    <row r="48" spans="1:26">
      <c r="A48" s="117"/>
      <c r="B48" s="121" t="s">
        <v>34</v>
      </c>
      <c r="C48" s="129">
        <v>1</v>
      </c>
      <c r="D48" s="102"/>
      <c r="E48" s="102"/>
      <c r="F48" s="102"/>
      <c r="G48" s="102"/>
      <c r="H48" s="102"/>
      <c r="I48" s="125"/>
      <c r="J48" s="125"/>
      <c r="K48" s="125"/>
      <c r="L48" s="115"/>
      <c r="M48" s="104"/>
      <c r="N48" s="104"/>
      <c r="O48" s="104"/>
      <c r="P48" s="102"/>
      <c r="Q48" s="102"/>
      <c r="R48" s="102"/>
      <c r="S48" s="102"/>
      <c r="T48" s="102"/>
      <c r="U48" s="102"/>
      <c r="V48" s="102"/>
      <c r="W48" s="102"/>
      <c r="X48" s="102"/>
      <c r="Y48" s="102"/>
      <c r="Z48" s="102"/>
    </row>
    <row r="49" spans="1:26">
      <c r="A49" s="117"/>
      <c r="B49" s="121" t="s">
        <v>22</v>
      </c>
      <c r="C49" s="131" t="s">
        <v>41</v>
      </c>
      <c r="D49" s="102"/>
      <c r="E49" s="102"/>
      <c r="F49" s="102"/>
      <c r="G49" s="102"/>
      <c r="H49" s="102"/>
      <c r="I49" s="125"/>
      <c r="J49" s="125"/>
      <c r="K49" s="125"/>
      <c r="L49" s="115"/>
      <c r="M49" s="104"/>
      <c r="N49" s="104"/>
      <c r="O49" s="104"/>
      <c r="P49" s="102"/>
      <c r="Q49" s="102"/>
      <c r="R49" s="102"/>
      <c r="S49" s="102"/>
      <c r="T49" s="102"/>
      <c r="U49" s="102"/>
      <c r="V49" s="102"/>
      <c r="W49" s="102"/>
      <c r="X49" s="102"/>
      <c r="Y49" s="102"/>
      <c r="Z49" s="102"/>
    </row>
    <row r="50" spans="1:26">
      <c r="A50" s="117"/>
      <c r="B50" s="104"/>
      <c r="C50" s="104"/>
      <c r="D50" s="102"/>
      <c r="E50" s="102"/>
      <c r="F50" s="102"/>
      <c r="G50" s="102"/>
      <c r="I50" s="125"/>
      <c r="J50" s="125"/>
      <c r="K50" s="125"/>
      <c r="L50" s="115"/>
      <c r="M50" s="104"/>
      <c r="N50" s="104"/>
      <c r="O50" s="104"/>
      <c r="P50" s="102"/>
      <c r="Q50" s="102"/>
      <c r="R50" s="102"/>
      <c r="S50" s="102"/>
      <c r="T50" s="102"/>
      <c r="U50" s="102"/>
      <c r="V50" s="102"/>
      <c r="W50" s="102"/>
      <c r="X50" s="102"/>
      <c r="Y50" s="102"/>
      <c r="Z50" s="102"/>
    </row>
    <row r="51" spans="1:26">
      <c r="A51" s="117"/>
      <c r="B51" s="29" t="s">
        <v>4</v>
      </c>
      <c r="C51" s="133"/>
      <c r="D51" s="133"/>
      <c r="E51" s="125"/>
      <c r="F51" s="133"/>
      <c r="G51" s="115"/>
      <c r="H51" s="115"/>
      <c r="I51" s="115"/>
      <c r="J51" s="115"/>
      <c r="K51" s="115"/>
      <c r="L51" s="115"/>
      <c r="M51" s="104"/>
      <c r="N51" s="104"/>
      <c r="O51" s="104"/>
      <c r="P51" s="102"/>
      <c r="Q51" s="102"/>
      <c r="R51" s="102"/>
      <c r="S51" s="102"/>
      <c r="T51" s="102"/>
      <c r="U51" s="102"/>
      <c r="V51" s="102"/>
      <c r="W51" s="102"/>
      <c r="X51" s="102"/>
      <c r="Y51" s="102"/>
      <c r="Z51" s="102"/>
    </row>
    <row r="52" spans="1:26">
      <c r="A52" s="117"/>
      <c r="B52" s="5" t="s">
        <v>10</v>
      </c>
      <c r="C52" s="115"/>
      <c r="D52" s="139"/>
      <c r="E52" s="115"/>
      <c r="F52" s="115"/>
      <c r="G52" s="115"/>
      <c r="H52" s="140"/>
      <c r="I52" s="115"/>
      <c r="J52" s="139"/>
      <c r="K52" s="115"/>
      <c r="L52" s="141"/>
      <c r="M52" s="104"/>
      <c r="N52" s="104"/>
      <c r="O52" s="104"/>
      <c r="P52" s="102"/>
      <c r="Q52" s="102"/>
      <c r="R52" s="102"/>
      <c r="S52" s="102"/>
      <c r="T52" s="102"/>
      <c r="U52" s="102"/>
      <c r="V52" s="102"/>
      <c r="W52" s="102"/>
      <c r="X52" s="102"/>
      <c r="Y52" s="102"/>
      <c r="Z52" s="102"/>
    </row>
    <row r="53" spans="1:26" ht="14.25" customHeight="1">
      <c r="A53" s="117"/>
      <c r="B53" s="265" t="s">
        <v>42</v>
      </c>
      <c r="C53" s="161" t="s">
        <v>155</v>
      </c>
      <c r="D53" s="267" t="s">
        <v>156</v>
      </c>
      <c r="E53" s="268"/>
      <c r="F53" s="268"/>
      <c r="G53" s="268"/>
      <c r="H53" s="269"/>
      <c r="I53" s="161" t="s">
        <v>153</v>
      </c>
      <c r="J53" s="102"/>
      <c r="K53" s="141"/>
      <c r="L53" s="115"/>
      <c r="M53" s="104"/>
      <c r="N53" s="104"/>
      <c r="O53" s="104"/>
      <c r="P53" s="102"/>
      <c r="Q53" s="102"/>
      <c r="R53" s="102"/>
      <c r="S53" s="102"/>
      <c r="T53" s="102"/>
      <c r="U53" s="102"/>
      <c r="V53" s="102"/>
      <c r="W53" s="102"/>
      <c r="X53" s="102"/>
      <c r="Y53" s="102"/>
      <c r="Z53" s="102"/>
    </row>
    <row r="54" spans="1:26" ht="14.25">
      <c r="A54" s="117"/>
      <c r="B54" s="266"/>
      <c r="C54" s="163" t="s">
        <v>157</v>
      </c>
      <c r="D54" s="142" t="s">
        <v>26</v>
      </c>
      <c r="E54" s="142" t="s">
        <v>101</v>
      </c>
      <c r="F54" s="142" t="s">
        <v>158</v>
      </c>
      <c r="G54" s="164" t="s">
        <v>159</v>
      </c>
      <c r="H54" s="165" t="s">
        <v>217</v>
      </c>
      <c r="I54" s="162" t="s">
        <v>154</v>
      </c>
      <c r="J54" s="102"/>
      <c r="K54" s="141"/>
      <c r="L54" s="115"/>
      <c r="M54" s="104"/>
      <c r="N54" s="104"/>
      <c r="O54" s="104"/>
      <c r="P54" s="102"/>
      <c r="Q54" s="102"/>
      <c r="R54" s="102"/>
      <c r="S54" s="102"/>
      <c r="T54" s="102"/>
      <c r="U54" s="102"/>
      <c r="V54" s="102"/>
      <c r="W54" s="102"/>
      <c r="X54" s="102"/>
      <c r="Y54" s="102"/>
      <c r="Z54" s="102"/>
    </row>
    <row r="55" spans="1:26">
      <c r="A55" s="117"/>
      <c r="B55" s="121" t="s">
        <v>34</v>
      </c>
      <c r="C55" s="144">
        <v>15.7</v>
      </c>
      <c r="D55" s="184">
        <f>E55^2/F55</f>
        <v>5.833333333333333</v>
      </c>
      <c r="E55" s="144">
        <v>7</v>
      </c>
      <c r="F55" s="144">
        <f>(1+20%)*E55</f>
        <v>8.4</v>
      </c>
      <c r="G55" s="1">
        <v>1</v>
      </c>
      <c r="H55" s="144">
        <v>1.35</v>
      </c>
      <c r="I55" s="144">
        <v>5</v>
      </c>
      <c r="J55" s="102"/>
      <c r="K55" s="141"/>
      <c r="L55" s="115"/>
      <c r="M55" s="104"/>
      <c r="N55" s="104"/>
      <c r="O55" s="104"/>
      <c r="P55" s="102"/>
      <c r="Q55" s="102"/>
      <c r="R55" s="102"/>
      <c r="S55" s="102"/>
      <c r="T55" s="102"/>
      <c r="U55" s="102"/>
      <c r="V55" s="102"/>
      <c r="W55" s="102"/>
      <c r="X55" s="102"/>
      <c r="Y55" s="102"/>
      <c r="Z55" s="102"/>
    </row>
    <row r="56" spans="1:26">
      <c r="A56" s="117"/>
      <c r="B56" s="121" t="s">
        <v>22</v>
      </c>
      <c r="C56" s="121" t="s">
        <v>43</v>
      </c>
      <c r="D56" s="121" t="s">
        <v>43</v>
      </c>
      <c r="E56" s="121" t="s">
        <v>43</v>
      </c>
      <c r="F56" s="121" t="s">
        <v>43</v>
      </c>
      <c r="G56" s="121" t="s">
        <v>44</v>
      </c>
      <c r="H56" s="121" t="s">
        <v>44</v>
      </c>
      <c r="I56" s="121" t="s">
        <v>43</v>
      </c>
      <c r="J56" s="102"/>
      <c r="K56" s="141"/>
      <c r="L56" s="115"/>
      <c r="M56" s="104"/>
      <c r="N56" s="104"/>
      <c r="O56" s="104"/>
      <c r="P56" s="102"/>
      <c r="Q56" s="102"/>
      <c r="R56" s="102"/>
      <c r="S56" s="102"/>
      <c r="T56" s="102"/>
      <c r="U56" s="102"/>
      <c r="V56" s="102"/>
      <c r="W56" s="102"/>
      <c r="X56" s="102"/>
      <c r="Y56" s="102"/>
      <c r="Z56" s="102"/>
    </row>
    <row r="57" spans="1:26">
      <c r="A57" s="117"/>
      <c r="B57" s="146" t="s">
        <v>211</v>
      </c>
      <c r="C57" s="125"/>
      <c r="D57" s="125"/>
      <c r="E57" s="125"/>
      <c r="F57" s="125"/>
      <c r="G57" s="125"/>
      <c r="H57" s="124"/>
      <c r="I57" s="115"/>
      <c r="J57" s="115"/>
      <c r="K57" s="115"/>
      <c r="L57" s="141"/>
      <c r="M57" s="104"/>
      <c r="N57" s="104"/>
      <c r="O57" s="104"/>
      <c r="P57" s="102"/>
      <c r="Q57" s="102"/>
      <c r="R57" s="102"/>
      <c r="S57" s="102"/>
      <c r="T57" s="102"/>
      <c r="U57" s="102"/>
      <c r="V57" s="102"/>
      <c r="W57" s="102"/>
      <c r="X57" s="102"/>
      <c r="Y57" s="102"/>
      <c r="Z57" s="102"/>
    </row>
    <row r="58" spans="1:26">
      <c r="A58" s="117"/>
      <c r="B58" s="5" t="s">
        <v>11</v>
      </c>
      <c r="C58" s="125"/>
      <c r="D58" s="125"/>
      <c r="E58" s="125"/>
      <c r="F58" s="125"/>
      <c r="G58" s="125"/>
      <c r="H58" s="140"/>
      <c r="I58" s="115"/>
      <c r="J58" s="139"/>
      <c r="K58" s="115"/>
      <c r="L58" s="141"/>
      <c r="M58" s="104"/>
      <c r="N58" s="104"/>
      <c r="O58" s="104"/>
      <c r="P58" s="102"/>
      <c r="Q58" s="102"/>
      <c r="R58" s="102"/>
      <c r="S58" s="102"/>
      <c r="T58" s="102"/>
      <c r="U58" s="102"/>
      <c r="V58" s="102"/>
      <c r="W58" s="102"/>
      <c r="X58" s="102"/>
      <c r="Y58" s="102"/>
      <c r="Z58" s="102"/>
    </row>
    <row r="59" spans="1:26" ht="14.25">
      <c r="A59" s="117"/>
      <c r="B59" s="136"/>
      <c r="C59" s="204" t="s">
        <v>136</v>
      </c>
      <c r="D59" s="206"/>
      <c r="E59" s="121" t="s">
        <v>45</v>
      </c>
      <c r="F59" s="125"/>
      <c r="G59" s="125"/>
      <c r="H59" s="143"/>
      <c r="I59" s="203"/>
      <c r="J59" s="203"/>
      <c r="K59" s="147"/>
      <c r="L59" s="10"/>
      <c r="M59" s="104"/>
      <c r="N59" s="104"/>
      <c r="O59" s="104"/>
      <c r="P59" s="102"/>
      <c r="Q59" s="102"/>
      <c r="R59" s="102"/>
      <c r="S59" s="102"/>
      <c r="T59" s="102"/>
      <c r="U59" s="102"/>
      <c r="V59" s="102"/>
      <c r="W59" s="102"/>
      <c r="X59" s="102"/>
      <c r="Y59" s="102"/>
      <c r="Z59" s="102"/>
    </row>
    <row r="60" spans="1:26" ht="14.25">
      <c r="A60" s="117"/>
      <c r="B60" s="121" t="s">
        <v>34</v>
      </c>
      <c r="C60" s="261" t="str">
        <f>"More than "&amp;TEXT(I100,"#.0")</f>
        <v>More than 25.9</v>
      </c>
      <c r="D60" s="262"/>
      <c r="E60" s="129">
        <v>26.1</v>
      </c>
      <c r="F60" s="124"/>
      <c r="G60" s="124"/>
      <c r="H60" s="145"/>
      <c r="I60" s="293"/>
      <c r="J60" s="293"/>
      <c r="K60" s="148"/>
      <c r="L60" s="10"/>
      <c r="M60" s="104"/>
      <c r="N60" s="104"/>
      <c r="O60" s="104"/>
      <c r="P60" s="102"/>
      <c r="Q60" s="102"/>
      <c r="R60" s="102"/>
      <c r="S60" s="102"/>
      <c r="T60" s="102"/>
      <c r="U60" s="102"/>
      <c r="V60" s="102"/>
      <c r="W60" s="102"/>
      <c r="X60" s="102"/>
      <c r="Y60" s="102"/>
      <c r="Z60" s="102"/>
    </row>
    <row r="61" spans="1:26">
      <c r="A61" s="117"/>
      <c r="B61" s="121" t="s">
        <v>22</v>
      </c>
      <c r="C61" s="217" t="s">
        <v>46</v>
      </c>
      <c r="D61" s="218"/>
      <c r="E61" s="131" t="s">
        <v>46</v>
      </c>
      <c r="F61" s="133"/>
      <c r="G61" s="133"/>
      <c r="H61" s="126"/>
      <c r="I61" s="203"/>
      <c r="J61" s="203"/>
      <c r="K61" s="125"/>
      <c r="L61" s="115"/>
      <c r="M61" s="104"/>
      <c r="N61" s="104"/>
      <c r="O61" s="104"/>
      <c r="P61" s="102"/>
      <c r="Q61" s="102"/>
      <c r="R61" s="102"/>
      <c r="S61" s="102"/>
      <c r="T61" s="102"/>
      <c r="U61" s="102"/>
      <c r="V61" s="102"/>
      <c r="W61" s="102"/>
      <c r="X61" s="102"/>
      <c r="Y61" s="102"/>
      <c r="Z61" s="102"/>
    </row>
    <row r="62" spans="1:26">
      <c r="A62" s="117"/>
      <c r="B62" s="5" t="s">
        <v>12</v>
      </c>
      <c r="C62" s="124"/>
      <c r="D62" s="124"/>
      <c r="E62" s="115"/>
      <c r="F62" s="115"/>
      <c r="G62" s="124"/>
      <c r="H62" s="140"/>
      <c r="I62" s="124"/>
      <c r="J62" s="124"/>
      <c r="K62" s="115"/>
      <c r="L62" s="115"/>
      <c r="M62" s="104"/>
      <c r="N62" s="104"/>
      <c r="O62" s="104"/>
      <c r="P62" s="102"/>
      <c r="Q62" s="102"/>
      <c r="R62" s="102"/>
      <c r="S62" s="102"/>
      <c r="T62" s="102"/>
      <c r="U62" s="102"/>
      <c r="V62" s="102"/>
      <c r="W62" s="102"/>
      <c r="X62" s="102"/>
      <c r="Y62" s="102"/>
      <c r="Z62" s="102"/>
    </row>
    <row r="63" spans="1:26" ht="14.25">
      <c r="A63" s="117"/>
      <c r="B63" s="244"/>
      <c r="C63" s="204" t="s">
        <v>137</v>
      </c>
      <c r="D63" s="205"/>
      <c r="E63" s="205"/>
      <c r="F63" s="206"/>
      <c r="G63" s="10"/>
      <c r="H63" s="146"/>
      <c r="I63" s="141"/>
      <c r="J63" s="141"/>
      <c r="K63" s="141"/>
      <c r="L63" s="141"/>
      <c r="M63" s="104"/>
      <c r="N63" s="104"/>
      <c r="O63" s="104"/>
      <c r="P63" s="102"/>
      <c r="Q63" s="102"/>
      <c r="R63" s="102"/>
      <c r="S63" s="102"/>
      <c r="T63" s="102"/>
      <c r="U63" s="102"/>
      <c r="V63" s="102"/>
      <c r="W63" s="102"/>
      <c r="X63" s="102"/>
      <c r="Y63" s="102"/>
      <c r="Z63" s="102"/>
    </row>
    <row r="64" spans="1:26" ht="14.25">
      <c r="A64" s="117"/>
      <c r="B64" s="245"/>
      <c r="C64" s="149" t="s">
        <v>138</v>
      </c>
      <c r="D64" s="150" t="s">
        <v>139</v>
      </c>
      <c r="E64" s="150" t="s">
        <v>140</v>
      </c>
      <c r="F64" s="150" t="s">
        <v>22</v>
      </c>
      <c r="G64" s="10"/>
      <c r="H64" s="125"/>
      <c r="I64" s="125"/>
      <c r="J64" s="125"/>
      <c r="K64" s="125"/>
      <c r="L64" s="125"/>
      <c r="M64" s="104"/>
      <c r="N64" s="104"/>
      <c r="O64" s="104"/>
      <c r="P64" s="102"/>
      <c r="Q64" s="102"/>
      <c r="R64" s="102"/>
      <c r="S64" s="102"/>
      <c r="T64" s="102"/>
      <c r="U64" s="102"/>
      <c r="V64" s="102"/>
      <c r="W64" s="102"/>
      <c r="X64" s="102"/>
      <c r="Y64" s="102"/>
      <c r="Z64" s="102"/>
    </row>
    <row r="65" spans="1:26" ht="14.25">
      <c r="A65" s="117"/>
      <c r="B65" s="97" t="s">
        <v>47</v>
      </c>
      <c r="C65" s="11">
        <f>F116</f>
        <v>5.3009163819249814</v>
      </c>
      <c r="D65" s="11">
        <f>E116</f>
        <v>5.3303006870677052</v>
      </c>
      <c r="E65" s="11">
        <f>G116</f>
        <v>5.3543083719325395</v>
      </c>
      <c r="F65" s="151" t="s">
        <v>35</v>
      </c>
      <c r="G65" s="10"/>
      <c r="H65" s="145"/>
      <c r="I65" s="137"/>
      <c r="J65" s="137"/>
      <c r="K65" s="137"/>
      <c r="L65" s="125"/>
      <c r="M65" s="104"/>
      <c r="N65" s="104"/>
      <c r="O65" s="104"/>
      <c r="P65" s="102"/>
      <c r="Q65" s="102"/>
      <c r="R65" s="102"/>
      <c r="S65" s="102"/>
      <c r="T65" s="102"/>
      <c r="U65" s="102"/>
      <c r="V65" s="102"/>
      <c r="W65" s="102"/>
      <c r="X65" s="102"/>
      <c r="Y65" s="102"/>
      <c r="Z65" s="102"/>
    </row>
    <row r="66" spans="1:26" ht="14.25">
      <c r="A66" s="117"/>
      <c r="B66" s="97" t="s">
        <v>48</v>
      </c>
      <c r="C66" s="288">
        <f>E115</f>
        <v>32.625</v>
      </c>
      <c r="D66" s="289"/>
      <c r="E66" s="290"/>
      <c r="F66" s="151" t="s">
        <v>49</v>
      </c>
      <c r="G66" s="10"/>
      <c r="H66" s="145"/>
      <c r="I66" s="152"/>
      <c r="J66" s="152"/>
      <c r="K66" s="152"/>
      <c r="L66" s="137"/>
      <c r="M66" s="104"/>
      <c r="N66" s="104"/>
      <c r="O66" s="104"/>
      <c r="P66" s="102"/>
      <c r="Q66" s="102"/>
      <c r="R66" s="102"/>
      <c r="S66" s="102"/>
      <c r="T66" s="102"/>
      <c r="U66" s="102"/>
      <c r="V66" s="102"/>
      <c r="W66" s="102"/>
      <c r="X66" s="102"/>
      <c r="Y66" s="102"/>
      <c r="Z66" s="102"/>
    </row>
    <row r="67" spans="1:26">
      <c r="A67" s="117"/>
      <c r="B67" s="5" t="s">
        <v>13</v>
      </c>
      <c r="C67" s="115"/>
      <c r="D67" s="115"/>
      <c r="E67" s="141"/>
      <c r="F67" s="115"/>
      <c r="G67" s="115"/>
      <c r="H67" s="140"/>
      <c r="I67" s="115"/>
      <c r="J67" s="115"/>
      <c r="K67" s="141"/>
      <c r="L67" s="115"/>
      <c r="M67" s="104"/>
      <c r="N67" s="104"/>
      <c r="O67" s="104"/>
      <c r="P67" s="102"/>
      <c r="Q67" s="102"/>
      <c r="R67" s="102"/>
      <c r="S67" s="102"/>
      <c r="T67" s="102"/>
      <c r="U67" s="102"/>
      <c r="V67" s="102"/>
      <c r="W67" s="102"/>
      <c r="X67" s="102"/>
      <c r="Y67" s="102"/>
      <c r="Z67" s="102"/>
    </row>
    <row r="68" spans="1:26" ht="37.5" customHeight="1">
      <c r="A68" s="117"/>
      <c r="B68" s="244"/>
      <c r="C68" s="224" t="s">
        <v>141</v>
      </c>
      <c r="D68" s="225"/>
      <c r="E68" s="224" t="s">
        <v>142</v>
      </c>
      <c r="F68" s="225"/>
      <c r="G68" s="137"/>
      <c r="H68" s="146"/>
      <c r="I68" s="139"/>
      <c r="J68" s="139"/>
      <c r="K68" s="139"/>
      <c r="L68" s="10"/>
      <c r="M68" s="104"/>
      <c r="N68" s="104"/>
      <c r="O68" s="104"/>
      <c r="P68" s="102"/>
      <c r="Q68" s="102"/>
      <c r="R68" s="102"/>
      <c r="S68" s="102"/>
      <c r="T68" s="102"/>
      <c r="U68" s="102"/>
      <c r="V68" s="102"/>
      <c r="W68" s="102"/>
      <c r="X68" s="102"/>
      <c r="Y68" s="102"/>
      <c r="Z68" s="102"/>
    </row>
    <row r="69" spans="1:26" ht="14.25">
      <c r="A69" s="117"/>
      <c r="B69" s="245"/>
      <c r="C69" s="13" t="s">
        <v>47</v>
      </c>
      <c r="D69" s="14" t="s">
        <v>48</v>
      </c>
      <c r="E69" s="15" t="s">
        <v>47</v>
      </c>
      <c r="F69" s="14" t="s">
        <v>48</v>
      </c>
      <c r="G69" s="115"/>
      <c r="H69" s="125"/>
      <c r="I69" s="98"/>
      <c r="J69" s="98"/>
      <c r="K69" s="16"/>
      <c r="L69" s="10"/>
      <c r="M69" s="104"/>
      <c r="N69" s="104"/>
      <c r="O69" s="104"/>
      <c r="P69" s="102"/>
      <c r="Q69" s="102"/>
      <c r="R69" s="102"/>
      <c r="S69" s="102"/>
      <c r="T69" s="102"/>
      <c r="U69" s="102"/>
      <c r="V69" s="102"/>
      <c r="W69" s="102"/>
      <c r="X69" s="102"/>
      <c r="Y69" s="102"/>
      <c r="Z69" s="102"/>
    </row>
    <row r="70" spans="1:26" ht="14.25">
      <c r="A70" s="117"/>
      <c r="B70" s="121" t="s">
        <v>34</v>
      </c>
      <c r="C70" s="11">
        <f>E117</f>
        <v>4.0257397859258051</v>
      </c>
      <c r="D70" s="109">
        <f>L112</f>
        <v>25.912406250000004</v>
      </c>
      <c r="E70" s="11">
        <f>E118</f>
        <v>7.0253052356893129</v>
      </c>
      <c r="F70" s="109">
        <f>M113</f>
        <v>41.790993749999998</v>
      </c>
      <c r="G70" s="115"/>
      <c r="H70" s="145"/>
      <c r="I70" s="12"/>
      <c r="J70" s="12"/>
      <c r="K70" s="152"/>
      <c r="L70" s="10"/>
      <c r="M70" s="104"/>
      <c r="N70" s="104"/>
      <c r="O70" s="104"/>
      <c r="P70" s="102"/>
      <c r="Q70" s="102"/>
      <c r="R70" s="102"/>
      <c r="S70" s="102"/>
      <c r="T70" s="102"/>
      <c r="U70" s="102"/>
      <c r="V70" s="102"/>
      <c r="W70" s="102"/>
      <c r="X70" s="102"/>
      <c r="Y70" s="102"/>
      <c r="Z70" s="102"/>
    </row>
    <row r="71" spans="1:26" ht="14.25">
      <c r="A71" s="117"/>
      <c r="B71" s="150" t="s">
        <v>22</v>
      </c>
      <c r="C71" s="121" t="s">
        <v>35</v>
      </c>
      <c r="D71" s="151" t="s">
        <v>49</v>
      </c>
      <c r="E71" s="121" t="s">
        <v>35</v>
      </c>
      <c r="F71" s="151" t="s">
        <v>49</v>
      </c>
      <c r="G71" s="10"/>
      <c r="H71" s="10"/>
      <c r="I71" s="10"/>
      <c r="J71" s="10"/>
      <c r="K71" s="125"/>
      <c r="L71" s="125"/>
      <c r="M71" s="104"/>
      <c r="N71" s="104"/>
      <c r="O71" s="104"/>
      <c r="P71" s="102"/>
      <c r="Q71" s="102"/>
      <c r="R71" s="102"/>
      <c r="S71" s="102"/>
      <c r="T71" s="102"/>
      <c r="U71" s="102"/>
      <c r="V71" s="102"/>
      <c r="W71" s="102"/>
      <c r="X71" s="102"/>
      <c r="Y71" s="102"/>
      <c r="Z71" s="102"/>
    </row>
    <row r="72" spans="1:26" ht="14.25">
      <c r="A72" s="117"/>
      <c r="B72" s="153" t="s">
        <v>212</v>
      </c>
      <c r="C72" s="125"/>
      <c r="D72" s="137"/>
      <c r="E72" s="125"/>
      <c r="F72" s="137"/>
      <c r="G72" s="17"/>
      <c r="H72" s="10"/>
      <c r="I72" s="10"/>
      <c r="J72" s="10"/>
      <c r="K72" s="115"/>
      <c r="L72" s="154"/>
      <c r="M72" s="104"/>
      <c r="N72" s="104"/>
      <c r="O72" s="104"/>
      <c r="P72" s="102"/>
      <c r="Q72" s="102"/>
      <c r="R72" s="102"/>
      <c r="S72" s="102"/>
      <c r="T72" s="102"/>
      <c r="U72" s="102"/>
      <c r="V72" s="102"/>
      <c r="W72" s="102"/>
      <c r="X72" s="102"/>
      <c r="Y72" s="102"/>
      <c r="Z72" s="102"/>
    </row>
    <row r="73" spans="1:26" ht="14.25">
      <c r="A73" s="117"/>
      <c r="B73" s="153" t="s">
        <v>166</v>
      </c>
      <c r="C73" s="125"/>
      <c r="D73" s="137"/>
      <c r="E73" s="125"/>
      <c r="F73" s="137"/>
      <c r="G73" s="17"/>
      <c r="H73" s="10"/>
      <c r="I73" s="10"/>
      <c r="J73" s="10"/>
      <c r="K73" s="115"/>
      <c r="L73" s="154"/>
      <c r="M73" s="104"/>
      <c r="N73" s="104"/>
      <c r="O73" s="104"/>
      <c r="P73" s="102"/>
      <c r="Q73" s="102"/>
      <c r="R73" s="102"/>
      <c r="S73" s="102"/>
      <c r="T73" s="102"/>
      <c r="U73" s="102"/>
      <c r="V73" s="102"/>
      <c r="W73" s="102"/>
      <c r="X73" s="102"/>
      <c r="Y73" s="102"/>
      <c r="Z73" s="102"/>
    </row>
    <row r="74" spans="1:26" ht="14.25">
      <c r="A74" s="117"/>
      <c r="B74" s="153" t="s">
        <v>213</v>
      </c>
      <c r="C74" s="125"/>
      <c r="D74" s="137"/>
      <c r="E74" s="125"/>
      <c r="F74" s="137"/>
      <c r="G74" s="17"/>
      <c r="H74" s="10"/>
      <c r="I74" s="10"/>
      <c r="J74" s="10"/>
      <c r="K74" s="125"/>
      <c r="L74" s="133"/>
      <c r="M74" s="104"/>
      <c r="N74" s="104"/>
      <c r="O74" s="104"/>
      <c r="P74" s="102"/>
      <c r="Q74" s="102"/>
      <c r="R74" s="102"/>
      <c r="S74" s="102"/>
      <c r="T74" s="102"/>
      <c r="U74" s="102"/>
      <c r="V74" s="102"/>
      <c r="W74" s="102"/>
      <c r="X74" s="102"/>
      <c r="Y74" s="102"/>
      <c r="Z74" s="102"/>
    </row>
    <row r="75" spans="1:26">
      <c r="A75" s="117"/>
      <c r="B75" s="17" t="s">
        <v>50</v>
      </c>
      <c r="C75" s="125"/>
      <c r="D75" s="137"/>
      <c r="E75" s="125"/>
      <c r="F75" s="137"/>
      <c r="G75" s="137"/>
      <c r="H75" s="137"/>
      <c r="I75" s="137"/>
      <c r="J75" s="125"/>
      <c r="K75" s="125"/>
      <c r="L75" s="124"/>
      <c r="M75" s="104"/>
      <c r="N75" s="104"/>
      <c r="O75" s="104"/>
      <c r="P75" s="102"/>
      <c r="Q75" s="102"/>
      <c r="R75" s="102"/>
      <c r="S75" s="102"/>
      <c r="T75" s="102"/>
      <c r="U75" s="102"/>
      <c r="V75" s="102"/>
      <c r="W75" s="102"/>
      <c r="X75" s="102"/>
      <c r="Y75" s="102"/>
      <c r="Z75" s="102"/>
    </row>
    <row r="76" spans="1:26">
      <c r="A76" s="117"/>
      <c r="B76" s="18"/>
      <c r="C76" s="125"/>
      <c r="D76" s="137"/>
      <c r="E76" s="125"/>
      <c r="F76" s="137"/>
      <c r="G76" s="137"/>
      <c r="H76" s="137"/>
      <c r="I76" s="137"/>
      <c r="J76" s="125"/>
      <c r="K76" s="125"/>
      <c r="L76" s="124"/>
      <c r="M76" s="104"/>
      <c r="N76" s="104"/>
      <c r="O76" s="104"/>
      <c r="P76" s="102"/>
      <c r="Q76" s="102"/>
      <c r="R76" s="102"/>
      <c r="S76" s="102"/>
      <c r="T76" s="102"/>
      <c r="U76" s="102"/>
      <c r="V76" s="102"/>
      <c r="W76" s="102"/>
      <c r="X76" s="102"/>
      <c r="Y76" s="102"/>
      <c r="Z76" s="102"/>
    </row>
    <row r="77" spans="1:26" ht="14.25">
      <c r="A77" s="117"/>
      <c r="B77" s="5" t="s">
        <v>143</v>
      </c>
      <c r="C77" s="124"/>
      <c r="D77" s="124"/>
      <c r="E77" s="115"/>
      <c r="F77" s="115"/>
      <c r="G77" s="124"/>
      <c r="H77" s="5"/>
      <c r="I77" s="10"/>
      <c r="J77" s="10"/>
      <c r="K77" s="10"/>
      <c r="L77" s="10"/>
      <c r="M77" s="104"/>
      <c r="N77" s="104"/>
      <c r="O77" s="104"/>
      <c r="P77" s="102"/>
      <c r="Q77" s="102"/>
      <c r="R77" s="102"/>
      <c r="S77" s="102"/>
      <c r="T77" s="102"/>
      <c r="U77" s="102"/>
      <c r="V77" s="102"/>
      <c r="W77" s="102"/>
      <c r="X77" s="102"/>
      <c r="Y77" s="102"/>
      <c r="Z77" s="102"/>
    </row>
    <row r="78" spans="1:26" ht="14.25">
      <c r="A78" s="117"/>
      <c r="B78" s="316"/>
      <c r="C78" s="317"/>
      <c r="D78" s="121" t="s">
        <v>138</v>
      </c>
      <c r="E78" s="121" t="s">
        <v>139</v>
      </c>
      <c r="F78" s="121" t="s">
        <v>140</v>
      </c>
      <c r="G78" s="121" t="s">
        <v>22</v>
      </c>
      <c r="H78" s="10"/>
      <c r="I78" s="10"/>
      <c r="J78" s="10"/>
      <c r="K78" s="10"/>
      <c r="L78" s="10"/>
      <c r="M78" s="104"/>
      <c r="N78" s="104"/>
      <c r="O78" s="104"/>
      <c r="P78" s="102"/>
      <c r="Q78" s="102"/>
      <c r="R78" s="102"/>
      <c r="S78" s="102"/>
      <c r="T78" s="102"/>
      <c r="U78" s="102"/>
      <c r="V78" s="102"/>
      <c r="W78" s="102"/>
      <c r="X78" s="102"/>
      <c r="Y78" s="102"/>
      <c r="Z78" s="102"/>
    </row>
    <row r="79" spans="1:26" ht="14.25">
      <c r="A79" s="117"/>
      <c r="B79" s="219" t="s">
        <v>144</v>
      </c>
      <c r="C79" s="220"/>
      <c r="D79" s="11">
        <f>F108</f>
        <v>1.280404192421392</v>
      </c>
      <c r="E79" s="11">
        <f>E108</f>
        <v>1.3391728027068395</v>
      </c>
      <c r="F79" s="11">
        <f>G108</f>
        <v>1.3871881724365076</v>
      </c>
      <c r="G79" s="155" t="s">
        <v>109</v>
      </c>
      <c r="H79" s="10"/>
      <c r="I79" s="10"/>
      <c r="J79" s="10"/>
      <c r="K79" s="10"/>
      <c r="L79" s="10"/>
      <c r="M79" s="104"/>
      <c r="N79" s="104"/>
      <c r="O79" s="104"/>
      <c r="P79" s="102"/>
      <c r="Q79" s="102"/>
      <c r="R79" s="102"/>
      <c r="S79" s="102"/>
      <c r="T79" s="102"/>
      <c r="U79" s="102"/>
      <c r="V79" s="102"/>
      <c r="W79" s="102"/>
      <c r="X79" s="102"/>
      <c r="Y79" s="102"/>
      <c r="Z79" s="102"/>
    </row>
    <row r="80" spans="1:26" ht="14.25">
      <c r="A80" s="117"/>
      <c r="B80" s="258" t="s">
        <v>100</v>
      </c>
      <c r="C80" s="259"/>
      <c r="D80" s="156">
        <f>F112</f>
        <v>1.0670034936844934</v>
      </c>
      <c r="E80" s="156">
        <f>E112</f>
        <v>1.115977335589033</v>
      </c>
      <c r="F80" s="156">
        <f>G112</f>
        <v>1.1559901436970896</v>
      </c>
      <c r="G80" s="221" t="s">
        <v>49</v>
      </c>
      <c r="H80" s="10"/>
      <c r="I80" s="10"/>
      <c r="J80" s="10"/>
      <c r="K80" s="10"/>
      <c r="L80" s="10"/>
      <c r="M80" s="104"/>
      <c r="N80" s="104"/>
      <c r="O80" s="104"/>
      <c r="P80" s="102"/>
      <c r="Q80" s="102"/>
      <c r="R80" s="102"/>
      <c r="S80" s="102"/>
      <c r="T80" s="102"/>
      <c r="U80" s="102"/>
      <c r="V80" s="102"/>
      <c r="W80" s="102"/>
      <c r="X80" s="102"/>
      <c r="Y80" s="102"/>
      <c r="Z80" s="102"/>
    </row>
    <row r="81" spans="1:26" ht="14.25">
      <c r="A81" s="117"/>
      <c r="B81" s="258" t="s">
        <v>101</v>
      </c>
      <c r="C81" s="259"/>
      <c r="D81" s="156">
        <f>F111</f>
        <v>1.280404192421392</v>
      </c>
      <c r="E81" s="156">
        <f>E111</f>
        <v>1.3391728027068395</v>
      </c>
      <c r="F81" s="156">
        <f>G111</f>
        <v>1.3871881724365076</v>
      </c>
      <c r="G81" s="222"/>
      <c r="H81" s="10"/>
      <c r="I81" s="10"/>
      <c r="J81" s="10"/>
      <c r="K81" s="10"/>
      <c r="L81" s="10"/>
      <c r="M81" s="104"/>
      <c r="N81" s="104"/>
      <c r="O81" s="104"/>
      <c r="P81" s="102"/>
      <c r="Q81" s="102"/>
      <c r="R81" s="102"/>
      <c r="S81" s="102"/>
      <c r="T81" s="102"/>
      <c r="U81" s="102"/>
      <c r="V81" s="102"/>
      <c r="W81" s="102"/>
      <c r="X81" s="102"/>
      <c r="Y81" s="102"/>
      <c r="Z81" s="102"/>
    </row>
    <row r="82" spans="1:26" ht="14.25">
      <c r="A82" s="117"/>
      <c r="B82" s="258" t="s">
        <v>27</v>
      </c>
      <c r="C82" s="259"/>
      <c r="D82" s="156">
        <f>F110</f>
        <v>1.6005052405267397</v>
      </c>
      <c r="E82" s="156">
        <f>E110</f>
        <v>1.6739660033835493</v>
      </c>
      <c r="F82" s="156">
        <f>G110</f>
        <v>1.7339852155456341</v>
      </c>
      <c r="G82" s="223"/>
      <c r="H82" s="10"/>
      <c r="I82" s="10"/>
      <c r="J82" s="10"/>
      <c r="K82" s="10"/>
      <c r="L82" s="10"/>
      <c r="M82" s="104"/>
      <c r="N82" s="104"/>
      <c r="O82" s="104"/>
      <c r="P82" s="102"/>
      <c r="Q82" s="102"/>
      <c r="R82" s="102"/>
      <c r="S82" s="102"/>
      <c r="T82" s="102"/>
      <c r="U82" s="102"/>
      <c r="V82" s="102"/>
      <c r="W82" s="102"/>
      <c r="X82" s="102"/>
      <c r="Y82" s="102"/>
      <c r="Z82" s="102"/>
    </row>
    <row r="83" spans="1:26" ht="14.25">
      <c r="A83" s="117"/>
      <c r="B83" s="153"/>
      <c r="C83" s="125"/>
      <c r="D83" s="137"/>
      <c r="E83" s="125"/>
      <c r="F83" s="137"/>
      <c r="G83" s="17"/>
      <c r="H83" s="137"/>
      <c r="I83" s="10"/>
      <c r="J83" s="10"/>
      <c r="K83" s="10"/>
      <c r="L83" s="10"/>
      <c r="M83" s="104"/>
      <c r="N83" s="104"/>
      <c r="O83" s="104"/>
      <c r="P83" s="102"/>
      <c r="Q83" s="102"/>
      <c r="R83" s="102"/>
      <c r="S83" s="102"/>
      <c r="T83" s="102"/>
      <c r="U83" s="102"/>
      <c r="V83" s="102"/>
      <c r="W83" s="102"/>
      <c r="X83" s="102"/>
      <c r="Y83" s="102"/>
      <c r="Z83" s="102"/>
    </row>
    <row r="84" spans="1:26" ht="14.25">
      <c r="A84" s="117"/>
      <c r="B84" s="17"/>
      <c r="C84" s="125"/>
      <c r="D84" s="137"/>
      <c r="E84" s="125"/>
      <c r="F84" s="137"/>
      <c r="G84" s="137"/>
      <c r="H84" s="137"/>
      <c r="I84" s="10"/>
      <c r="J84" s="10"/>
      <c r="K84" s="10"/>
      <c r="L84" s="10"/>
      <c r="M84" s="104"/>
      <c r="N84" s="104"/>
      <c r="O84" s="104"/>
      <c r="P84" s="102"/>
      <c r="Q84" s="102"/>
      <c r="R84" s="102"/>
      <c r="S84" s="102"/>
      <c r="T84" s="102"/>
      <c r="U84" s="102"/>
      <c r="V84" s="102"/>
      <c r="W84" s="102"/>
      <c r="X84" s="102"/>
      <c r="Y84" s="102"/>
      <c r="Z84" s="102"/>
    </row>
    <row r="85" spans="1:26" ht="15" thickBot="1">
      <c r="A85" s="117"/>
      <c r="B85" s="17"/>
      <c r="C85" s="125"/>
      <c r="D85" s="137"/>
      <c r="E85" s="125"/>
      <c r="F85" s="137"/>
      <c r="G85" s="137"/>
      <c r="H85" s="137"/>
      <c r="I85" s="10"/>
      <c r="J85" s="10"/>
      <c r="K85" s="10"/>
      <c r="L85" s="10"/>
      <c r="M85" s="104"/>
      <c r="N85" s="157"/>
      <c r="O85" s="104"/>
      <c r="P85" s="102"/>
      <c r="Q85" s="102"/>
      <c r="R85" s="102"/>
      <c r="S85" s="102"/>
      <c r="T85" s="102"/>
      <c r="U85" s="102"/>
      <c r="V85" s="102"/>
      <c r="W85" s="102"/>
      <c r="X85" s="102"/>
      <c r="Y85" s="102"/>
      <c r="Z85" s="102"/>
    </row>
    <row r="86" spans="1:26" hidden="1"/>
    <row r="87" spans="1:26" ht="15" hidden="1" thickBot="1">
      <c r="B87" s="34"/>
      <c r="C87" s="34"/>
      <c r="D87" s="34"/>
      <c r="E87" s="35"/>
      <c r="F87" s="36"/>
      <c r="G87" s="37"/>
      <c r="H87" s="38"/>
      <c r="I87" s="34"/>
      <c r="J87" s="34"/>
      <c r="K87" s="34"/>
      <c r="L87" s="34"/>
      <c r="M87" s="34"/>
      <c r="N87" s="34"/>
      <c r="O87" s="34"/>
      <c r="P87" s="34"/>
      <c r="Q87" s="34"/>
      <c r="R87" s="34"/>
      <c r="S87" s="34"/>
      <c r="T87" s="34"/>
    </row>
    <row r="88" spans="1:26" ht="15" hidden="1" thickTop="1">
      <c r="B88" s="313"/>
      <c r="C88" s="314"/>
      <c r="D88" s="315"/>
      <c r="E88" s="39" t="s">
        <v>51</v>
      </c>
      <c r="F88" s="39" t="s">
        <v>52</v>
      </c>
      <c r="G88" s="39" t="s">
        <v>53</v>
      </c>
      <c r="H88" s="40"/>
      <c r="I88" s="41"/>
      <c r="J88" s="42"/>
      <c r="K88" s="43" t="s">
        <v>54</v>
      </c>
      <c r="L88" s="43"/>
      <c r="M88" s="43"/>
      <c r="N88" s="43"/>
      <c r="O88" s="43" t="s">
        <v>55</v>
      </c>
      <c r="P88" s="43"/>
      <c r="Q88" s="43"/>
      <c r="R88" s="44"/>
      <c r="S88" s="45"/>
      <c r="T88" s="34"/>
    </row>
    <row r="89" spans="1:26" ht="14.25" hidden="1">
      <c r="B89" s="200" t="s">
        <v>56</v>
      </c>
      <c r="C89" s="201"/>
      <c r="D89" s="202"/>
      <c r="E89" s="46">
        <f>D18</f>
        <v>5</v>
      </c>
      <c r="F89" s="46">
        <f>C18</f>
        <v>4.5</v>
      </c>
      <c r="G89" s="46">
        <f>E18</f>
        <v>5.5</v>
      </c>
      <c r="H89" s="38"/>
      <c r="I89" s="41"/>
      <c r="J89" s="45"/>
      <c r="K89" s="47" t="s">
        <v>57</v>
      </c>
      <c r="L89" s="47"/>
      <c r="M89" s="47"/>
      <c r="N89" s="47"/>
      <c r="O89" s="47" t="s">
        <v>57</v>
      </c>
      <c r="P89" s="47"/>
      <c r="Q89" s="47"/>
      <c r="R89" s="41"/>
      <c r="S89" s="45"/>
      <c r="T89" s="34"/>
    </row>
    <row r="90" spans="1:26" ht="14.25" hidden="1">
      <c r="B90" s="200" t="s">
        <v>58</v>
      </c>
      <c r="C90" s="201"/>
      <c r="D90" s="202"/>
      <c r="E90" s="48">
        <f>C24</f>
        <v>1.35</v>
      </c>
      <c r="F90" s="49">
        <f t="shared" ref="F90:G92" si="0">E90</f>
        <v>1.35</v>
      </c>
      <c r="G90" s="49">
        <f t="shared" si="0"/>
        <v>1.35</v>
      </c>
      <c r="H90" s="38"/>
      <c r="I90" s="41"/>
      <c r="J90" s="45"/>
      <c r="K90" s="50" t="s">
        <v>59</v>
      </c>
      <c r="L90" s="51">
        <f>$F$121</f>
        <v>0</v>
      </c>
      <c r="M90" s="51">
        <f>$G$121</f>
        <v>60</v>
      </c>
      <c r="N90" s="47"/>
      <c r="O90" s="50" t="s">
        <v>59</v>
      </c>
      <c r="P90" s="51">
        <f>$F$121</f>
        <v>0</v>
      </c>
      <c r="Q90" s="51">
        <f>$G$121</f>
        <v>60</v>
      </c>
      <c r="R90" s="41"/>
      <c r="S90" s="45"/>
      <c r="T90" s="34"/>
    </row>
    <row r="91" spans="1:26" ht="14.25" hidden="1">
      <c r="B91" s="200" t="s">
        <v>60</v>
      </c>
      <c r="C91" s="201"/>
      <c r="D91" s="202"/>
      <c r="E91" s="48">
        <f>D24</f>
        <v>4</v>
      </c>
      <c r="F91" s="49">
        <f t="shared" si="0"/>
        <v>4</v>
      </c>
      <c r="G91" s="49">
        <f t="shared" si="0"/>
        <v>4</v>
      </c>
      <c r="H91" s="38"/>
      <c r="I91" s="41"/>
      <c r="J91" s="45"/>
      <c r="K91" s="50">
        <f>$F$120</f>
        <v>9</v>
      </c>
      <c r="L91" s="52">
        <f>8*($F$113-$F$107/2)*($F$103*(1+(L90-25)*$E$124*(0.000001)))/(K91*(1+(L90-25)*$E$122*(0.000001)))</f>
        <v>19.928339572045573</v>
      </c>
      <c r="M91" s="52">
        <f>8*($F$113-$F$107/2)*($F$103*(1+(M90-25)*$E$124*(0.000001)))/(K91*(1+(M90-25)*$E$122*(0.000001)))</f>
        <v>19.889592668788925</v>
      </c>
      <c r="N91" s="47"/>
      <c r="O91" s="50">
        <f>$F$120</f>
        <v>9</v>
      </c>
      <c r="P91" s="52">
        <f>8*($G$113-$G$107/2)*($G$103*(1+(P90-25)*$G$124*(0.000001)))/(O91*(1+(P90-25)*$G$122*(0.000001)))</f>
        <v>19.512676403588873</v>
      </c>
      <c r="Q91" s="52">
        <f>8*($G$113-$G$107/2)*($G$103*(1+(Q90-25)*$G$124*(0.000001)))/(O91*(1+(Q90-25)*$G$122*(0.000001)))</f>
        <v>19.474737679082761</v>
      </c>
      <c r="R91" s="41"/>
      <c r="S91" s="45"/>
      <c r="T91" s="34"/>
    </row>
    <row r="92" spans="1:26" ht="14.25" hidden="1">
      <c r="B92" s="200" t="s">
        <v>61</v>
      </c>
      <c r="C92" s="201"/>
      <c r="D92" s="202"/>
      <c r="E92" s="54">
        <f>E24</f>
        <v>500</v>
      </c>
      <c r="F92" s="49">
        <f t="shared" si="0"/>
        <v>500</v>
      </c>
      <c r="G92" s="49">
        <f t="shared" si="0"/>
        <v>500</v>
      </c>
      <c r="H92" s="38"/>
      <c r="I92" s="41"/>
      <c r="J92" s="45"/>
      <c r="K92" s="50">
        <f>$G$120</f>
        <v>11</v>
      </c>
      <c r="L92" s="52">
        <f>8*($F$113-$F$107/2)*($F$103*(1+(L90-25)*$E$124*(0.000001)))/(K92*(1+(L90-25)*$E$122*(0.000001)))</f>
        <v>16.305005104400923</v>
      </c>
      <c r="M92" s="52">
        <f>8*($F$113-$F$107/2)*($F$103*(1+(M90-25)*$E$124*(0.000001)))/(K92*(1+(M90-25)*$E$122*(0.000001)))</f>
        <v>16.273303092645484</v>
      </c>
      <c r="N92" s="47"/>
      <c r="O92" s="50">
        <f>$G$120</f>
        <v>11</v>
      </c>
      <c r="P92" s="52">
        <f>8*($G$113-$G$107/2)*($G$103*(1+(P90-25)*$G$124*(0.000001)))/(O92*(1+(P90-25)*$G$122*(0.000001)))</f>
        <v>15.964917057481804</v>
      </c>
      <c r="Q92" s="52">
        <f>8*($G$113-$G$107/2)*($G$103*(1+(Q90-25)*$G$124*(0.000001)))/(O92*(1+(Q90-25)*$G$122*(0.000001)))</f>
        <v>15.933876282885896</v>
      </c>
      <c r="R92" s="41"/>
      <c r="S92" s="45"/>
      <c r="T92" s="34"/>
    </row>
    <row r="93" spans="1:26" ht="14.25" hidden="1">
      <c r="B93" s="200" t="s">
        <v>62</v>
      </c>
      <c r="C93" s="201"/>
      <c r="D93" s="202"/>
      <c r="E93" s="53"/>
      <c r="F93" s="53"/>
      <c r="G93" s="103">
        <f>3*1000*(G89-G90)*G90/(G91*G92*G89)</f>
        <v>1.5279545454545458</v>
      </c>
      <c r="H93" s="38"/>
      <c r="I93" s="41"/>
      <c r="J93" s="45"/>
      <c r="K93" s="47"/>
      <c r="L93" s="47"/>
      <c r="M93" s="47"/>
      <c r="N93" s="47"/>
      <c r="O93" s="47"/>
      <c r="P93" s="47"/>
      <c r="Q93" s="47"/>
      <c r="R93" s="41"/>
      <c r="S93" s="45"/>
      <c r="T93" s="34"/>
    </row>
    <row r="94" spans="1:26" ht="14.25" hidden="1">
      <c r="B94" s="200" t="s">
        <v>64</v>
      </c>
      <c r="C94" s="201"/>
      <c r="D94" s="202"/>
      <c r="E94" s="48">
        <f>H24</f>
        <v>1.5</v>
      </c>
      <c r="F94" s="49">
        <f t="shared" ref="F94:G97" si="1">E94</f>
        <v>1.5</v>
      </c>
      <c r="G94" s="49">
        <f t="shared" si="1"/>
        <v>1.5</v>
      </c>
      <c r="H94" s="38"/>
      <c r="I94" s="41"/>
      <c r="J94" s="45"/>
      <c r="K94" s="50" t="s">
        <v>63</v>
      </c>
      <c r="L94" s="51">
        <f>L90</f>
        <v>0</v>
      </c>
      <c r="M94" s="51">
        <f>M90</f>
        <v>60</v>
      </c>
      <c r="N94" s="55"/>
      <c r="O94" s="51" t="s">
        <v>63</v>
      </c>
      <c r="P94" s="51">
        <f>P90</f>
        <v>0</v>
      </c>
      <c r="Q94" s="51">
        <f>Q90</f>
        <v>60</v>
      </c>
      <c r="R94" s="41"/>
      <c r="S94" s="45"/>
      <c r="T94" s="34"/>
    </row>
    <row r="95" spans="1:26" ht="14.25" hidden="1">
      <c r="B95" s="106" t="s">
        <v>65</v>
      </c>
      <c r="C95" s="107"/>
      <c r="D95" s="169"/>
      <c r="E95" s="170">
        <f>I24</f>
        <v>20</v>
      </c>
      <c r="F95" s="49">
        <f t="shared" si="1"/>
        <v>20</v>
      </c>
      <c r="G95" s="49">
        <f t="shared" si="1"/>
        <v>20</v>
      </c>
      <c r="H95" s="38"/>
      <c r="I95" s="41"/>
      <c r="J95" s="45"/>
      <c r="K95" s="50">
        <f>$F$120</f>
        <v>9</v>
      </c>
      <c r="L95" s="56">
        <f>8*($F$113-$F$109/2)*($F$103*(1+(L94-25)*$E$124*(0.000001)))/(K95*(1+(L94-25)*$E$122*(0.000001)))</f>
        <v>21.589690096258966</v>
      </c>
      <c r="M95" s="52">
        <f>8*($F$113-$F$109/2)*($F$103*(1+(M94-25)*$E$124*(0.000001)))/(K95*(1+(M94-25)*$E$122*(0.000001)))</f>
        <v>21.547713009784879</v>
      </c>
      <c r="N95" s="47"/>
      <c r="O95" s="50">
        <f>$F$120</f>
        <v>9</v>
      </c>
      <c r="P95" s="52">
        <f>8*($G$113-$G$109/2)*($G$103*(1+(P94-25)*$E$124*(0.000001)))/(O95*(1+(P94-25)*$E$122*(0.000001)))</f>
        <v>21.312581317287837</v>
      </c>
      <c r="Q95" s="52">
        <f>8*($G$113-$G$109/2)*($G$103*(1+(Q94-25)*$E$124*(0.000001)))/(O95*(1+(Q94-25)*$E$122*(0.000001)))</f>
        <v>21.271143016647436</v>
      </c>
      <c r="R95" s="41"/>
      <c r="S95" s="45"/>
      <c r="T95" s="34"/>
    </row>
    <row r="96" spans="1:26" ht="14.25" hidden="1">
      <c r="B96" s="200" t="s">
        <v>66</v>
      </c>
      <c r="C96" s="201"/>
      <c r="D96" s="202"/>
      <c r="E96" s="46">
        <f>C48</f>
        <v>1</v>
      </c>
      <c r="F96" s="49">
        <f t="shared" si="1"/>
        <v>1</v>
      </c>
      <c r="G96" s="49">
        <f t="shared" si="1"/>
        <v>1</v>
      </c>
      <c r="H96" s="38"/>
      <c r="I96" s="41"/>
      <c r="J96" s="45"/>
      <c r="K96" s="50">
        <f>$G$120</f>
        <v>11</v>
      </c>
      <c r="L96" s="52">
        <f>8*($F$113-$F$109/2)*($F$103*(1+(L94-25)*$E$124*(0.000001)))/(K96*(1+(L94-25)*$E$122*(0.000001)))</f>
        <v>17.664291896939154</v>
      </c>
      <c r="M96" s="52">
        <f>8*($F$113-$F$109/2)*($F$103*(1+(M94-25)*$E$124*(0.000001)))/(K96*(1+(M94-25)*$E$122*(0.000001)))</f>
        <v>17.629947008005811</v>
      </c>
      <c r="N96" s="47"/>
      <c r="O96" s="50">
        <f>$G$120</f>
        <v>11</v>
      </c>
      <c r="P96" s="52">
        <f>8*($G$113-$G$109/2)*($G$103*(1+(P94-25)*$E$124*(0.000001)))/(O96*(1+(P94-25)*$E$122*(0.000001)))</f>
        <v>17.437566532326411</v>
      </c>
      <c r="Q96" s="52">
        <f>8*($G$113-$G$109/2)*($G$103*(1+(Q94-25)*$E$124*(0.000001)))/(O96*(1+(Q94-25)*$E$122*(0.000001)))</f>
        <v>17.403662468166086</v>
      </c>
      <c r="R96" s="41"/>
      <c r="S96" s="45"/>
      <c r="T96" s="34"/>
    </row>
    <row r="97" spans="2:20" ht="14.25" hidden="1">
      <c r="B97" s="238" t="s">
        <v>152</v>
      </c>
      <c r="C97" s="239"/>
      <c r="D97" s="240"/>
      <c r="E97" s="48">
        <f>C55</f>
        <v>15.7</v>
      </c>
      <c r="F97" s="49">
        <f t="shared" si="1"/>
        <v>15.7</v>
      </c>
      <c r="G97" s="49">
        <f t="shared" si="1"/>
        <v>15.7</v>
      </c>
      <c r="H97" s="38"/>
      <c r="I97" s="41"/>
      <c r="J97" s="45"/>
      <c r="K97" s="47"/>
      <c r="L97" s="47"/>
      <c r="M97" s="47"/>
      <c r="N97" s="47"/>
      <c r="O97" s="47"/>
      <c r="P97" s="47"/>
      <c r="Q97" s="47"/>
      <c r="R97" s="41"/>
      <c r="S97" s="45"/>
      <c r="T97" s="34"/>
    </row>
    <row r="98" spans="2:20" ht="14.25" hidden="1">
      <c r="B98" s="200" t="s">
        <v>160</v>
      </c>
      <c r="C98" s="201"/>
      <c r="D98" s="202"/>
      <c r="E98" s="48">
        <f>D55</f>
        <v>5.833333333333333</v>
      </c>
      <c r="F98" s="49">
        <f t="shared" ref="F98:G101" si="2">E98</f>
        <v>5.833333333333333</v>
      </c>
      <c r="G98" s="49">
        <f t="shared" si="2"/>
        <v>5.833333333333333</v>
      </c>
      <c r="H98" s="38"/>
      <c r="I98" s="41"/>
      <c r="J98" s="45"/>
      <c r="K98" s="47" t="s">
        <v>54</v>
      </c>
      <c r="L98" s="47"/>
      <c r="M98" s="47"/>
      <c r="N98" s="47"/>
      <c r="O98" s="47" t="s">
        <v>55</v>
      </c>
      <c r="P98" s="47"/>
      <c r="Q98" s="47"/>
      <c r="R98" s="41"/>
      <c r="S98" s="45"/>
      <c r="T98" s="34"/>
    </row>
    <row r="99" spans="2:20" ht="14.25" hidden="1">
      <c r="B99" s="200" t="s">
        <v>161</v>
      </c>
      <c r="C99" s="201"/>
      <c r="D99" s="202"/>
      <c r="E99" s="48">
        <f>E55</f>
        <v>7</v>
      </c>
      <c r="F99" s="49">
        <f t="shared" si="2"/>
        <v>7</v>
      </c>
      <c r="G99" s="49">
        <f t="shared" si="2"/>
        <v>7</v>
      </c>
      <c r="H99" s="38"/>
      <c r="I99" s="58" t="s">
        <v>67</v>
      </c>
      <c r="J99" s="45"/>
      <c r="K99" s="47" t="s">
        <v>68</v>
      </c>
      <c r="L99" s="47"/>
      <c r="M99" s="47"/>
      <c r="N99" s="47"/>
      <c r="O99" s="47" t="s">
        <v>0</v>
      </c>
      <c r="P99" s="47"/>
      <c r="Q99" s="47"/>
      <c r="R99" s="41"/>
      <c r="S99" s="45"/>
      <c r="T99" s="34"/>
    </row>
    <row r="100" spans="2:20" ht="14.25" hidden="1">
      <c r="B100" s="200" t="s">
        <v>162</v>
      </c>
      <c r="C100" s="201"/>
      <c r="D100" s="202"/>
      <c r="E100" s="48">
        <f>F55</f>
        <v>8.4</v>
      </c>
      <c r="F100" s="49">
        <f t="shared" si="2"/>
        <v>8.4</v>
      </c>
      <c r="G100" s="49">
        <f t="shared" si="2"/>
        <v>8.4</v>
      </c>
      <c r="H100" s="38"/>
      <c r="I100" s="59">
        <f>MAX(L91:M92,L101:M102,L95:M96,L106:M107,P91:Q92,P95:Q96,P101:Q102,P106:Q107)</f>
        <v>25.907628115510757</v>
      </c>
      <c r="J100" s="45"/>
      <c r="K100" s="50" t="s">
        <v>59</v>
      </c>
      <c r="L100" s="51">
        <f>$F$121</f>
        <v>0</v>
      </c>
      <c r="M100" s="51">
        <f>$G$121</f>
        <v>60</v>
      </c>
      <c r="N100" s="34"/>
      <c r="O100" s="50" t="s">
        <v>59</v>
      </c>
      <c r="P100" s="51">
        <f>$F$121</f>
        <v>0</v>
      </c>
      <c r="Q100" s="51">
        <f>$G$121</f>
        <v>60</v>
      </c>
      <c r="R100" s="41"/>
      <c r="S100" s="45"/>
      <c r="T100" s="34"/>
    </row>
    <row r="101" spans="2:20" ht="14.25" hidden="1">
      <c r="B101" s="200" t="s">
        <v>69</v>
      </c>
      <c r="C101" s="201"/>
      <c r="D101" s="202"/>
      <c r="E101" s="48">
        <f>G55</f>
        <v>1</v>
      </c>
      <c r="F101" s="49">
        <f t="shared" si="2"/>
        <v>1</v>
      </c>
      <c r="G101" s="49">
        <f t="shared" si="2"/>
        <v>1</v>
      </c>
      <c r="H101" s="38"/>
      <c r="I101" s="41"/>
      <c r="J101" s="45"/>
      <c r="K101" s="50">
        <f>$F$120</f>
        <v>9</v>
      </c>
      <c r="L101" s="52">
        <f>8*($F$113-$F$107/2)*($F$104*(1+(L100-25)*$E$124*(0.000001)))/(K101*(1+(L100-25)*$E$122*(0.000001)))</f>
        <v>23.914007486454686</v>
      </c>
      <c r="M101" s="52">
        <f>8*($F$113-$F$107/2)*($F$104*(1+(M100-25)*$E$124*(0.000001)))/(K101*(1+(M100-25)*$E$122*(0.000001)))</f>
        <v>23.867511202546712</v>
      </c>
      <c r="N101" s="47"/>
      <c r="O101" s="50">
        <f>$F$120</f>
        <v>9</v>
      </c>
      <c r="P101" s="52">
        <f>8*($G$113-$G$107/2)*($G$104*(1+(P100-25)*$G$124*(0.000001)))/(O101*(1+(P100-25)*$G$122*(0.000001)))</f>
        <v>23.415211684306648</v>
      </c>
      <c r="Q101" s="52">
        <f>8*($G$113-$G$107/2)*($G$104*(1+(Q100-25)*$G$124*(0.000001)))/(O101*(1+(Q100-25)*$G$122*(0.000001)))</f>
        <v>23.369685214899313</v>
      </c>
      <c r="R101" s="41"/>
      <c r="S101" s="45"/>
    </row>
    <row r="102" spans="2:20" ht="14.25" hidden="1">
      <c r="B102" s="200" t="s">
        <v>160</v>
      </c>
      <c r="C102" s="201"/>
      <c r="D102" s="202"/>
      <c r="E102" s="61">
        <f>E98/E101</f>
        <v>5.833333333333333</v>
      </c>
      <c r="F102" s="49">
        <f t="shared" ref="F102:G105" si="3">E102</f>
        <v>5.833333333333333</v>
      </c>
      <c r="G102" s="49">
        <f t="shared" si="3"/>
        <v>5.833333333333333</v>
      </c>
      <c r="H102" s="38"/>
      <c r="I102" s="41"/>
      <c r="J102" s="45"/>
      <c r="K102" s="50">
        <f>$G$120</f>
        <v>11</v>
      </c>
      <c r="L102" s="52">
        <f>8*($F$113-$F$107/2)*($F$104*(1+(L100-25)*$E$124*(0.000001)))/(K102*(1+(L100-25)*$E$122*(0.000001)))</f>
        <v>19.566006125281106</v>
      </c>
      <c r="M102" s="52">
        <f>8*($F$113-$F$107/2)*($F$104*(1+(M100-25)*$E$124*(0.000001)))/(K102*(1+(M100-25)*$E$122*(0.000001)))</f>
        <v>19.527963711174582</v>
      </c>
      <c r="N102" s="47"/>
      <c r="O102" s="50">
        <f>$G$120</f>
        <v>11</v>
      </c>
      <c r="P102" s="52">
        <f>8*($G$113-$G$107/2)*($G$104*(1+(P100-25)*$G$124*(0.000001)))/(O102*(1+(P100-25)*$G$122*(0.000001)))</f>
        <v>19.157900468978163</v>
      </c>
      <c r="Q102" s="52">
        <f>8*($G$113-$G$107/2)*($G$104*(1+(Q100-25)*$G$124*(0.000001)))/(O102*(1+(Q100-25)*$G$122*(0.000001)))</f>
        <v>19.120651539463076</v>
      </c>
      <c r="R102" s="41"/>
      <c r="S102" s="34"/>
    </row>
    <row r="103" spans="2:20" ht="14.25" hidden="1">
      <c r="B103" s="200" t="s">
        <v>161</v>
      </c>
      <c r="C103" s="201"/>
      <c r="D103" s="202"/>
      <c r="E103" s="61">
        <f>E99/E101</f>
        <v>7</v>
      </c>
      <c r="F103" s="49">
        <f t="shared" si="3"/>
        <v>7</v>
      </c>
      <c r="G103" s="49">
        <f t="shared" si="3"/>
        <v>7</v>
      </c>
      <c r="H103" s="38"/>
      <c r="I103" s="41"/>
      <c r="J103" s="45"/>
      <c r="K103" s="47"/>
      <c r="L103" s="47"/>
      <c r="M103" s="47"/>
      <c r="N103" s="47"/>
      <c r="O103" s="47"/>
      <c r="P103" s="47"/>
      <c r="Q103" s="47"/>
      <c r="R103" s="41"/>
      <c r="S103" s="34"/>
    </row>
    <row r="104" spans="2:20" ht="14.25" hidden="1">
      <c r="B104" s="200" t="s">
        <v>162</v>
      </c>
      <c r="C104" s="201"/>
      <c r="D104" s="202"/>
      <c r="E104" s="61">
        <f>E100/E101</f>
        <v>8.4</v>
      </c>
      <c r="F104" s="49">
        <f t="shared" si="3"/>
        <v>8.4</v>
      </c>
      <c r="G104" s="49">
        <f t="shared" si="3"/>
        <v>8.4</v>
      </c>
      <c r="H104" s="38"/>
      <c r="I104" s="41"/>
      <c r="J104" s="45"/>
      <c r="K104" s="47"/>
      <c r="L104" s="47"/>
      <c r="M104" s="47"/>
      <c r="N104" s="47"/>
      <c r="O104" s="47"/>
      <c r="P104" s="47"/>
      <c r="Q104" s="47"/>
      <c r="R104" s="41"/>
      <c r="S104" s="34"/>
    </row>
    <row r="105" spans="2:20" ht="14.25" hidden="1">
      <c r="B105" s="238" t="s">
        <v>163</v>
      </c>
      <c r="C105" s="239"/>
      <c r="D105" s="240"/>
      <c r="E105" s="61">
        <f>I55</f>
        <v>5</v>
      </c>
      <c r="F105" s="49">
        <f t="shared" si="3"/>
        <v>5</v>
      </c>
      <c r="G105" s="49">
        <f t="shared" si="3"/>
        <v>5</v>
      </c>
      <c r="H105" s="65"/>
      <c r="I105" s="41"/>
      <c r="J105" s="45"/>
      <c r="K105" s="50" t="s">
        <v>63</v>
      </c>
      <c r="L105" s="51">
        <f>L100</f>
        <v>0</v>
      </c>
      <c r="M105" s="51">
        <f>M100</f>
        <v>60</v>
      </c>
      <c r="N105" s="55"/>
      <c r="O105" s="51" t="s">
        <v>63</v>
      </c>
      <c r="P105" s="51">
        <f>P100</f>
        <v>0</v>
      </c>
      <c r="Q105" s="51">
        <f>Q100</f>
        <v>60</v>
      </c>
      <c r="R105" s="41"/>
      <c r="S105" s="34"/>
    </row>
    <row r="106" spans="2:20" ht="14.25" hidden="1">
      <c r="B106" s="233" t="s">
        <v>70</v>
      </c>
      <c r="C106" s="234"/>
      <c r="D106" s="235"/>
      <c r="E106" s="64">
        <f>(E90+E91*(E103+E105)*0.001)/(E89-E91*(E97-E103)*0.001)</f>
        <v>0.28155965520019338</v>
      </c>
      <c r="F106" s="64">
        <f>(F90+F91*(F103+F105)*0.001)/(F89-F91*(F97-F103)*0.001)</f>
        <v>0.31308787960225748</v>
      </c>
      <c r="G106" s="66">
        <f>(G90+G91*(G103+G105)*0.001)/(G89-G91*(G97-G103)*0.001)</f>
        <v>0.25580033667569346</v>
      </c>
      <c r="H106" s="65"/>
      <c r="I106" s="41"/>
      <c r="J106" s="45"/>
      <c r="K106" s="50">
        <f>$F$120</f>
        <v>9</v>
      </c>
      <c r="L106" s="56">
        <f>8*($F$113-$F$109/2)*($F$104*(1+(L105-25)*$E$124*(0.000001)))/(K106*(1+(L105-25)*$E$122*(0.000001)))</f>
        <v>25.907628115510757</v>
      </c>
      <c r="M106" s="52">
        <f>8*($F$113-$F$109/2)*($F$104*(1+(M105-25)*$E$124*(0.000001)))/(K106*(1+(M105-25)*$E$122*(0.000001)))</f>
        <v>25.857255611741856</v>
      </c>
      <c r="N106" s="47"/>
      <c r="O106" s="50">
        <f>$F$120</f>
        <v>9</v>
      </c>
      <c r="P106" s="52">
        <f>8*($G$113-$G$109/2)*($G$104*(1+(P105-25)*$E$124*(0.000001)))/(O106*(1+(P105-25)*$E$122*(0.000001)))</f>
        <v>25.5750975807454</v>
      </c>
      <c r="Q106" s="52">
        <f>8*($G$113-$G$109/2)*($G$104*(1+(Q105-25)*$E$124*(0.000001)))/(O106*(1+(Q105-25)*$E$122*(0.000001)))</f>
        <v>25.525371619976926</v>
      </c>
      <c r="R106" s="41"/>
      <c r="S106" s="34"/>
    </row>
    <row r="107" spans="2:20" ht="14.25" hidden="1">
      <c r="B107" s="230" t="s">
        <v>96</v>
      </c>
      <c r="C107" s="231"/>
      <c r="D107" s="232"/>
      <c r="E107" s="66">
        <f>(E89-E90-E91*(E97+E105)*0.001)*E106/(E94*(1-E95/100)*(0.001)*E92)</f>
        <v>1.6739660033835493</v>
      </c>
      <c r="F107" s="166">
        <f>(F89-F90-F91*(F97+F105)*0.001)*F106/(F94*(1-F95/100)*(0.001)*F92)</f>
        <v>1.6005052405267397</v>
      </c>
      <c r="G107" s="167">
        <f>(G89-G90-G91*(G97+G105)*0.001)*G106/(G94*(1-G95/100)*(0.001)*G92)</f>
        <v>1.7339852155456341</v>
      </c>
      <c r="H107" s="65"/>
      <c r="I107" s="41"/>
      <c r="J107" s="45"/>
      <c r="K107" s="50">
        <f>$G$120</f>
        <v>11</v>
      </c>
      <c r="L107" s="52">
        <f>8*($F$113-$F$109/2)*($F$104*(1+(L105-25)*$E$124*(0.000001)))/(K107*(1+(L105-25)*$E$122*(0.000001)))</f>
        <v>21.197150276326983</v>
      </c>
      <c r="M107" s="52">
        <f>8*($F$113-$F$109/2)*($F$104*(1+(M105-25)*$E$124*(0.000001)))/(K107*(1+(M105-25)*$E$122*(0.000001)))</f>
        <v>21.155936409606976</v>
      </c>
      <c r="N107" s="47"/>
      <c r="O107" s="50">
        <f>$G$120</f>
        <v>11</v>
      </c>
      <c r="P107" s="52">
        <f>8*($G$113-$G$109/2)*($G$104*(1+(P105-25)*$E$124*(0.000001)))/(O107*(1+(P105-25)*$E$122*(0.000001)))</f>
        <v>20.925079838791692</v>
      </c>
      <c r="Q107" s="52">
        <f>8*($G$113-$G$109/2)*($G$104*(1+(Q105-25)*$E$124*(0.000001)))/(O107*(1+(Q105-25)*$E$122*(0.000001)))</f>
        <v>20.884394961799305</v>
      </c>
      <c r="R107" s="41"/>
      <c r="S107" s="34"/>
    </row>
    <row r="108" spans="2:20" ht="15" hidden="1" thickBot="1">
      <c r="B108" s="273" t="s">
        <v>97</v>
      </c>
      <c r="C108" s="274"/>
      <c r="D108" s="275"/>
      <c r="E108" s="67">
        <f>(E89-E90-E91*(E97+E105)*0.001)*E106/(E94*(0.001)*E92)</f>
        <v>1.3391728027068395</v>
      </c>
      <c r="F108" s="67">
        <f>(F89-F90-F91*(F97+F105)*0.001)*F106/(F94*(0.001)*F92)</f>
        <v>1.280404192421392</v>
      </c>
      <c r="G108" s="168">
        <f>(G89-G90-G91*(G97+G105)*0.001)*G106/(G94*(0.001)*G92)</f>
        <v>1.3871881724365076</v>
      </c>
      <c r="H108" s="65"/>
      <c r="I108" s="41"/>
      <c r="J108" s="69"/>
      <c r="K108" s="70"/>
      <c r="L108" s="70"/>
      <c r="M108" s="70"/>
      <c r="N108" s="70"/>
      <c r="O108" s="70"/>
      <c r="P108" s="70"/>
      <c r="Q108" s="70"/>
      <c r="R108" s="71"/>
      <c r="S108" s="34"/>
    </row>
    <row r="109" spans="2:20" ht="15" hidden="1" thickTop="1">
      <c r="B109" s="276" t="s">
        <v>98</v>
      </c>
      <c r="C109" s="277"/>
      <c r="D109" s="278"/>
      <c r="E109" s="68">
        <f>(E89-E90-E91*(E97+E105)*0.001)*E106/(E94*(1+E95/100)*(0.001)*E92)</f>
        <v>1.115977335589033</v>
      </c>
      <c r="F109" s="68">
        <f>(F89-F90-F91*(F97+F105)*0.001)*F106/(F94*(1+F95/100)*(0.001)*F92)</f>
        <v>1.0670034936844934</v>
      </c>
      <c r="G109" s="68">
        <f>(G89-G90-G91*(G97+G105)*0.001)*G106/(G94*(1+G95/100)*(0.001)*G92)</f>
        <v>1.1559901436970896</v>
      </c>
      <c r="H109" s="73"/>
      <c r="I109" s="74"/>
      <c r="J109" s="42"/>
      <c r="K109" s="43"/>
      <c r="L109" s="43"/>
      <c r="M109" s="43"/>
      <c r="N109" s="43"/>
      <c r="O109" s="43"/>
      <c r="P109" s="43"/>
      <c r="Q109" s="43"/>
      <c r="R109" s="44"/>
      <c r="S109" s="34"/>
    </row>
    <row r="110" spans="2:20" ht="14.25" hidden="1">
      <c r="B110" s="246" t="s">
        <v>71</v>
      </c>
      <c r="C110" s="247"/>
      <c r="D110" s="248"/>
      <c r="E110" s="72">
        <f>E107*$E$96</f>
        <v>1.6739660033835493</v>
      </c>
      <c r="F110" s="72">
        <f>F107*$F$96</f>
        <v>1.6005052405267397</v>
      </c>
      <c r="G110" s="72">
        <f>G107*$G$96</f>
        <v>1.7339852155456341</v>
      </c>
      <c r="H110" s="73"/>
      <c r="I110" s="74"/>
      <c r="J110" s="45"/>
      <c r="K110" s="47" t="s">
        <v>73</v>
      </c>
      <c r="L110" s="47"/>
      <c r="M110" s="47"/>
      <c r="N110" s="47"/>
      <c r="O110" s="47"/>
      <c r="P110" s="47"/>
      <c r="Q110" s="47"/>
      <c r="R110" s="41"/>
      <c r="S110" s="45"/>
    </row>
    <row r="111" spans="2:20" ht="14.25" hidden="1">
      <c r="B111" s="249" t="s">
        <v>72</v>
      </c>
      <c r="C111" s="250"/>
      <c r="D111" s="251"/>
      <c r="E111" s="75">
        <f>E108*$E$96</f>
        <v>1.3391728027068395</v>
      </c>
      <c r="F111" s="75">
        <f>F108*$F$96</f>
        <v>1.280404192421392</v>
      </c>
      <c r="G111" s="75">
        <f>G108*$G$96</f>
        <v>1.3871881724365076</v>
      </c>
      <c r="H111" s="73"/>
      <c r="I111" s="74"/>
      <c r="J111" s="45"/>
      <c r="K111" s="50"/>
      <c r="L111" s="51">
        <f>$F$121</f>
        <v>0</v>
      </c>
      <c r="M111" s="51">
        <f>$G$121</f>
        <v>60</v>
      </c>
      <c r="N111" s="55"/>
      <c r="O111" s="51"/>
      <c r="P111" s="51">
        <f>$F$121</f>
        <v>0</v>
      </c>
      <c r="Q111" s="51">
        <f>$G$121</f>
        <v>60</v>
      </c>
      <c r="R111" s="41"/>
      <c r="S111" s="45"/>
    </row>
    <row r="112" spans="2:20" ht="14.25" hidden="1">
      <c r="B112" s="318" t="s">
        <v>74</v>
      </c>
      <c r="C112" s="319"/>
      <c r="D112" s="320"/>
      <c r="E112" s="76">
        <f>E109*$E$96</f>
        <v>1.115977335589033</v>
      </c>
      <c r="F112" s="76">
        <f>F109*$F$96</f>
        <v>1.0670034936844934</v>
      </c>
      <c r="G112" s="76">
        <f>G109*$G$96</f>
        <v>1.1559901436970896</v>
      </c>
      <c r="H112" s="73"/>
      <c r="I112" s="41"/>
      <c r="J112" s="45"/>
      <c r="K112" s="50">
        <f>$F$120</f>
        <v>9</v>
      </c>
      <c r="L112" s="77">
        <f>$E$114*K112*(1+(L111-25)*$E$122*0.000001)/8</f>
        <v>25.912406250000004</v>
      </c>
      <c r="M112" s="62">
        <f>$E$114*K112*(1+(M111-25)*$E$122*0.000001)/8</f>
        <v>34.192631249999998</v>
      </c>
      <c r="N112" s="47"/>
      <c r="O112" s="50">
        <f>$F$120</f>
        <v>9</v>
      </c>
      <c r="P112" s="57">
        <f>$E$114*O112*(1+(P111-25)*$E$122*0.000001)/8</f>
        <v>25.912406250000004</v>
      </c>
      <c r="Q112" s="57">
        <f>$E$114*O112*(1+(Q111-25)*$E$122*0.000001)/8</f>
        <v>34.192631249999998</v>
      </c>
      <c r="R112" s="41"/>
      <c r="S112" s="45"/>
    </row>
    <row r="113" spans="2:19" ht="14.25" hidden="1">
      <c r="B113" s="200" t="s">
        <v>77</v>
      </c>
      <c r="C113" s="201"/>
      <c r="D113" s="202"/>
      <c r="E113" s="79">
        <f>E91</f>
        <v>4</v>
      </c>
      <c r="F113" s="79">
        <f>E113</f>
        <v>4</v>
      </c>
      <c r="G113" s="79">
        <f>F113</f>
        <v>4</v>
      </c>
      <c r="H113" s="73"/>
      <c r="I113" s="41"/>
      <c r="J113" s="45"/>
      <c r="K113" s="50">
        <f>$G$120</f>
        <v>11</v>
      </c>
      <c r="L113" s="62">
        <f>$E$114*K113*(1+(L111-25)*$E$122*0.000001)/8</f>
        <v>31.670718750000006</v>
      </c>
      <c r="M113" s="77">
        <f>$E$114*K113*(1+(M111-25)*$E$122*0.000001)/8</f>
        <v>41.790993749999998</v>
      </c>
      <c r="N113" s="47"/>
      <c r="O113" s="50">
        <f>$G$120</f>
        <v>11</v>
      </c>
      <c r="P113" s="57">
        <f>$E$114*O113*(1+(P111-25)*$E$122*0.000001)/8</f>
        <v>31.670718750000006</v>
      </c>
      <c r="Q113" s="57">
        <f>$E$114*O113*(1+(Q111-25)*$E$122*0.000001)/8</f>
        <v>41.790993749999998</v>
      </c>
      <c r="R113" s="41"/>
      <c r="S113" s="45"/>
    </row>
    <row r="114" spans="2:19" ht="15" hidden="1" thickBot="1">
      <c r="B114" s="200" t="s">
        <v>78</v>
      </c>
      <c r="C114" s="201"/>
      <c r="D114" s="202"/>
      <c r="E114" s="46">
        <f>E60</f>
        <v>26.1</v>
      </c>
      <c r="F114" s="81"/>
      <c r="G114" s="82"/>
      <c r="H114" s="73"/>
      <c r="I114" s="34"/>
      <c r="J114" s="69"/>
      <c r="K114" s="70"/>
      <c r="L114" s="70"/>
      <c r="M114" s="70"/>
      <c r="N114" s="70"/>
      <c r="O114" s="70"/>
      <c r="P114" s="70"/>
      <c r="Q114" s="70"/>
      <c r="R114" s="71"/>
      <c r="S114" s="45"/>
    </row>
    <row r="115" spans="2:19" ht="15" hidden="1" thickTop="1">
      <c r="B115" s="241" t="s">
        <v>79</v>
      </c>
      <c r="C115" s="242"/>
      <c r="D115" s="243"/>
      <c r="E115" s="84">
        <f>E114*$E$120/8</f>
        <v>32.625</v>
      </c>
      <c r="F115" s="85"/>
      <c r="G115" s="80"/>
      <c r="H115" s="78"/>
      <c r="I115" s="34"/>
      <c r="J115" s="42"/>
      <c r="K115" s="43" t="s">
        <v>75</v>
      </c>
      <c r="L115" s="43"/>
      <c r="M115" s="43"/>
      <c r="N115" s="43"/>
      <c r="O115" s="43" t="s">
        <v>76</v>
      </c>
      <c r="P115" s="43"/>
      <c r="Q115" s="43"/>
      <c r="R115" s="44"/>
      <c r="S115" s="45"/>
    </row>
    <row r="116" spans="2:19" ht="14.25" hidden="1">
      <c r="B116" s="241" t="s">
        <v>80</v>
      </c>
      <c r="C116" s="242"/>
      <c r="D116" s="243"/>
      <c r="E116" s="84">
        <f>$E$114*$E$120/(8*E103)+E108/2</f>
        <v>5.3303006870677052</v>
      </c>
      <c r="F116" s="84">
        <f>$E$114*$E$120/(8*F103)+F108/2</f>
        <v>5.3009163819249814</v>
      </c>
      <c r="G116" s="84">
        <f>$E$114*$E$120/(8*G103)+G108/2</f>
        <v>5.3543083719325395</v>
      </c>
      <c r="H116" s="78"/>
      <c r="I116" s="41"/>
      <c r="J116" s="45"/>
      <c r="K116" s="47" t="s">
        <v>165</v>
      </c>
      <c r="L116" s="47"/>
      <c r="M116" s="47"/>
      <c r="N116" s="47"/>
      <c r="O116" s="47" t="s">
        <v>165</v>
      </c>
      <c r="P116" s="47"/>
      <c r="Q116" s="47"/>
      <c r="R116" s="41"/>
      <c r="S116" s="45"/>
    </row>
    <row r="117" spans="2:19" ht="14.25" hidden="1">
      <c r="B117" s="213" t="s">
        <v>81</v>
      </c>
      <c r="C117" s="214"/>
      <c r="D117" s="215"/>
      <c r="E117" s="86">
        <f>MIN(L118:M119,P118:Q119,L122:M123,P122:Q123,L128:M129,P128:Q129,L132:M133,P132:Q133)</f>
        <v>4.0257397859258051</v>
      </c>
      <c r="F117" s="87"/>
      <c r="G117" s="87"/>
      <c r="H117" s="78"/>
      <c r="I117" s="34"/>
      <c r="J117" s="45"/>
      <c r="K117" s="50" t="s">
        <v>59</v>
      </c>
      <c r="L117" s="51">
        <f>$F$121</f>
        <v>0</v>
      </c>
      <c r="M117" s="51">
        <f>$G$121</f>
        <v>60</v>
      </c>
      <c r="N117" s="55"/>
      <c r="O117" s="51" t="s">
        <v>59</v>
      </c>
      <c r="P117" s="51">
        <f>$F$121</f>
        <v>0</v>
      </c>
      <c r="Q117" s="51">
        <f>$G$121</f>
        <v>60</v>
      </c>
      <c r="R117" s="41"/>
      <c r="S117" s="45"/>
    </row>
    <row r="118" spans="2:19" ht="14.25" hidden="1">
      <c r="B118" s="213" t="s">
        <v>82</v>
      </c>
      <c r="C118" s="214"/>
      <c r="D118" s="215"/>
      <c r="E118" s="86">
        <f>MAX(L118:M119,P118:Q119,L122:M123,P122:Q123,L128:M129,P128:Q129,L132:M133,P132:Q133)</f>
        <v>7.0253052356893129</v>
      </c>
      <c r="H118" s="80"/>
      <c r="I118" s="34"/>
      <c r="J118" s="45"/>
      <c r="K118" s="50">
        <f>$F$120</f>
        <v>9</v>
      </c>
      <c r="L118" s="52">
        <f>$E$114*K118*(1+(L117-25)*$E$122*0.000001)/(8*$E$102*(1+(L117-25)*$E$124*0.000001))+$F$107/2</f>
        <v>5.8290753965436943</v>
      </c>
      <c r="M118" s="52">
        <f>$E$114*K118*(1+(M117-25)*$E$122*0.000001)/(8*$E$102*(1+(M117-25)*$E$124*0.000001))+$F$107/2</f>
        <v>5.8388720431041392</v>
      </c>
      <c r="N118" s="47"/>
      <c r="O118" s="50">
        <f>$F$120</f>
        <v>9</v>
      </c>
      <c r="P118" s="52">
        <f>$E$114*O118*(1+(P117-25)*$E$122*0.000001)/(8*$E$102*(1+(P117-25)*$E$124*0.000001))+$G$107/2</f>
        <v>5.8958153840531411</v>
      </c>
      <c r="Q118" s="52">
        <f>$E$114*O118*(1+(Q117-25)*$E$122*0.000001)/(8*$E$102*(1+(Q117-25)*$E$124*0.000001))+$G$107/2</f>
        <v>5.905612030613586</v>
      </c>
      <c r="R118" s="41"/>
      <c r="S118" s="45"/>
    </row>
    <row r="119" spans="2:19" ht="14.25" hidden="1">
      <c r="H119" s="38"/>
      <c r="I119" s="34"/>
      <c r="J119" s="45"/>
      <c r="K119" s="50">
        <f>$G$120</f>
        <v>11</v>
      </c>
      <c r="L119" s="52">
        <f>$E$114*K119*(1+(L117-25)*$E$122*0.000001)/(8*$E$102*(1+(L117-25)*$E$124*0.000001))+$F$107/2</f>
        <v>6.9465915690504332</v>
      </c>
      <c r="M119" s="52">
        <f>$E$114*K119*(1+(M117-25)*$E$122*0.000001)/(8*$E$102*(1+(M117-25)*$E$124*0.000001))+$F$107/2</f>
        <v>6.9585652481798661</v>
      </c>
      <c r="N119" s="47"/>
      <c r="O119" s="50">
        <f>$G$120</f>
        <v>11</v>
      </c>
      <c r="P119" s="56">
        <f>$E$114*O119*(1+(P117-25)*$E$122*0.000001)/(8*$E$102*(1+(P117-25)*$E$124*0.000001))+$G$107/2</f>
        <v>7.0133315565598799</v>
      </c>
      <c r="Q119" s="83">
        <f>$E$114*O119*(1+(Q117-25)*$E$122*0.000001)/(8*$E$102*(1+(Q117-25)*$E$124*0.000001))+$G$107/2</f>
        <v>7.0253052356893129</v>
      </c>
      <c r="R119" s="41"/>
      <c r="S119" s="45"/>
    </row>
    <row r="120" spans="2:19" ht="14.25" hidden="1">
      <c r="B120" s="304" t="s">
        <v>83</v>
      </c>
      <c r="C120" s="305"/>
      <c r="D120" s="306"/>
      <c r="E120" s="89">
        <v>10</v>
      </c>
      <c r="F120" s="89">
        <v>9</v>
      </c>
      <c r="G120" s="89">
        <v>11</v>
      </c>
      <c r="H120" s="38"/>
      <c r="I120" s="34"/>
      <c r="J120" s="45"/>
      <c r="K120" s="47"/>
      <c r="L120" s="47"/>
      <c r="M120" s="38"/>
      <c r="N120" s="38"/>
      <c r="O120" s="38"/>
      <c r="P120" s="38"/>
      <c r="Q120" s="38"/>
      <c r="R120" s="41"/>
      <c r="S120" s="45"/>
    </row>
    <row r="121" spans="2:19" ht="14.25" hidden="1">
      <c r="B121" s="200" t="s">
        <v>84</v>
      </c>
      <c r="C121" s="201"/>
      <c r="D121" s="202"/>
      <c r="E121" s="48">
        <v>25</v>
      </c>
      <c r="F121" s="48">
        <f>C21</f>
        <v>0</v>
      </c>
      <c r="G121" s="48">
        <f>D21</f>
        <v>60</v>
      </c>
      <c r="H121" s="80"/>
      <c r="I121" s="34"/>
      <c r="J121" s="45"/>
      <c r="K121" s="50" t="s">
        <v>63</v>
      </c>
      <c r="L121" s="51">
        <f>L117</f>
        <v>0</v>
      </c>
      <c r="M121" s="51">
        <f>M117</f>
        <v>60</v>
      </c>
      <c r="N121" s="55"/>
      <c r="O121" s="51" t="s">
        <v>63</v>
      </c>
      <c r="P121" s="51">
        <f>P117</f>
        <v>0</v>
      </c>
      <c r="Q121" s="51">
        <f>Q117</f>
        <v>60</v>
      </c>
      <c r="R121" s="41"/>
      <c r="S121" s="45"/>
    </row>
    <row r="122" spans="2:19" ht="14.25" hidden="1">
      <c r="B122" s="307" t="s">
        <v>86</v>
      </c>
      <c r="C122" s="308"/>
      <c r="D122" s="309"/>
      <c r="E122" s="90">
        <v>4700</v>
      </c>
      <c r="F122" s="49">
        <f>E122</f>
        <v>4700</v>
      </c>
      <c r="G122" s="49">
        <f>F122</f>
        <v>4700</v>
      </c>
      <c r="H122" s="88"/>
      <c r="I122" s="34"/>
      <c r="J122" s="45"/>
      <c r="K122" s="50">
        <f>$F$120</f>
        <v>9</v>
      </c>
      <c r="L122" s="52">
        <f>$E$114*K122*(1+(L121-25)*$E$122*0.000001)/(8*$E$102*(1+(L121-25)*$E$124*0.000001))+$F$109/2</f>
        <v>5.5623245231225713</v>
      </c>
      <c r="M122" s="52">
        <f>$E$114*K122*(1+(M121-25)*$E$122*0.000001)/(8*$E$102*(1+(M121-25)*$E$124*0.000001))+$F$109/2</f>
        <v>5.5721211696830162</v>
      </c>
      <c r="N122" s="47"/>
      <c r="O122" s="50">
        <f>$F$120</f>
        <v>9</v>
      </c>
      <c r="P122" s="52">
        <f>$E$114*O122*(1+(P121-25)*$E$122*0.000001)/(8*$E$102*(1+(P121-25)*$E$124*0.000001))+$G$109/2</f>
        <v>5.6068178481288689</v>
      </c>
      <c r="Q122" s="52">
        <f>$E$114*O122*(1+(Q121-25)*$E$122*0.000001)/(8*$E$102*(1+(Q121-25)*$E$124*0.000001))+$G$109/2</f>
        <v>5.6166144946893137</v>
      </c>
      <c r="R122" s="41"/>
      <c r="S122" s="45"/>
    </row>
    <row r="123" spans="2:19" ht="14.25" hidden="1">
      <c r="B123" s="285" t="s">
        <v>87</v>
      </c>
      <c r="C123" s="286"/>
      <c r="D123" s="287"/>
      <c r="E123" s="49">
        <f>E120*(1+(E121-25)*E122*(0.000001))</f>
        <v>10</v>
      </c>
      <c r="F123" s="91">
        <f>F120*(1+(F121-25)*F122*(0.000001))</f>
        <v>7.9425000000000008</v>
      </c>
      <c r="G123" s="91">
        <f>G120*(1+(G121-25)*G122*(0.000001))</f>
        <v>12.809499999999998</v>
      </c>
      <c r="H123" s="88"/>
      <c r="I123" s="34"/>
      <c r="J123" s="45"/>
      <c r="K123" s="50">
        <f>$G$120</f>
        <v>11</v>
      </c>
      <c r="L123" s="52">
        <f>$E$114*K123*(1+(L121-25)*$E$122*0.000001)/(8*$E$102*(1+(L121-25)*$E$124*0.000001))+$F$109/2</f>
        <v>6.6798406956293102</v>
      </c>
      <c r="M123" s="52">
        <f>$E$114*K123*(1+(M121-25)*$E$122*0.000001)/(8*$E$102*(1+(M121-25)*$E$124*0.000001))+$F$109/2</f>
        <v>6.6918143747587431</v>
      </c>
      <c r="N123" s="47"/>
      <c r="O123" s="50">
        <f>$G$120</f>
        <v>11</v>
      </c>
      <c r="P123" s="52">
        <f>$E$114*O123*(1+(P121-25)*$E$122*0.000001)/(8*$E$102*(1+(P121-25)*$E$124*0.000001))+$G$109/2</f>
        <v>6.7243340206356077</v>
      </c>
      <c r="Q123" s="52">
        <f>$E$114*O123*(1+(Q121-25)*$E$122*0.000001)/(8*$E$102*(1+(Q121-25)*$E$124*0.000001))+$G$109/2</f>
        <v>6.7363076997650406</v>
      </c>
      <c r="R123" s="41"/>
      <c r="S123" s="45"/>
    </row>
    <row r="124" spans="2:19" ht="14.25" hidden="1">
      <c r="B124" s="200" t="s">
        <v>88</v>
      </c>
      <c r="C124" s="201"/>
      <c r="D124" s="202"/>
      <c r="E124" s="48">
        <f>(H55-1)/75*1000000</f>
        <v>4666.6666666666679</v>
      </c>
      <c r="F124" s="49">
        <f>E124</f>
        <v>4666.6666666666679</v>
      </c>
      <c r="G124" s="49">
        <f>F124</f>
        <v>4666.6666666666679</v>
      </c>
      <c r="H124" s="88"/>
      <c r="I124" s="34"/>
      <c r="J124" s="45"/>
      <c r="K124" s="47"/>
      <c r="L124" s="47"/>
      <c r="M124" s="47"/>
      <c r="N124" s="47"/>
      <c r="O124" s="47"/>
      <c r="P124" s="47"/>
      <c r="Q124" s="47"/>
      <c r="R124" s="41"/>
      <c r="S124" s="45"/>
    </row>
    <row r="125" spans="2:19" ht="14.25" hidden="1">
      <c r="B125" s="285" t="s">
        <v>89</v>
      </c>
      <c r="C125" s="286"/>
      <c r="D125" s="287"/>
      <c r="E125" s="49">
        <f>E104*(1+(E121-25)*E124*(0.000001))</f>
        <v>8.4</v>
      </c>
      <c r="F125" s="91">
        <f>F104*(1+(F121-25)*F124*(0.000001))</f>
        <v>7.42</v>
      </c>
      <c r="G125" s="91">
        <f>G104*(1+(G121-25)*G124*(0.000001))</f>
        <v>9.7720000000000002</v>
      </c>
      <c r="H125" s="88"/>
      <c r="I125" s="34"/>
      <c r="J125" s="45"/>
      <c r="K125" s="47" t="s">
        <v>75</v>
      </c>
      <c r="L125" s="47"/>
      <c r="M125" s="47"/>
      <c r="N125" s="47"/>
      <c r="O125" s="47" t="s">
        <v>76</v>
      </c>
      <c r="P125" s="47"/>
      <c r="Q125" s="38"/>
      <c r="R125" s="41"/>
      <c r="S125" s="45"/>
    </row>
    <row r="126" spans="2:19" ht="14.25" hidden="1">
      <c r="H126" s="38"/>
      <c r="I126" s="34"/>
      <c r="J126" s="45"/>
      <c r="K126" s="47" t="s">
        <v>85</v>
      </c>
      <c r="L126" s="47"/>
      <c r="M126" s="47"/>
      <c r="N126" s="47"/>
      <c r="O126" s="47" t="s">
        <v>85</v>
      </c>
      <c r="P126" s="47"/>
      <c r="Q126" s="47"/>
      <c r="R126" s="41"/>
      <c r="S126" s="45"/>
    </row>
    <row r="127" spans="2:19" ht="14.25" hidden="1">
      <c r="B127" s="34" t="s">
        <v>145</v>
      </c>
      <c r="I127" s="34"/>
      <c r="J127" s="45"/>
      <c r="K127" s="50" t="s">
        <v>59</v>
      </c>
      <c r="L127" s="51">
        <f>$F$121</f>
        <v>0</v>
      </c>
      <c r="M127" s="51">
        <f>$G$121</f>
        <v>60</v>
      </c>
      <c r="N127" s="55"/>
      <c r="O127" s="51" t="s">
        <v>59</v>
      </c>
      <c r="P127" s="51">
        <f>$F$121</f>
        <v>0</v>
      </c>
      <c r="Q127" s="51">
        <f>$G$121</f>
        <v>60</v>
      </c>
      <c r="R127" s="41"/>
      <c r="S127" s="45"/>
    </row>
    <row r="128" spans="2:19" ht="14.25" hidden="1">
      <c r="B128" s="238" t="s">
        <v>110</v>
      </c>
      <c r="C128" s="239"/>
      <c r="D128" s="240"/>
      <c r="E128" s="92">
        <v>1.8</v>
      </c>
      <c r="I128" s="34"/>
      <c r="J128" s="45"/>
      <c r="K128" s="50">
        <f>$F$120</f>
        <v>9</v>
      </c>
      <c r="L128" s="52">
        <f>$E$114*K128*(1+(L127-25)*$E$122*0.000001)/(8*$E$104*(1+(L127-25)*$E$124*0.000001))+$F$107/2</f>
        <v>4.2924906593469281</v>
      </c>
      <c r="M128" s="52">
        <f>$E$114*K128*(1+(M127-25)*$E$122*0.000001)/(8*$E$104*(1+(M127-25)*$E$124*0.000001))+$F$107/2</f>
        <v>4.2992938861250147</v>
      </c>
      <c r="N128" s="47"/>
      <c r="O128" s="50">
        <f>$F$120</f>
        <v>9</v>
      </c>
      <c r="P128" s="52">
        <f>$E$114*O128*(1+(P127-25)*$E$122*0.000001)/(8*$E$104*(1+(P127-25)*$E$124*0.000001))+$G$107/2</f>
        <v>4.3592306468563757</v>
      </c>
      <c r="Q128" s="52">
        <f>$E$114*O128*(1+(Q127-25)*$E$122*0.000001)/(8*$E$104*(1+(Q127-25)*$E$124*0.000001))+$G$107/2</f>
        <v>4.3660338736344624</v>
      </c>
      <c r="R128" s="41"/>
      <c r="S128" s="45"/>
    </row>
    <row r="129" spans="2:19" ht="14.25" hidden="1">
      <c r="B129" s="200" t="s">
        <v>146</v>
      </c>
      <c r="C129" s="201"/>
      <c r="D129" s="202"/>
      <c r="E129" s="48">
        <f>C30</f>
        <v>10</v>
      </c>
      <c r="H129" s="88"/>
      <c r="I129" s="34"/>
      <c r="J129" s="45"/>
      <c r="K129" s="50">
        <f>$G$120</f>
        <v>11</v>
      </c>
      <c r="L129" s="52">
        <f>$E$114*K129*(1+(L127-25)*$E$122*0.000001)/(8*$E$104*(1+(L127-25)*$E$124*0.000001))+$F$107/2</f>
        <v>5.0685435569210524</v>
      </c>
      <c r="M129" s="52">
        <f>$E$114*K129*(1+(M127-25)*$E$122*0.000001)/(8*$E$104*(1+(M127-25)*$E$124*0.000001))+$F$107/2</f>
        <v>5.0768586118720478</v>
      </c>
      <c r="N129" s="47"/>
      <c r="O129" s="50">
        <f>$G$120</f>
        <v>11</v>
      </c>
      <c r="P129" s="52">
        <f>$E$114*O129*(1+(P127-25)*$E$122*0.000001)/(8*$E$104*(1+(P127-25)*$E$124*0.000001))+$G$107/2</f>
        <v>5.1352835444304992</v>
      </c>
      <c r="Q129" s="52">
        <f>$E$114*O129*(1+(Q127-25)*$E$122*0.000001)/(8*$E$104*(1+(Q127-25)*$E$124*0.000001))+$G$107/2</f>
        <v>5.1435985993814946</v>
      </c>
      <c r="R129" s="41"/>
      <c r="S129" s="45"/>
    </row>
    <row r="130" spans="2:19" ht="14.25" hidden="1">
      <c r="B130" s="241" t="s">
        <v>106</v>
      </c>
      <c r="C130" s="242"/>
      <c r="D130" s="243"/>
      <c r="E130" s="94">
        <f>E129/(E128/(E90-E111/2000)-1)</f>
        <v>29.940569639349285</v>
      </c>
      <c r="H130" s="88"/>
      <c r="I130" s="34"/>
      <c r="J130" s="45"/>
      <c r="K130" s="47"/>
      <c r="L130" s="47"/>
      <c r="M130" s="38"/>
      <c r="N130" s="47"/>
      <c r="O130" s="38"/>
      <c r="P130" s="38"/>
      <c r="Q130" s="38"/>
      <c r="R130" s="41"/>
      <c r="S130" s="45"/>
    </row>
    <row r="131" spans="2:19" ht="14.25" hidden="1">
      <c r="B131" s="200" t="s">
        <v>90</v>
      </c>
      <c r="C131" s="201"/>
      <c r="D131" s="202"/>
      <c r="E131" s="96">
        <f>F30</f>
        <v>30.1</v>
      </c>
      <c r="F131" s="34"/>
      <c r="G131" s="236" t="s">
        <v>112</v>
      </c>
      <c r="H131" s="50">
        <v>500</v>
      </c>
      <c r="I131" s="34"/>
      <c r="J131" s="45"/>
      <c r="K131" s="50" t="s">
        <v>63</v>
      </c>
      <c r="L131" s="51">
        <f>L127</f>
        <v>0</v>
      </c>
      <c r="M131" s="51">
        <f>M127</f>
        <v>60</v>
      </c>
      <c r="N131" s="55"/>
      <c r="O131" s="51" t="s">
        <v>63</v>
      </c>
      <c r="P131" s="51">
        <f>P127</f>
        <v>0</v>
      </c>
      <c r="Q131" s="51">
        <f>Q127</f>
        <v>60</v>
      </c>
      <c r="R131" s="41"/>
      <c r="S131" s="45"/>
    </row>
    <row r="132" spans="2:19" ht="14.25" hidden="1">
      <c r="B132" s="241" t="s">
        <v>111</v>
      </c>
      <c r="C132" s="242"/>
      <c r="D132" s="243"/>
      <c r="E132" s="94">
        <f>E128*E131/(E129+E131)+E111/2000</f>
        <v>1.3517917809150692</v>
      </c>
      <c r="F132" s="34"/>
      <c r="G132" s="237"/>
      <c r="H132" s="50">
        <v>670</v>
      </c>
      <c r="I132" s="34"/>
      <c r="J132" s="45"/>
      <c r="K132" s="50">
        <f>$F$120</f>
        <v>9</v>
      </c>
      <c r="L132" s="83">
        <f>$E$114*K132*(1+(L131-25)*$E$122*0.000001)/(8*$E$104*(1+(L131-25)*$E$124*0.000001))+$F$109/2</f>
        <v>4.0257397859258051</v>
      </c>
      <c r="M132" s="56">
        <f>$E$114*K132*(1+(M131-25)*$E$122*0.000001)/(8*$E$104*(1+(M131-25)*$E$124*0.000001))+$F$109/2</f>
        <v>4.0325430127038917</v>
      </c>
      <c r="N132" s="47"/>
      <c r="O132" s="50">
        <f>$F$120</f>
        <v>9</v>
      </c>
      <c r="P132" s="52">
        <f>$E$114*O132*(1+(P131-25)*$E$122*0.000001)/(8*$E$104*(1+(P131-25)*$E$124*0.000001))+$G$109/2</f>
        <v>4.0702331109321035</v>
      </c>
      <c r="Q132" s="52">
        <f>$E$114*O132*(1+(Q131-25)*$E$122*0.000001)/(8*$E$104*(1+(Q131-25)*$E$124*0.000001))+$G$109/2</f>
        <v>4.0770363377101901</v>
      </c>
      <c r="R132" s="41"/>
      <c r="S132" s="45"/>
    </row>
    <row r="133" spans="2:19" ht="14.25" hidden="1">
      <c r="F133" s="34"/>
      <c r="G133" s="34"/>
      <c r="H133" s="171"/>
      <c r="I133" s="93"/>
      <c r="J133" s="45"/>
      <c r="K133" s="50">
        <f>$G$120</f>
        <v>11</v>
      </c>
      <c r="L133" s="52">
        <f>$E$114*K133*(1+(L131-25)*$E$122*0.000001)/(8*$E$104*(1+(L131-25)*$E$124*0.000001))+$F$109/2</f>
        <v>4.8017926834999294</v>
      </c>
      <c r="M133" s="52">
        <f>$E$114*K133*(1+(M131-25)*$E$122*0.000001)/(8*$E$104*(1+(M131-25)*$E$124*0.000001))+$F$109/2</f>
        <v>4.8101077384509248</v>
      </c>
      <c r="N133" s="47"/>
      <c r="O133" s="50">
        <f>$G$120</f>
        <v>11</v>
      </c>
      <c r="P133" s="52">
        <f>$E$114*O133*(1+(P131-25)*$E$122*0.000001)/(8*$E$104*(1+(P131-25)*$E$124*0.000001))+$G$109/2</f>
        <v>4.8462860085062269</v>
      </c>
      <c r="Q133" s="52">
        <f>$E$114*O133*(1+(Q131-25)*$E$122*0.000001)/(8*$E$104*(1+(Q131-25)*$E$124*0.000001))+$G$109/2</f>
        <v>4.8546010634572223</v>
      </c>
      <c r="R133" s="41"/>
      <c r="S133" s="45"/>
    </row>
    <row r="134" spans="2:19" ht="15" hidden="1" thickBot="1">
      <c r="B134" s="34" t="s">
        <v>147</v>
      </c>
      <c r="C134" s="34"/>
      <c r="D134" s="34"/>
      <c r="E134" s="34"/>
      <c r="F134" s="34"/>
      <c r="G134" s="34"/>
      <c r="H134" s="38"/>
      <c r="I134" s="93"/>
      <c r="J134" s="69"/>
      <c r="K134" s="70"/>
      <c r="L134" s="95"/>
      <c r="M134" s="95"/>
      <c r="N134" s="95"/>
      <c r="O134" s="70"/>
      <c r="P134" s="70"/>
      <c r="Q134" s="70"/>
      <c r="R134" s="71"/>
      <c r="S134" s="45"/>
    </row>
    <row r="135" spans="2:19" ht="15" hidden="1" thickTop="1">
      <c r="B135" s="227" t="s">
        <v>113</v>
      </c>
      <c r="C135" s="228"/>
      <c r="D135" s="229"/>
      <c r="E135" s="86">
        <f>E92/3</f>
        <v>166.66666666666666</v>
      </c>
      <c r="F135" s="34"/>
      <c r="G135" s="50" t="s">
        <v>148</v>
      </c>
      <c r="H135" s="50" t="s">
        <v>164</v>
      </c>
      <c r="I135" s="93"/>
      <c r="J135" s="34"/>
      <c r="K135" s="34"/>
      <c r="L135" s="34"/>
      <c r="M135" s="34"/>
      <c r="N135" s="34"/>
      <c r="O135" s="34"/>
      <c r="P135" s="34"/>
      <c r="Q135" s="34"/>
      <c r="R135" s="43"/>
      <c r="S135" s="47"/>
    </row>
    <row r="136" spans="2:19" ht="14.25" hidden="1" customHeight="1">
      <c r="B136" s="294" t="s">
        <v>107</v>
      </c>
      <c r="C136" s="294"/>
      <c r="D136" s="294"/>
      <c r="E136" s="50">
        <f>IF($E$92=500,23,14.6)</f>
        <v>23</v>
      </c>
      <c r="F136" s="34"/>
      <c r="G136" s="50">
        <v>500</v>
      </c>
      <c r="H136" s="50">
        <v>23</v>
      </c>
      <c r="I136" s="93"/>
      <c r="J136" s="47"/>
      <c r="M136" s="34"/>
      <c r="N136" s="34"/>
      <c r="O136" s="34"/>
      <c r="P136" s="34"/>
      <c r="Q136" s="34"/>
      <c r="R136" s="47"/>
      <c r="S136" s="38"/>
    </row>
    <row r="137" spans="2:19" ht="14.25" hidden="1">
      <c r="B137" s="227" t="s">
        <v>149</v>
      </c>
      <c r="C137" s="228"/>
      <c r="D137" s="229"/>
      <c r="E137" s="86">
        <f>3*E136/(2*PI()*0.25*E94*E92*0.001)</f>
        <v>58.569019057817485</v>
      </c>
      <c r="F137" s="34"/>
      <c r="G137" s="50">
        <v>670</v>
      </c>
      <c r="H137" s="50">
        <v>14.6</v>
      </c>
      <c r="I137" s="93"/>
      <c r="O137" s="34"/>
      <c r="P137" s="34"/>
      <c r="Q137" s="34"/>
      <c r="R137" s="34"/>
      <c r="S137" s="34"/>
    </row>
    <row r="138" spans="2:19" ht="14.25" hidden="1">
      <c r="B138" s="329" t="s">
        <v>205</v>
      </c>
      <c r="C138" s="329"/>
      <c r="D138" s="329"/>
      <c r="E138" s="86">
        <f>E136*1000/(2*PI()*0.25*E38*E94)</f>
        <v>86.538148726089673</v>
      </c>
      <c r="F138" s="34"/>
      <c r="I138" s="93"/>
      <c r="J138" s="34"/>
      <c r="K138" s="34"/>
      <c r="L138" s="34"/>
      <c r="M138" s="34"/>
      <c r="N138" s="34"/>
      <c r="O138" s="34"/>
      <c r="P138" s="34"/>
      <c r="Q138" s="34"/>
      <c r="R138" s="34"/>
      <c r="S138" s="34"/>
    </row>
    <row r="139" spans="2:19" ht="14.25" hidden="1">
      <c r="B139" s="34"/>
      <c r="C139" s="34"/>
      <c r="D139" s="34"/>
      <c r="E139" s="34"/>
      <c r="F139" s="34"/>
      <c r="I139" s="93"/>
      <c r="J139" s="34"/>
      <c r="K139" s="34"/>
      <c r="L139" s="34"/>
      <c r="M139" s="34"/>
      <c r="N139" s="34"/>
      <c r="O139" s="34"/>
      <c r="P139" s="34"/>
      <c r="Q139" s="34"/>
      <c r="R139" s="34"/>
      <c r="S139" s="34"/>
    </row>
    <row r="140" spans="2:19" ht="14.25" hidden="1">
      <c r="B140" s="34"/>
      <c r="C140" s="34"/>
      <c r="D140" s="34"/>
      <c r="E140" s="34"/>
      <c r="F140" s="34"/>
      <c r="I140" s="93"/>
      <c r="J140" s="34"/>
      <c r="K140" s="34"/>
      <c r="L140" s="34"/>
      <c r="M140" s="34"/>
      <c r="N140" s="34"/>
      <c r="O140" s="34"/>
      <c r="P140" s="34"/>
      <c r="Q140" s="34"/>
      <c r="R140" s="34"/>
      <c r="S140" s="34"/>
    </row>
    <row r="141" spans="2:19" ht="14.25" hidden="1">
      <c r="B141" s="158" t="s">
        <v>150</v>
      </c>
      <c r="C141" s="158"/>
      <c r="D141" s="158"/>
      <c r="F141" s="34"/>
      <c r="G141" s="34"/>
      <c r="J141" s="34"/>
      <c r="K141" s="34"/>
      <c r="L141" s="34"/>
      <c r="M141" s="34"/>
      <c r="N141" s="34"/>
      <c r="O141" s="34"/>
      <c r="P141" s="34"/>
      <c r="Q141" s="34"/>
      <c r="R141" s="34"/>
      <c r="S141" s="34"/>
    </row>
    <row r="142" spans="2:19" ht="14.25" hidden="1">
      <c r="B142" s="226" t="s">
        <v>5</v>
      </c>
      <c r="C142" s="226"/>
      <c r="D142" s="226"/>
      <c r="E142" s="101">
        <f>C158</f>
        <v>7</v>
      </c>
      <c r="F142" s="159">
        <f t="shared" ref="F142:G145" si="4">E142</f>
        <v>7</v>
      </c>
      <c r="G142" s="159">
        <f t="shared" si="4"/>
        <v>7</v>
      </c>
      <c r="H142" s="34"/>
      <c r="I142" s="34"/>
      <c r="J142" s="34"/>
      <c r="K142" s="34"/>
      <c r="L142" s="34"/>
      <c r="M142" s="34"/>
      <c r="N142" s="34"/>
      <c r="O142" s="34"/>
      <c r="P142" s="34"/>
      <c r="Q142" s="34"/>
      <c r="R142" s="34"/>
      <c r="S142" s="34"/>
    </row>
    <row r="143" spans="2:19" ht="14.25" hidden="1">
      <c r="B143" s="226" t="s">
        <v>1</v>
      </c>
      <c r="C143" s="226"/>
      <c r="D143" s="226"/>
      <c r="E143" s="101">
        <f>D158</f>
        <v>0</v>
      </c>
      <c r="F143" s="159">
        <f t="shared" si="4"/>
        <v>0</v>
      </c>
      <c r="G143" s="159">
        <f t="shared" si="4"/>
        <v>0</v>
      </c>
      <c r="H143" s="34"/>
      <c r="I143" s="34"/>
      <c r="J143" s="34"/>
      <c r="K143" s="34"/>
      <c r="L143" s="34"/>
      <c r="M143" s="34"/>
      <c r="N143" s="34"/>
      <c r="O143" s="34"/>
      <c r="P143" s="34"/>
      <c r="Q143" s="34"/>
      <c r="R143" s="34"/>
      <c r="S143" s="34"/>
    </row>
    <row r="144" spans="2:19" ht="14.25" hidden="1">
      <c r="B144" s="226" t="s">
        <v>6</v>
      </c>
      <c r="C144" s="226"/>
      <c r="D144" s="226"/>
      <c r="E144" s="57">
        <f>E158</f>
        <v>5</v>
      </c>
      <c r="F144" s="159">
        <f t="shared" si="4"/>
        <v>5</v>
      </c>
      <c r="G144" s="159">
        <f t="shared" si="4"/>
        <v>5</v>
      </c>
      <c r="H144" s="34"/>
      <c r="I144" s="34"/>
      <c r="J144" s="34"/>
      <c r="K144" s="34"/>
      <c r="L144" s="34"/>
      <c r="M144" s="34"/>
      <c r="N144" s="34"/>
      <c r="O144" s="34"/>
      <c r="P144" s="34"/>
      <c r="Q144" s="34"/>
      <c r="R144" s="34"/>
      <c r="S144" s="34"/>
    </row>
    <row r="145" spans="2:20" ht="14.25" hidden="1">
      <c r="B145" s="226" t="s">
        <v>7</v>
      </c>
      <c r="C145" s="226"/>
      <c r="D145" s="226"/>
      <c r="E145" s="101">
        <f>G158</f>
        <v>4</v>
      </c>
      <c r="F145" s="159">
        <f t="shared" si="4"/>
        <v>4</v>
      </c>
      <c r="G145" s="159">
        <f t="shared" si="4"/>
        <v>4</v>
      </c>
      <c r="H145" s="34"/>
      <c r="I145" s="34"/>
      <c r="J145" s="34"/>
      <c r="K145" s="34"/>
      <c r="L145" s="34"/>
      <c r="M145" s="34"/>
      <c r="N145" s="34"/>
      <c r="O145" s="34"/>
      <c r="P145" s="34"/>
      <c r="Q145" s="34"/>
      <c r="R145" s="34"/>
      <c r="S145" s="34"/>
    </row>
    <row r="146" spans="2:20" ht="14.25" hidden="1">
      <c r="B146" s="226" t="s">
        <v>2</v>
      </c>
      <c r="C146" s="226"/>
      <c r="D146" s="226"/>
      <c r="E146" s="50">
        <f>(E142-E143)^2/(E144*2)</f>
        <v>4.9000000000000004</v>
      </c>
      <c r="F146" s="50">
        <f>(F142-F143)^2/(F144*2)</f>
        <v>4.9000000000000004</v>
      </c>
      <c r="G146" s="50">
        <f>(G142-G143)^2/(G144*2)</f>
        <v>4.9000000000000004</v>
      </c>
      <c r="H146" s="34"/>
      <c r="I146" s="34"/>
      <c r="J146" s="34"/>
      <c r="K146" s="34"/>
      <c r="L146" s="34"/>
      <c r="M146" s="34"/>
      <c r="N146" s="34"/>
      <c r="O146" s="34"/>
      <c r="P146" s="34"/>
      <c r="Q146" s="34"/>
      <c r="R146" s="34"/>
      <c r="S146" s="34"/>
    </row>
    <row r="147" spans="2:20" ht="14.25" hidden="1">
      <c r="B147" s="226" t="s">
        <v>91</v>
      </c>
      <c r="C147" s="226"/>
      <c r="D147" s="226"/>
      <c r="E147" s="57">
        <f>(E142-E143+E107/2)^2*E94*(1+E95/100)/(E90*2)</f>
        <v>40.945535045870542</v>
      </c>
      <c r="F147" s="57">
        <f>(F142-F143+F107/2)^2*F94*(1+F95/100)/(F90*2)</f>
        <v>40.562627293283711</v>
      </c>
      <c r="G147" s="57">
        <f>(G142-G143+G107/2)^2*G94*(1+G95/100)/(G90*2)</f>
        <v>41.259715127168093</v>
      </c>
      <c r="H147" s="34"/>
      <c r="I147" s="34"/>
      <c r="J147" s="34"/>
      <c r="K147" s="34"/>
      <c r="L147" s="34"/>
      <c r="M147" s="34"/>
      <c r="N147" s="34"/>
      <c r="O147" s="34"/>
      <c r="P147" s="34"/>
      <c r="Q147" s="34"/>
      <c r="R147" s="34"/>
      <c r="S147" s="34"/>
    </row>
    <row r="148" spans="2:20" ht="14.25" hidden="1">
      <c r="B148" s="216" t="s">
        <v>104</v>
      </c>
      <c r="C148" s="216"/>
      <c r="D148" s="216"/>
      <c r="E148" s="57">
        <f>(E142-E143)*(1000/E92)*(E90/E89)</f>
        <v>3.7800000000000002</v>
      </c>
      <c r="F148" s="57">
        <f>(F142-F143)*(1000/F92)*(F90/F89)</f>
        <v>4.2000000000000011</v>
      </c>
      <c r="G148" s="57">
        <f>(G142-G143)*(1000/G92)*(G90/G89)</f>
        <v>3.4363636363636365</v>
      </c>
      <c r="H148" s="34"/>
      <c r="I148" s="34"/>
      <c r="J148" s="34"/>
      <c r="K148" s="34"/>
      <c r="L148" s="34"/>
      <c r="M148" s="34"/>
      <c r="N148" s="34"/>
      <c r="O148" s="34"/>
      <c r="P148" s="34"/>
      <c r="Q148" s="34"/>
      <c r="R148" s="34"/>
      <c r="S148" s="34"/>
    </row>
    <row r="149" spans="2:20" ht="14.25" hidden="1">
      <c r="B149" s="226" t="s">
        <v>92</v>
      </c>
      <c r="C149" s="226"/>
      <c r="D149" s="226"/>
      <c r="E149" s="57">
        <f>(E147+E148-E146)*100/(E145*E90)</f>
        <v>737.50990825686188</v>
      </c>
      <c r="F149" s="57">
        <f>(F147+F148-F146)*100/(F145*F90)</f>
        <v>738.19680172747621</v>
      </c>
      <c r="G149" s="57">
        <f>(G147+G148-G146)*100/(G145*G90)</f>
        <v>736.96442154688384</v>
      </c>
      <c r="H149" s="34"/>
      <c r="I149" s="34"/>
      <c r="J149" s="34"/>
      <c r="K149" s="34"/>
      <c r="L149" s="34"/>
      <c r="M149" s="34"/>
      <c r="N149" s="34"/>
      <c r="O149" s="34"/>
      <c r="P149" s="34"/>
      <c r="Q149" s="34"/>
      <c r="R149" s="34"/>
      <c r="S149" s="34"/>
    </row>
    <row r="150" spans="2:20" ht="14.25" hidden="1">
      <c r="B150" s="226"/>
      <c r="C150" s="226"/>
      <c r="D150" s="226"/>
      <c r="E150" s="57">
        <f>IF(E149&lt;0,10, E149)</f>
        <v>737.50990825686188</v>
      </c>
      <c r="F150" s="57">
        <f>IF(F149&lt;0,10, F149)</f>
        <v>738.19680172747621</v>
      </c>
      <c r="G150" s="57">
        <f>IF(G149&lt;0,10, G149)</f>
        <v>736.96442154688384</v>
      </c>
      <c r="H150" s="34"/>
      <c r="I150" s="34"/>
      <c r="J150" s="34"/>
      <c r="K150" s="34"/>
      <c r="L150" s="34"/>
      <c r="M150" s="34"/>
      <c r="N150" s="34"/>
      <c r="O150" s="34"/>
      <c r="P150" s="34"/>
      <c r="Q150" s="34"/>
      <c r="R150" s="34"/>
      <c r="S150" s="34"/>
    </row>
    <row r="151" spans="2:20" ht="14.25" hidden="1">
      <c r="B151" s="216" t="s">
        <v>151</v>
      </c>
      <c r="C151" s="216"/>
      <c r="D151" s="216"/>
      <c r="E151" s="110">
        <f>MAX(E150:G150)</f>
        <v>738.19680172747621</v>
      </c>
      <c r="F151" s="160"/>
      <c r="G151" s="160"/>
      <c r="H151" s="34"/>
      <c r="I151" s="34"/>
      <c r="J151" s="34"/>
      <c r="K151" s="34"/>
      <c r="L151" s="34"/>
      <c r="M151" s="34"/>
      <c r="N151" s="34"/>
      <c r="O151" s="34"/>
      <c r="P151" s="34"/>
      <c r="Q151" s="34"/>
      <c r="R151" s="34"/>
      <c r="S151" s="34"/>
    </row>
    <row r="152" spans="2:20" ht="14.25" hidden="1">
      <c r="B152" s="226" t="s">
        <v>93</v>
      </c>
      <c r="C152" s="226"/>
      <c r="D152" s="226"/>
      <c r="E152" s="110">
        <v>330</v>
      </c>
      <c r="F152" s="160"/>
      <c r="G152" s="160"/>
      <c r="H152" s="34"/>
      <c r="I152" s="34"/>
      <c r="J152" s="34"/>
      <c r="K152" s="34"/>
      <c r="L152" s="34"/>
      <c r="M152" s="34"/>
      <c r="N152" s="34"/>
      <c r="O152" s="34"/>
      <c r="P152" s="34"/>
      <c r="Q152" s="34"/>
      <c r="R152" s="34"/>
      <c r="S152" s="34"/>
    </row>
    <row r="153" spans="2:20" ht="14.25" hidden="1">
      <c r="B153" s="226" t="s">
        <v>3</v>
      </c>
      <c r="C153" s="226"/>
      <c r="D153" s="226"/>
      <c r="E153" s="50">
        <v>20</v>
      </c>
      <c r="F153" s="34"/>
      <c r="G153" s="34"/>
      <c r="H153" s="34"/>
      <c r="I153" s="34"/>
      <c r="J153" s="34"/>
      <c r="K153" s="34"/>
      <c r="L153" s="34"/>
      <c r="M153" s="34"/>
      <c r="N153" s="34"/>
      <c r="O153" s="34"/>
      <c r="P153" s="34"/>
      <c r="Q153" s="34"/>
      <c r="R153" s="34"/>
      <c r="S153" s="34"/>
    </row>
    <row r="154" spans="2:20" ht="14.25" hidden="1">
      <c r="B154" s="34"/>
      <c r="C154" s="34"/>
      <c r="D154" s="34"/>
      <c r="E154" s="34"/>
      <c r="F154" s="34"/>
      <c r="G154" s="34"/>
      <c r="L154" s="34"/>
      <c r="M154" s="34"/>
      <c r="N154" s="34"/>
      <c r="O154" s="34"/>
      <c r="P154" s="34"/>
      <c r="Q154" s="34"/>
      <c r="R154" s="34"/>
      <c r="S154" s="34"/>
    </row>
    <row r="155" spans="2:20" ht="14.25" hidden="1">
      <c r="B155" s="185"/>
      <c r="C155" s="185"/>
      <c r="D155" s="185"/>
      <c r="E155" s="185"/>
      <c r="F155" s="34"/>
      <c r="G155" s="34"/>
      <c r="L155" s="34"/>
      <c r="M155" s="34"/>
      <c r="N155" s="34"/>
      <c r="O155" s="93"/>
      <c r="P155" s="93"/>
      <c r="Q155" s="93"/>
      <c r="R155" s="34"/>
      <c r="S155" s="34"/>
    </row>
    <row r="156" spans="2:20" ht="14.25" hidden="1">
      <c r="B156" s="5" t="s">
        <v>188</v>
      </c>
      <c r="C156" s="125"/>
      <c r="D156" s="125"/>
      <c r="E156" s="34"/>
      <c r="F156" s="34"/>
      <c r="G156" s="93"/>
      <c r="H156" s="34"/>
      <c r="I156" s="34"/>
      <c r="J156" s="34"/>
      <c r="K156" s="34"/>
      <c r="L156" s="34"/>
      <c r="M156" s="34"/>
      <c r="N156" s="34"/>
      <c r="O156" s="93"/>
      <c r="P156" s="93"/>
      <c r="Q156" s="93"/>
      <c r="R156" s="34"/>
      <c r="S156" s="34"/>
      <c r="T156" s="34"/>
    </row>
    <row r="157" spans="2:20" ht="14.25" hidden="1">
      <c r="B157" s="136"/>
      <c r="C157" s="179" t="s">
        <v>189</v>
      </c>
      <c r="D157" s="179" t="s">
        <v>190</v>
      </c>
      <c r="E157" s="291" t="s">
        <v>191</v>
      </c>
      <c r="F157" s="291"/>
      <c r="G157" s="291" t="s">
        <v>192</v>
      </c>
      <c r="H157" s="291"/>
      <c r="I157" s="204" t="s">
        <v>99</v>
      </c>
      <c r="J157" s="206"/>
      <c r="K157" s="93"/>
      <c r="L157" s="93"/>
      <c r="M157" s="93"/>
      <c r="N157" s="93"/>
      <c r="O157" s="93"/>
      <c r="P157" s="93"/>
      <c r="Q157" s="93"/>
      <c r="R157" s="34"/>
      <c r="S157" s="34"/>
      <c r="T157" s="34"/>
    </row>
    <row r="158" spans="2:20" ht="14.25" hidden="1">
      <c r="B158" s="121" t="s">
        <v>34</v>
      </c>
      <c r="C158" s="186">
        <v>7</v>
      </c>
      <c r="D158" s="186">
        <v>0</v>
      </c>
      <c r="E158" s="321">
        <v>5</v>
      </c>
      <c r="F158" s="322"/>
      <c r="G158" s="324">
        <v>4</v>
      </c>
      <c r="H158" s="325"/>
      <c r="I158" s="326" t="str">
        <f>"More than "&amp;TEXT(E151,"#")</f>
        <v>More than 738</v>
      </c>
      <c r="J158" s="327"/>
      <c r="K158" s="93"/>
      <c r="L158" s="93"/>
      <c r="M158" s="93"/>
      <c r="N158" s="93"/>
      <c r="O158" s="93"/>
      <c r="P158" s="93"/>
      <c r="Q158" s="93"/>
      <c r="R158" s="34"/>
      <c r="S158" s="34"/>
      <c r="T158" s="34"/>
    </row>
    <row r="159" spans="2:20" ht="14.25" hidden="1">
      <c r="B159" s="121" t="s">
        <v>22</v>
      </c>
      <c r="C159" s="176" t="s">
        <v>35</v>
      </c>
      <c r="D159" s="176" t="s">
        <v>35</v>
      </c>
      <c r="E159" s="217" t="s">
        <v>193</v>
      </c>
      <c r="F159" s="218"/>
      <c r="G159" s="217" t="s">
        <v>194</v>
      </c>
      <c r="H159" s="218"/>
      <c r="I159" s="217" t="s">
        <v>39</v>
      </c>
      <c r="J159" s="218"/>
      <c r="K159" s="93"/>
      <c r="L159" s="93"/>
      <c r="M159" s="93"/>
      <c r="N159" s="93"/>
      <c r="O159" s="93"/>
      <c r="P159" s="93"/>
      <c r="Q159" s="93"/>
      <c r="R159" s="34"/>
      <c r="S159" s="34"/>
      <c r="T159" s="34"/>
    </row>
    <row r="160" spans="2:20" hidden="1">
      <c r="K160" s="32"/>
      <c r="L160" s="32"/>
      <c r="M160" s="32"/>
      <c r="N160" s="32"/>
      <c r="O160" s="32"/>
      <c r="P160" s="32"/>
      <c r="Q160" s="32"/>
    </row>
    <row r="161" spans="2:23" ht="14.25" hidden="1">
      <c r="B161" s="226" t="s">
        <v>196</v>
      </c>
      <c r="C161" s="226"/>
      <c r="D161" s="226"/>
      <c r="E161" s="110">
        <f>E152*(1-E153/100)</f>
        <v>264</v>
      </c>
      <c r="G161" s="32"/>
      <c r="J161" s="32"/>
      <c r="K161" s="32"/>
      <c r="L161" s="32"/>
      <c r="M161" s="32"/>
      <c r="N161" s="32"/>
      <c r="O161" s="32"/>
      <c r="P161" s="32"/>
      <c r="Q161" s="32"/>
    </row>
    <row r="162" spans="2:23" ht="14.25" hidden="1">
      <c r="B162" s="226" t="s">
        <v>195</v>
      </c>
      <c r="C162" s="226"/>
      <c r="D162" s="226"/>
      <c r="E162" s="57">
        <f>1000*(E147+E148-E146)/$E$161</f>
        <v>150.8542994161763</v>
      </c>
      <c r="F162" s="57">
        <f>1000*(F147+F148-F146)/$E$161</f>
        <v>150.99480035334742</v>
      </c>
      <c r="G162" s="57">
        <f>1000*(G147+G148-G146)/$E$161</f>
        <v>150.74272258913535</v>
      </c>
      <c r="K162" s="32"/>
      <c r="L162" s="32"/>
      <c r="M162" s="32"/>
      <c r="N162" s="32"/>
      <c r="O162" s="32"/>
      <c r="P162" s="32"/>
      <c r="Q162" s="32"/>
      <c r="R162" s="32"/>
      <c r="S162" s="32"/>
      <c r="T162" s="32"/>
      <c r="W162" s="32"/>
    </row>
    <row r="163" spans="2:23" hidden="1">
      <c r="K163" s="32"/>
      <c r="L163" s="32"/>
      <c r="M163" s="32"/>
      <c r="N163" s="32"/>
      <c r="O163" s="32"/>
      <c r="P163" s="32"/>
      <c r="Q163" s="32"/>
      <c r="R163" s="32"/>
      <c r="S163" s="32"/>
      <c r="T163" s="32"/>
      <c r="U163" s="32"/>
      <c r="V163" s="32"/>
      <c r="W163" s="32"/>
    </row>
    <row r="164" spans="2:23">
      <c r="G164" s="32"/>
      <c r="J164" s="32"/>
      <c r="K164" s="32"/>
      <c r="L164" s="32"/>
      <c r="M164" s="32"/>
      <c r="N164" s="32"/>
      <c r="O164" s="32"/>
      <c r="P164" s="32"/>
      <c r="Q164" s="32"/>
      <c r="R164" s="32"/>
      <c r="S164" s="32"/>
      <c r="T164" s="32"/>
      <c r="U164" s="32"/>
      <c r="V164" s="32"/>
      <c r="W164" s="32"/>
    </row>
    <row r="165" spans="2:23">
      <c r="G165" s="32"/>
      <c r="J165" s="32"/>
      <c r="K165" s="32"/>
      <c r="L165" s="32"/>
      <c r="M165" s="32"/>
      <c r="N165" s="32"/>
      <c r="O165" s="32"/>
      <c r="P165" s="32"/>
      <c r="Q165" s="32"/>
      <c r="R165" s="32"/>
      <c r="S165" s="32"/>
      <c r="T165" s="32"/>
      <c r="U165" s="32"/>
      <c r="V165" s="32"/>
      <c r="W165" s="32"/>
    </row>
    <row r="166" spans="2:23">
      <c r="G166" s="32"/>
      <c r="J166" s="32"/>
      <c r="K166" s="32"/>
      <c r="L166" s="32"/>
      <c r="M166" s="32"/>
      <c r="N166" s="32"/>
      <c r="O166" s="32"/>
      <c r="P166" s="32"/>
      <c r="Q166" s="32"/>
      <c r="R166" s="32"/>
      <c r="S166" s="32"/>
      <c r="T166" s="32"/>
      <c r="U166" s="32"/>
      <c r="V166" s="32"/>
      <c r="W166" s="32"/>
    </row>
    <row r="167" spans="2:23">
      <c r="G167" s="32"/>
      <c r="J167" s="32"/>
      <c r="K167" s="32"/>
      <c r="L167" s="32"/>
      <c r="M167" s="32"/>
      <c r="N167" s="32"/>
      <c r="O167" s="32"/>
      <c r="P167" s="32"/>
      <c r="Q167" s="32"/>
      <c r="R167" s="32"/>
      <c r="S167" s="32"/>
      <c r="T167" s="32"/>
      <c r="U167" s="32"/>
      <c r="V167" s="32"/>
      <c r="W167" s="32"/>
    </row>
    <row r="168" spans="2:23">
      <c r="G168" s="32"/>
      <c r="J168" s="32"/>
      <c r="K168" s="32"/>
      <c r="L168" s="32"/>
      <c r="M168" s="32"/>
      <c r="N168" s="32"/>
      <c r="O168" s="32"/>
      <c r="P168" s="32"/>
      <c r="Q168" s="32"/>
      <c r="R168" s="32"/>
      <c r="S168" s="32"/>
      <c r="T168" s="32"/>
      <c r="U168" s="32"/>
      <c r="V168" s="32"/>
      <c r="W168" s="32"/>
    </row>
    <row r="211" spans="5:7" ht="14.25">
      <c r="E211" s="60" t="s">
        <v>94</v>
      </c>
      <c r="F211" s="60" t="s">
        <v>95</v>
      </c>
      <c r="G211" s="60" t="s">
        <v>95</v>
      </c>
    </row>
    <row r="212" spans="5:7" ht="14.25">
      <c r="E212" s="62">
        <v>3</v>
      </c>
      <c r="F212" s="63">
        <f t="shared" ref="F212:F243" si="5">(E212-$E$90)*$E$90/(E212*$E$94*$E$92*0.001*$E$91)</f>
        <v>0.2475</v>
      </c>
      <c r="G212" s="63">
        <f t="shared" ref="G212:G243" si="6">IF(AND(E212&gt;=$F$89,E212&lt;=$G$89),F212,-1)</f>
        <v>-1</v>
      </c>
    </row>
    <row r="213" spans="5:7" ht="14.25">
      <c r="E213" s="62">
        <v>3.5</v>
      </c>
      <c r="F213" s="63">
        <f t="shared" si="5"/>
        <v>0.27642857142857141</v>
      </c>
      <c r="G213" s="63">
        <f t="shared" si="6"/>
        <v>-1</v>
      </c>
    </row>
    <row r="214" spans="5:7" ht="14.25">
      <c r="E214" s="62">
        <v>4</v>
      </c>
      <c r="F214" s="63">
        <f t="shared" si="5"/>
        <v>0.29812500000000003</v>
      </c>
      <c r="G214" s="63">
        <f t="shared" si="6"/>
        <v>-1</v>
      </c>
    </row>
    <row r="215" spans="5:7" ht="14.25">
      <c r="E215" s="62">
        <v>4.5</v>
      </c>
      <c r="F215" s="63">
        <f t="shared" si="5"/>
        <v>0.315</v>
      </c>
      <c r="G215" s="63">
        <f t="shared" si="6"/>
        <v>0.315</v>
      </c>
    </row>
    <row r="216" spans="5:7" ht="14.25">
      <c r="E216" s="62">
        <v>5</v>
      </c>
      <c r="F216" s="63">
        <f t="shared" si="5"/>
        <v>0.32850000000000001</v>
      </c>
      <c r="G216" s="63">
        <f t="shared" si="6"/>
        <v>0.32850000000000001</v>
      </c>
    </row>
    <row r="217" spans="5:7" ht="14.25">
      <c r="E217" s="62">
        <v>5.5</v>
      </c>
      <c r="F217" s="63">
        <f t="shared" si="5"/>
        <v>0.33954545454545459</v>
      </c>
      <c r="G217" s="63">
        <f t="shared" si="6"/>
        <v>0.33954545454545459</v>
      </c>
    </row>
    <row r="218" spans="5:7" ht="14.25">
      <c r="E218" s="62">
        <v>6</v>
      </c>
      <c r="F218" s="63">
        <f t="shared" si="5"/>
        <v>0.34875000000000006</v>
      </c>
      <c r="G218" s="63">
        <f t="shared" si="6"/>
        <v>-1</v>
      </c>
    </row>
    <row r="219" spans="5:7" ht="14.25">
      <c r="E219" s="62">
        <v>6.5</v>
      </c>
      <c r="F219" s="63">
        <f t="shared" si="5"/>
        <v>0.35653846153846158</v>
      </c>
      <c r="G219" s="63">
        <f t="shared" si="6"/>
        <v>-1</v>
      </c>
    </row>
    <row r="220" spans="5:7" ht="14.25">
      <c r="E220" s="62">
        <v>7</v>
      </c>
      <c r="F220" s="63">
        <f t="shared" si="5"/>
        <v>0.36321428571428577</v>
      </c>
      <c r="G220" s="63">
        <f t="shared" si="6"/>
        <v>-1</v>
      </c>
    </row>
    <row r="221" spans="5:7" ht="14.25">
      <c r="E221" s="62">
        <v>7.5</v>
      </c>
      <c r="F221" s="63">
        <f t="shared" si="5"/>
        <v>0.36899999999999999</v>
      </c>
      <c r="G221" s="63">
        <f t="shared" si="6"/>
        <v>-1</v>
      </c>
    </row>
    <row r="222" spans="5:7" ht="14.25">
      <c r="E222" s="62">
        <v>8</v>
      </c>
      <c r="F222" s="63">
        <f t="shared" si="5"/>
        <v>0.37406250000000002</v>
      </c>
      <c r="G222" s="63">
        <f t="shared" si="6"/>
        <v>-1</v>
      </c>
    </row>
    <row r="223" spans="5:7" ht="14.25">
      <c r="E223" s="62">
        <v>8.5</v>
      </c>
      <c r="F223" s="63">
        <f t="shared" si="5"/>
        <v>0.37852941176470595</v>
      </c>
      <c r="G223" s="63">
        <f t="shared" si="6"/>
        <v>-1</v>
      </c>
    </row>
    <row r="224" spans="5:7" ht="14.25">
      <c r="E224" s="62">
        <v>9</v>
      </c>
      <c r="F224" s="63">
        <f t="shared" si="5"/>
        <v>0.38250000000000001</v>
      </c>
      <c r="G224" s="63">
        <f t="shared" si="6"/>
        <v>-1</v>
      </c>
    </row>
    <row r="225" spans="5:7" ht="14.25">
      <c r="E225" s="62">
        <v>9.5</v>
      </c>
      <c r="F225" s="63">
        <f t="shared" si="5"/>
        <v>0.38605263157894742</v>
      </c>
      <c r="G225" s="63">
        <f t="shared" si="6"/>
        <v>-1</v>
      </c>
    </row>
    <row r="226" spans="5:7" ht="14.25">
      <c r="E226" s="62">
        <v>10</v>
      </c>
      <c r="F226" s="63">
        <f t="shared" si="5"/>
        <v>0.38925000000000004</v>
      </c>
      <c r="G226" s="63">
        <f t="shared" si="6"/>
        <v>-1</v>
      </c>
    </row>
    <row r="227" spans="5:7" ht="14.25">
      <c r="E227" s="62">
        <v>10.5</v>
      </c>
      <c r="F227" s="63">
        <f t="shared" si="5"/>
        <v>0.39214285714285718</v>
      </c>
      <c r="G227" s="63">
        <f t="shared" si="6"/>
        <v>-1</v>
      </c>
    </row>
    <row r="228" spans="5:7" ht="14.25">
      <c r="E228" s="62">
        <v>11</v>
      </c>
      <c r="F228" s="63">
        <f t="shared" si="5"/>
        <v>0.39477272727272733</v>
      </c>
      <c r="G228" s="63">
        <f t="shared" si="6"/>
        <v>-1</v>
      </c>
    </row>
    <row r="229" spans="5:7" ht="14.25">
      <c r="E229" s="62">
        <v>11.5</v>
      </c>
      <c r="F229" s="63">
        <f t="shared" si="5"/>
        <v>0.39717391304347827</v>
      </c>
      <c r="G229" s="63">
        <f t="shared" si="6"/>
        <v>-1</v>
      </c>
    </row>
    <row r="230" spans="5:7" ht="14.25">
      <c r="E230" s="62">
        <v>12</v>
      </c>
      <c r="F230" s="63">
        <f t="shared" si="5"/>
        <v>0.39937500000000004</v>
      </c>
      <c r="G230" s="63">
        <f t="shared" si="6"/>
        <v>-1</v>
      </c>
    </row>
    <row r="231" spans="5:7" ht="14.25">
      <c r="E231" s="62">
        <v>12.5</v>
      </c>
      <c r="F231" s="63">
        <f t="shared" si="5"/>
        <v>0.40140000000000003</v>
      </c>
      <c r="G231" s="63">
        <f t="shared" si="6"/>
        <v>-1</v>
      </c>
    </row>
    <row r="232" spans="5:7" ht="14.25">
      <c r="E232" s="62">
        <v>13</v>
      </c>
      <c r="F232" s="63">
        <f t="shared" si="5"/>
        <v>0.40326923076923077</v>
      </c>
      <c r="G232" s="63">
        <f t="shared" si="6"/>
        <v>-1</v>
      </c>
    </row>
    <row r="233" spans="5:7" ht="14.25">
      <c r="E233" s="62">
        <v>13.5</v>
      </c>
      <c r="F233" s="63">
        <f t="shared" si="5"/>
        <v>0.40499999999999997</v>
      </c>
      <c r="G233" s="63">
        <f t="shared" si="6"/>
        <v>-1</v>
      </c>
    </row>
    <row r="234" spans="5:7" ht="14.25">
      <c r="E234" s="62">
        <v>14</v>
      </c>
      <c r="F234" s="63">
        <f t="shared" si="5"/>
        <v>0.40660714285714289</v>
      </c>
      <c r="G234" s="63">
        <f t="shared" si="6"/>
        <v>-1</v>
      </c>
    </row>
    <row r="235" spans="5:7" ht="14.25">
      <c r="E235" s="62">
        <v>14.5</v>
      </c>
      <c r="F235" s="63">
        <f t="shared" si="5"/>
        <v>0.40810344827586209</v>
      </c>
      <c r="G235" s="63">
        <f t="shared" si="6"/>
        <v>-1</v>
      </c>
    </row>
    <row r="236" spans="5:7" ht="14.25">
      <c r="E236" s="62">
        <v>15</v>
      </c>
      <c r="F236" s="63">
        <f t="shared" si="5"/>
        <v>0.40950000000000003</v>
      </c>
      <c r="G236" s="63">
        <f t="shared" si="6"/>
        <v>-1</v>
      </c>
    </row>
    <row r="237" spans="5:7" ht="14.25">
      <c r="E237" s="62">
        <v>15.5</v>
      </c>
      <c r="F237" s="63">
        <f t="shared" si="5"/>
        <v>0.4108064516129033</v>
      </c>
      <c r="G237" s="63">
        <f t="shared" si="6"/>
        <v>-1</v>
      </c>
    </row>
    <row r="238" spans="5:7" ht="14.25">
      <c r="E238" s="62">
        <v>16</v>
      </c>
      <c r="F238" s="63">
        <f t="shared" si="5"/>
        <v>0.41203125000000007</v>
      </c>
      <c r="G238" s="63">
        <f t="shared" si="6"/>
        <v>-1</v>
      </c>
    </row>
    <row r="239" spans="5:7" ht="14.25">
      <c r="E239" s="62">
        <v>16.5</v>
      </c>
      <c r="F239" s="63">
        <f t="shared" si="5"/>
        <v>0.41318181818181821</v>
      </c>
      <c r="G239" s="63">
        <f t="shared" si="6"/>
        <v>-1</v>
      </c>
    </row>
    <row r="240" spans="5:7" ht="14.25">
      <c r="E240" s="62">
        <v>17</v>
      </c>
      <c r="F240" s="63">
        <f t="shared" si="5"/>
        <v>0.41426470588235298</v>
      </c>
      <c r="G240" s="63">
        <f t="shared" si="6"/>
        <v>-1</v>
      </c>
    </row>
    <row r="241" spans="5:7" ht="14.25">
      <c r="E241" s="62">
        <v>17.5</v>
      </c>
      <c r="F241" s="63">
        <f t="shared" si="5"/>
        <v>0.41528571428571426</v>
      </c>
      <c r="G241" s="63">
        <f t="shared" si="6"/>
        <v>-1</v>
      </c>
    </row>
    <row r="242" spans="5:7" ht="14.25">
      <c r="E242" s="62">
        <v>18</v>
      </c>
      <c r="F242" s="63">
        <f t="shared" si="5"/>
        <v>0.41625000000000001</v>
      </c>
      <c r="G242" s="63">
        <f t="shared" si="6"/>
        <v>-1</v>
      </c>
    </row>
    <row r="243" spans="5:7" ht="14.25">
      <c r="E243" s="62">
        <v>18.5</v>
      </c>
      <c r="F243" s="63">
        <f t="shared" si="5"/>
        <v>0.41716216216216218</v>
      </c>
      <c r="G243" s="63">
        <f t="shared" si="6"/>
        <v>-1</v>
      </c>
    </row>
    <row r="244" spans="5:7" ht="14.25">
      <c r="E244" s="62">
        <v>19</v>
      </c>
      <c r="F244" s="63">
        <f t="shared" ref="F244:F262" si="7">(E244-$E$90)*$E$90/(E244*$E$94*$E$92*0.001*$E$91)</f>
        <v>0.41802631578947369</v>
      </c>
      <c r="G244" s="63">
        <f t="shared" ref="G244:G262" si="8">IF(AND(E244&gt;=$F$89,E244&lt;=$G$89),F244,-1)</f>
        <v>-1</v>
      </c>
    </row>
    <row r="245" spans="5:7" ht="14.25">
      <c r="E245" s="62">
        <v>19.5</v>
      </c>
      <c r="F245" s="63">
        <f t="shared" si="7"/>
        <v>0.41884615384615387</v>
      </c>
      <c r="G245" s="63">
        <f t="shared" si="8"/>
        <v>-1</v>
      </c>
    </row>
    <row r="246" spans="5:7" ht="14.25">
      <c r="E246" s="62">
        <v>20</v>
      </c>
      <c r="F246" s="63">
        <f t="shared" si="7"/>
        <v>0.41962499999999997</v>
      </c>
      <c r="G246" s="63">
        <f t="shared" si="8"/>
        <v>-1</v>
      </c>
    </row>
    <row r="247" spans="5:7" ht="14.25">
      <c r="E247" s="62">
        <v>20.5</v>
      </c>
      <c r="F247" s="63">
        <f t="shared" si="7"/>
        <v>0.42036585365853657</v>
      </c>
      <c r="G247" s="63">
        <f t="shared" si="8"/>
        <v>-1</v>
      </c>
    </row>
    <row r="248" spans="5:7" ht="14.25">
      <c r="E248" s="62">
        <v>21</v>
      </c>
      <c r="F248" s="63">
        <f t="shared" si="7"/>
        <v>0.4210714285714286</v>
      </c>
      <c r="G248" s="63">
        <f t="shared" si="8"/>
        <v>-1</v>
      </c>
    </row>
    <row r="249" spans="5:7" ht="14.25">
      <c r="E249" s="62">
        <v>21.5</v>
      </c>
      <c r="F249" s="63">
        <f t="shared" si="7"/>
        <v>0.42174418604651165</v>
      </c>
      <c r="G249" s="63">
        <f t="shared" si="8"/>
        <v>-1</v>
      </c>
    </row>
    <row r="250" spans="5:7" ht="14.25">
      <c r="E250" s="62">
        <v>22</v>
      </c>
      <c r="F250" s="63">
        <f t="shared" si="7"/>
        <v>0.42238636363636367</v>
      </c>
      <c r="G250" s="63">
        <f t="shared" si="8"/>
        <v>-1</v>
      </c>
    </row>
    <row r="251" spans="5:7" ht="14.25">
      <c r="E251" s="62">
        <v>22.5</v>
      </c>
      <c r="F251" s="63">
        <f t="shared" si="7"/>
        <v>0.42299999999999999</v>
      </c>
      <c r="G251" s="63">
        <f t="shared" si="8"/>
        <v>-1</v>
      </c>
    </row>
    <row r="252" spans="5:7" ht="14.25">
      <c r="E252" s="62">
        <v>23</v>
      </c>
      <c r="F252" s="63">
        <f t="shared" si="7"/>
        <v>0.42358695652173911</v>
      </c>
      <c r="G252" s="63">
        <f t="shared" si="8"/>
        <v>-1</v>
      </c>
    </row>
    <row r="253" spans="5:7" ht="14.25">
      <c r="E253" s="62">
        <v>23.5</v>
      </c>
      <c r="F253" s="63">
        <f t="shared" si="7"/>
        <v>0.42414893617021276</v>
      </c>
      <c r="G253" s="63">
        <f t="shared" si="8"/>
        <v>-1</v>
      </c>
    </row>
    <row r="254" spans="5:7" ht="14.25">
      <c r="E254" s="62">
        <v>24</v>
      </c>
      <c r="F254" s="63">
        <f t="shared" si="7"/>
        <v>0.4246875</v>
      </c>
      <c r="G254" s="63">
        <f t="shared" si="8"/>
        <v>-1</v>
      </c>
    </row>
    <row r="255" spans="5:7" ht="14.25">
      <c r="E255" s="62">
        <v>24.5</v>
      </c>
      <c r="F255" s="63">
        <f t="shared" si="7"/>
        <v>0.42520408163265305</v>
      </c>
      <c r="G255" s="63">
        <f t="shared" si="8"/>
        <v>-1</v>
      </c>
    </row>
    <row r="256" spans="5:7" ht="14.25">
      <c r="E256" s="62">
        <v>25</v>
      </c>
      <c r="F256" s="63">
        <f t="shared" si="7"/>
        <v>0.42569999999999997</v>
      </c>
      <c r="G256" s="63">
        <f t="shared" si="8"/>
        <v>-1</v>
      </c>
    </row>
    <row r="257" spans="5:7" ht="14.25">
      <c r="E257" s="62">
        <v>25.5</v>
      </c>
      <c r="F257" s="63">
        <f t="shared" si="7"/>
        <v>0.42617647058823527</v>
      </c>
      <c r="G257" s="63">
        <f t="shared" si="8"/>
        <v>-1</v>
      </c>
    </row>
    <row r="258" spans="5:7" ht="14.25">
      <c r="E258" s="62">
        <v>26</v>
      </c>
      <c r="F258" s="63">
        <f t="shared" si="7"/>
        <v>0.42663461538461545</v>
      </c>
      <c r="G258" s="63">
        <f t="shared" si="8"/>
        <v>-1</v>
      </c>
    </row>
    <row r="259" spans="5:7" ht="14.25">
      <c r="E259" s="62">
        <v>26.5</v>
      </c>
      <c r="F259" s="63">
        <f t="shared" si="7"/>
        <v>0.42707547169811322</v>
      </c>
      <c r="G259" s="63">
        <f t="shared" si="8"/>
        <v>-1</v>
      </c>
    </row>
    <row r="260" spans="5:7" ht="14.25">
      <c r="E260" s="62">
        <v>27</v>
      </c>
      <c r="F260" s="63">
        <f t="shared" si="7"/>
        <v>0.42749999999999999</v>
      </c>
      <c r="G260" s="63">
        <f t="shared" si="8"/>
        <v>-1</v>
      </c>
    </row>
    <row r="261" spans="5:7" ht="14.25">
      <c r="E261" s="62">
        <v>27.5</v>
      </c>
      <c r="F261" s="63">
        <f t="shared" si="7"/>
        <v>0.42790909090909091</v>
      </c>
      <c r="G261" s="63">
        <f t="shared" si="8"/>
        <v>-1</v>
      </c>
    </row>
    <row r="262" spans="5:7" ht="14.25">
      <c r="E262" s="62">
        <v>28</v>
      </c>
      <c r="F262" s="63">
        <f t="shared" si="7"/>
        <v>0.42830357142857139</v>
      </c>
      <c r="G262" s="63">
        <f t="shared" si="8"/>
        <v>-1</v>
      </c>
    </row>
  </sheetData>
  <sheetProtection password="CCD8" sheet="1" objects="1" scenarios="1"/>
  <mergeCells count="122">
    <mergeCell ref="B162:D162"/>
    <mergeCell ref="E159:F159"/>
    <mergeCell ref="G159:H159"/>
    <mergeCell ref="E157:F157"/>
    <mergeCell ref="G157:H157"/>
    <mergeCell ref="I157:J157"/>
    <mergeCell ref="K18:L18"/>
    <mergeCell ref="K20:L20"/>
    <mergeCell ref="N16:O16"/>
    <mergeCell ref="K17:L17"/>
    <mergeCell ref="I159:J159"/>
    <mergeCell ref="B161:D161"/>
    <mergeCell ref="I158:J158"/>
    <mergeCell ref="E158:F158"/>
    <mergeCell ref="G158:H158"/>
    <mergeCell ref="E68:F68"/>
    <mergeCell ref="C37:D37"/>
    <mergeCell ref="C38:D38"/>
    <mergeCell ref="C39:D39"/>
    <mergeCell ref="C63:F63"/>
    <mergeCell ref="C68:D68"/>
    <mergeCell ref="B138:D138"/>
    <mergeCell ref="B151:D151"/>
    <mergeCell ref="B152:D152"/>
    <mergeCell ref="N11:O11"/>
    <mergeCell ref="K12:L12"/>
    <mergeCell ref="N12:O13"/>
    <mergeCell ref="K13:L13"/>
    <mergeCell ref="G131:G132"/>
    <mergeCell ref="I59:J59"/>
    <mergeCell ref="I60:J60"/>
    <mergeCell ref="N17:O18"/>
    <mergeCell ref="N19:O20"/>
    <mergeCell ref="N14:O15"/>
    <mergeCell ref="K15:L15"/>
    <mergeCell ref="K14:L14"/>
    <mergeCell ref="K16:L16"/>
    <mergeCell ref="F23:G23"/>
    <mergeCell ref="K11:L11"/>
    <mergeCell ref="B135:D135"/>
    <mergeCell ref="B132:D132"/>
    <mergeCell ref="B136:D136"/>
    <mergeCell ref="B137:D137"/>
    <mergeCell ref="K19:L19"/>
    <mergeCell ref="I61:J61"/>
    <mergeCell ref="B53:B54"/>
    <mergeCell ref="D53:H53"/>
    <mergeCell ref="B63:B64"/>
    <mergeCell ref="C66:E66"/>
    <mergeCell ref="B110:D110"/>
    <mergeCell ref="B111:D111"/>
    <mergeCell ref="B98:D98"/>
    <mergeCell ref="B106:D106"/>
    <mergeCell ref="B107:D107"/>
    <mergeCell ref="B114:D114"/>
    <mergeCell ref="B104:D104"/>
    <mergeCell ref="B102:D102"/>
    <mergeCell ref="B105:D105"/>
    <mergeCell ref="B113:D113"/>
    <mergeCell ref="B99:D99"/>
    <mergeCell ref="B100:D100"/>
    <mergeCell ref="B101:D101"/>
    <mergeCell ref="B103:D103"/>
    <mergeCell ref="B153:D153"/>
    <mergeCell ref="B148:D148"/>
    <mergeCell ref="B149:D149"/>
    <mergeCell ref="B142:D142"/>
    <mergeCell ref="B143:D143"/>
    <mergeCell ref="B150:D150"/>
    <mergeCell ref="B144:D144"/>
    <mergeCell ref="B145:D145"/>
    <mergeCell ref="B146:D146"/>
    <mergeCell ref="B147:D147"/>
    <mergeCell ref="B17:B18"/>
    <mergeCell ref="B20:B21"/>
    <mergeCell ref="C59:D59"/>
    <mergeCell ref="C61:D61"/>
    <mergeCell ref="B88:D88"/>
    <mergeCell ref="B68:B69"/>
    <mergeCell ref="B81:C81"/>
    <mergeCell ref="D30:E30"/>
    <mergeCell ref="G80:G82"/>
    <mergeCell ref="B80:C80"/>
    <mergeCell ref="B82:C82"/>
    <mergeCell ref="G30:H30"/>
    <mergeCell ref="C60:D60"/>
    <mergeCell ref="D29:E29"/>
    <mergeCell ref="D31:E31"/>
    <mergeCell ref="F38:G38"/>
    <mergeCell ref="F39:G39"/>
    <mergeCell ref="G31:H31"/>
    <mergeCell ref="F24:G24"/>
    <mergeCell ref="F25:G25"/>
    <mergeCell ref="F37:G37"/>
    <mergeCell ref="G29:H29"/>
    <mergeCell ref="B78:C78"/>
    <mergeCell ref="B79:C79"/>
    <mergeCell ref="B112:D112"/>
    <mergeCell ref="B108:D108"/>
    <mergeCell ref="B109:D109"/>
    <mergeCell ref="B97:D97"/>
    <mergeCell ref="B89:D89"/>
    <mergeCell ref="B90:D90"/>
    <mergeCell ref="B93:D93"/>
    <mergeCell ref="B96:D96"/>
    <mergeCell ref="B91:D91"/>
    <mergeCell ref="B92:D92"/>
    <mergeCell ref="B94:D94"/>
    <mergeCell ref="B131:D131"/>
    <mergeCell ref="B125:D125"/>
    <mergeCell ref="B128:D128"/>
    <mergeCell ref="B121:D121"/>
    <mergeCell ref="B122:D122"/>
    <mergeCell ref="B124:D124"/>
    <mergeCell ref="B123:D123"/>
    <mergeCell ref="B116:D116"/>
    <mergeCell ref="B115:D115"/>
    <mergeCell ref="B120:D120"/>
    <mergeCell ref="B129:D129"/>
    <mergeCell ref="B130:D130"/>
    <mergeCell ref="B117:D117"/>
    <mergeCell ref="B118:D118"/>
  </mergeCells>
  <phoneticPr fontId="2"/>
  <conditionalFormatting sqref="L112:M113 P112:Q113">
    <cfRule type="cellIs" dxfId="4" priority="1" stopIfTrue="1" operator="greaterThan">
      <formula>375</formula>
    </cfRule>
  </conditionalFormatting>
  <conditionalFormatting sqref="D70 F70 C66:E66">
    <cfRule type="cellIs" dxfId="3" priority="2" stopIfTrue="1" operator="lessThan">
      <formula>25</formula>
    </cfRule>
    <cfRule type="cellIs" dxfId="2" priority="3" stopIfTrue="1" operator="greaterThan">
      <formula>375</formula>
    </cfRule>
  </conditionalFormatting>
  <conditionalFormatting sqref="C30">
    <cfRule type="cellIs" dxfId="1" priority="4" stopIfTrue="1" operator="lessThan">
      <formula>10</formula>
    </cfRule>
    <cfRule type="cellIs" dxfId="0" priority="5" stopIfTrue="1" operator="greaterThan">
      <formula>20</formula>
    </cfRule>
  </conditionalFormatting>
  <dataValidations count="5">
    <dataValidation operator="greaterThanOrEqual" allowBlank="1" showInputMessage="1" showErrorMessage="1" sqref="C48"/>
    <dataValidation operator="greaterThan" showInputMessage="1" showErrorMessage="1" sqref="L42"/>
    <dataValidation type="decimal" allowBlank="1" showInputMessage="1" showErrorMessage="1" sqref="C18:E18">
      <formula1>3</formula1>
      <formula2>28</formula2>
    </dataValidation>
    <dataValidation type="decimal" allowBlank="1" showInputMessage="1" showErrorMessage="1" sqref="C24">
      <formula1>0.7</formula1>
      <formula2>2.6</formula2>
    </dataValidation>
    <dataValidation type="list" operator="greaterThan" showInputMessage="1" showErrorMessage="1" sqref="E24">
      <formula1>$H$131:$H$132</formula1>
    </dataValidation>
  </dataValidations>
  <pageMargins left="0.63" right="0.15" top="0.98399999999999999" bottom="0.98399999999999999" header="0.51200000000000001" footer="0.51200000000000001"/>
  <pageSetup paperSize="9" scale="33" orientation="portrait" horizontalDpi="1200" verticalDpi="1200" r:id="rId1"/>
  <headerFooter alignWithMargins="0">
    <oddHeader>&amp;LTI Information – Selective Disclosure</oddHeader>
    <oddFooter>&amp;LTI Information – Selective Disclosure</oddFooter>
  </headerFooter>
  <colBreaks count="1" manualBreakCount="1">
    <brk id="26" max="82"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D-CAP</vt:lpstr>
      <vt:lpstr>D-CAP2</vt:lpstr>
      <vt:lpstr>'D-CAP'!Print_Area</vt:lpstr>
      <vt:lpstr>'D-CAP2'!Print_Area</vt:lpstr>
    </vt:vector>
  </TitlesOfParts>
  <Company>Texas Instruments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Shuichi Ishikawa</dc:creator>
  <cp:lastModifiedBy>Xu, Xiao</cp:lastModifiedBy>
  <cp:lastPrinted>2009-08-26T09:05:34Z</cp:lastPrinted>
  <dcterms:created xsi:type="dcterms:W3CDTF">2008-09-25T09:11:17Z</dcterms:created>
  <dcterms:modified xsi:type="dcterms:W3CDTF">2015-12-13T20:52:37Z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0x0101008BE3C6C28AD5A944B2683EC209468333</vt:lpwstr>
  </property>
</Properties>
</file>