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C26" lockStructure="1"/>
  <bookViews>
    <workbookView xWindow="3470" yWindow="330" windowWidth="12600" windowHeight="6380" tabRatio="917"/>
  </bookViews>
  <sheets>
    <sheet name="Design_Tool" sheetId="13" r:id="rId1"/>
    <sheet name="Datasheet" sheetId="14" state="hidden" r:id="rId2"/>
  </sheets>
  <definedNames>
    <definedName name="Acs">#REF!</definedName>
    <definedName name="B_NTC">#REF!</definedName>
    <definedName name="B_NTC_G">#REF!</definedName>
    <definedName name="B_NTC_TH">#REF!</definedName>
    <definedName name="B_NTC_TH_G">#REF!</definedName>
    <definedName name="Ccerm">#REF!</definedName>
    <definedName name="Ccomp">#REF!</definedName>
    <definedName name="Cdroop">#REF!</definedName>
    <definedName name="Cdroop_G">#REF!</definedName>
    <definedName name="Cout">#REF!</definedName>
    <definedName name="Cout_eff">#REF!</definedName>
    <definedName name="Cout_eff_G">#REF!</definedName>
    <definedName name="Cout_G">#REF!</definedName>
    <definedName name="DCR_Ploss">#REF!</definedName>
    <definedName name="DCR_Pmax">#REF!</definedName>
    <definedName name="DIV">#REF!</definedName>
    <definedName name="DIV_G">#REF!</definedName>
    <definedName name="Dmin">#REF!</definedName>
    <definedName name="Droop_Gain">#REF!</definedName>
    <definedName name="ESL">#REF!</definedName>
    <definedName name="ESL_eff">#REF!</definedName>
    <definedName name="ESL_eff_G">#REF!</definedName>
    <definedName name="ESL_G">#REF!</definedName>
    <definedName name="ESR">#REF!</definedName>
    <definedName name="ESR_eff">#REF!</definedName>
    <definedName name="ESR_eff_G">#REF!</definedName>
    <definedName name="ESR_G">#REF!</definedName>
    <definedName name="Freq">#REF!</definedName>
    <definedName name="Freq_G">#REF!</definedName>
    <definedName name="Gm">#REF!</definedName>
    <definedName name="I_load">#REF!</definedName>
    <definedName name="I_load_G">#REF!</definedName>
    <definedName name="I_ripple">#REF!</definedName>
    <definedName name="I_ripple_G">#REF!</definedName>
    <definedName name="I_TDC">#REF!</definedName>
    <definedName name="I_TDC_G">#REF!</definedName>
    <definedName name="I_TDC_N">#REF!</definedName>
    <definedName name="I_TDC_N_G">#REF!</definedName>
    <definedName name="Icc_max">#REF!</definedName>
    <definedName name="Icc_max_G">#REF!</definedName>
    <definedName name="Icc_max_N">#REF!</definedName>
    <definedName name="Icc_max_N_G">#REF!</definedName>
    <definedName name="Icl_Valley">#REF!</definedName>
    <definedName name="Icl_Valley_G">#REF!</definedName>
    <definedName name="Idc_max">#REF!</definedName>
    <definedName name="Iin_DC">#REF!</definedName>
    <definedName name="IMAX">Design_Tool!$C$22</definedName>
    <definedName name="L_chosen">#REF!</definedName>
    <definedName name="L_chosen_G">#REF!</definedName>
    <definedName name="L_DCR">#REF!</definedName>
    <definedName name="L_DCR_G">#REF!</definedName>
    <definedName name="L_max">#REF!</definedName>
    <definedName name="L_max_G">#REF!</definedName>
    <definedName name="L_min">#REF!</definedName>
    <definedName name="L_min_G">#REF!</definedName>
    <definedName name="N_ph">#REF!</definedName>
    <definedName name="N_ph_G">#REF!</definedName>
    <definedName name="nc">#REF!</definedName>
    <definedName name="nc_G">#REF!</definedName>
    <definedName name="ncerm">#REF!</definedName>
    <definedName name="OCL_N">#REF!</definedName>
    <definedName name="OCL_N_G">#REF!</definedName>
    <definedName name="OCL_Tar">#REF!</definedName>
    <definedName name="OCL_Tar_G">#REF!</definedName>
    <definedName name="OLE_LINK5" localSheetId="1">Datasheet!$B$94</definedName>
    <definedName name="_xlnm.Print_Area" localSheetId="0">Design_Tool!$A$1:$L$56</definedName>
    <definedName name="R_LL">#REF!</definedName>
    <definedName name="R_LL_G">#REF!</definedName>
    <definedName name="Rcomp">#REF!</definedName>
    <definedName name="Rcs_eff">#REF!</definedName>
    <definedName name="Rcs_eff_G">#REF!</definedName>
    <definedName name="Rcs_max">#REF!</definedName>
    <definedName name="Rcs_max_G">#REF!</definedName>
    <definedName name="Rdroop">#REF!</definedName>
    <definedName name="Rdroop_G">#REF!</definedName>
    <definedName name="RNTC_25C">#REF!</definedName>
    <definedName name="RNTC_25C_G">#REF!</definedName>
    <definedName name="RNTC_25C_TH">#REF!</definedName>
    <definedName name="RNTC_25C_TH_G">#REF!</definedName>
    <definedName name="Rout">#REF!</definedName>
    <definedName name="Rout_G">#REF!</definedName>
    <definedName name="Slew_rate">#REF!</definedName>
    <definedName name="TCR_Cu">#REF!</definedName>
    <definedName name="TEMP_SD">#REF!</definedName>
    <definedName name="TEMP_SD_G">#REF!</definedName>
    <definedName name="TRIPSEL">#REF!</definedName>
    <definedName name="TRIPSEL_G">#REF!</definedName>
    <definedName name="TRIPSEL_V">#REF!</definedName>
    <definedName name="TRIPSEL_V_G">#REF!</definedName>
    <definedName name="V_IMON">#REF!</definedName>
    <definedName name="V_IMON_G">#REF!</definedName>
    <definedName name="V_OUSR">#REF!</definedName>
    <definedName name="V_OUSR_G">#REF!</definedName>
    <definedName name="V_THRMSD">#REF!</definedName>
    <definedName name="Vcore_HFM">#REF!</definedName>
    <definedName name="Vcore_HFM_G">#REF!</definedName>
    <definedName name="Vin_max">#REF!</definedName>
    <definedName name="Vin_min">#REF!</definedName>
    <definedName name="VREF">#REF!</definedName>
  </definedNames>
  <calcPr calcId="145621"/>
</workbook>
</file>

<file path=xl/calcChain.xml><?xml version="1.0" encoding="utf-8"?>
<calcChain xmlns="http://schemas.openxmlformats.org/spreadsheetml/2006/main">
  <c r="C23" i="13" l="1"/>
  <c r="C21" i="13" l="1"/>
  <c r="L9" i="14" l="1"/>
  <c r="K31" i="13" l="1"/>
  <c r="M30" i="13"/>
  <c r="E43" i="13" l="1"/>
  <c r="U263" i="14"/>
  <c r="W263" i="14" s="1"/>
  <c r="W262" i="14"/>
  <c r="U262" i="14"/>
  <c r="U261" i="14"/>
  <c r="W261" i="14" s="1"/>
  <c r="U260" i="14"/>
  <c r="W260" i="14" s="1"/>
  <c r="U259" i="14"/>
  <c r="W259" i="14" s="1"/>
  <c r="U258" i="14"/>
  <c r="W258" i="14" s="1"/>
  <c r="U257" i="14"/>
  <c r="W257" i="14" s="1"/>
  <c r="U256" i="14"/>
  <c r="W256" i="14" s="1"/>
  <c r="U255" i="14"/>
  <c r="W255" i="14" s="1"/>
  <c r="W254" i="14"/>
  <c r="U254" i="14"/>
  <c r="U253" i="14"/>
  <c r="W253" i="14" s="1"/>
  <c r="U252" i="14"/>
  <c r="W252" i="14" s="1"/>
  <c r="U251" i="14"/>
  <c r="W251" i="14" s="1"/>
  <c r="U250" i="14"/>
  <c r="W250" i="14" s="1"/>
  <c r="U249" i="14"/>
  <c r="W249" i="14" s="1"/>
  <c r="U248" i="14"/>
  <c r="W248" i="14" s="1"/>
  <c r="U247" i="14"/>
  <c r="W247" i="14" s="1"/>
  <c r="U246" i="14"/>
  <c r="W246" i="14" s="1"/>
  <c r="U245" i="14"/>
  <c r="W245" i="14" s="1"/>
  <c r="U244" i="14"/>
  <c r="W244" i="14" s="1"/>
  <c r="U243" i="14"/>
  <c r="W243" i="14" s="1"/>
  <c r="U242" i="14"/>
  <c r="W242" i="14" s="1"/>
  <c r="U241" i="14"/>
  <c r="W241" i="14" s="1"/>
  <c r="U240" i="14"/>
  <c r="W240" i="14" s="1"/>
  <c r="U239" i="14"/>
  <c r="W239" i="14" s="1"/>
  <c r="U238" i="14"/>
  <c r="W238" i="14" s="1"/>
  <c r="U237" i="14"/>
  <c r="W237" i="14" s="1"/>
  <c r="U236" i="14"/>
  <c r="W236" i="14" s="1"/>
  <c r="U235" i="14"/>
  <c r="W235" i="14" s="1"/>
  <c r="U234" i="14"/>
  <c r="W234" i="14" s="1"/>
  <c r="U233" i="14"/>
  <c r="W233" i="14" s="1"/>
  <c r="U232" i="14"/>
  <c r="W232" i="14" s="1"/>
  <c r="U231" i="14"/>
  <c r="W231" i="14" s="1"/>
  <c r="U230" i="14"/>
  <c r="W230" i="14" s="1"/>
  <c r="U229" i="14"/>
  <c r="W229" i="14" s="1"/>
  <c r="U228" i="14"/>
  <c r="W228" i="14" s="1"/>
  <c r="U227" i="14"/>
  <c r="W227" i="14" s="1"/>
  <c r="U226" i="14"/>
  <c r="W226" i="14" s="1"/>
  <c r="U225" i="14"/>
  <c r="W225" i="14" s="1"/>
  <c r="U224" i="14"/>
  <c r="W224" i="14" s="1"/>
  <c r="U223" i="14"/>
  <c r="W223" i="14" s="1"/>
  <c r="U222" i="14"/>
  <c r="W222" i="14" s="1"/>
  <c r="U221" i="14"/>
  <c r="W221" i="14" s="1"/>
  <c r="U220" i="14"/>
  <c r="W220" i="14" s="1"/>
  <c r="U219" i="14"/>
  <c r="W219" i="14" s="1"/>
  <c r="U218" i="14"/>
  <c r="W218" i="14" s="1"/>
  <c r="U217" i="14"/>
  <c r="W217" i="14" s="1"/>
  <c r="U216" i="14"/>
  <c r="W216" i="14" s="1"/>
  <c r="U215" i="14"/>
  <c r="W215" i="14" s="1"/>
  <c r="U214" i="14"/>
  <c r="W214" i="14" s="1"/>
  <c r="U213" i="14"/>
  <c r="W213" i="14" s="1"/>
  <c r="U212" i="14"/>
  <c r="W212" i="14" s="1"/>
  <c r="U211" i="14"/>
  <c r="W211" i="14" s="1"/>
  <c r="U210" i="14"/>
  <c r="W210" i="14" s="1"/>
  <c r="U209" i="14"/>
  <c r="W209" i="14" s="1"/>
  <c r="U208" i="14"/>
  <c r="W208" i="14" s="1"/>
  <c r="U207" i="14"/>
  <c r="W207" i="14" s="1"/>
  <c r="W206" i="14"/>
  <c r="U206" i="14"/>
  <c r="U205" i="14"/>
  <c r="W205" i="14" s="1"/>
  <c r="U204" i="14"/>
  <c r="W204" i="14" s="1"/>
  <c r="U203" i="14"/>
  <c r="W203" i="14" s="1"/>
  <c r="U202" i="14"/>
  <c r="W202" i="14" s="1"/>
  <c r="U201" i="14"/>
  <c r="W201" i="14" s="1"/>
  <c r="U200" i="14"/>
  <c r="W200" i="14" s="1"/>
  <c r="U199" i="14"/>
  <c r="W199" i="14" s="1"/>
  <c r="U198" i="14"/>
  <c r="W198" i="14" s="1"/>
  <c r="U197" i="14"/>
  <c r="W197" i="14" s="1"/>
  <c r="U196" i="14"/>
  <c r="W196" i="14" s="1"/>
  <c r="U195" i="14"/>
  <c r="W195" i="14" s="1"/>
  <c r="U194" i="14"/>
  <c r="W194" i="14" s="1"/>
  <c r="U193" i="14"/>
  <c r="W193" i="14" s="1"/>
  <c r="U192" i="14"/>
  <c r="W192" i="14" s="1"/>
  <c r="U191" i="14"/>
  <c r="W191" i="14" s="1"/>
  <c r="W190" i="14"/>
  <c r="U190" i="14"/>
  <c r="U189" i="14"/>
  <c r="W189" i="14" s="1"/>
  <c r="U188" i="14"/>
  <c r="W188" i="14" s="1"/>
  <c r="U187" i="14"/>
  <c r="W187" i="14" s="1"/>
  <c r="U186" i="14"/>
  <c r="W186" i="14" s="1"/>
  <c r="U185" i="14"/>
  <c r="W185" i="14" s="1"/>
  <c r="U184" i="14"/>
  <c r="W184" i="14" s="1"/>
  <c r="U183" i="14"/>
  <c r="W183" i="14" s="1"/>
  <c r="U182" i="14"/>
  <c r="W182" i="14" s="1"/>
  <c r="U181" i="14"/>
  <c r="W181" i="14" s="1"/>
  <c r="U180" i="14"/>
  <c r="W180" i="14" s="1"/>
  <c r="U179" i="14"/>
  <c r="W179" i="14" s="1"/>
  <c r="U178" i="14"/>
  <c r="W178" i="14" s="1"/>
  <c r="U177" i="14"/>
  <c r="W177" i="14" s="1"/>
  <c r="U176" i="14"/>
  <c r="W176" i="14" s="1"/>
  <c r="U175" i="14"/>
  <c r="W175" i="14" s="1"/>
  <c r="U174" i="14"/>
  <c r="W174" i="14" s="1"/>
  <c r="U173" i="14"/>
  <c r="W173" i="14" s="1"/>
  <c r="U172" i="14"/>
  <c r="W172" i="14" s="1"/>
  <c r="U171" i="14"/>
  <c r="W171" i="14" s="1"/>
  <c r="U170" i="14"/>
  <c r="W170" i="14" s="1"/>
  <c r="U169" i="14"/>
  <c r="W169" i="14" s="1"/>
  <c r="U168" i="14"/>
  <c r="W168" i="14" s="1"/>
  <c r="U167" i="14"/>
  <c r="W167" i="14" s="1"/>
  <c r="U166" i="14"/>
  <c r="W166" i="14" s="1"/>
  <c r="U165" i="14"/>
  <c r="W165" i="14" s="1"/>
  <c r="U164" i="14"/>
  <c r="W164" i="14" s="1"/>
  <c r="U163" i="14"/>
  <c r="W163" i="14" s="1"/>
  <c r="U162" i="14"/>
  <c r="W162" i="14" s="1"/>
  <c r="U161" i="14"/>
  <c r="W161" i="14" s="1"/>
  <c r="U160" i="14"/>
  <c r="W160" i="14" s="1"/>
  <c r="U159" i="14"/>
  <c r="W159" i="14" s="1"/>
  <c r="U158" i="14"/>
  <c r="W158" i="14" s="1"/>
  <c r="U157" i="14"/>
  <c r="W157" i="14" s="1"/>
  <c r="U156" i="14"/>
  <c r="W156" i="14" s="1"/>
  <c r="U155" i="14"/>
  <c r="W155" i="14" s="1"/>
  <c r="U154" i="14"/>
  <c r="W154" i="14" s="1"/>
  <c r="U153" i="14"/>
  <c r="W153" i="14" s="1"/>
  <c r="U152" i="14"/>
  <c r="W152" i="14" s="1"/>
  <c r="U151" i="14"/>
  <c r="W151" i="14" s="1"/>
  <c r="U150" i="14"/>
  <c r="W150" i="14" s="1"/>
  <c r="U149" i="14"/>
  <c r="W149" i="14" s="1"/>
  <c r="U148" i="14"/>
  <c r="W148" i="14" s="1"/>
  <c r="U147" i="14"/>
  <c r="W147" i="14" s="1"/>
  <c r="U146" i="14"/>
  <c r="W146" i="14" s="1"/>
  <c r="U145" i="14"/>
  <c r="W145" i="14" s="1"/>
  <c r="U144" i="14"/>
  <c r="W144" i="14" s="1"/>
  <c r="U143" i="14"/>
  <c r="W143" i="14" s="1"/>
  <c r="U142" i="14"/>
  <c r="W142" i="14" s="1"/>
  <c r="U141" i="14"/>
  <c r="W141" i="14" s="1"/>
  <c r="F127" i="14"/>
  <c r="U140" i="14"/>
  <c r="W140" i="14" s="1"/>
  <c r="F126" i="14"/>
  <c r="U139" i="14"/>
  <c r="W139" i="14" s="1"/>
  <c r="F125" i="14"/>
  <c r="U138" i="14"/>
  <c r="W138" i="14" s="1"/>
  <c r="F124" i="14"/>
  <c r="U137" i="14"/>
  <c r="W137" i="14" s="1"/>
  <c r="F123" i="14"/>
  <c r="U136" i="14"/>
  <c r="W136" i="14" s="1"/>
  <c r="F122" i="14"/>
  <c r="U135" i="14"/>
  <c r="W135" i="14" s="1"/>
  <c r="F121" i="14"/>
  <c r="U134" i="14"/>
  <c r="W134" i="14" s="1"/>
  <c r="F120" i="14"/>
  <c r="U133" i="14"/>
  <c r="W133" i="14" s="1"/>
  <c r="F119" i="14"/>
  <c r="U132" i="14"/>
  <c r="W132" i="14" s="1"/>
  <c r="F118" i="14"/>
  <c r="U131" i="14"/>
  <c r="W131" i="14" s="1"/>
  <c r="F117" i="14"/>
  <c r="U130" i="14"/>
  <c r="W130" i="14" s="1"/>
  <c r="F116" i="14"/>
  <c r="U129" i="14"/>
  <c r="W129" i="14" s="1"/>
  <c r="F115" i="14"/>
  <c r="U128" i="14"/>
  <c r="W128" i="14" s="1"/>
  <c r="F114" i="14"/>
  <c r="U127" i="14"/>
  <c r="W127" i="14" s="1"/>
  <c r="F113" i="14"/>
  <c r="U126" i="14"/>
  <c r="W126" i="14" s="1"/>
  <c r="F112" i="14"/>
  <c r="U125" i="14"/>
  <c r="W125" i="14" s="1"/>
  <c r="U124" i="14"/>
  <c r="W124" i="14" s="1"/>
  <c r="U123" i="14"/>
  <c r="W123" i="14" s="1"/>
  <c r="U122" i="14"/>
  <c r="W122" i="14" s="1"/>
  <c r="U121" i="14"/>
  <c r="W121" i="14" s="1"/>
  <c r="U120" i="14"/>
  <c r="W120" i="14" s="1"/>
  <c r="U119" i="14"/>
  <c r="W119" i="14" s="1"/>
  <c r="W118" i="14"/>
  <c r="U118" i="14"/>
  <c r="U117" i="14"/>
  <c r="W117" i="14" s="1"/>
  <c r="U116" i="14"/>
  <c r="W116" i="14" s="1"/>
  <c r="M102" i="14"/>
  <c r="U115" i="14"/>
  <c r="W115" i="14" s="1"/>
  <c r="U114" i="14"/>
  <c r="W114" i="14" s="1"/>
  <c r="U113" i="14"/>
  <c r="W113" i="14" s="1"/>
  <c r="U112" i="14"/>
  <c r="W112" i="14" s="1"/>
  <c r="U111" i="14"/>
  <c r="W111" i="14" s="1"/>
  <c r="U110" i="14"/>
  <c r="W110" i="14" s="1"/>
  <c r="U109" i="14"/>
  <c r="W109" i="14" s="1"/>
  <c r="U108" i="14"/>
  <c r="W108" i="14" s="1"/>
  <c r="U107" i="14"/>
  <c r="W107" i="14" s="1"/>
  <c r="U106" i="14"/>
  <c r="W106" i="14" s="1"/>
  <c r="U105" i="14"/>
  <c r="W105" i="14" s="1"/>
  <c r="U104" i="14"/>
  <c r="W104" i="14" s="1"/>
  <c r="U103" i="14"/>
  <c r="W103" i="14" s="1"/>
  <c r="U102" i="14"/>
  <c r="W102" i="14" s="1"/>
  <c r="W101" i="14"/>
  <c r="U101" i="14"/>
  <c r="U100" i="14"/>
  <c r="W100" i="14" s="1"/>
  <c r="U99" i="14"/>
  <c r="W99" i="14" s="1"/>
  <c r="U98" i="14"/>
  <c r="W98" i="14" s="1"/>
  <c r="U97" i="14"/>
  <c r="W97" i="14" s="1"/>
  <c r="U96" i="14"/>
  <c r="W96" i="14" s="1"/>
  <c r="U95" i="14"/>
  <c r="W95" i="14" s="1"/>
  <c r="U94" i="14"/>
  <c r="W94" i="14" s="1"/>
  <c r="U93" i="14"/>
  <c r="W93" i="14" s="1"/>
  <c r="U92" i="14"/>
  <c r="W92" i="14" s="1"/>
  <c r="U91" i="14"/>
  <c r="W91" i="14" s="1"/>
  <c r="U90" i="14"/>
  <c r="W90" i="14" s="1"/>
  <c r="U89" i="14"/>
  <c r="W89" i="14" s="1"/>
  <c r="U88" i="14"/>
  <c r="W88" i="14" s="1"/>
  <c r="U87" i="14"/>
  <c r="W87" i="14" s="1"/>
  <c r="U86" i="14"/>
  <c r="W86" i="14" s="1"/>
  <c r="W85" i="14"/>
  <c r="U85" i="14"/>
  <c r="U84" i="14"/>
  <c r="W84" i="14" s="1"/>
  <c r="U83" i="14"/>
  <c r="W83" i="14" s="1"/>
  <c r="W82" i="14"/>
  <c r="U82" i="14"/>
  <c r="U81" i="14"/>
  <c r="W81" i="14" s="1"/>
  <c r="U80" i="14"/>
  <c r="W80" i="14" s="1"/>
  <c r="U79" i="14"/>
  <c r="W79" i="14" s="1"/>
  <c r="U78" i="14"/>
  <c r="W78" i="14" s="1"/>
  <c r="U77" i="14"/>
  <c r="W77" i="14" s="1"/>
  <c r="U76" i="14"/>
  <c r="W76" i="14" s="1"/>
  <c r="U75" i="14"/>
  <c r="W75" i="14" s="1"/>
  <c r="U74" i="14"/>
  <c r="W74" i="14" s="1"/>
  <c r="U73" i="14"/>
  <c r="W73" i="14" s="1"/>
  <c r="U72" i="14"/>
  <c r="W72" i="14" s="1"/>
  <c r="U71" i="14"/>
  <c r="W71" i="14" s="1"/>
  <c r="U70" i="14"/>
  <c r="W70" i="14" s="1"/>
  <c r="U69" i="14"/>
  <c r="W69" i="14" s="1"/>
  <c r="U68" i="14"/>
  <c r="W68" i="14" s="1"/>
  <c r="U67" i="14"/>
  <c r="W67" i="14" s="1"/>
  <c r="U66" i="14"/>
  <c r="W66" i="14" s="1"/>
  <c r="U65" i="14"/>
  <c r="W65" i="14" s="1"/>
  <c r="U64" i="14"/>
  <c r="W64" i="14" s="1"/>
  <c r="U63" i="14"/>
  <c r="W63" i="14" s="1"/>
  <c r="U62" i="14"/>
  <c r="W62" i="14" s="1"/>
  <c r="W61" i="14"/>
  <c r="U61" i="14"/>
  <c r="U60" i="14"/>
  <c r="W60" i="14" s="1"/>
  <c r="U59" i="14"/>
  <c r="W59" i="14" s="1"/>
  <c r="U58" i="14"/>
  <c r="W58" i="14" s="1"/>
  <c r="U57" i="14"/>
  <c r="W57" i="14" s="1"/>
  <c r="U56" i="14"/>
  <c r="W56" i="14" s="1"/>
  <c r="U55" i="14"/>
  <c r="W55" i="14" s="1"/>
  <c r="U54" i="14"/>
  <c r="W54" i="14" s="1"/>
  <c r="U53" i="14"/>
  <c r="W53" i="14" s="1"/>
  <c r="U52" i="14"/>
  <c r="W52" i="14" s="1"/>
  <c r="U51" i="14"/>
  <c r="W51" i="14" s="1"/>
  <c r="U50" i="14"/>
  <c r="W50" i="14" s="1"/>
  <c r="U49" i="14"/>
  <c r="W49" i="14" s="1"/>
  <c r="U48" i="14"/>
  <c r="W48" i="14" s="1"/>
  <c r="U47" i="14"/>
  <c r="W47" i="14" s="1"/>
  <c r="U46" i="14"/>
  <c r="W46" i="14" s="1"/>
  <c r="W45" i="14"/>
  <c r="U45" i="14"/>
  <c r="U44" i="14"/>
  <c r="W44" i="14" s="1"/>
  <c r="U43" i="14"/>
  <c r="W43" i="14" s="1"/>
  <c r="U42" i="14"/>
  <c r="W42" i="14" s="1"/>
  <c r="U41" i="14"/>
  <c r="W41" i="14" s="1"/>
  <c r="U40" i="14"/>
  <c r="W40" i="14" s="1"/>
  <c r="U39" i="14"/>
  <c r="W39" i="14" s="1"/>
  <c r="U38" i="14"/>
  <c r="W38" i="14" s="1"/>
  <c r="U37" i="14"/>
  <c r="W37" i="14" s="1"/>
  <c r="U36" i="14"/>
  <c r="W36" i="14" s="1"/>
  <c r="U35" i="14"/>
  <c r="W35" i="14" s="1"/>
  <c r="U34" i="14"/>
  <c r="W34" i="14" s="1"/>
  <c r="U33" i="14"/>
  <c r="W33" i="14" s="1"/>
  <c r="U32" i="14"/>
  <c r="W32" i="14" s="1"/>
  <c r="U31" i="14"/>
  <c r="W31" i="14" s="1"/>
  <c r="U30" i="14"/>
  <c r="W30" i="14" s="1"/>
  <c r="U29" i="14"/>
  <c r="W29" i="14" s="1"/>
  <c r="U28" i="14"/>
  <c r="W28" i="14" s="1"/>
  <c r="U27" i="14"/>
  <c r="W27" i="14" s="1"/>
  <c r="U26" i="14"/>
  <c r="W26" i="14" s="1"/>
  <c r="U25" i="14"/>
  <c r="W25" i="14" s="1"/>
  <c r="K25" i="14"/>
  <c r="U24" i="14"/>
  <c r="W24" i="14" s="1"/>
  <c r="K24" i="14"/>
  <c r="U23" i="14"/>
  <c r="W23" i="14" s="1"/>
  <c r="K23" i="14"/>
  <c r="U22" i="14"/>
  <c r="W22" i="14" s="1"/>
  <c r="K22" i="14"/>
  <c r="U21" i="14"/>
  <c r="W21" i="14" s="1"/>
  <c r="K21" i="14"/>
  <c r="U20" i="14"/>
  <c r="W20" i="14" s="1"/>
  <c r="K20" i="14"/>
  <c r="U19" i="14"/>
  <c r="W19" i="14" s="1"/>
  <c r="K19" i="14"/>
  <c r="U18" i="14"/>
  <c r="W18" i="14" s="1"/>
  <c r="K18" i="14"/>
  <c r="U17" i="14"/>
  <c r="W17" i="14" s="1"/>
  <c r="U16" i="14"/>
  <c r="W16" i="14" s="1"/>
  <c r="U15" i="14"/>
  <c r="W15" i="14" s="1"/>
  <c r="Q15" i="14"/>
  <c r="U14" i="14"/>
  <c r="W14" i="14" s="1"/>
  <c r="Q14" i="14"/>
  <c r="U13" i="14"/>
  <c r="W13" i="14" s="1"/>
  <c r="Q13" i="14"/>
  <c r="U12" i="14"/>
  <c r="W12" i="14" s="1"/>
  <c r="Q12" i="14"/>
  <c r="U11" i="14"/>
  <c r="W11" i="14" s="1"/>
  <c r="Q11" i="14"/>
  <c r="U10" i="14"/>
  <c r="W10" i="14" s="1"/>
  <c r="Q10" i="14"/>
  <c r="U9" i="14"/>
  <c r="W9" i="14" s="1"/>
  <c r="Q9" i="14"/>
  <c r="W8" i="14"/>
  <c r="Q8" i="14"/>
  <c r="K20" i="13" l="1"/>
  <c r="K25" i="13" l="1"/>
  <c r="E49" i="13"/>
  <c r="E18" i="13"/>
  <c r="M40" i="13" s="1"/>
  <c r="K40" i="13" s="1"/>
  <c r="F49" i="13" l="1"/>
  <c r="M27" i="13" s="1"/>
  <c r="B19" i="13"/>
  <c r="K28" i="13"/>
  <c r="E53" i="13"/>
  <c r="M28" i="13" l="1"/>
  <c r="K27" i="13" s="1"/>
  <c r="K26" i="13" s="1"/>
  <c r="K30" i="13"/>
  <c r="M32" i="13" s="1"/>
  <c r="K32" i="13" s="1"/>
  <c r="E52" i="13" l="1"/>
  <c r="E15" i="13"/>
  <c r="K38" i="13"/>
  <c r="K23" i="13"/>
  <c r="C34" i="13"/>
  <c r="H142" i="14" l="1"/>
  <c r="H138" i="14"/>
  <c r="H145" i="14"/>
  <c r="H141" i="14"/>
  <c r="H144" i="14"/>
  <c r="H140" i="14"/>
  <c r="H143" i="14"/>
  <c r="H139" i="14"/>
  <c r="Z8" i="14"/>
  <c r="Z17" i="14"/>
  <c r="Z29" i="14"/>
  <c r="Z37" i="14"/>
  <c r="Z49" i="14"/>
  <c r="Z65" i="14"/>
  <c r="Z85" i="14"/>
  <c r="Z105" i="14"/>
  <c r="Z117" i="14"/>
  <c r="Z12" i="14"/>
  <c r="Z16" i="14"/>
  <c r="Z20" i="14"/>
  <c r="Z24" i="14"/>
  <c r="Z28" i="14"/>
  <c r="Z32" i="14"/>
  <c r="Z36" i="14"/>
  <c r="Z40" i="14"/>
  <c r="Z44" i="14"/>
  <c r="Z48" i="14"/>
  <c r="Z52" i="14"/>
  <c r="Z56" i="14"/>
  <c r="Z60" i="14"/>
  <c r="Z64" i="14"/>
  <c r="Z68" i="14"/>
  <c r="Z72" i="14"/>
  <c r="Z76" i="14"/>
  <c r="Z80" i="14"/>
  <c r="Z84" i="14"/>
  <c r="Z88" i="14"/>
  <c r="Z92" i="14"/>
  <c r="Z96" i="14"/>
  <c r="Z100" i="14"/>
  <c r="Z104" i="14"/>
  <c r="Z108" i="14"/>
  <c r="Z112" i="14"/>
  <c r="Z116" i="14"/>
  <c r="Z120" i="14"/>
  <c r="Z124" i="14"/>
  <c r="Z128" i="14"/>
  <c r="Z132" i="14"/>
  <c r="Z136" i="14"/>
  <c r="Z140" i="14"/>
  <c r="Z144" i="14"/>
  <c r="Z148" i="14"/>
  <c r="Z152" i="14"/>
  <c r="Z156" i="14"/>
  <c r="Z160" i="14"/>
  <c r="Z164" i="14"/>
  <c r="Z168" i="14"/>
  <c r="Z172" i="14"/>
  <c r="Z176" i="14"/>
  <c r="Z180" i="14"/>
  <c r="Z184" i="14"/>
  <c r="Z188" i="14"/>
  <c r="Z192" i="14"/>
  <c r="Z196" i="14"/>
  <c r="Z200" i="14"/>
  <c r="Z204" i="14"/>
  <c r="Z208" i="14"/>
  <c r="Z212" i="14"/>
  <c r="Z216" i="14"/>
  <c r="Z220" i="14"/>
  <c r="Z224" i="14"/>
  <c r="Z228" i="14"/>
  <c r="Z232" i="14"/>
  <c r="Z236" i="14"/>
  <c r="Z240" i="14"/>
  <c r="Z244" i="14"/>
  <c r="Z248" i="14"/>
  <c r="Z252" i="14"/>
  <c r="Z256" i="14"/>
  <c r="Z260" i="14"/>
  <c r="Z9" i="14"/>
  <c r="Z13" i="14"/>
  <c r="Z21" i="14"/>
  <c r="Z25" i="14"/>
  <c r="Z33" i="14"/>
  <c r="Z41" i="14"/>
  <c r="Z45" i="14"/>
  <c r="Z53" i="14"/>
  <c r="Z57" i="14"/>
  <c r="Z61" i="14"/>
  <c r="Z69" i="14"/>
  <c r="Z73" i="14"/>
  <c r="Z77" i="14"/>
  <c r="Z81" i="14"/>
  <c r="Z89" i="14"/>
  <c r="Z93" i="14"/>
  <c r="Z97" i="14"/>
  <c r="Z101" i="14"/>
  <c r="Z109" i="14"/>
  <c r="Z113" i="14"/>
  <c r="Z121" i="14"/>
  <c r="Z125" i="14"/>
  <c r="Z10" i="14"/>
  <c r="Z18" i="14"/>
  <c r="Z26" i="14"/>
  <c r="Z34" i="14"/>
  <c r="Z42" i="14"/>
  <c r="Z50" i="14"/>
  <c r="Z58" i="14"/>
  <c r="Z66" i="14"/>
  <c r="Z74" i="14"/>
  <c r="Z82" i="14"/>
  <c r="Z90" i="14"/>
  <c r="Z98" i="14"/>
  <c r="Z106" i="14"/>
  <c r="Z11" i="14"/>
  <c r="Z19" i="14"/>
  <c r="Z27" i="14"/>
  <c r="Z35" i="14"/>
  <c r="Z43" i="14"/>
  <c r="Z51" i="14"/>
  <c r="Z59" i="14"/>
  <c r="Z67" i="14"/>
  <c r="Z75" i="14"/>
  <c r="Z83" i="14"/>
  <c r="Z91" i="14"/>
  <c r="Z99" i="14"/>
  <c r="Z107" i="14"/>
  <c r="Z115" i="14"/>
  <c r="Z123" i="14"/>
  <c r="Z130" i="14"/>
  <c r="Z135" i="14"/>
  <c r="Z141" i="14"/>
  <c r="Z146" i="14"/>
  <c r="Z151" i="14"/>
  <c r="Z157" i="14"/>
  <c r="Z162" i="14"/>
  <c r="Z167" i="14"/>
  <c r="Z173" i="14"/>
  <c r="Z178" i="14"/>
  <c r="Z183" i="14"/>
  <c r="Z189" i="14"/>
  <c r="Z194" i="14"/>
  <c r="Z199" i="14"/>
  <c r="Z205" i="14"/>
  <c r="Z210" i="14"/>
  <c r="Z215" i="14"/>
  <c r="Z221" i="14"/>
  <c r="Z226" i="14"/>
  <c r="Z231" i="14"/>
  <c r="Z237" i="14"/>
  <c r="Z242" i="14"/>
  <c r="Z247" i="14"/>
  <c r="Z253" i="14"/>
  <c r="Z258" i="14"/>
  <c r="Z263" i="14"/>
  <c r="Z14" i="14"/>
  <c r="Z22" i="14"/>
  <c r="Z30" i="14"/>
  <c r="Z38" i="14"/>
  <c r="Z46" i="14"/>
  <c r="Z54" i="14"/>
  <c r="Z62" i="14"/>
  <c r="Z70" i="14"/>
  <c r="Z78" i="14"/>
  <c r="Z86" i="14"/>
  <c r="Z94" i="14"/>
  <c r="Z102" i="14"/>
  <c r="Z110" i="14"/>
  <c r="Z118" i="14"/>
  <c r="Z126" i="14"/>
  <c r="Z131" i="14"/>
  <c r="Z137" i="14"/>
  <c r="Z142" i="14"/>
  <c r="Z147" i="14"/>
  <c r="Z153" i="14"/>
  <c r="Z158" i="14"/>
  <c r="Z163" i="14"/>
  <c r="Z169" i="14"/>
  <c r="Z174" i="14"/>
  <c r="Z179" i="14"/>
  <c r="Z185" i="14"/>
  <c r="Z190" i="14"/>
  <c r="Z195" i="14"/>
  <c r="Z201" i="14"/>
  <c r="Z206" i="14"/>
  <c r="Z211" i="14"/>
  <c r="Z217" i="14"/>
  <c r="Z222" i="14"/>
  <c r="Z227" i="14"/>
  <c r="Z233" i="14"/>
  <c r="Z238" i="14"/>
  <c r="Z243" i="14"/>
  <c r="Z249" i="14"/>
  <c r="Z254" i="14"/>
  <c r="Z259" i="14"/>
  <c r="Z15" i="14"/>
  <c r="Z23" i="14"/>
  <c r="Z31" i="14"/>
  <c r="Z39" i="14"/>
  <c r="Z71" i="14"/>
  <c r="Z103" i="14"/>
  <c r="Z122" i="14"/>
  <c r="Z134" i="14"/>
  <c r="Z145" i="14"/>
  <c r="Z155" i="14"/>
  <c r="Z166" i="14"/>
  <c r="Z177" i="14"/>
  <c r="Z187" i="14"/>
  <c r="Z198" i="14"/>
  <c r="Z209" i="14"/>
  <c r="Z219" i="14"/>
  <c r="Z230" i="14"/>
  <c r="Z241" i="14"/>
  <c r="Z251" i="14"/>
  <c r="Z262" i="14"/>
  <c r="Z47" i="14"/>
  <c r="Z79" i="14"/>
  <c r="Z111" i="14"/>
  <c r="Z127" i="14"/>
  <c r="Z138" i="14"/>
  <c r="Z149" i="14"/>
  <c r="Z159" i="14"/>
  <c r="Z170" i="14"/>
  <c r="Z181" i="14"/>
  <c r="Z191" i="14"/>
  <c r="Z202" i="14"/>
  <c r="Z213" i="14"/>
  <c r="Z223" i="14"/>
  <c r="Z234" i="14"/>
  <c r="Z245" i="14"/>
  <c r="Z255" i="14"/>
  <c r="Z55" i="14"/>
  <c r="Z87" i="14"/>
  <c r="Z114" i="14"/>
  <c r="Z129" i="14"/>
  <c r="Z139" i="14"/>
  <c r="Z150" i="14"/>
  <c r="Z161" i="14"/>
  <c r="Z171" i="14"/>
  <c r="Z182" i="14"/>
  <c r="Z193" i="14"/>
  <c r="Z203" i="14"/>
  <c r="Z214" i="14"/>
  <c r="Z225" i="14"/>
  <c r="Z235" i="14"/>
  <c r="Z246" i="14"/>
  <c r="Z257" i="14"/>
  <c r="Z63" i="14"/>
  <c r="Z95" i="14"/>
  <c r="Z119" i="14"/>
  <c r="Z133" i="14"/>
  <c r="Z143" i="14"/>
  <c r="Z154" i="14"/>
  <c r="Z165" i="14"/>
  <c r="Z175" i="14"/>
  <c r="Z186" i="14"/>
  <c r="Z197" i="14"/>
  <c r="Z207" i="14"/>
  <c r="Z218" i="14"/>
  <c r="Z229" i="14"/>
  <c r="Z239" i="14"/>
  <c r="Z250" i="14"/>
  <c r="Z261" i="14"/>
  <c r="E56" i="13"/>
  <c r="M19" i="13" s="1"/>
  <c r="M22" i="13"/>
  <c r="M37" i="13"/>
  <c r="K37" i="13" s="1"/>
  <c r="M9" i="14" l="1"/>
  <c r="K36" i="13"/>
  <c r="K19" i="13"/>
  <c r="K18" i="13" s="1"/>
  <c r="K22" i="13"/>
  <c r="K21" i="13" s="1"/>
  <c r="M11" i="14" l="1"/>
  <c r="N11" i="14" s="1"/>
  <c r="M12" i="14"/>
  <c r="M13" i="14" s="1"/>
  <c r="M14" i="14" s="1"/>
  <c r="L29" i="14" s="1"/>
  <c r="N9" i="14"/>
  <c r="M35" i="13" l="1"/>
  <c r="O9" i="14"/>
  <c r="P9" i="14" s="1"/>
  <c r="K17" i="13" s="1"/>
  <c r="M16" i="13" s="1"/>
  <c r="K16" i="13" s="1"/>
  <c r="K15" i="13" s="1"/>
  <c r="R11" i="14"/>
  <c r="R9" i="14"/>
  <c r="R10" i="14"/>
  <c r="R12" i="14"/>
  <c r="R8" i="14"/>
  <c r="R13" i="14"/>
  <c r="R15" i="14"/>
  <c r="R14" i="14"/>
  <c r="K35" i="13" l="1"/>
  <c r="M34" i="13" s="1"/>
  <c r="K34" i="13" s="1"/>
  <c r="K33" i="13" s="1"/>
</calcChain>
</file>

<file path=xl/sharedStrings.xml><?xml version="1.0" encoding="utf-8"?>
<sst xmlns="http://schemas.openxmlformats.org/spreadsheetml/2006/main" count="789" uniqueCount="676">
  <si>
    <t>V</t>
  </si>
  <si>
    <t>mV/A</t>
  </si>
  <si>
    <t>A</t>
  </si>
  <si>
    <t>Processor Requirements</t>
  </si>
  <si>
    <t>System Requirements</t>
  </si>
  <si>
    <t>kHz</t>
  </si>
  <si>
    <t>mV</t>
  </si>
  <si>
    <r>
      <t>mV/</t>
    </r>
    <r>
      <rPr>
        <sz val="12"/>
        <rFont val="Symbol"/>
        <family val="1"/>
        <charset val="2"/>
      </rPr>
      <t>m</t>
    </r>
    <r>
      <rPr>
        <sz val="12"/>
        <rFont val="Arial"/>
        <family val="2"/>
      </rPr>
      <t>s</t>
    </r>
  </si>
  <si>
    <t>INSTRUCTIONS</t>
  </si>
  <si>
    <t>Number of phases</t>
  </si>
  <si>
    <t>Maximum Current (Icc_max)</t>
  </si>
  <si>
    <t>nH</t>
  </si>
  <si>
    <t>Select Undershoot Reduction</t>
  </si>
  <si>
    <t>Typical Input Voltage</t>
  </si>
  <si>
    <t>Switching Frequency</t>
  </si>
  <si>
    <t>Choose Inductor</t>
  </si>
  <si>
    <t>DCR of the Inductor</t>
  </si>
  <si>
    <r>
      <t>m</t>
    </r>
    <r>
      <rPr>
        <sz val="12"/>
        <rFont val="Calibri"/>
        <family val="2"/>
      </rPr>
      <t>Ω</t>
    </r>
  </si>
  <si>
    <t>Maximum Load Step</t>
  </si>
  <si>
    <t>Thermal Design Current (TDC)</t>
  </si>
  <si>
    <t>(Valley Current Limit)</t>
  </si>
  <si>
    <r>
      <t>SL</t>
    </r>
    <r>
      <rPr>
        <vertAlign val="subscript"/>
        <sz val="10"/>
        <color rgb="FFFF0000"/>
        <rFont val="Arial"/>
        <family val="2"/>
      </rPr>
      <t>SET</t>
    </r>
    <r>
      <rPr>
        <sz val="10"/>
        <color rgb="FFFF0000"/>
        <rFont val="Arial"/>
        <family val="2"/>
      </rPr>
      <t xml:space="preserve">   Slew Rate Setting  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</si>
  <si>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≤ 20kΩ </t>
    </r>
  </si>
  <si>
    <t>mV/µs</t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</si>
  <si>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24kΩ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</si>
  <si>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30kΩ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</si>
  <si>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39kΩ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</si>
  <si>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56kΩ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</si>
  <si>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75kΩ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</si>
  <si>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= 100kΩ</t>
    </r>
  </si>
  <si>
    <r>
      <t>R</t>
    </r>
    <r>
      <rPr>
        <vertAlign val="subscript"/>
        <sz val="10"/>
        <color rgb="FFFF0000"/>
        <rFont val="Arial"/>
        <family val="2"/>
      </rPr>
      <t>SLEW-MODE</t>
    </r>
    <r>
      <rPr>
        <sz val="10"/>
        <color rgb="FFFF0000"/>
        <rFont val="Arial"/>
        <family val="2"/>
      </rPr>
      <t xml:space="preserve"> ≥ 150kΩ</t>
    </r>
  </si>
  <si>
    <r>
      <t>T</t>
    </r>
    <r>
      <rPr>
        <vertAlign val="subscript"/>
        <sz val="10"/>
        <rFont val="Arial"/>
        <family val="2"/>
      </rPr>
      <t>TON</t>
    </r>
    <r>
      <rPr>
        <sz val="10"/>
        <rFont val="Arial"/>
        <family val="2"/>
      </rPr>
      <t xml:space="preserve">   On-Time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</si>
  <si>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=20kΩ,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(300kHz)</t>
    </r>
  </si>
  <si>
    <t>ns</t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</si>
  <si>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=24kΩ,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(400kHz)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</si>
  <si>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=30kΩ,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(500kHz)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</si>
  <si>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=39kΩ,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(600kHz)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</si>
  <si>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=56kΩ,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(700kHz)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</si>
  <si>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=75kΩ,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(800kHz)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</si>
  <si>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=100kΩ,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(900kHz)</t>
    </r>
  </si>
  <si>
    <r>
      <t>R</t>
    </r>
    <r>
      <rPr>
        <vertAlign val="subscript"/>
        <sz val="10"/>
        <rFont val="Arial"/>
        <family val="2"/>
      </rPr>
      <t>CF</t>
    </r>
    <r>
      <rPr>
        <sz val="10"/>
        <rFont val="Arial"/>
        <family val="2"/>
      </rPr>
      <t>=150kΩ, V</t>
    </r>
    <r>
      <rPr>
        <vertAlign val="subscript"/>
        <sz val="10"/>
        <rFont val="Arial"/>
        <family val="2"/>
      </rPr>
      <t>IN</t>
    </r>
    <r>
      <rPr>
        <sz val="10"/>
        <rFont val="Arial"/>
        <family val="2"/>
      </rPr>
      <t>=12V, V</t>
    </r>
    <r>
      <rPr>
        <vertAlign val="subscript"/>
        <sz val="10"/>
        <rFont val="Arial"/>
        <family val="2"/>
      </rPr>
      <t>VSP</t>
    </r>
    <r>
      <rPr>
        <sz val="10"/>
        <rFont val="Arial"/>
        <family val="2"/>
      </rPr>
      <t>=1V (1MHz)</t>
    </r>
  </si>
  <si>
    <t>MODE MODE Bits Set</t>
  </si>
  <si>
    <t>MFR_SPEC_13&lt;7&gt;</t>
  </si>
  <si>
    <r>
      <t>VR12</t>
    </r>
    <r>
      <rPr>
        <vertAlign val="subscript"/>
        <sz val="10"/>
        <color rgb="FFFF0000"/>
        <rFont val="Arial"/>
        <family val="2"/>
      </rPr>
      <t>MODE</t>
    </r>
  </si>
  <si>
    <t>0: VR12.5.</t>
  </si>
  <si>
    <t>1: VR12.0.</t>
  </si>
  <si>
    <t>MFR_SPEC_13&lt;6&gt;</t>
  </si>
  <si>
    <r>
      <t>PI</t>
    </r>
    <r>
      <rPr>
        <vertAlign val="subscript"/>
        <sz val="10"/>
        <color rgb="FFFF0000"/>
        <rFont val="Arial"/>
        <family val="2"/>
      </rPr>
      <t>SET</t>
    </r>
  </si>
  <si>
    <t>0: 4 phase interleaving individually.</t>
  </si>
  <si>
    <t>1: 1/3 and 2/4 two phase interleaving.</t>
  </si>
  <si>
    <r>
      <t>MODE bit M</t>
    </r>
    <r>
      <rPr>
        <vertAlign val="subscript"/>
        <sz val="10"/>
        <color rgb="FFFF0000"/>
        <rFont val="Arial"/>
        <family val="2"/>
      </rPr>
      <t>1</t>
    </r>
  </si>
  <si>
    <t>MFR_SPEC_13&lt;4&gt;</t>
  </si>
  <si>
    <r>
      <t>DPS</t>
    </r>
    <r>
      <rPr>
        <vertAlign val="subscript"/>
        <sz val="10"/>
        <color rgb="FFFF0000"/>
        <rFont val="Arial"/>
        <family val="2"/>
      </rPr>
      <t>EN</t>
    </r>
  </si>
  <si>
    <t>0: Disable dynamic phase shedding.</t>
  </si>
  <si>
    <t>1: Enable dynamic phase shedding.</t>
  </si>
  <si>
    <r>
      <t>MODE bit M</t>
    </r>
    <r>
      <rPr>
        <vertAlign val="subscript"/>
        <sz val="10"/>
        <color rgb="FFFF0000"/>
        <rFont val="Arial"/>
        <family val="2"/>
      </rPr>
      <t>0</t>
    </r>
  </si>
  <si>
    <t>MFR_SPEC_13&lt;3&gt;</t>
  </si>
  <si>
    <r>
      <t>ZLL</t>
    </r>
    <r>
      <rPr>
        <vertAlign val="subscript"/>
        <sz val="10"/>
        <color rgb="FFFF0000"/>
        <rFont val="Arial"/>
        <family val="2"/>
      </rPr>
      <t>SET</t>
    </r>
  </si>
  <si>
    <t>0: Non-zero load-line</t>
  </si>
  <si>
    <t>1: Zero load-line</t>
  </si>
  <si>
    <r>
      <t>V</t>
    </r>
    <r>
      <rPr>
        <vertAlign val="subscript"/>
        <sz val="10"/>
        <color rgb="FFFF0000"/>
        <rFont val="Arial"/>
        <family val="2"/>
      </rPr>
      <t>TSEN</t>
    </r>
    <r>
      <rPr>
        <sz val="10"/>
        <color rgb="FFFF0000"/>
        <rFont val="Arial"/>
        <family val="2"/>
      </rPr>
      <t xml:space="preserve">  Thermal Voltage</t>
    </r>
  </si>
  <si>
    <t xml:space="preserve">                   Definition</t>
  </si>
  <si>
    <t>@ 90 degree C</t>
  </si>
  <si>
    <t>@ 95 degree C</t>
  </si>
  <si>
    <t>@ 100 degree C</t>
  </si>
  <si>
    <t>@ 105 degree C</t>
  </si>
  <si>
    <t>@ 110 degree C</t>
  </si>
  <si>
    <t>@ 115 degree C</t>
  </si>
  <si>
    <t>@ 120 degree C</t>
  </si>
  <si>
    <t>@ 125 degree C</t>
  </si>
  <si>
    <r>
      <t>V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OSR Voltage Set 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</si>
  <si>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≤ 20kΩ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</si>
  <si>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= 24kΩ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</si>
  <si>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= 30kΩ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</si>
  <si>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= 39kΩ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</si>
  <si>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= 56kΩ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</si>
  <si>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= 75kΩ</t>
    </r>
  </si>
  <si>
    <r>
      <t>R</t>
    </r>
    <r>
      <rPr>
        <vertAlign val="subscript"/>
        <sz val="10"/>
        <color rgb="FFFF0000"/>
        <rFont val="Arial"/>
        <family val="2"/>
      </rPr>
      <t xml:space="preserve">OSR </t>
    </r>
    <r>
      <rPr>
        <sz val="10"/>
        <color rgb="FFFF0000"/>
        <rFont val="Arial"/>
        <family val="2"/>
      </rPr>
      <t>= 100kΩ</t>
    </r>
  </si>
  <si>
    <r>
      <t>R</t>
    </r>
    <r>
      <rPr>
        <vertAlign val="subscript"/>
        <sz val="10"/>
        <color rgb="FFFF0000"/>
        <rFont val="Arial"/>
        <family val="2"/>
      </rPr>
      <t>OSR</t>
    </r>
    <r>
      <rPr>
        <sz val="10"/>
        <color rgb="FFFF0000"/>
        <rFont val="Arial"/>
        <family val="2"/>
      </rPr>
      <t xml:space="preserve"> ≥ 150kΩ (OSR OFF)</t>
    </r>
  </si>
  <si>
    <r>
      <t>V</t>
    </r>
    <r>
      <rPr>
        <vertAlign val="subscript"/>
        <sz val="10"/>
        <color rgb="FFFF0000"/>
        <rFont val="Arial"/>
        <family val="2"/>
      </rPr>
      <t>USR</t>
    </r>
    <r>
      <rPr>
        <sz val="10"/>
        <color rgb="FFFF0000"/>
        <rFont val="Arial"/>
        <family val="2"/>
      </rPr>
      <t xml:space="preserve"> USR Voltage Set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</si>
  <si>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0.2V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</si>
  <si>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0.4V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</si>
  <si>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0.6V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</si>
  <si>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0.8V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</si>
  <si>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1.0V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</si>
  <si>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1.2V</t>
    </r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</si>
  <si>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1.4V</t>
    </r>
  </si>
  <si>
    <t>RAMP   RAMP Setting</t>
  </si>
  <si>
    <r>
      <t>mV</t>
    </r>
    <r>
      <rPr>
        <vertAlign val="subscript"/>
        <sz val="10"/>
        <color rgb="FFFF0000"/>
        <rFont val="Arial"/>
        <family val="2"/>
      </rPr>
      <t>p-p</t>
    </r>
  </si>
  <si>
    <t>Calculated Per-Phase Current Ripple</t>
  </si>
  <si>
    <t>Boot Voltage</t>
  </si>
  <si>
    <t>VR12.0</t>
  </si>
  <si>
    <t>VR12.5</t>
  </si>
  <si>
    <t>R to VREF</t>
  </si>
  <si>
    <t>R to GND</t>
  </si>
  <si>
    <t>Pin 29 (SLEW-MODE)</t>
  </si>
  <si>
    <t>Pin 30 (O-USR)</t>
  </si>
  <si>
    <t>Pin 12 (ISUM)</t>
  </si>
  <si>
    <t>Select Overshoot Reduction</t>
  </si>
  <si>
    <t>Undershoot/Overshoot Selections</t>
  </si>
  <si>
    <t>Ramp Height Selection</t>
  </si>
  <si>
    <t>1. Enter the parameters in Green Cells</t>
  </si>
  <si>
    <t>Rev:</t>
  </si>
  <si>
    <t xml:space="preserve">Last Updated: </t>
  </si>
  <si>
    <t>Dynamic Phase Shedding</t>
  </si>
  <si>
    <t>Non-Zero Loadline</t>
  </si>
  <si>
    <t>Zero Loadline</t>
  </si>
  <si>
    <t>Mode Selections</t>
  </si>
  <si>
    <t xml:space="preserve"> </t>
  </si>
  <si>
    <r>
      <t>V</t>
    </r>
    <r>
      <rPr>
        <vertAlign val="subscript"/>
        <sz val="10"/>
        <color rgb="FFFF0000"/>
        <rFont val="Arial"/>
        <family val="2"/>
      </rPr>
      <t>OCL</t>
    </r>
    <r>
      <rPr>
        <sz val="10"/>
        <color rgb="FFFF0000"/>
        <rFont val="Arial"/>
        <family val="2"/>
      </rPr>
      <t xml:space="preserve"> OCL Voltage </t>
    </r>
  </si>
  <si>
    <t>Amp</t>
  </si>
  <si>
    <t>Pin 2 (IMON)</t>
  </si>
  <si>
    <t>Pin 32 (F-IMAX)</t>
  </si>
  <si>
    <t>Valley Current Limit Selection</t>
  </si>
  <si>
    <t xml:space="preserve">Per-Phase Valley Current </t>
  </si>
  <si>
    <t>Per-Phase Thremal Design Current (DC)</t>
  </si>
  <si>
    <t>Per-Phase Maximum Current (DC)</t>
  </si>
  <si>
    <t>Customer:</t>
  </si>
  <si>
    <t>Schematics:</t>
  </si>
  <si>
    <t>Created Date:</t>
  </si>
  <si>
    <t>Descriptions:</t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</si>
  <si>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20kΩ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</si>
  <si>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24kΩ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</si>
  <si>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30kΩ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</si>
  <si>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39kΩ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</si>
  <si>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56kΩ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</si>
  <si>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75kΩ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</si>
  <si>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100kΩ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</si>
  <si>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150kΩ and VOCP&lt;0.824V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</si>
  <si>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20kΩ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</si>
  <si>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24kΩ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</si>
  <si>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30kΩ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</si>
  <si>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39kΩ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</si>
  <si>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56kΩ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</si>
  <si>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75kΩ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</si>
  <si>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100kΩ and VOCP&gt;0.876V</t>
    </r>
  </si>
  <si>
    <r>
      <t>R</t>
    </r>
    <r>
      <rPr>
        <vertAlign val="subscript"/>
        <sz val="10"/>
        <color rgb="FFFF0000"/>
        <rFont val="Arial"/>
        <family val="2"/>
      </rPr>
      <t>OCP</t>
    </r>
    <r>
      <rPr>
        <sz val="10"/>
        <color rgb="FFFF0000"/>
        <rFont val="Arial"/>
        <family val="2"/>
      </rPr>
      <t xml:space="preserve"> = 150kΩ and VOCP&gt;0.876V</t>
    </r>
  </si>
  <si>
    <t>Non-Volatile Memory Selection</t>
  </si>
  <si>
    <t>Enable Loadline Function</t>
  </si>
  <si>
    <t>Designator</t>
  </si>
  <si>
    <t xml:space="preserve">Pinstrap </t>
  </si>
  <si>
    <t>C to GND</t>
  </si>
  <si>
    <t xml:space="preserve">R </t>
  </si>
  <si>
    <t>C (in series with R)</t>
  </si>
  <si>
    <t>C (in parallel with R)</t>
  </si>
  <si>
    <t>Pin 11 (COMP)</t>
  </si>
  <si>
    <t>PMBus Address (7 bits)</t>
  </si>
  <si>
    <t>Off</t>
  </si>
  <si>
    <t>Disable</t>
  </si>
  <si>
    <t>Enable</t>
  </si>
  <si>
    <t>Individual</t>
  </si>
  <si>
    <r>
      <t>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0.2V or 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1.0V</t>
    </r>
  </si>
  <si>
    <r>
      <t>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0.4V or 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1.2V</t>
    </r>
  </si>
  <si>
    <r>
      <t>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0.6V or 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1.4V</t>
    </r>
  </si>
  <si>
    <r>
      <t>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0.8V or V</t>
    </r>
    <r>
      <rPr>
        <vertAlign val="subscript"/>
        <sz val="10"/>
        <rFont val="Arial"/>
        <family val="2"/>
      </rPr>
      <t>OCL-R</t>
    </r>
    <r>
      <rPr>
        <sz val="10"/>
        <rFont val="Arial"/>
        <family val="2"/>
      </rPr>
      <t xml:space="preserve"> = 1.6V</t>
    </r>
  </si>
  <si>
    <t>Pinstrap Mode</t>
  </si>
  <si>
    <t>NVM Mode</t>
  </si>
  <si>
    <t>Pin 39 (SKIP#-NVM)</t>
  </si>
  <si>
    <t>Pin 1 (OCL-R)</t>
  </si>
  <si>
    <t>Desired R (0.1%)</t>
  </si>
  <si>
    <t>R to GND (1%)</t>
  </si>
  <si>
    <t>R to VREF (0.1%)</t>
  </si>
  <si>
    <t>R to GND (0.1%)</t>
  </si>
  <si>
    <t>VID Table</t>
  </si>
  <si>
    <t>VID Voltage(0 A)</t>
  </si>
  <si>
    <t>Vout Change Slew Rate</t>
  </si>
  <si>
    <t>TRISE (vs. Vout Slew rate)</t>
  </si>
  <si>
    <t>1/2</t>
  </si>
  <si>
    <t>1/4</t>
  </si>
  <si>
    <t>1/8</t>
  </si>
  <si>
    <t>1</t>
  </si>
  <si>
    <t>VID</t>
  </si>
  <si>
    <t>Hex</t>
  </si>
  <si>
    <t>Voltage</t>
  </si>
  <si>
    <t>0A</t>
  </si>
  <si>
    <t>0B</t>
  </si>
  <si>
    <t>0C</t>
  </si>
  <si>
    <t>0D</t>
  </si>
  <si>
    <t>0E</t>
  </si>
  <si>
    <t>0F</t>
  </si>
  <si>
    <t>1A</t>
  </si>
  <si>
    <t>1B</t>
  </si>
  <si>
    <t>1C</t>
  </si>
  <si>
    <t>1D</t>
  </si>
  <si>
    <t>1E</t>
  </si>
  <si>
    <t>1F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</si>
  <si>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</si>
  <si>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</si>
  <si>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</si>
  <si>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</si>
  <si>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</si>
  <si>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</si>
  <si>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</si>
  <si>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</si>
  <si>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</si>
  <si>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</si>
  <si>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</si>
  <si>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</si>
  <si>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</si>
  <si>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</si>
  <si>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</si>
  <si>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</si>
  <si>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</si>
  <si>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</si>
  <si>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</si>
  <si>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</si>
  <si>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</si>
  <si>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5D</t>
  </si>
  <si>
    <t>5E</t>
  </si>
  <si>
    <t>5F</t>
  </si>
  <si>
    <t>6A</t>
  </si>
  <si>
    <t>6B</t>
  </si>
  <si>
    <t>6C</t>
  </si>
  <si>
    <t>6D</t>
  </si>
  <si>
    <t>6E</t>
  </si>
  <si>
    <t>6F</t>
  </si>
  <si>
    <t>7A</t>
  </si>
  <si>
    <t>7B</t>
  </si>
  <si>
    <t>7C</t>
  </si>
  <si>
    <t>7D</t>
  </si>
  <si>
    <t>7E</t>
  </si>
  <si>
    <t>7F</t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</si>
  <si>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</si>
  <si>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</si>
  <si>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</si>
  <si>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</si>
  <si>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</si>
  <si>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</si>
  <si>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</si>
  <si>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</si>
  <si>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</si>
  <si>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</si>
  <si>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</si>
  <si>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9F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</si>
  <si>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</si>
  <si>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</si>
  <si>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</si>
  <si>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</si>
  <si>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</si>
  <si>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</si>
  <si>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</si>
  <si>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</si>
  <si>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</si>
  <si>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</si>
  <si>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AA</t>
  </si>
  <si>
    <t>AB</t>
  </si>
  <si>
    <t>AC</t>
  </si>
  <si>
    <t>AD</t>
  </si>
  <si>
    <t>AE</t>
  </si>
  <si>
    <t>AF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</si>
  <si>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</si>
  <si>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</si>
  <si>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</si>
  <si>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</si>
  <si>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</si>
  <si>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</si>
  <si>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</si>
  <si>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</si>
  <si>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</si>
  <si>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</si>
  <si>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BA</t>
  </si>
  <si>
    <t>BB</t>
  </si>
  <si>
    <t>BC</t>
  </si>
  <si>
    <t>BD</t>
  </si>
  <si>
    <t>BE</t>
  </si>
  <si>
    <t>BF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</si>
  <si>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</si>
  <si>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</si>
  <si>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</si>
  <si>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</si>
  <si>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</si>
  <si>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</si>
  <si>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</si>
  <si>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</si>
  <si>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</si>
  <si>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</si>
  <si>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CA</t>
  </si>
  <si>
    <t>CB</t>
  </si>
  <si>
    <t>CC</t>
  </si>
  <si>
    <t>CD</t>
  </si>
  <si>
    <t>CE</t>
  </si>
  <si>
    <t>CF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</si>
  <si>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</si>
  <si>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</si>
  <si>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</si>
  <si>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</si>
  <si>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</si>
  <si>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</si>
  <si>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</si>
  <si>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</si>
  <si>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</si>
  <si>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</si>
  <si>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DA</t>
  </si>
  <si>
    <t>DB</t>
  </si>
  <si>
    <t>DC</t>
  </si>
  <si>
    <t>DD</t>
  </si>
  <si>
    <t>DE</t>
  </si>
  <si>
    <t>DF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</si>
  <si>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</si>
  <si>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</si>
  <si>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</si>
  <si>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</si>
  <si>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</si>
  <si>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</si>
  <si>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</si>
  <si>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</si>
  <si>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</si>
  <si>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</si>
  <si>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</si>
  <si>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</si>
  <si>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</si>
  <si>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</si>
  <si>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</si>
  <si>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</si>
  <si>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</si>
  <si>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</si>
  <si>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</si>
  <si>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</si>
  <si>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</si>
  <si>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</si>
  <si>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</si>
  <si>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</si>
  <si>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</si>
  <si>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</si>
  <si>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FA</t>
  </si>
  <si>
    <t>FB</t>
  </si>
  <si>
    <t>FC</t>
  </si>
  <si>
    <t>FD</t>
  </si>
  <si>
    <t>FE</t>
  </si>
  <si>
    <t>FF</t>
  </si>
  <si>
    <t>10</t>
  </si>
  <si>
    <t>11</t>
  </si>
  <si>
    <t>100</t>
  </si>
  <si>
    <t>101</t>
  </si>
  <si>
    <t>110</t>
  </si>
  <si>
    <t>111</t>
  </si>
  <si>
    <t>1000</t>
  </si>
  <si>
    <t>1001</t>
  </si>
  <si>
    <t>1010</t>
  </si>
  <si>
    <t>1011</t>
  </si>
  <si>
    <t>1100</t>
  </si>
  <si>
    <t>1101</t>
  </si>
  <si>
    <t>1110</t>
  </si>
  <si>
    <t>1111</t>
  </si>
  <si>
    <t>10000</t>
  </si>
  <si>
    <t>10001</t>
  </si>
  <si>
    <t>10010</t>
  </si>
  <si>
    <t>10011</t>
  </si>
  <si>
    <t>10100</t>
  </si>
  <si>
    <t>10101</t>
  </si>
  <si>
    <t>10110</t>
  </si>
  <si>
    <t>10111</t>
  </si>
  <si>
    <t>11000</t>
  </si>
  <si>
    <t>11001</t>
  </si>
  <si>
    <t>11010</t>
  </si>
  <si>
    <t>11011</t>
  </si>
  <si>
    <t>11100</t>
  </si>
  <si>
    <t>11101</t>
  </si>
  <si>
    <t>11110</t>
  </si>
  <si>
    <t>11111</t>
  </si>
  <si>
    <t>100000</t>
  </si>
  <si>
    <t>100001</t>
  </si>
  <si>
    <t>100010</t>
  </si>
  <si>
    <t>100011</t>
  </si>
  <si>
    <t>100100</t>
  </si>
  <si>
    <t>100101</t>
  </si>
  <si>
    <t>100110</t>
  </si>
  <si>
    <t>100111</t>
  </si>
  <si>
    <t>101000</t>
  </si>
  <si>
    <t>101001</t>
  </si>
  <si>
    <t>101010</t>
  </si>
  <si>
    <t>101011</t>
  </si>
  <si>
    <t>101100</t>
  </si>
  <si>
    <t>101101</t>
  </si>
  <si>
    <t>101110</t>
  </si>
  <si>
    <t>101111</t>
  </si>
  <si>
    <t>110000</t>
  </si>
  <si>
    <t>110001</t>
  </si>
  <si>
    <t>110010</t>
  </si>
  <si>
    <t>110011</t>
  </si>
  <si>
    <t>110100</t>
  </si>
  <si>
    <t>110101</t>
  </si>
  <si>
    <t>110110</t>
  </si>
  <si>
    <t>110111</t>
  </si>
  <si>
    <t>111000</t>
  </si>
  <si>
    <t>111001</t>
  </si>
  <si>
    <t>111010</t>
  </si>
  <si>
    <t>111011</t>
  </si>
  <si>
    <t>111100</t>
  </si>
  <si>
    <t>111101</t>
  </si>
  <si>
    <t>111110</t>
  </si>
  <si>
    <t>111111</t>
  </si>
  <si>
    <t>1000000</t>
  </si>
  <si>
    <t>1000001</t>
  </si>
  <si>
    <t>1000010</t>
  </si>
  <si>
    <t>1000011</t>
  </si>
  <si>
    <t>1000100</t>
  </si>
  <si>
    <t>1000101</t>
  </si>
  <si>
    <t>1000110</t>
  </si>
  <si>
    <t>1000111</t>
  </si>
  <si>
    <t>1001000</t>
  </si>
  <si>
    <t>1001001</t>
  </si>
  <si>
    <t>1001010</t>
  </si>
  <si>
    <t>1001011</t>
  </si>
  <si>
    <t>1001100</t>
  </si>
  <si>
    <t>1001101</t>
  </si>
  <si>
    <t>1001110</t>
  </si>
  <si>
    <t>1001111</t>
  </si>
  <si>
    <t>1010000</t>
  </si>
  <si>
    <t>1010001</t>
  </si>
  <si>
    <t>1010010</t>
  </si>
  <si>
    <t>1010011</t>
  </si>
  <si>
    <t>1010100</t>
  </si>
  <si>
    <t>1010101</t>
  </si>
  <si>
    <t>1010110</t>
  </si>
  <si>
    <t>1010111</t>
  </si>
  <si>
    <t>1011000</t>
  </si>
  <si>
    <t>1011001</t>
  </si>
  <si>
    <t>1011010</t>
  </si>
  <si>
    <t>1011011</t>
  </si>
  <si>
    <t>1011100</t>
  </si>
  <si>
    <t>1011101</t>
  </si>
  <si>
    <t>1011110</t>
  </si>
  <si>
    <t>1011111</t>
  </si>
  <si>
    <t>1100000</t>
  </si>
  <si>
    <t>1100001</t>
  </si>
  <si>
    <t>1100010</t>
  </si>
  <si>
    <t>1100011</t>
  </si>
  <si>
    <t>1100100</t>
  </si>
  <si>
    <t>1100101</t>
  </si>
  <si>
    <t>1100110</t>
  </si>
  <si>
    <t>1100111</t>
  </si>
  <si>
    <t>1101000</t>
  </si>
  <si>
    <t>1101001</t>
  </si>
  <si>
    <t>1101010</t>
  </si>
  <si>
    <t>1101011</t>
  </si>
  <si>
    <t>1101100</t>
  </si>
  <si>
    <t>1101101</t>
  </si>
  <si>
    <t>1101110</t>
  </si>
  <si>
    <t>1101111</t>
  </si>
  <si>
    <t>1110000</t>
  </si>
  <si>
    <t>1110001</t>
  </si>
  <si>
    <t>1110010</t>
  </si>
  <si>
    <t>1110011</t>
  </si>
  <si>
    <t>1110100</t>
  </si>
  <si>
    <t>1110101</t>
  </si>
  <si>
    <t>1110110</t>
  </si>
  <si>
    <t>1110111</t>
  </si>
  <si>
    <t>1111000</t>
  </si>
  <si>
    <t>1111001</t>
  </si>
  <si>
    <t>1111010</t>
  </si>
  <si>
    <t>1111011</t>
  </si>
  <si>
    <t>1111100</t>
  </si>
  <si>
    <t>1111101</t>
  </si>
  <si>
    <t>1111110</t>
  </si>
  <si>
    <t>1111111</t>
  </si>
  <si>
    <t>10000000</t>
  </si>
  <si>
    <t>10000001</t>
  </si>
  <si>
    <t>10000010</t>
  </si>
  <si>
    <t>10000011</t>
  </si>
  <si>
    <t>10000100</t>
  </si>
  <si>
    <t>10000101</t>
  </si>
  <si>
    <t>10000110</t>
  </si>
  <si>
    <t>10000111</t>
  </si>
  <si>
    <t>10001000</t>
  </si>
  <si>
    <t>10001001</t>
  </si>
  <si>
    <t>10001010</t>
  </si>
  <si>
    <t>10001011</t>
  </si>
  <si>
    <t>10001100</t>
  </si>
  <si>
    <t>10001101</t>
  </si>
  <si>
    <t>10001110</t>
  </si>
  <si>
    <t>10001111</t>
  </si>
  <si>
    <t>10010000</t>
  </si>
  <si>
    <t>10010001</t>
  </si>
  <si>
    <t>10010010</t>
  </si>
  <si>
    <t>10010011</t>
  </si>
  <si>
    <t>10010100</t>
  </si>
  <si>
    <t>10010101</t>
  </si>
  <si>
    <t>10010110</t>
  </si>
  <si>
    <t>10010111</t>
  </si>
  <si>
    <t>10011000</t>
  </si>
  <si>
    <t>10011001</t>
  </si>
  <si>
    <t>10011010</t>
  </si>
  <si>
    <t>10011011</t>
  </si>
  <si>
    <t>10011100</t>
  </si>
  <si>
    <t>10011101</t>
  </si>
  <si>
    <t>10011110</t>
  </si>
  <si>
    <t>10011111</t>
  </si>
  <si>
    <t>10100000</t>
  </si>
  <si>
    <t>10100001</t>
  </si>
  <si>
    <t>10100010</t>
  </si>
  <si>
    <t>10100011</t>
  </si>
  <si>
    <t>10100100</t>
  </si>
  <si>
    <t>10100101</t>
  </si>
  <si>
    <t>10100110</t>
  </si>
  <si>
    <t>10100111</t>
  </si>
  <si>
    <t>10101000</t>
  </si>
  <si>
    <t>10101001</t>
  </si>
  <si>
    <t>10101010</t>
  </si>
  <si>
    <t>10101011</t>
  </si>
  <si>
    <t>10101100</t>
  </si>
  <si>
    <t>10101101</t>
  </si>
  <si>
    <t>10101110</t>
  </si>
  <si>
    <t>10101111</t>
  </si>
  <si>
    <t>10110000</t>
  </si>
  <si>
    <t>10110001</t>
  </si>
  <si>
    <t>10110010</t>
  </si>
  <si>
    <t>10110011</t>
  </si>
  <si>
    <t>10110100</t>
  </si>
  <si>
    <t>10110101</t>
  </si>
  <si>
    <t>10110110</t>
  </si>
  <si>
    <t>10110111</t>
  </si>
  <si>
    <t>10111000</t>
  </si>
  <si>
    <t>10111001</t>
  </si>
  <si>
    <t>10111010</t>
  </si>
  <si>
    <t>10111011</t>
  </si>
  <si>
    <t>10111100</t>
  </si>
  <si>
    <t>10111101</t>
  </si>
  <si>
    <t>10111110</t>
  </si>
  <si>
    <t>10111111</t>
  </si>
  <si>
    <t>11000000</t>
  </si>
  <si>
    <t>11000001</t>
  </si>
  <si>
    <t>11000010</t>
  </si>
  <si>
    <t>11000011</t>
  </si>
  <si>
    <t>11000100</t>
  </si>
  <si>
    <t>11000101</t>
  </si>
  <si>
    <t>11000110</t>
  </si>
  <si>
    <t>11000111</t>
  </si>
  <si>
    <t>11001000</t>
  </si>
  <si>
    <t>11001001</t>
  </si>
  <si>
    <t>11001010</t>
  </si>
  <si>
    <t>11001011</t>
  </si>
  <si>
    <t>11001100</t>
  </si>
  <si>
    <t>11001101</t>
  </si>
  <si>
    <t>11001110</t>
  </si>
  <si>
    <t>11001111</t>
  </si>
  <si>
    <t>11010000</t>
  </si>
  <si>
    <t>11010001</t>
  </si>
  <si>
    <t>11010010</t>
  </si>
  <si>
    <t>11010011</t>
  </si>
  <si>
    <t>11010100</t>
  </si>
  <si>
    <t>11010101</t>
  </si>
  <si>
    <t>11010110</t>
  </si>
  <si>
    <t>11010111</t>
  </si>
  <si>
    <t>11011000</t>
  </si>
  <si>
    <t>11011001</t>
  </si>
  <si>
    <t>11011010</t>
  </si>
  <si>
    <t>11011011</t>
  </si>
  <si>
    <t>11011100</t>
  </si>
  <si>
    <t>11011101</t>
  </si>
  <si>
    <t>11011110</t>
  </si>
  <si>
    <t>11011111</t>
  </si>
  <si>
    <t>11100000</t>
  </si>
  <si>
    <t>11100001</t>
  </si>
  <si>
    <t>11100010</t>
  </si>
  <si>
    <t>11100011</t>
  </si>
  <si>
    <t>11100100</t>
  </si>
  <si>
    <t>11100101</t>
  </si>
  <si>
    <t>11100110</t>
  </si>
  <si>
    <t>11100111</t>
  </si>
  <si>
    <t>11101000</t>
  </si>
  <si>
    <t>11101001</t>
  </si>
  <si>
    <t>11101010</t>
  </si>
  <si>
    <t>11101011</t>
  </si>
  <si>
    <t>11101100</t>
  </si>
  <si>
    <t>11101101</t>
  </si>
  <si>
    <t>11101110</t>
  </si>
  <si>
    <t>11101111</t>
  </si>
  <si>
    <t>11110000</t>
  </si>
  <si>
    <t>11110001</t>
  </si>
  <si>
    <t>11110010</t>
  </si>
  <si>
    <t>11110011</t>
  </si>
  <si>
    <t>11110100</t>
  </si>
  <si>
    <t>11110101</t>
  </si>
  <si>
    <t>11110110</t>
  </si>
  <si>
    <t>11110111</t>
  </si>
  <si>
    <t>11111000</t>
  </si>
  <si>
    <t>11111001</t>
  </si>
  <si>
    <t>11111010</t>
  </si>
  <si>
    <t>11111011</t>
  </si>
  <si>
    <t>11111100</t>
  </si>
  <si>
    <t>11111101</t>
  </si>
  <si>
    <t>11111110</t>
  </si>
  <si>
    <t>11111111</t>
  </si>
  <si>
    <t>lsb vboot</t>
  </si>
  <si>
    <t>vid vboot</t>
  </si>
  <si>
    <t>trise bits</t>
  </si>
  <si>
    <t>total bit</t>
  </si>
  <si>
    <t>total bit dec</t>
  </si>
  <si>
    <t>MODE bit M3</t>
  </si>
  <si>
    <t>MODE bit M2</t>
  </si>
  <si>
    <t>B7B6B5B4</t>
  </si>
  <si>
    <t>B3B2B1</t>
  </si>
  <si>
    <t>B3B2B1B0</t>
  </si>
  <si>
    <t>Dec</t>
  </si>
  <si>
    <t>Pin 31 (VBOOT)</t>
  </si>
  <si>
    <t>Pin 28 (ADDR_TRISE)</t>
  </si>
  <si>
    <t xml:space="preserve">Phase Interleaving </t>
  </si>
  <si>
    <t>3x2 (1/3,2/4,5/6)</t>
  </si>
  <si>
    <t xml:space="preserve"> (M3M2M1M0)</t>
  </si>
  <si>
    <t>VSLEW_MODE ≤ 0.053V with ±20mV tolerance</t>
  </si>
  <si>
    <t>VSLEW_MODE = 0.159V with ±20mV tolerance</t>
  </si>
  <si>
    <t>VSLEW_MODE = 0.266V with ±20mV tolerance</t>
  </si>
  <si>
    <t>VSLEW_MODE = 0.372V with ±20mV tolerance</t>
  </si>
  <si>
    <t>VSLEW_MODE = 0.478V with ±20mV tolerance</t>
  </si>
  <si>
    <t>VSLEW_MODE = 0.584V with ±20mV tolerance</t>
  </si>
  <si>
    <t>VSLEW_MODE = 0.691V with ±20mV tolerance</t>
  </si>
  <si>
    <t>VSLEW_MODE = 0.797V with ±20mV tolerance</t>
  </si>
  <si>
    <t>VSLEW_MODE = 0.903V with ±20mV tolerance</t>
  </si>
  <si>
    <t>VSLEW_MODE = 1.009V with ±20mV tolerance</t>
  </si>
  <si>
    <t>VSLEW_MODE = 1.116V with ±20mV tolerance</t>
  </si>
  <si>
    <t>VSLEW_MODE = 1.222V with ±20mV tolerance</t>
  </si>
  <si>
    <t>VSLEW_MODE = 1.328V with ±20mV tolerance</t>
  </si>
  <si>
    <t>VSLEW_MODE = 1.434V with ±20mV tolerance</t>
  </si>
  <si>
    <t>VSLEW_MODE = 1.541V with ±20mV tolerance</t>
  </si>
  <si>
    <t>VSLEW_MODE =1.615V with ±10mV tolerance</t>
  </si>
  <si>
    <r>
      <t>V</t>
    </r>
    <r>
      <rPr>
        <vertAlign val="subscript"/>
        <sz val="10"/>
        <color rgb="FFFF0000"/>
        <rFont val="Arial"/>
        <family val="2"/>
      </rPr>
      <t>O-USR</t>
    </r>
    <r>
      <rPr>
        <sz val="10"/>
        <color rgb="FFFF0000"/>
        <rFont val="Arial"/>
        <family val="2"/>
      </rPr>
      <t xml:space="preserve"> = 1.6V (USR OFF)</t>
    </r>
  </si>
  <si>
    <r>
      <t>SL</t>
    </r>
    <r>
      <rPr>
        <vertAlign val="subscript"/>
        <sz val="10"/>
        <color rgb="FF0000FF"/>
        <rFont val="Arial"/>
        <family val="2"/>
      </rPr>
      <t>RISE</t>
    </r>
    <r>
      <rPr>
        <sz val="10"/>
        <color rgb="FF0000FF"/>
        <rFont val="Arial"/>
        <family val="2"/>
      </rPr>
      <t xml:space="preserve"> Soft start rise slew rate in terms of Vout slew rate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</si>
  <si>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≤ 20k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>,  or 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24k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or MFR_SPEC_12&lt;1:0&gt; = 00b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</si>
  <si>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30kΩ,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39kΩ MFR_SPEC_12&lt;1:0&gt; = 01b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</si>
  <si>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56kΩ,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75kΩ MFR_SPEC_12&lt;1:0&gt; = 10b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</si>
  <si>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100kΩ,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150kΩ MFR_SPEC_12&lt;1:0&gt; = 11b</t>
    </r>
  </si>
  <si>
    <t>BOOT   BOOT Voltage</t>
  </si>
  <si>
    <r>
      <t xml:space="preserve">                  Setting (B</t>
    </r>
    <r>
      <rPr>
        <vertAlign val="subscript"/>
        <sz val="10"/>
        <color rgb="FF0000FF"/>
        <rFont val="Arial"/>
        <family val="2"/>
      </rPr>
      <t>0</t>
    </r>
    <r>
      <rPr>
        <sz val="10"/>
        <color rgb="FF0000FF"/>
        <rFont val="Arial"/>
        <family val="2"/>
      </rPr>
      <t>)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</si>
  <si>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≤ 20k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>,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30k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56k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100k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</t>
    </r>
  </si>
  <si>
    <r>
      <t>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24k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>,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39k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75k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or R</t>
    </r>
    <r>
      <rPr>
        <vertAlign val="subscript"/>
        <sz val="10"/>
        <color rgb="FF0000FF"/>
        <rFont val="Arial"/>
        <family val="2"/>
      </rPr>
      <t>ADDR</t>
    </r>
    <r>
      <rPr>
        <sz val="10"/>
        <color rgb="FF0000FF"/>
        <rFont val="Arial"/>
        <family val="2"/>
      </rPr>
      <t xml:space="preserve"> = 150k</t>
    </r>
    <r>
      <rPr>
        <sz val="10"/>
        <color rgb="FF0000FF"/>
        <rFont val="MS Mincho"/>
        <family val="3"/>
      </rPr>
      <t>Ω</t>
    </r>
    <r>
      <rPr>
        <sz val="10"/>
        <color rgb="FF0000FF"/>
        <rFont val="Arial"/>
        <family val="2"/>
      </rPr>
      <t xml:space="preserve"> </t>
    </r>
  </si>
  <si>
    <r>
      <t xml:space="preserve">PADDR PMBus Address Bits Set </t>
    </r>
    <r>
      <rPr>
        <sz val="9"/>
        <rFont val="Arial"/>
        <family val="2"/>
      </rPr>
      <t>(11</t>
    </r>
    <r>
      <rPr>
        <b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>4</t>
    </r>
    <r>
      <rPr>
        <sz val="9"/>
        <rFont val="Arial"/>
        <family val="2"/>
      </rPr>
      <t>0</t>
    </r>
    <r>
      <rPr>
        <b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>1</t>
    </r>
    <r>
      <rPr>
        <b/>
        <sz val="9"/>
        <rFont val="Arial"/>
        <family val="2"/>
      </rPr>
      <t>P</t>
    </r>
    <r>
      <rPr>
        <b/>
        <vertAlign val="subscript"/>
        <sz val="9"/>
        <rFont val="Arial"/>
        <family val="2"/>
      </rPr>
      <t>0</t>
    </r>
    <r>
      <rPr>
        <sz val="9"/>
        <rFont val="Arial"/>
        <family val="2"/>
      </rPr>
      <t>)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</si>
  <si>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≤ 0.053V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</si>
  <si>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0.159V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</si>
  <si>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0.266V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</si>
  <si>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0.372V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</si>
  <si>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0.478V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</si>
  <si>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0.584V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</si>
  <si>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0.691V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</si>
  <si>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0.797V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</si>
  <si>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0.903V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</si>
  <si>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1.009V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</si>
  <si>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1.116V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</si>
  <si>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1.222V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</si>
  <si>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1.328V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</si>
  <si>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1.434V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</si>
  <si>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1.541V with ±20mV tolerance</t>
    </r>
  </si>
  <si>
    <r>
      <t>V</t>
    </r>
    <r>
      <rPr>
        <vertAlign val="subscript"/>
        <sz val="10"/>
        <rFont val="Arial"/>
        <family val="2"/>
      </rPr>
      <t>ADDR</t>
    </r>
    <r>
      <rPr>
        <sz val="10"/>
        <rFont val="Arial"/>
        <family val="2"/>
      </rPr>
      <t xml:space="preserve"> = 1.615V with ±10mV tolerance</t>
    </r>
  </si>
  <si>
    <t>Setting (B3B2B1)</t>
  </si>
  <si>
    <t>RBOOT ≤ 20kΩ</t>
  </si>
  <si>
    <t>RBOOT = 24kΩ</t>
  </si>
  <si>
    <t>RBOOT ≤ 30kΩ</t>
  </si>
  <si>
    <t>RBOOT = 39kΩ</t>
  </si>
  <si>
    <t>RBOOT = 56kΩ</t>
  </si>
  <si>
    <t>RBOOT = 75kΩ</t>
  </si>
  <si>
    <t>RBOOT = 100kΩ</t>
  </si>
  <si>
    <t>RBOOT = 150kΩ</t>
  </si>
  <si>
    <t xml:space="preserve">   </t>
  </si>
  <si>
    <t xml:space="preserve">                  </t>
  </si>
  <si>
    <t>VBOOT ≤ 0.053V with ±20mV tolerance</t>
  </si>
  <si>
    <t>VBOOT = 0.159V with ±20mV tolerance</t>
  </si>
  <si>
    <t>VBOOT = 0.266V with ±20mV tolerance</t>
  </si>
  <si>
    <t>VBOOT = 0.372V with ±20mV tolerance</t>
  </si>
  <si>
    <t>VBOOT = 0.478V with ±20mV tolerance</t>
  </si>
  <si>
    <t>VBOOT = 0.584V with ±20mV tolerance</t>
  </si>
  <si>
    <t>VBOOT = 0.691V with ±20mV tolerance</t>
  </si>
  <si>
    <t>VBOOT = 0.797V with ±20mV tolerance</t>
  </si>
  <si>
    <t>VBOOT = 0.903V with ±20mV tolerance</t>
  </si>
  <si>
    <t>VBOOT = 1.009V with ±20mV tolerance</t>
  </si>
  <si>
    <t>VBOOT = 1.116V with ±20mV tolerance</t>
  </si>
  <si>
    <t>VBOOT = 1.222V with ±20mV tolerance</t>
  </si>
  <si>
    <t>VBOOT = 1.328V with ±20mV tolerance</t>
  </si>
  <si>
    <t>VBOOT = 1.434V with ±20mV tolerance</t>
  </si>
  <si>
    <t>VBOOT = 1.541V with ±20mV tolerance</t>
  </si>
  <si>
    <t>Setting(B7B6B5B4)</t>
  </si>
  <si>
    <t>VBOOT = 1.615V with ±10mV tolerance</t>
  </si>
  <si>
    <t>1.01</t>
  </si>
  <si>
    <r>
      <t>TPS53667</t>
    </r>
    <r>
      <rPr>
        <b/>
        <sz val="16"/>
        <rFont val="Arial"/>
        <family val="2"/>
      </rPr>
      <t xml:space="preserve"> Design Tool</t>
    </r>
  </si>
  <si>
    <t>PMP21383</t>
  </si>
  <si>
    <t>2.5k for Zero load-line</t>
  </si>
  <si>
    <t>12Vin 600mV 120A 6ph 500kHz 75A step +/-30mV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</si>
</sst>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_ * #,##0_ ;_ * \-#,##0_ ;_ * &quot;-&quot;_ ;_ @_ "/>
    <numFmt numFmtId="166" formatCode="_ * #,##0.00_ ;_ * \-#,##0.00_ ;_ * &quot;-&quot;??_ ;_ @_ "/>
    <numFmt numFmtId="167" formatCode="&quot;\&quot;#,##0;[Red]&quot;\&quot;&quot;\&quot;&quot;\&quot;\!\!\-#,##0"/>
    <numFmt numFmtId="168" formatCode="&quot;\&quot;#,##0.00;[Red]&quot;\&quot;&quot;\&quot;&quot;\&quot;\!\!\-#,##0.00"/>
    <numFmt numFmtId="169" formatCode="0000"/>
    <numFmt numFmtId="170" formatCode="000"/>
    <numFmt numFmtId="171" formatCode="0000000"/>
    <numFmt numFmtId="172" formatCode="General\ &quot;kΩ&quot;"/>
    <numFmt numFmtId="173" formatCode="0.000"/>
    <numFmt numFmtId="174" formatCode="General\ &quot;pF&quot;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color indexed="10"/>
      <name val="Arial"/>
      <family val="2"/>
    </font>
    <font>
      <sz val="12"/>
      <name val="Symbol"/>
      <family val="1"/>
      <charset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16"/>
      <name val="Arial"/>
      <family val="2"/>
    </font>
    <font>
      <sz val="12"/>
      <name val="Calibri"/>
      <family val="2"/>
    </font>
    <font>
      <sz val="10"/>
      <color rgb="FFFF0000"/>
      <name val="Arial"/>
      <family val="2"/>
    </font>
    <font>
      <vertAlign val="subscript"/>
      <sz val="10"/>
      <color rgb="FFFF0000"/>
      <name val="Arial"/>
      <family val="2"/>
    </font>
    <font>
      <vertAlign val="subscript"/>
      <sz val="10"/>
      <name val="Arial"/>
      <family val="2"/>
    </font>
    <font>
      <sz val="9"/>
      <color rgb="FFFF0000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2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vertAlign val="subscript"/>
      <sz val="10"/>
      <color rgb="FF0000FF"/>
      <name val="Arial"/>
      <family val="2"/>
    </font>
    <font>
      <sz val="10"/>
      <color rgb="FF0000FF"/>
      <name val="MS Mincho"/>
      <family val="3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12" fillId="2" borderId="0" xfId="0" applyFont="1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4" fillId="0" borderId="7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justify" wrapText="1"/>
    </xf>
    <xf numFmtId="0" fontId="2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4" fillId="0" borderId="8" xfId="0" applyFont="1" applyBorder="1" applyAlignment="1">
      <alignment vertical="top" wrapText="1"/>
    </xf>
    <xf numFmtId="0" fontId="17" fillId="0" borderId="2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4" fillId="0" borderId="8" xfId="0" applyFont="1" applyBorder="1" applyAlignment="1">
      <alignment horizontal="justify" vertical="top" wrapText="1"/>
    </xf>
    <xf numFmtId="0" fontId="7" fillId="0" borderId="0" xfId="0" applyFont="1" applyAlignment="1">
      <alignment horizontal="justify"/>
    </xf>
    <xf numFmtId="0" fontId="14" fillId="0" borderId="8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justify" wrapText="1"/>
    </xf>
    <xf numFmtId="169" fontId="14" fillId="0" borderId="0" xfId="0" applyNumberFormat="1" applyFont="1" applyBorder="1" applyAlignment="1">
      <alignment horizontal="center" wrapText="1"/>
    </xf>
    <xf numFmtId="171" fontId="3" fillId="2" borderId="1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19" fillId="0" borderId="0" xfId="0" applyFont="1" applyProtection="1">
      <protection locked="0"/>
    </xf>
    <xf numFmtId="164" fontId="3" fillId="3" borderId="1" xfId="0" applyNumberFormat="1" applyFont="1" applyFill="1" applyBorder="1" applyAlignment="1" applyProtection="1">
      <alignment horizontal="right"/>
      <protection locked="0"/>
    </xf>
    <xf numFmtId="0" fontId="19" fillId="0" borderId="1" xfId="0" applyFont="1" applyBorder="1" applyProtection="1">
      <protection locked="0"/>
    </xf>
    <xf numFmtId="0" fontId="20" fillId="0" borderId="1" xfId="0" applyFont="1" applyBorder="1" applyProtection="1">
      <protection locked="0"/>
    </xf>
    <xf numFmtId="164" fontId="3" fillId="3" borderId="3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172" fontId="0" fillId="0" borderId="0" xfId="0" applyNumberFormat="1" applyProtection="1">
      <protection locked="0"/>
    </xf>
    <xf numFmtId="0" fontId="2" fillId="0" borderId="14" xfId="0" applyFont="1" applyBorder="1" applyProtection="1">
      <protection locked="0"/>
    </xf>
    <xf numFmtId="0" fontId="0" fillId="0" borderId="13" xfId="0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16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7" xfId="0" applyFont="1" applyBorder="1" applyProtection="1">
      <protection locked="0"/>
    </xf>
    <xf numFmtId="1" fontId="0" fillId="0" borderId="2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1" fillId="3" borderId="0" xfId="0" applyFont="1" applyFill="1" applyBorder="1" applyAlignment="1" applyProtection="1">
      <alignment horizontal="center" wrapText="1"/>
      <protection locked="0"/>
    </xf>
    <xf numFmtId="0" fontId="2" fillId="0" borderId="20" xfId="0" applyFont="1" applyBorder="1" applyProtection="1">
      <protection locked="0"/>
    </xf>
    <xf numFmtId="0" fontId="0" fillId="0" borderId="12" xfId="0" applyBorder="1" applyProtection="1">
      <protection locked="0"/>
    </xf>
    <xf numFmtId="0" fontId="2" fillId="0" borderId="21" xfId="0" applyFont="1" applyBorder="1" applyProtection="1">
      <protection locked="0"/>
    </xf>
    <xf numFmtId="0" fontId="0" fillId="0" borderId="22" xfId="0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0" fillId="0" borderId="21" xfId="0" applyBorder="1" applyProtection="1">
      <protection locked="0"/>
    </xf>
    <xf numFmtId="0" fontId="18" fillId="0" borderId="19" xfId="0" applyFont="1" applyBorder="1" applyProtection="1">
      <protection locked="0"/>
    </xf>
    <xf numFmtId="172" fontId="0" fillId="4" borderId="1" xfId="0" applyNumberFormat="1" applyFill="1" applyBorder="1" applyProtection="1">
      <protection hidden="1"/>
    </xf>
    <xf numFmtId="172" fontId="0" fillId="4" borderId="11" xfId="0" applyNumberFormat="1" applyFill="1" applyBorder="1" applyProtection="1">
      <protection hidden="1"/>
    </xf>
    <xf numFmtId="173" fontId="0" fillId="0" borderId="13" xfId="0" applyNumberFormat="1" applyBorder="1" applyProtection="1">
      <protection hidden="1"/>
    </xf>
    <xf numFmtId="173" fontId="0" fillId="0" borderId="12" xfId="0" applyNumberFormat="1" applyBorder="1" applyProtection="1">
      <protection hidden="1"/>
    </xf>
    <xf numFmtId="172" fontId="0" fillId="4" borderId="10" xfId="0" applyNumberFormat="1" applyFill="1" applyBorder="1" applyProtection="1">
      <protection hidden="1"/>
    </xf>
    <xf numFmtId="0" fontId="0" fillId="0" borderId="12" xfId="0" applyBorder="1" applyProtection="1">
      <protection hidden="1"/>
    </xf>
    <xf numFmtId="169" fontId="0" fillId="0" borderId="0" xfId="0" applyNumberFormat="1" applyProtection="1">
      <protection locked="0"/>
    </xf>
    <xf numFmtId="0" fontId="3" fillId="0" borderId="0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0" fillId="0" borderId="28" xfId="0" applyBorder="1" applyProtection="1">
      <protection locked="0"/>
    </xf>
    <xf numFmtId="171" fontId="3" fillId="3" borderId="0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>
      <alignment horizontal="center" wrapText="1"/>
    </xf>
    <xf numFmtId="0" fontId="0" fillId="0" borderId="13" xfId="0" applyNumberFormat="1" applyBorder="1" applyProtection="1">
      <protection hidden="1"/>
    </xf>
    <xf numFmtId="0" fontId="0" fillId="0" borderId="19" xfId="0" applyBorder="1" applyProtection="1">
      <protection locked="0"/>
    </xf>
    <xf numFmtId="0" fontId="8" fillId="0" borderId="1" xfId="0" applyFont="1" applyBorder="1" applyProtection="1">
      <protection locked="0"/>
    </xf>
    <xf numFmtId="0" fontId="0" fillId="0" borderId="29" xfId="0" applyBorder="1" applyProtection="1">
      <protection locked="0"/>
    </xf>
    <xf numFmtId="172" fontId="0" fillId="3" borderId="1" xfId="0" applyNumberFormat="1" applyFill="1" applyBorder="1" applyProtection="1">
      <protection hidden="1"/>
    </xf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174" fontId="0" fillId="0" borderId="0" xfId="0" applyNumberFormat="1" applyProtection="1">
      <protection locked="0"/>
    </xf>
    <xf numFmtId="0" fontId="0" fillId="0" borderId="30" xfId="0" applyBorder="1" applyProtection="1">
      <protection locked="0"/>
    </xf>
    <xf numFmtId="0" fontId="0" fillId="0" borderId="30" xfId="0" applyBorder="1" applyProtection="1">
      <protection hidden="1"/>
    </xf>
    <xf numFmtId="0" fontId="0" fillId="0" borderId="14" xfId="0" applyBorder="1" applyProtection="1">
      <protection locked="0"/>
    </xf>
    <xf numFmtId="0" fontId="2" fillId="0" borderId="13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172" fontId="0" fillId="5" borderId="13" xfId="0" applyNumberFormat="1" applyFill="1" applyBorder="1" applyProtection="1">
      <protection locked="0"/>
    </xf>
    <xf numFmtId="174" fontId="0" fillId="5" borderId="1" xfId="0" applyNumberFormat="1" applyFill="1" applyBorder="1" applyProtection="1">
      <protection locked="0"/>
    </xf>
    <xf numFmtId="174" fontId="0" fillId="5" borderId="11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3" fillId="0" borderId="1" xfId="0" applyFont="1" applyFill="1" applyBorder="1" applyAlignment="1" applyProtection="1">
      <alignment horizontal="right"/>
      <protection locked="0"/>
    </xf>
    <xf numFmtId="49" fontId="0" fillId="0" borderId="0" xfId="0" applyNumberFormat="1"/>
    <xf numFmtId="49" fontId="2" fillId="0" borderId="0" xfId="0" applyNumberFormat="1" applyFont="1"/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23" fillId="6" borderId="4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6" borderId="8" xfId="0" applyFont="1" applyFill="1" applyBorder="1" applyAlignment="1">
      <alignment horizontal="center" vertical="center"/>
    </xf>
    <xf numFmtId="169" fontId="2" fillId="6" borderId="8" xfId="0" applyNumberFormat="1" applyFont="1" applyFill="1" applyBorder="1" applyAlignment="1">
      <alignment horizontal="center" vertical="center"/>
    </xf>
    <xf numFmtId="0" fontId="0" fillId="0" borderId="0" xfId="0" applyProtection="1">
      <protection locked="0" hidden="1"/>
    </xf>
    <xf numFmtId="1" fontId="0" fillId="0" borderId="26" xfId="0" applyNumberFormat="1" applyFill="1" applyBorder="1" applyProtection="1">
      <protection locked="0" hidden="1"/>
    </xf>
    <xf numFmtId="164" fontId="0" fillId="0" borderId="26" xfId="0" applyNumberFormat="1" applyFill="1" applyBorder="1" applyProtection="1">
      <protection locked="0" hidden="1"/>
    </xf>
    <xf numFmtId="174" fontId="0" fillId="0" borderId="0" xfId="0" applyNumberFormat="1" applyProtection="1">
      <protection locked="0" hidden="1"/>
    </xf>
    <xf numFmtId="174" fontId="0" fillId="4" borderId="11" xfId="0" applyNumberFormat="1" applyFill="1" applyBorder="1" applyProtection="1">
      <protection hidden="1"/>
    </xf>
    <xf numFmtId="14" fontId="0" fillId="0" borderId="1" xfId="0" applyNumberFormat="1" applyBorder="1" applyAlignment="1" applyProtection="1">
      <alignment horizontal="right"/>
      <protection locked="0"/>
    </xf>
    <xf numFmtId="49" fontId="2" fillId="0" borderId="1" xfId="0" applyNumberFormat="1" applyFont="1" applyBorder="1" applyAlignment="1" applyProtection="1">
      <alignment horizontal="right"/>
      <protection locked="0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 indent="5"/>
    </xf>
    <xf numFmtId="0" fontId="14" fillId="0" borderId="5" xfId="0" applyFont="1" applyBorder="1" applyAlignment="1">
      <alignment horizontal="left" wrapText="1" indent="5"/>
    </xf>
    <xf numFmtId="0" fontId="14" fillId="0" borderId="6" xfId="0" applyFont="1" applyBorder="1" applyAlignment="1">
      <alignment horizontal="left" wrapText="1" indent="5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173" fontId="0" fillId="7" borderId="0" xfId="0" applyNumberFormat="1" applyFill="1" applyProtection="1">
      <protection locked="0" hidden="1"/>
    </xf>
    <xf numFmtId="0" fontId="0" fillId="7" borderId="0" xfId="0" applyFill="1"/>
    <xf numFmtId="0" fontId="14" fillId="0" borderId="0" xfId="0" applyFont="1" applyBorder="1" applyAlignment="1">
      <alignment wrapText="1"/>
    </xf>
    <xf numFmtId="0" fontId="24" fillId="0" borderId="4" xfId="0" applyFont="1" applyBorder="1" applyAlignment="1">
      <alignment horizontal="left" vertical="center" wrapText="1" indent="5"/>
    </xf>
    <xf numFmtId="0" fontId="24" fillId="0" borderId="5" xfId="0" applyFont="1" applyBorder="1" applyAlignment="1">
      <alignment horizontal="left" vertical="center" wrapText="1" indent="5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5"/>
    </xf>
    <xf numFmtId="0" fontId="2" fillId="0" borderId="6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5"/>
    </xf>
    <xf numFmtId="0" fontId="14" fillId="0" borderId="5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170" fontId="14" fillId="0" borderId="0" xfId="0" applyNumberFormat="1" applyFont="1" applyBorder="1" applyAlignment="1">
      <alignment horizont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14" fillId="0" borderId="31" xfId="0" applyFont="1" applyBorder="1" applyAlignment="1">
      <alignment wrapText="1"/>
    </xf>
    <xf numFmtId="0" fontId="14" fillId="0" borderId="31" xfId="0" applyFont="1" applyBorder="1" applyAlignment="1">
      <alignment horizontal="justify" wrapText="1"/>
    </xf>
    <xf numFmtId="0" fontId="14" fillId="0" borderId="0" xfId="0" applyFont="1" applyBorder="1" applyAlignment="1">
      <alignment horizontal="left" wrapText="1" indent="5"/>
    </xf>
    <xf numFmtId="49" fontId="24" fillId="0" borderId="7" xfId="0" applyNumberFormat="1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wrapText="1" indent="5"/>
    </xf>
    <xf numFmtId="1" fontId="0" fillId="7" borderId="26" xfId="0" applyNumberFormat="1" applyFill="1" applyBorder="1" applyProtection="1">
      <protection locked="0" hidden="1"/>
    </xf>
    <xf numFmtId="172" fontId="0" fillId="7" borderId="1" xfId="0" applyNumberFormat="1" applyFill="1" applyBorder="1" applyProtection="1">
      <protection hidden="1"/>
    </xf>
    <xf numFmtId="0" fontId="30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14" fontId="2" fillId="5" borderId="1" xfId="0" applyNumberFormat="1" applyFont="1" applyFill="1" applyBorder="1" applyAlignment="1" applyProtection="1">
      <alignment horizontal="left"/>
      <protection locked="0"/>
    </xf>
    <xf numFmtId="14" fontId="0" fillId="5" borderId="1" xfId="0" applyNumberFormat="1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24" xfId="0" applyFill="1" applyBorder="1" applyAlignment="1" applyProtection="1">
      <alignment horizontal="left"/>
      <protection locked="0"/>
    </xf>
    <xf numFmtId="0" fontId="0" fillId="5" borderId="25" xfId="0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center"/>
      <protection locked="0" hidden="1"/>
    </xf>
    <xf numFmtId="0" fontId="22" fillId="0" borderId="25" xfId="0" applyFont="1" applyBorder="1" applyAlignment="1" applyProtection="1">
      <alignment horizontal="center"/>
      <protection locked="0" hidden="1"/>
    </xf>
    <xf numFmtId="0" fontId="0" fillId="0" borderId="29" xfId="0" applyBorder="1" applyAlignment="1" applyProtection="1">
      <alignment horizontal="center"/>
      <protection locked="0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4" xfId="0" applyFont="1" applyBorder="1" applyAlignment="1">
      <alignment horizontal="justify" wrapText="1"/>
    </xf>
    <xf numFmtId="0" fontId="14" fillId="0" borderId="6" xfId="0" applyFont="1" applyBorder="1" applyAlignment="1">
      <alignment horizontal="justify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</cellXfs>
  <cellStyles count="7">
    <cellStyle name="Normal" xfId="0" builtinId="0"/>
    <cellStyle name="Normal 2" xfId="6"/>
    <cellStyle name="桁区切り [0.00]_A" xfId="1"/>
    <cellStyle name="桁区切り_A" xfId="2"/>
    <cellStyle name="標準_A" xfId="3"/>
    <cellStyle name="通貨 [0.00]_473技術資料" xfId="4"/>
    <cellStyle name="通貨_473技術資料" xfId="5"/>
  </cellStyles>
  <dxfs count="1">
    <dxf>
      <font>
        <color theme="0" tint="-0.34998626667073579"/>
      </font>
      <fill>
        <patternFill>
          <fgColor theme="0" tint="-0.14993743705557422"/>
          <bgColor theme="0" tint="-0.34998626667073579"/>
        </patternFill>
      </fill>
    </dxf>
  </dxfs>
  <tableStyles count="0" defaultTableStyle="TableStyleMedium9" defaultPivotStyle="PivotStyleLight16"/>
  <colors>
    <mruColors>
      <color rgb="FF00FF00"/>
      <color rgb="FFFFFFCC"/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11</xdr:row>
          <xdr:rowOff>19050</xdr:rowOff>
        </xdr:from>
        <xdr:to>
          <xdr:col>29</xdr:col>
          <xdr:colOff>203200</xdr:colOff>
          <xdr:row>44</xdr:row>
          <xdr:rowOff>209550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12"/>
  <sheetViews>
    <sheetView tabSelected="1" topLeftCell="A16" zoomScale="70" zoomScaleNormal="70" workbookViewId="0">
      <selection activeCell="C12" sqref="C12"/>
    </sheetView>
  </sheetViews>
  <sheetFormatPr defaultColWidth="9.1796875" defaultRowHeight="12.5"/>
  <cols>
    <col min="1" max="1" width="10.81640625" style="1" customWidth="1"/>
    <col min="2" max="2" width="43.453125" style="1" customWidth="1"/>
    <col min="3" max="3" width="19.7265625" style="8" customWidth="1"/>
    <col min="4" max="4" width="0.1796875" style="1" customWidth="1"/>
    <col min="5" max="5" width="7.1796875" style="1" hidden="1" customWidth="1"/>
    <col min="6" max="6" width="6" style="1" hidden="1" customWidth="1"/>
    <col min="7" max="7" width="9.7265625" style="1" customWidth="1"/>
    <col min="8" max="8" width="6.7265625" style="1" customWidth="1"/>
    <col min="9" max="9" width="17.26953125" style="1" customWidth="1"/>
    <col min="10" max="10" width="10.26953125" style="1" customWidth="1"/>
    <col min="11" max="11" width="9.1796875" style="1" customWidth="1"/>
    <col min="12" max="12" width="10.7265625" style="1" customWidth="1"/>
    <col min="13" max="13" width="0.1796875" style="1" customWidth="1"/>
    <col min="14" max="22" width="9.1796875" style="1"/>
    <col min="23" max="24" width="9.54296875" style="1" customWidth="1"/>
    <col min="25" max="26" width="9.1796875" style="1" hidden="1" customWidth="1"/>
    <col min="27" max="29" width="0" style="1" hidden="1" customWidth="1"/>
    <col min="30" max="16384" width="9.1796875" style="1"/>
  </cols>
  <sheetData>
    <row r="1" spans="1:16" ht="20">
      <c r="A1" s="3" t="s">
        <v>672</v>
      </c>
    </row>
    <row r="2" spans="1:16" ht="15.5">
      <c r="B2" s="41" t="s">
        <v>102</v>
      </c>
      <c r="C2" s="124" t="s">
        <v>671</v>
      </c>
    </row>
    <row r="3" spans="1:16" ht="15.5">
      <c r="B3" s="41" t="s">
        <v>103</v>
      </c>
      <c r="C3" s="123">
        <v>42321</v>
      </c>
    </row>
    <row r="4" spans="1:16" ht="15.5">
      <c r="B4" s="39"/>
      <c r="C4" s="44"/>
    </row>
    <row r="5" spans="1:16" ht="15.5">
      <c r="B5" s="42" t="s">
        <v>117</v>
      </c>
      <c r="C5" s="173" t="s">
        <v>108</v>
      </c>
      <c r="D5" s="174"/>
      <c r="E5" s="174"/>
      <c r="F5" s="174"/>
      <c r="G5" s="174"/>
      <c r="H5" s="174"/>
      <c r="I5" s="174"/>
      <c r="J5" s="95"/>
    </row>
    <row r="6" spans="1:16" ht="15.5">
      <c r="B6" s="42" t="s">
        <v>120</v>
      </c>
      <c r="C6" s="171" t="s">
        <v>675</v>
      </c>
      <c r="D6" s="172"/>
      <c r="E6" s="172"/>
      <c r="F6" s="172"/>
      <c r="G6" s="172"/>
      <c r="H6" s="172"/>
      <c r="I6" s="172"/>
      <c r="J6" s="96"/>
    </row>
    <row r="7" spans="1:16" ht="15.5">
      <c r="B7" s="42" t="s">
        <v>118</v>
      </c>
      <c r="C7" s="175" t="s">
        <v>673</v>
      </c>
      <c r="D7" s="176"/>
      <c r="E7" s="176"/>
      <c r="F7" s="176"/>
      <c r="G7" s="176"/>
      <c r="H7" s="176"/>
      <c r="I7" s="177"/>
      <c r="J7" s="96"/>
    </row>
    <row r="8" spans="1:16" ht="15.5">
      <c r="B8" s="42" t="s">
        <v>119</v>
      </c>
      <c r="C8" s="172"/>
      <c r="D8" s="172"/>
      <c r="E8" s="172"/>
      <c r="F8" s="172"/>
      <c r="G8" s="172"/>
      <c r="H8" s="172"/>
      <c r="I8" s="172"/>
      <c r="J8" s="96"/>
    </row>
    <row r="9" spans="1:16" ht="15.5">
      <c r="B9" s="39"/>
    </row>
    <row r="10" spans="1:16" s="6" customFormat="1" ht="20">
      <c r="A10" s="5" t="s">
        <v>8</v>
      </c>
    </row>
    <row r="11" spans="1:16" s="6" customFormat="1" ht="20">
      <c r="A11" s="38" t="s">
        <v>101</v>
      </c>
      <c r="B11" s="7"/>
      <c r="G11" s="6" t="s">
        <v>108</v>
      </c>
    </row>
    <row r="12" spans="1:16">
      <c r="G12" s="72"/>
    </row>
    <row r="13" spans="1:16" ht="13" thickBot="1">
      <c r="K13" s="45"/>
    </row>
    <row r="14" spans="1:16" ht="19" thickTop="1" thickBot="1">
      <c r="B14" s="4" t="s">
        <v>3</v>
      </c>
      <c r="H14" s="180" t="s">
        <v>140</v>
      </c>
      <c r="I14" s="180"/>
      <c r="J14" s="81" t="s">
        <v>139</v>
      </c>
    </row>
    <row r="15" spans="1:16" ht="16" thickTop="1">
      <c r="B15" s="2" t="s">
        <v>163</v>
      </c>
      <c r="C15" s="9" t="s">
        <v>91</v>
      </c>
      <c r="D15" s="2"/>
      <c r="E15" s="118">
        <f>VLOOKUP(C15,Datasheet!F63:G64,2,FALSE)</f>
        <v>1</v>
      </c>
      <c r="F15" s="118"/>
      <c r="H15" s="46" t="s">
        <v>596</v>
      </c>
      <c r="I15" s="47"/>
      <c r="J15" s="47"/>
      <c r="K15" s="68">
        <f>K17/(K16+K17)*1.7</f>
        <v>1.0074074074074073</v>
      </c>
      <c r="L15" s="48" t="s">
        <v>0</v>
      </c>
      <c r="N15" s="49"/>
      <c r="O15"/>
    </row>
    <row r="16" spans="1:16" ht="15.5">
      <c r="B16" s="2" t="s">
        <v>9</v>
      </c>
      <c r="C16" s="9">
        <v>6</v>
      </c>
      <c r="D16" s="2"/>
      <c r="E16" s="118"/>
      <c r="F16" s="118"/>
      <c r="H16" s="50"/>
      <c r="I16" s="51" t="s">
        <v>93</v>
      </c>
      <c r="J16" s="51"/>
      <c r="K16" s="168">
        <f>((IF((10^(LOG(M16)-INT(LOG(M16)))*100)-VLOOKUP((10^(LOG(M16)-INT(LOG(M16)))*100),Y$17:Y$112,1)&lt;VLOOKUP((10^(LOG(M16)-INT(LOG(M16)))*100),Y$17:Z$112,2)-(10^(LOG(M16)-INT(LOG(M16)))*100),VLOOKUP((10^(LOG(M16)-INT(LOG(M16)))*100),Y$17:Y$112,1),VLOOKUP((10^(LOG(M16)-INT(LOG(M16)))*100),Y$17:Z$112,2)))*10^INT(LOG(M16))/100)/1000</f>
        <v>16.5</v>
      </c>
      <c r="L16" s="52"/>
      <c r="M16" s="167">
        <f>(1.7-(VLOOKUP(C27,Datasheet!H112:I127,2,FALSE)))/(VLOOKUP(C27,Datasheet!H112:I127,2,FALSE))*K17*1000</f>
        <v>16436.075322101093</v>
      </c>
      <c r="N16" s="49"/>
      <c r="P16"/>
    </row>
    <row r="17" spans="2:29" ht="16" thickBot="1">
      <c r="B17" s="2" t="s">
        <v>164</v>
      </c>
      <c r="C17" s="31">
        <v>0.88</v>
      </c>
      <c r="D17" s="2" t="s">
        <v>0</v>
      </c>
      <c r="E17" s="118"/>
      <c r="F17" s="118"/>
      <c r="H17" s="54"/>
      <c r="I17" s="55" t="s">
        <v>94</v>
      </c>
      <c r="J17" s="55"/>
      <c r="K17" s="67">
        <f>VLOOKUP(Datasheet!P9, Datasheet!F102:G109, 2, FALSE)</f>
        <v>24</v>
      </c>
      <c r="L17" s="56"/>
      <c r="M17" s="119"/>
      <c r="Y17" s="57">
        <v>100</v>
      </c>
      <c r="Z17" s="57">
        <v>102</v>
      </c>
      <c r="AB17" s="1">
        <v>330</v>
      </c>
      <c r="AC17" s="1">
        <v>470</v>
      </c>
    </row>
    <row r="18" spans="2:29" ht="16" thickTop="1">
      <c r="B18" s="2" t="s">
        <v>138</v>
      </c>
      <c r="C18" s="9" t="s">
        <v>105</v>
      </c>
      <c r="D18" s="2"/>
      <c r="E18" s="118">
        <f>VLOOKUP(C18,Datasheet!F71:G72,2,FALSE)</f>
        <v>0</v>
      </c>
      <c r="F18" s="118"/>
      <c r="H18" s="58" t="s">
        <v>95</v>
      </c>
      <c r="I18" s="59"/>
      <c r="J18" s="59"/>
      <c r="K18" s="69">
        <f>K20/(K19+K20)*1.7</f>
        <v>0.90666666666666662</v>
      </c>
      <c r="L18" s="60" t="s">
        <v>0</v>
      </c>
      <c r="M18" s="119"/>
      <c r="Y18" s="57">
        <v>221</v>
      </c>
      <c r="Z18" s="57">
        <v>226</v>
      </c>
      <c r="AB18" s="1">
        <v>470</v>
      </c>
      <c r="AC18" s="1">
        <v>680</v>
      </c>
    </row>
    <row r="19" spans="2:29" ht="15.5">
      <c r="B19" s="2" t="str">
        <f>IF((E18=0),"     - Desired Loadline Setting","         -Not Applied")</f>
        <v xml:space="preserve">     - Desired Loadline Setting</v>
      </c>
      <c r="C19" s="9">
        <v>0.25</v>
      </c>
      <c r="D19" s="2" t="s">
        <v>1</v>
      </c>
      <c r="E19" s="118"/>
      <c r="F19" s="118"/>
      <c r="H19" s="50"/>
      <c r="I19" s="51" t="s">
        <v>93</v>
      </c>
      <c r="J19" s="51"/>
      <c r="K19" s="168">
        <f>((IF((10^(LOG(M19)-INT(LOG(M19)))*100)-VLOOKUP((10^(LOG(M19)-INT(LOG(M19)))*100),Y$17:Y$112,1)&lt;VLOOKUP((10^(LOG(M19)-INT(LOG(M19)))*100),Y$17:Z$112,2)-(10^(LOG(M19)-INT(LOG(M19)))*100),VLOOKUP((10^(LOG(M19)-INT(LOG(M19)))*100),Y$17:Y$112,1),VLOOKUP((10^(LOG(M19)-INT(LOG(M19)))*100),Y$17:Z$112,2)))*10^INT(LOG(M19))/100)/1000</f>
        <v>21</v>
      </c>
      <c r="L19" s="52"/>
      <c r="M19" s="167">
        <f>(1.7-(E56+0.5)*1.7/16)/((E56+0.5)*1.7/16)*K20*1000</f>
        <v>21176.470588235297</v>
      </c>
      <c r="Y19" s="57">
        <v>102</v>
      </c>
      <c r="Z19" s="57">
        <v>105</v>
      </c>
      <c r="AB19" s="1">
        <v>680</v>
      </c>
      <c r="AC19" s="1">
        <v>1000</v>
      </c>
    </row>
    <row r="20" spans="2:29" ht="16" thickBot="1">
      <c r="B20" s="2" t="s">
        <v>19</v>
      </c>
      <c r="C20" s="9">
        <v>197</v>
      </c>
      <c r="D20" s="2" t="s">
        <v>2</v>
      </c>
      <c r="E20" s="118"/>
      <c r="F20" s="118"/>
      <c r="H20" s="61"/>
      <c r="I20" s="62" t="s">
        <v>94</v>
      </c>
      <c r="J20" s="62"/>
      <c r="K20" s="70">
        <f>VLOOKUP(C24,Datasheet!D24:F231,3,FALSE)</f>
        <v>24</v>
      </c>
      <c r="L20" s="63"/>
      <c r="M20" s="119"/>
      <c r="Y20" s="57">
        <v>105</v>
      </c>
      <c r="Z20" s="57">
        <v>107</v>
      </c>
      <c r="AB20" s="1">
        <v>1000</v>
      </c>
      <c r="AC20" s="1">
        <v>1200</v>
      </c>
    </row>
    <row r="21" spans="2:29" ht="16" thickTop="1">
      <c r="B21" s="2" t="s">
        <v>115</v>
      </c>
      <c r="C21" s="40">
        <f>C20/C16</f>
        <v>32.833333333333336</v>
      </c>
      <c r="D21" s="2" t="s">
        <v>2</v>
      </c>
      <c r="E21" s="118"/>
      <c r="F21" s="118"/>
      <c r="H21" s="46" t="s">
        <v>96</v>
      </c>
      <c r="I21" s="47"/>
      <c r="J21" s="47"/>
      <c r="K21" s="68">
        <f>K23/(K22+K23)*1.7</f>
        <v>1.6006528152658339</v>
      </c>
      <c r="L21" s="48" t="s">
        <v>0</v>
      </c>
      <c r="M21" s="119"/>
      <c r="Y21" s="57">
        <v>107</v>
      </c>
      <c r="Z21" s="57">
        <v>110</v>
      </c>
      <c r="AB21" s="1">
        <v>1200</v>
      </c>
      <c r="AC21" s="1">
        <v>1500</v>
      </c>
    </row>
    <row r="22" spans="2:29" ht="15.5">
      <c r="B22" s="2" t="s">
        <v>10</v>
      </c>
      <c r="C22" s="9">
        <v>240</v>
      </c>
      <c r="D22" s="2" t="s">
        <v>2</v>
      </c>
      <c r="E22" s="118"/>
      <c r="F22" s="118"/>
      <c r="H22" s="50"/>
      <c r="I22" s="51" t="s">
        <v>93</v>
      </c>
      <c r="J22" s="51"/>
      <c r="K22" s="66">
        <f>((IF((10^(LOG(M22)-INT(LOG(M22)))*100)-VLOOKUP((10^(LOG(M22)-INT(LOG(M22)))*100),Y$17:Y$112,1)&lt;VLOOKUP((10^(LOG(M22)-INT(LOG(M22)))*100),Y$17:Z$112,2)-(10^(LOG(M22)-INT(LOG(M22)))*100),VLOOKUP((10^(LOG(M22)-INT(LOG(M22)))*100),Y$17:Y$112,1),VLOOKUP((10^(LOG(M22)-INT(LOG(M22)))*100),Y$17:Z$112,2)))*10^INT(LOG(M22))/100)/1000</f>
        <v>9.31</v>
      </c>
      <c r="L22" s="52"/>
      <c r="M22" s="119">
        <f>(1.7-(VLOOKUP(C39,Datasheet!D92:F99,3,FALSE)))/VLOOKUP(C39,Datasheet!D92:F99,3,FALSE)*K23*1000</f>
        <v>9374.9999999999873</v>
      </c>
      <c r="Y22" s="57">
        <v>110</v>
      </c>
      <c r="Z22" s="57">
        <v>113</v>
      </c>
      <c r="AB22" s="1">
        <v>1500</v>
      </c>
      <c r="AC22" s="1">
        <v>1800</v>
      </c>
    </row>
    <row r="23" spans="2:29" ht="16" thickBot="1">
      <c r="B23" s="2" t="s">
        <v>116</v>
      </c>
      <c r="C23" s="43">
        <f>C22/C16</f>
        <v>40</v>
      </c>
      <c r="D23" s="2" t="s">
        <v>2</v>
      </c>
      <c r="E23" s="118"/>
      <c r="F23" s="118"/>
      <c r="H23" s="54"/>
      <c r="I23" s="55" t="s">
        <v>94</v>
      </c>
      <c r="J23" s="55"/>
      <c r="K23" s="67">
        <f>VLOOKUP(C40,Datasheet!D84:F91,3,FALSE)</f>
        <v>150</v>
      </c>
      <c r="L23" s="56"/>
      <c r="M23" s="119"/>
      <c r="Y23" s="57">
        <v>113</v>
      </c>
      <c r="Z23" s="57">
        <v>115</v>
      </c>
      <c r="AB23" s="1">
        <v>1800</v>
      </c>
      <c r="AC23" s="1">
        <v>2200</v>
      </c>
    </row>
    <row r="24" spans="2:29" ht="16" thickTop="1">
      <c r="B24" s="2" t="s">
        <v>165</v>
      </c>
      <c r="C24" s="10">
        <v>0.68</v>
      </c>
      <c r="D24" s="2" t="s">
        <v>7</v>
      </c>
      <c r="E24" s="118"/>
      <c r="F24" s="118"/>
      <c r="H24" s="58" t="s">
        <v>157</v>
      </c>
      <c r="I24" s="59"/>
      <c r="J24" s="59"/>
      <c r="K24" s="71"/>
      <c r="L24" s="64"/>
      <c r="M24" s="119"/>
      <c r="Y24" s="57">
        <v>115</v>
      </c>
      <c r="Z24" s="57">
        <v>118</v>
      </c>
      <c r="AB24" s="1">
        <v>2200</v>
      </c>
      <c r="AC24" s="1">
        <v>2700</v>
      </c>
    </row>
    <row r="25" spans="2:29" ht="16" thickBot="1">
      <c r="B25" s="2" t="s">
        <v>18</v>
      </c>
      <c r="C25" s="9">
        <v>80</v>
      </c>
      <c r="D25" s="2" t="s">
        <v>2</v>
      </c>
      <c r="E25" s="118"/>
      <c r="F25" s="118"/>
      <c r="H25" s="61"/>
      <c r="I25" s="62" t="s">
        <v>94</v>
      </c>
      <c r="J25" s="62"/>
      <c r="K25" s="70">
        <f>VLOOKUP(C45,Datasheet!F160:G161,2,FALSE)</f>
        <v>20</v>
      </c>
      <c r="L25" s="63"/>
      <c r="M25" s="119"/>
      <c r="Y25" s="57">
        <v>118</v>
      </c>
      <c r="Z25" s="57">
        <v>121</v>
      </c>
      <c r="AB25" s="1">
        <v>2700</v>
      </c>
      <c r="AC25" s="1">
        <v>3300</v>
      </c>
    </row>
    <row r="26" spans="2:29" ht="16" thickTop="1">
      <c r="B26" s="2" t="s">
        <v>166</v>
      </c>
      <c r="C26" s="105" t="s">
        <v>170</v>
      </c>
      <c r="D26" s="2"/>
      <c r="E26" s="118"/>
      <c r="F26" s="118"/>
      <c r="H26" s="46" t="s">
        <v>158</v>
      </c>
      <c r="I26" s="47"/>
      <c r="J26" s="47"/>
      <c r="K26" s="78">
        <f>K28/(K27+K28)*1.7</f>
        <v>1.3980263157894735</v>
      </c>
      <c r="L26" s="48" t="s">
        <v>0</v>
      </c>
      <c r="M26" s="119"/>
      <c r="Y26" s="57">
        <v>121</v>
      </c>
      <c r="Z26" s="57">
        <v>124</v>
      </c>
      <c r="AB26" s="1">
        <v>3300</v>
      </c>
      <c r="AC26" s="1">
        <v>4700</v>
      </c>
    </row>
    <row r="27" spans="2:29" ht="15.5">
      <c r="B27" s="2" t="s">
        <v>146</v>
      </c>
      <c r="C27" s="37">
        <v>1110001</v>
      </c>
      <c r="D27" s="2"/>
      <c r="E27" s="118"/>
      <c r="F27" s="118"/>
      <c r="H27" s="74"/>
      <c r="I27" s="51" t="s">
        <v>93</v>
      </c>
      <c r="J27" s="51"/>
      <c r="K27" s="66">
        <f>((IF((10^(LOG(M28)-INT(LOG(M28)))*100)-VLOOKUP((10^(LOG(M28)-INT(LOG(M28)))*100),Y$17:Y$112,1)&lt;VLOOKUP((10^(LOG(M28)-INT(LOG(M28)))*100),Y$17:Z$112,2)-(10^(LOG(M28)-INT(LOG(M28)))*100),VLOOKUP((10^(LOG(M28)-INT(LOG(M28)))*100),Y$17:Y$112,1),VLOOKUP((10^(LOG(M28)-INT(LOG(M28)))*100),Y$17:Z$112,2)))*10^INT(LOG(M28))/100)/1000</f>
        <v>4.32</v>
      </c>
      <c r="L27" s="83"/>
      <c r="M27" s="120">
        <f>VLOOKUP(F49,Datasheet!H155:I162,2,FALSE)</f>
        <v>1.4</v>
      </c>
      <c r="Y27" s="57">
        <v>124</v>
      </c>
      <c r="Z27" s="57">
        <v>127</v>
      </c>
      <c r="AB27" s="1">
        <v>4700</v>
      </c>
      <c r="AC27" s="1">
        <v>5600</v>
      </c>
    </row>
    <row r="28" spans="2:29" ht="16" thickBot="1">
      <c r="B28" s="73"/>
      <c r="C28" s="76"/>
      <c r="D28" s="73"/>
      <c r="E28" s="118"/>
      <c r="F28" s="118"/>
      <c r="H28" s="54"/>
      <c r="I28" s="55" t="s">
        <v>94</v>
      </c>
      <c r="J28" s="55"/>
      <c r="K28" s="67">
        <f>VLOOKUP(C49,Datasheet!F3:G18,2,FALSE)</f>
        <v>20</v>
      </c>
      <c r="L28" s="56"/>
      <c r="M28" s="119">
        <f>(1.7-M27)/M27*K28*1000</f>
        <v>4285.7142857142862</v>
      </c>
      <c r="Y28" s="57"/>
      <c r="Z28" s="57"/>
      <c r="AB28" s="1">
        <v>5600</v>
      </c>
      <c r="AC28" s="1">
        <v>6800</v>
      </c>
    </row>
    <row r="29" spans="2:29" ht="18.5" thickTop="1">
      <c r="B29" s="4" t="s">
        <v>4</v>
      </c>
      <c r="E29" s="118"/>
      <c r="F29" s="118"/>
      <c r="H29" s="58" t="s">
        <v>111</v>
      </c>
      <c r="I29" s="59"/>
      <c r="J29" s="59"/>
      <c r="K29" s="71"/>
      <c r="L29" s="64"/>
      <c r="M29" s="119"/>
      <c r="Y29" s="57">
        <v>127</v>
      </c>
      <c r="Z29" s="57">
        <v>130</v>
      </c>
      <c r="AB29" s="1">
        <v>6800</v>
      </c>
      <c r="AC29" s="1">
        <v>8200</v>
      </c>
    </row>
    <row r="30" spans="2:29" ht="15.5">
      <c r="B30" s="2" t="s">
        <v>13</v>
      </c>
      <c r="C30" s="9">
        <v>12</v>
      </c>
      <c r="D30" s="2" t="s">
        <v>0</v>
      </c>
      <c r="E30" s="118"/>
      <c r="F30" s="118"/>
      <c r="H30" s="61"/>
      <c r="I30" s="62" t="s">
        <v>160</v>
      </c>
      <c r="J30" s="62"/>
      <c r="K30" s="70">
        <f>((IF((10^(LOG(M30)-INT(LOG(M30)))*100)-VLOOKUP((10^(LOG(M30)-INT(LOG(M30)))*100),Y$17:Y$112,1)&lt;VLOOKUP((10^(LOG(M30)-INT(LOG(M30)))*100),Y$17:Z$112,2)-(10^(LOG(M30)-INT(LOG(M30)))*100),VLOOKUP((10^(LOG(M30)-INT(LOG(M30)))*100),Y$17:Y$112,1),VLOOKUP((10^(LOG(M30)-INT(LOG(M30)))*100),Y$17:Z$112,2)))*10^INT(LOG(M30))/100)/1000</f>
        <v>24.3</v>
      </c>
      <c r="L30" s="63"/>
      <c r="M30" s="119">
        <f>850/IMAX*35000/5*1</f>
        <v>24791.666666666664</v>
      </c>
      <c r="Y30" s="57">
        <v>130</v>
      </c>
      <c r="Z30" s="57">
        <v>133</v>
      </c>
      <c r="AB30" s="1">
        <v>8200</v>
      </c>
      <c r="AC30" s="1">
        <v>10000</v>
      </c>
    </row>
    <row r="31" spans="2:29" ht="15.5">
      <c r="B31" s="2" t="s">
        <v>14</v>
      </c>
      <c r="C31" s="11">
        <v>500</v>
      </c>
      <c r="D31" s="2" t="s">
        <v>5</v>
      </c>
      <c r="E31" s="118"/>
      <c r="F31" s="118"/>
      <c r="H31" s="50"/>
      <c r="I31" s="51" t="s">
        <v>159</v>
      </c>
      <c r="J31" s="51"/>
      <c r="K31" s="82">
        <f>850/IMAX*35000/5/1000*1</f>
        <v>24.791666666666664</v>
      </c>
      <c r="L31" s="83"/>
      <c r="M31" s="118"/>
      <c r="Y31" s="57">
        <v>133</v>
      </c>
      <c r="Z31" s="57">
        <v>137</v>
      </c>
    </row>
    <row r="32" spans="2:29" ht="16" thickBot="1">
      <c r="B32" s="2" t="s">
        <v>15</v>
      </c>
      <c r="C32" s="9">
        <v>150</v>
      </c>
      <c r="D32" s="2" t="s">
        <v>11</v>
      </c>
      <c r="E32" s="118"/>
      <c r="F32" s="118"/>
      <c r="H32" s="54"/>
      <c r="I32" s="55" t="s">
        <v>141</v>
      </c>
      <c r="J32" s="84"/>
      <c r="K32" s="122">
        <f>((IF((10^(LOG(M32)-INT(LOG(M32)))*1000)-VLOOKUP((10^(LOG(M32)-INT(LOG(M32)))*1000),AB$17:AC$30,1)&lt;=VLOOKUP((10^(LOG(M32)-INT(LOG(M32)))*1000),AB$17:AC$30,2)-(10^(LOG(M32)-INT(LOG(M32)))*1000),VLOOKUP((10^(LOG(M32)-INT(LOG(M32)))*1000),AB$17:AC$30,1),VLOOKUP((10^(LOG(M32)-INT(LOG(M32)))*1000),AB$17:AC$30,2)))*10^INT(LOG(M32))/1000)</f>
        <v>6800</v>
      </c>
      <c r="L32" s="79"/>
      <c r="M32" s="121">
        <f>170/K30*1000</f>
        <v>6995.8847736625512</v>
      </c>
      <c r="N32" s="85"/>
      <c r="Y32" s="57">
        <v>137</v>
      </c>
      <c r="Z32" s="57">
        <v>140</v>
      </c>
    </row>
    <row r="33" spans="2:26" ht="16" thickTop="1">
      <c r="B33" s="2" t="s">
        <v>16</v>
      </c>
      <c r="C33" s="9">
        <v>0.28999999999999998</v>
      </c>
      <c r="D33" s="2" t="s">
        <v>17</v>
      </c>
      <c r="E33" s="118"/>
      <c r="F33" s="118"/>
      <c r="H33" s="46" t="s">
        <v>595</v>
      </c>
      <c r="I33" s="47"/>
      <c r="J33" s="47"/>
      <c r="K33" s="68">
        <f>K35/(K34+K35)*1.7</f>
        <v>0.79937304075235105</v>
      </c>
      <c r="L33" s="48" t="s">
        <v>0</v>
      </c>
      <c r="M33" s="119"/>
      <c r="Y33" s="57">
        <v>140</v>
      </c>
      <c r="Z33" s="57">
        <v>143</v>
      </c>
    </row>
    <row r="34" spans="2:26" ht="15.5">
      <c r="B34" s="2" t="s">
        <v>89</v>
      </c>
      <c r="C34" s="43">
        <f>(C30-C17)/C32*C17/C30/C31*10^6</f>
        <v>10.872888888888887</v>
      </c>
      <c r="D34" s="2" t="s">
        <v>2</v>
      </c>
      <c r="E34" s="118"/>
      <c r="F34" s="118"/>
      <c r="H34" s="50"/>
      <c r="I34" s="51" t="s">
        <v>93</v>
      </c>
      <c r="J34" s="51"/>
      <c r="K34" s="168">
        <f>((IF((10^(LOG(M34)-INT(LOG(M34)))*100)-VLOOKUP((10^(LOG(M34)-INT(LOG(M34)))*100),Y$17:Y$112,1)&lt;VLOOKUP((10^(LOG(M34)-INT(LOG(M34)))*100),Y$17:Z$112,2)-(10^(LOG(M34)-INT(LOG(M34)))*100),VLOOKUP((10^(LOG(M34)-INT(LOG(M34)))*100),Y$17:Y$112,1),VLOOKUP((10^(LOG(M34)-INT(LOG(M34)))*100),Y$17:Z$112,2)))*10^INT(LOG(M34))/100)/1000</f>
        <v>169</v>
      </c>
      <c r="L34" s="52"/>
      <c r="M34" s="167">
        <f>(1.7-VLOOKUP(Datasheet!N11,Datasheet!F112:I127,4,FALSE))/VLOOKUP(Datasheet!N11,Datasheet!F112:I127,4,FALSE)*K35*1000</f>
        <v>169949.81179422833</v>
      </c>
      <c r="Y34" s="57">
        <v>143</v>
      </c>
      <c r="Z34" s="57">
        <v>147</v>
      </c>
    </row>
    <row r="35" spans="2:26" ht="16" thickBot="1">
      <c r="B35" s="2" t="s">
        <v>90</v>
      </c>
      <c r="C35" s="9">
        <v>0.88</v>
      </c>
      <c r="D35" s="2" t="s">
        <v>0</v>
      </c>
      <c r="E35" s="118"/>
      <c r="F35" s="118"/>
      <c r="H35" s="54"/>
      <c r="I35" s="55" t="s">
        <v>94</v>
      </c>
      <c r="J35" s="55"/>
      <c r="K35" s="67">
        <f>VLOOKUP(M35,Datasheet!K18:M25,3,FALSE)</f>
        <v>150</v>
      </c>
      <c r="L35" s="56"/>
      <c r="M35" s="119">
        <f>Datasheet!M14</f>
        <v>7</v>
      </c>
      <c r="Y35" s="57">
        <v>147</v>
      </c>
      <c r="Z35" s="57">
        <v>150</v>
      </c>
    </row>
    <row r="36" spans="2:26" ht="16" thickTop="1">
      <c r="B36" s="2"/>
      <c r="C36" s="102"/>
      <c r="D36" s="2"/>
      <c r="E36" s="118"/>
      <c r="F36" s="118"/>
      <c r="H36" s="46" t="s">
        <v>112</v>
      </c>
      <c r="I36" s="47"/>
      <c r="J36" s="47"/>
      <c r="K36" s="68">
        <f>K38/(K37+K38)*1.7</f>
        <v>1.5999999999999999</v>
      </c>
      <c r="L36" s="48" t="s">
        <v>0</v>
      </c>
      <c r="M36" s="119"/>
      <c r="Y36" s="57">
        <v>150</v>
      </c>
      <c r="Z36" s="57">
        <v>154</v>
      </c>
    </row>
    <row r="37" spans="2:26" ht="13">
      <c r="E37" s="118"/>
      <c r="F37" s="118"/>
      <c r="H37" s="50"/>
      <c r="I37" s="51" t="s">
        <v>161</v>
      </c>
      <c r="J37" s="51"/>
      <c r="K37" s="66">
        <f>M37/1000</f>
        <v>1.8750000000000018</v>
      </c>
      <c r="L37" s="52"/>
      <c r="M37" s="119">
        <f>(1.7-C22/255*1.7)/(C22/255*1.7)*K38*1000</f>
        <v>1875.0000000000018</v>
      </c>
      <c r="Y37" s="57">
        <v>154</v>
      </c>
      <c r="Z37" s="57">
        <v>158</v>
      </c>
    </row>
    <row r="38" spans="2:26" ht="18.5" thickBot="1">
      <c r="B38" s="4" t="s">
        <v>99</v>
      </c>
      <c r="E38" s="118"/>
      <c r="F38" s="118"/>
      <c r="H38" s="54"/>
      <c r="I38" s="55" t="s">
        <v>162</v>
      </c>
      <c r="J38" s="55"/>
      <c r="K38" s="67">
        <f>VLOOKUP(C31,Datasheet!F33:G40,2,FALSE)</f>
        <v>30</v>
      </c>
      <c r="L38" s="56"/>
      <c r="M38" s="53"/>
      <c r="Y38" s="57">
        <v>158</v>
      </c>
      <c r="Z38" s="57">
        <v>162</v>
      </c>
    </row>
    <row r="39" spans="2:26" ht="16" thickTop="1">
      <c r="B39" s="2" t="s">
        <v>12</v>
      </c>
      <c r="C39" s="9" t="s">
        <v>147</v>
      </c>
      <c r="D39" s="2" t="s">
        <v>6</v>
      </c>
      <c r="E39" s="118"/>
      <c r="F39" s="118"/>
      <c r="H39" s="58" t="s">
        <v>97</v>
      </c>
      <c r="I39" s="59"/>
      <c r="J39" s="59"/>
      <c r="K39" s="71"/>
      <c r="L39" s="64"/>
      <c r="M39" s="53"/>
      <c r="Y39" s="57">
        <v>162</v>
      </c>
      <c r="Z39" s="57">
        <v>165</v>
      </c>
    </row>
    <row r="40" spans="2:26" ht="16" thickBot="1">
      <c r="B40" s="2" t="s">
        <v>98</v>
      </c>
      <c r="C40" s="11" t="s">
        <v>147</v>
      </c>
      <c r="D40" s="2" t="s">
        <v>6</v>
      </c>
      <c r="E40" s="118"/>
      <c r="F40" s="118"/>
      <c r="H40" s="54"/>
      <c r="I40" s="55" t="s">
        <v>93</v>
      </c>
      <c r="J40" s="55"/>
      <c r="K40" s="67">
        <f>IF(M40=0, 0, ((IF((10^(LOG(M40)-INT(LOG(M40)))*100)-VLOOKUP((10^(LOG(M40)-INT(LOG(M40)))*100),Y$17:Y$112,1)&lt;VLOOKUP((10^(LOG(M40)-INT(LOG(M40)))*100),Y$17:Z$112,2)-(10^(LOG(M40)-INT(LOG(M40)))*100),VLOOKUP((10^(LOG(M40)-INT(LOG(M40)))*100),Y$17:Y$112,1),VLOOKUP((10^(LOG(M40)-INT(LOG(M40)))*100),Y$17:Z$112,2)))*10^INT(LOG(M40))/100)/1000)</f>
        <v>0.57599999999999996</v>
      </c>
      <c r="L40" s="65" t="s">
        <v>674</v>
      </c>
      <c r="M40" s="53">
        <f>IF((E18=1),0,C19*6/0.5/5*1000*0.97)</f>
        <v>582</v>
      </c>
      <c r="Y40" s="57">
        <v>165</v>
      </c>
      <c r="Z40" s="57">
        <v>169</v>
      </c>
    </row>
    <row r="41" spans="2:26" ht="14" thickTop="1" thickBot="1">
      <c r="E41" s="118"/>
      <c r="F41" s="118"/>
      <c r="H41" s="74" t="s">
        <v>145</v>
      </c>
      <c r="I41" s="86"/>
      <c r="J41" s="86"/>
      <c r="K41" s="87"/>
      <c r="L41" s="75"/>
      <c r="Y41" s="57">
        <v>169</v>
      </c>
      <c r="Z41" s="57">
        <v>174</v>
      </c>
    </row>
    <row r="42" spans="2:26" ht="18.5" thickTop="1">
      <c r="B42" s="4" t="s">
        <v>100</v>
      </c>
      <c r="E42" s="118"/>
      <c r="F42" s="118"/>
      <c r="H42" s="88"/>
      <c r="I42" s="89" t="s">
        <v>142</v>
      </c>
      <c r="J42" s="89"/>
      <c r="K42" s="92">
        <v>8.1999999999999993</v>
      </c>
      <c r="L42" s="90"/>
      <c r="Y42" s="57">
        <v>174</v>
      </c>
      <c r="Z42" s="57">
        <v>178</v>
      </c>
    </row>
    <row r="43" spans="2:26" ht="15.5">
      <c r="B43" s="2" t="s">
        <v>100</v>
      </c>
      <c r="C43" s="9">
        <v>150</v>
      </c>
      <c r="D43" s="2" t="s">
        <v>6</v>
      </c>
      <c r="E43" s="118">
        <f>VLOOKUP(C43,Datasheet!D155:F158,3,FALSE)</f>
        <v>2</v>
      </c>
      <c r="F43" s="118"/>
      <c r="H43" s="50"/>
      <c r="I43" s="51" t="s">
        <v>143</v>
      </c>
      <c r="J43" s="51"/>
      <c r="K43" s="93">
        <v>1000</v>
      </c>
      <c r="L43" s="91"/>
      <c r="Y43" s="57">
        <v>178</v>
      </c>
      <c r="Z43" s="57">
        <v>182</v>
      </c>
    </row>
    <row r="44" spans="2:26" ht="13.5" thickBot="1">
      <c r="E44" s="118"/>
      <c r="F44" s="118"/>
      <c r="H44" s="54"/>
      <c r="I44" s="55" t="s">
        <v>144</v>
      </c>
      <c r="J44" s="55"/>
      <c r="K44" s="94">
        <v>12</v>
      </c>
      <c r="L44" s="65"/>
      <c r="Y44" s="57">
        <v>182</v>
      </c>
      <c r="Z44" s="57">
        <v>187</v>
      </c>
    </row>
    <row r="45" spans="2:26" ht="18.5" thickTop="1">
      <c r="B45" s="80" t="s">
        <v>137</v>
      </c>
      <c r="C45" s="178" t="s">
        <v>155</v>
      </c>
      <c r="D45" s="179"/>
      <c r="E45" s="118"/>
      <c r="F45" s="118"/>
      <c r="Y45" s="57">
        <v>187</v>
      </c>
      <c r="Z45" s="57">
        <v>191</v>
      </c>
    </row>
    <row r="46" spans="2:26" ht="13">
      <c r="E46" s="118"/>
      <c r="F46" s="118"/>
      <c r="I46" s="169"/>
    </row>
    <row r="47" spans="2:26">
      <c r="C47" s="1"/>
      <c r="E47" s="118"/>
      <c r="F47" s="118"/>
      <c r="I47" s="170"/>
    </row>
    <row r="48" spans="2:26" ht="18">
      <c r="B48" s="4" t="s">
        <v>113</v>
      </c>
      <c r="E48" s="118"/>
      <c r="F48" s="118"/>
      <c r="Y48" s="57">
        <v>191</v>
      </c>
      <c r="Z48" s="57">
        <v>196</v>
      </c>
    </row>
    <row r="49" spans="2:26" ht="15.5">
      <c r="B49" s="2" t="s">
        <v>114</v>
      </c>
      <c r="C49" s="11">
        <v>48</v>
      </c>
      <c r="D49" s="2" t="s">
        <v>110</v>
      </c>
      <c r="E49" s="118">
        <f>VLOOKUP(C49,Datasheet!F3:H18,3,FALSE)</f>
        <v>1</v>
      </c>
      <c r="F49" s="118">
        <f>E49*4+E43</f>
        <v>6</v>
      </c>
      <c r="Y49" s="57">
        <v>196</v>
      </c>
      <c r="Z49" s="57">
        <v>200</v>
      </c>
    </row>
    <row r="50" spans="2:26" ht="13">
      <c r="E50" s="118"/>
      <c r="F50" s="118"/>
      <c r="Y50" s="57">
        <v>200</v>
      </c>
      <c r="Z50" s="57">
        <v>205</v>
      </c>
    </row>
    <row r="51" spans="2:26" ht="18">
      <c r="B51" s="4" t="s">
        <v>107</v>
      </c>
      <c r="E51" s="118"/>
      <c r="F51" s="118"/>
      <c r="Y51" s="57">
        <v>205</v>
      </c>
      <c r="Z51" s="57">
        <v>210</v>
      </c>
    </row>
    <row r="52" spans="2:26" ht="15.5">
      <c r="B52" s="2" t="s">
        <v>597</v>
      </c>
      <c r="C52" s="9" t="s">
        <v>150</v>
      </c>
      <c r="D52" s="2"/>
      <c r="E52" s="118">
        <f>VLOOKUP(C52,Datasheet!F65:G66,2,FALSE)</f>
        <v>0</v>
      </c>
      <c r="F52" s="118"/>
      <c r="Y52" s="57">
        <v>210</v>
      </c>
      <c r="Z52" s="57">
        <v>215</v>
      </c>
    </row>
    <row r="53" spans="2:26" ht="15.5">
      <c r="B53" s="2" t="s">
        <v>104</v>
      </c>
      <c r="C53" s="9" t="s">
        <v>148</v>
      </c>
      <c r="D53" s="2"/>
      <c r="E53" s="118">
        <f>VLOOKUP(C53,Datasheet!F69:G70,2,FALSE)</f>
        <v>0</v>
      </c>
      <c r="F53" s="118"/>
      <c r="Y53" s="57">
        <v>215</v>
      </c>
      <c r="Z53" s="57">
        <v>221</v>
      </c>
    </row>
    <row r="54" spans="2:26" ht="13">
      <c r="E54" s="118"/>
      <c r="F54" s="118"/>
      <c r="Y54" s="57">
        <v>226</v>
      </c>
      <c r="Z54" s="57">
        <v>232</v>
      </c>
    </row>
    <row r="55" spans="2:26" ht="30" customHeight="1">
      <c r="C55" s="1"/>
      <c r="E55" s="118"/>
      <c r="F55" s="118"/>
      <c r="Y55" s="57">
        <v>232</v>
      </c>
      <c r="Z55" s="57">
        <v>237</v>
      </c>
    </row>
    <row r="56" spans="2:26" ht="13">
      <c r="E56" s="131">
        <f>IF(E15*8+E52*4+E53*2+E18=15, E15*8+E52*4+E53*2+E18-0.268, E15*8+E52*4+E53*2+E18)</f>
        <v>8</v>
      </c>
      <c r="F56" s="118"/>
      <c r="Y56" s="57">
        <v>237</v>
      </c>
      <c r="Z56" s="57">
        <v>243</v>
      </c>
    </row>
    <row r="57" spans="2:26" ht="13">
      <c r="Y57" s="57">
        <v>255</v>
      </c>
      <c r="Z57" s="57">
        <v>261</v>
      </c>
    </row>
    <row r="58" spans="2:26" ht="13">
      <c r="Y58" s="57">
        <v>261</v>
      </c>
      <c r="Z58" s="57">
        <v>267</v>
      </c>
    </row>
    <row r="59" spans="2:26" ht="13">
      <c r="Y59" s="57">
        <v>267</v>
      </c>
      <c r="Z59" s="57">
        <v>274</v>
      </c>
    </row>
    <row r="60" spans="2:26" ht="13">
      <c r="Y60" s="57">
        <v>274</v>
      </c>
      <c r="Z60" s="57">
        <v>280</v>
      </c>
    </row>
    <row r="61" spans="2:26" ht="13">
      <c r="Y61" s="57">
        <v>280</v>
      </c>
      <c r="Z61" s="57">
        <v>287</v>
      </c>
    </row>
    <row r="62" spans="2:26" ht="13">
      <c r="Y62" s="57">
        <v>287</v>
      </c>
      <c r="Z62" s="57">
        <v>294</v>
      </c>
    </row>
    <row r="63" spans="2:26" ht="13">
      <c r="Y63" s="57">
        <v>294</v>
      </c>
      <c r="Z63" s="57">
        <v>301</v>
      </c>
    </row>
    <row r="64" spans="2:26" ht="13">
      <c r="Y64" s="57">
        <v>301</v>
      </c>
      <c r="Z64" s="57">
        <v>309</v>
      </c>
    </row>
    <row r="65" spans="25:26" ht="13">
      <c r="Y65" s="57">
        <v>309</v>
      </c>
      <c r="Z65" s="57">
        <v>316</v>
      </c>
    </row>
    <row r="66" spans="25:26" ht="13">
      <c r="Y66" s="57">
        <v>316</v>
      </c>
      <c r="Z66" s="57">
        <v>324</v>
      </c>
    </row>
    <row r="67" spans="25:26" ht="13">
      <c r="Y67" s="57">
        <v>324</v>
      </c>
      <c r="Z67" s="57">
        <v>332</v>
      </c>
    </row>
    <row r="68" spans="25:26" ht="13">
      <c r="Y68" s="57">
        <v>332</v>
      </c>
      <c r="Z68" s="57">
        <v>340</v>
      </c>
    </row>
    <row r="69" spans="25:26" ht="13">
      <c r="Y69" s="57">
        <v>340</v>
      </c>
      <c r="Z69" s="57">
        <v>348</v>
      </c>
    </row>
    <row r="70" spans="25:26" ht="13">
      <c r="Y70" s="57">
        <v>348</v>
      </c>
      <c r="Z70" s="57">
        <v>357</v>
      </c>
    </row>
    <row r="71" spans="25:26" ht="13">
      <c r="Y71" s="57">
        <v>357</v>
      </c>
      <c r="Z71" s="57">
        <v>365</v>
      </c>
    </row>
    <row r="72" spans="25:26" ht="13">
      <c r="Y72" s="57">
        <v>365</v>
      </c>
      <c r="Z72" s="57">
        <v>374</v>
      </c>
    </row>
    <row r="73" spans="25:26" ht="13">
      <c r="Y73" s="57">
        <v>374</v>
      </c>
      <c r="Z73" s="57">
        <v>383</v>
      </c>
    </row>
    <row r="74" spans="25:26" ht="13">
      <c r="Y74" s="57">
        <v>383</v>
      </c>
      <c r="Z74" s="57">
        <v>392</v>
      </c>
    </row>
    <row r="75" spans="25:26" ht="13">
      <c r="Y75" s="57">
        <v>392</v>
      </c>
      <c r="Z75" s="57">
        <v>402</v>
      </c>
    </row>
    <row r="76" spans="25:26" ht="13">
      <c r="Y76" s="57">
        <v>402</v>
      </c>
      <c r="Z76" s="57">
        <v>412</v>
      </c>
    </row>
    <row r="77" spans="25:26" ht="13">
      <c r="Y77" s="57">
        <v>412</v>
      </c>
      <c r="Z77" s="57">
        <v>422</v>
      </c>
    </row>
    <row r="78" spans="25:26" ht="13">
      <c r="Y78" s="57">
        <v>422</v>
      </c>
      <c r="Z78" s="57">
        <v>432</v>
      </c>
    </row>
    <row r="79" spans="25:26" ht="13">
      <c r="Y79" s="57">
        <v>432</v>
      </c>
      <c r="Z79" s="57">
        <v>442</v>
      </c>
    </row>
    <row r="80" spans="25:26" ht="13">
      <c r="Y80" s="57">
        <v>442</v>
      </c>
      <c r="Z80" s="57">
        <v>453</v>
      </c>
    </row>
    <row r="81" spans="25:26" ht="13">
      <c r="Y81" s="57">
        <v>453</v>
      </c>
      <c r="Z81" s="57">
        <v>464</v>
      </c>
    </row>
    <row r="82" spans="25:26" ht="13">
      <c r="Y82" s="57">
        <v>464</v>
      </c>
      <c r="Z82" s="57">
        <v>475</v>
      </c>
    </row>
    <row r="83" spans="25:26" ht="13">
      <c r="Y83" s="57">
        <v>475</v>
      </c>
      <c r="Z83" s="57">
        <v>487</v>
      </c>
    </row>
    <row r="84" spans="25:26" ht="13">
      <c r="Y84" s="57">
        <v>487</v>
      </c>
      <c r="Z84" s="57">
        <v>511</v>
      </c>
    </row>
    <row r="85" spans="25:26" ht="13">
      <c r="Y85" s="57">
        <v>511</v>
      </c>
      <c r="Z85" s="57">
        <v>523</v>
      </c>
    </row>
    <row r="86" spans="25:26" ht="13">
      <c r="Y86" s="57">
        <v>523</v>
      </c>
      <c r="Z86" s="57">
        <v>536</v>
      </c>
    </row>
    <row r="87" spans="25:26" ht="13">
      <c r="Y87" s="57">
        <v>536</v>
      </c>
      <c r="Z87" s="57">
        <v>549</v>
      </c>
    </row>
    <row r="88" spans="25:26" ht="13">
      <c r="Y88" s="57">
        <v>549</v>
      </c>
      <c r="Z88" s="57">
        <v>562</v>
      </c>
    </row>
    <row r="89" spans="25:26" ht="13">
      <c r="Y89" s="57">
        <v>562</v>
      </c>
      <c r="Z89" s="57">
        <v>576</v>
      </c>
    </row>
    <row r="90" spans="25:26" ht="13">
      <c r="Y90" s="57">
        <v>576</v>
      </c>
      <c r="Z90" s="57">
        <v>590</v>
      </c>
    </row>
    <row r="91" spans="25:26" ht="13">
      <c r="Y91" s="57">
        <v>590</v>
      </c>
      <c r="Z91" s="57">
        <v>604</v>
      </c>
    </row>
    <row r="92" spans="25:26" ht="13">
      <c r="Y92" s="57">
        <v>604</v>
      </c>
      <c r="Z92" s="57">
        <v>619</v>
      </c>
    </row>
    <row r="93" spans="25:26" ht="13">
      <c r="Y93" s="57">
        <v>619</v>
      </c>
      <c r="Z93" s="57">
        <v>634</v>
      </c>
    </row>
    <row r="94" spans="25:26" ht="13">
      <c r="Y94" s="57">
        <v>634</v>
      </c>
      <c r="Z94" s="57">
        <v>649</v>
      </c>
    </row>
    <row r="95" spans="25:26" ht="13">
      <c r="Y95" s="57">
        <v>649</v>
      </c>
      <c r="Z95" s="57">
        <v>665</v>
      </c>
    </row>
    <row r="96" spans="25:26" ht="13">
      <c r="Y96" s="57">
        <v>665</v>
      </c>
      <c r="Z96" s="57">
        <v>681</v>
      </c>
    </row>
    <row r="97" spans="25:26" ht="13">
      <c r="Y97" s="57">
        <v>681</v>
      </c>
      <c r="Z97" s="57">
        <v>698</v>
      </c>
    </row>
    <row r="98" spans="25:26" ht="13">
      <c r="Y98" s="57">
        <v>698</v>
      </c>
      <c r="Z98" s="57">
        <v>715</v>
      </c>
    </row>
    <row r="99" spans="25:26" ht="13">
      <c r="Y99" s="57">
        <v>715</v>
      </c>
      <c r="Z99" s="57">
        <v>732</v>
      </c>
    </row>
    <row r="100" spans="25:26" ht="13">
      <c r="Y100" s="57">
        <v>732</v>
      </c>
      <c r="Z100" s="57">
        <v>750</v>
      </c>
    </row>
    <row r="101" spans="25:26" ht="13">
      <c r="Y101" s="57">
        <v>750</v>
      </c>
      <c r="Z101" s="57">
        <v>768</v>
      </c>
    </row>
    <row r="102" spans="25:26" ht="13">
      <c r="Y102" s="57">
        <v>768</v>
      </c>
      <c r="Z102" s="57">
        <v>787</v>
      </c>
    </row>
    <row r="103" spans="25:26" ht="13">
      <c r="Y103" s="57">
        <v>787</v>
      </c>
      <c r="Z103" s="57">
        <v>806</v>
      </c>
    </row>
    <row r="104" spans="25:26" ht="13">
      <c r="Y104" s="57">
        <v>806</v>
      </c>
      <c r="Z104" s="57">
        <v>825</v>
      </c>
    </row>
    <row r="105" spans="25:26" ht="13">
      <c r="Y105" s="57">
        <v>825</v>
      </c>
      <c r="Z105" s="57">
        <v>845</v>
      </c>
    </row>
    <row r="106" spans="25:26" ht="13">
      <c r="Y106" s="57">
        <v>845</v>
      </c>
      <c r="Z106" s="57">
        <v>866</v>
      </c>
    </row>
    <row r="107" spans="25:26" ht="13">
      <c r="Y107" s="57">
        <v>866</v>
      </c>
      <c r="Z107" s="57">
        <v>887</v>
      </c>
    </row>
    <row r="108" spans="25:26" ht="13">
      <c r="Y108" s="57">
        <v>887</v>
      </c>
      <c r="Z108" s="57">
        <v>909</v>
      </c>
    </row>
    <row r="109" spans="25:26" ht="13">
      <c r="Y109" s="57">
        <v>909</v>
      </c>
      <c r="Z109" s="57">
        <v>931</v>
      </c>
    </row>
    <row r="110" spans="25:26" ht="13">
      <c r="Y110" s="57">
        <v>931</v>
      </c>
      <c r="Z110" s="57">
        <v>953</v>
      </c>
    </row>
    <row r="111" spans="25:26" ht="13">
      <c r="Y111" s="57">
        <v>953</v>
      </c>
      <c r="Z111" s="57">
        <v>976</v>
      </c>
    </row>
    <row r="112" spans="25:26" ht="13">
      <c r="Y112" s="57">
        <v>976</v>
      </c>
      <c r="Z112" s="57">
        <v>1000</v>
      </c>
    </row>
  </sheetData>
  <dataConsolidate/>
  <mergeCells count="6">
    <mergeCell ref="C6:I6"/>
    <mergeCell ref="C5:I5"/>
    <mergeCell ref="C8:I8"/>
    <mergeCell ref="C7:I7"/>
    <mergeCell ref="C45:D45"/>
    <mergeCell ref="H14:I14"/>
  </mergeCells>
  <conditionalFormatting sqref="C19">
    <cfRule type="expression" dxfId="0" priority="1">
      <formula>E18</formula>
    </cfRule>
  </conditionalFormatting>
  <pageMargins left="0.7" right="0.7" top="0.75" bottom="0.75" header="0.3" footer="0.3"/>
  <pageSetup scale="56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1" shapeId="1044" r:id="rId4">
          <objectPr defaultSize="0" autoPict="0" r:id="rId5">
            <anchor moveWithCells="1" sizeWithCells="1">
              <from>
                <xdr:col>14</xdr:col>
                <xdr:colOff>76200</xdr:colOff>
                <xdr:row>11</xdr:row>
                <xdr:rowOff>19050</xdr:rowOff>
              </from>
              <to>
                <xdr:col>29</xdr:col>
                <xdr:colOff>203200</xdr:colOff>
                <xdr:row>44</xdr:row>
                <xdr:rowOff>209550</xdr:rowOff>
              </to>
            </anchor>
          </objectPr>
        </oleObject>
      </mc:Choice>
      <mc:Fallback>
        <oleObject progId="Visio.Drawing.11" shapeId="104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Datasheet!$Z$8:$Z$263</xm:f>
          </x14:formula1>
          <xm:sqref>C35</xm:sqref>
        </x14:dataValidation>
        <x14:dataValidation type="list" allowBlank="1" showInputMessage="1" showErrorMessage="1">
          <x14:formula1>
            <xm:f>Datasheet!$D$24:$D$31</xm:f>
          </x14:formula1>
          <xm:sqref>C24</xm:sqref>
        </x14:dataValidation>
        <x14:dataValidation type="list" allowBlank="1" showInputMessage="1" showErrorMessage="1">
          <x14:formula1>
            <xm:f>Datasheet!$J$102:$J$105</xm:f>
          </x14:formula1>
          <xm:sqref>C26</xm:sqref>
        </x14:dataValidation>
        <x14:dataValidation type="list" allowBlank="1" showInputMessage="1" showErrorMessage="1">
          <x14:formula1>
            <xm:f>Datasheet!$H$112:$H$127</xm:f>
          </x14:formula1>
          <xm:sqref>C27</xm:sqref>
        </x14:dataValidation>
        <x14:dataValidation type="list" allowBlank="1" showInputMessage="1" showErrorMessage="1">
          <x14:formula1>
            <xm:f>Datasheet!$F$160:$F$161</xm:f>
          </x14:formula1>
          <xm:sqref>C45:D45</xm:sqref>
        </x14:dataValidation>
        <x14:dataValidation type="list" allowBlank="1" showInputMessage="1" showErrorMessage="1">
          <x14:formula1>
            <xm:f>Datasheet!$D$92:$D$99</xm:f>
          </x14:formula1>
          <xm:sqref>C39</xm:sqref>
        </x14:dataValidation>
        <x14:dataValidation type="list" allowBlank="1" showInputMessage="1" showErrorMessage="1">
          <x14:formula1>
            <xm:f>Datasheet!$D$84:$D$91</xm:f>
          </x14:formula1>
          <xm:sqref>C40</xm:sqref>
        </x14:dataValidation>
        <x14:dataValidation type="list" allowBlank="1" showInputMessage="1" showErrorMessage="1">
          <x14:formula1>
            <xm:f>Datasheet!$D$155:$D$158</xm:f>
          </x14:formula1>
          <xm:sqref>C43</xm:sqref>
        </x14:dataValidation>
        <x14:dataValidation type="list" allowBlank="1" showInputMessage="1" showErrorMessage="1">
          <x14:formula1>
            <xm:f>Datasheet!F69:F70</xm:f>
          </x14:formula1>
          <xm:sqref>C53</xm:sqref>
        </x14:dataValidation>
        <x14:dataValidation type="list" allowBlank="1" showInputMessage="1" showErrorMessage="1">
          <x14:formula1>
            <xm:f>Datasheet!F71:F72</xm:f>
          </x14:formula1>
          <xm:sqref>C18</xm:sqref>
        </x14:dataValidation>
        <x14:dataValidation type="list" allowBlank="1" showInputMessage="1" showErrorMessage="1">
          <x14:formula1>
            <xm:f>Datasheet!D3:D18</xm:f>
          </x14:formula1>
          <xm:sqref>C49</xm:sqref>
        </x14:dataValidation>
        <x14:dataValidation type="list" allowBlank="1" showInputMessage="1" showErrorMessage="1">
          <x14:formula1>
            <xm:f>Datasheet!F65:F66</xm:f>
          </x14:formula1>
          <xm:sqref>C52</xm:sqref>
        </x14:dataValidation>
        <x14:dataValidation type="list" allowBlank="1" showInputMessage="1" showErrorMessage="1">
          <x14:formula1>
            <xm:f>Datasheet!F33:F40</xm:f>
          </x14:formula1>
          <xm:sqref>C31</xm:sqref>
        </x14:dataValidation>
        <x14:dataValidation type="list" allowBlank="1" showInputMessage="1" showErrorMessage="1">
          <x14:formula1>
            <xm:f>Datasheet!$F63:$F$64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64"/>
  <sheetViews>
    <sheetView topLeftCell="C1" workbookViewId="0">
      <selection activeCell="I162" sqref="I162"/>
    </sheetView>
  </sheetViews>
  <sheetFormatPr defaultRowHeight="12.5"/>
  <cols>
    <col min="2" max="2" width="27.453125" customWidth="1"/>
    <col min="3" max="3" width="29.54296875" customWidth="1"/>
    <col min="4" max="4" width="16" customWidth="1"/>
    <col min="5" max="5" width="24.54296875" customWidth="1"/>
    <col min="6" max="6" width="13" customWidth="1"/>
    <col min="7" max="10" width="9.1796875" customWidth="1"/>
    <col min="11" max="11" width="7.54296875" customWidth="1"/>
    <col min="12" max="12" width="12.54296875" customWidth="1"/>
    <col min="15" max="16" width="13" customWidth="1"/>
    <col min="21" max="21" width="15.7265625" customWidth="1"/>
    <col min="23" max="23" width="12.26953125" customWidth="1"/>
    <col min="24" max="24" width="10.26953125" customWidth="1"/>
    <col min="27" max="27" width="12.54296875" customWidth="1"/>
  </cols>
  <sheetData>
    <row r="2" spans="2:27" ht="13" thickBot="1"/>
    <row r="3" spans="2:27" ht="16" thickBot="1">
      <c r="B3" s="129" t="s">
        <v>109</v>
      </c>
      <c r="C3" s="15" t="s">
        <v>121</v>
      </c>
      <c r="D3" s="17">
        <v>24</v>
      </c>
      <c r="E3" s="17" t="s">
        <v>110</v>
      </c>
      <c r="F3" s="17">
        <v>24</v>
      </c>
      <c r="G3">
        <v>20</v>
      </c>
      <c r="H3" s="77">
        <v>0</v>
      </c>
    </row>
    <row r="4" spans="2:27" ht="16" thickBot="1">
      <c r="B4" s="130" t="s">
        <v>20</v>
      </c>
      <c r="C4" s="18" t="s">
        <v>122</v>
      </c>
      <c r="D4" s="20">
        <v>27</v>
      </c>
      <c r="E4" s="17" t="s">
        <v>110</v>
      </c>
      <c r="F4" s="20">
        <v>27</v>
      </c>
      <c r="G4">
        <v>24</v>
      </c>
      <c r="H4" s="77">
        <v>0</v>
      </c>
    </row>
    <row r="5" spans="2:27" ht="16" thickBot="1">
      <c r="B5" s="130"/>
      <c r="C5" s="18" t="s">
        <v>123</v>
      </c>
      <c r="D5" s="20">
        <v>30</v>
      </c>
      <c r="E5" s="17" t="s">
        <v>110</v>
      </c>
      <c r="F5" s="20">
        <v>30</v>
      </c>
      <c r="G5">
        <v>30</v>
      </c>
      <c r="H5" s="77">
        <v>0</v>
      </c>
    </row>
    <row r="6" spans="2:27" ht="16" thickBot="1">
      <c r="B6" s="13"/>
      <c r="C6" s="18" t="s">
        <v>124</v>
      </c>
      <c r="D6" s="20">
        <v>33</v>
      </c>
      <c r="E6" s="17" t="s">
        <v>110</v>
      </c>
      <c r="F6" s="20">
        <v>33</v>
      </c>
      <c r="G6">
        <v>39</v>
      </c>
      <c r="H6" s="77">
        <v>0</v>
      </c>
      <c r="T6" s="106" t="s">
        <v>171</v>
      </c>
      <c r="U6" s="110"/>
      <c r="V6" s="108" t="s">
        <v>91</v>
      </c>
      <c r="W6" s="108"/>
      <c r="X6" s="110" t="s">
        <v>92</v>
      </c>
    </row>
    <row r="7" spans="2:27" ht="16" thickBot="1">
      <c r="B7" s="13"/>
      <c r="C7" s="21" t="s">
        <v>125</v>
      </c>
      <c r="D7" s="20">
        <v>36</v>
      </c>
      <c r="E7" s="17" t="s">
        <v>110</v>
      </c>
      <c r="F7" s="20">
        <v>36</v>
      </c>
      <c r="G7">
        <v>56</v>
      </c>
      <c r="H7" s="77">
        <v>0</v>
      </c>
      <c r="T7" s="107" t="s">
        <v>172</v>
      </c>
      <c r="U7" s="111"/>
      <c r="V7" s="109" t="s">
        <v>173</v>
      </c>
      <c r="W7" s="109"/>
      <c r="X7" s="111" t="s">
        <v>173</v>
      </c>
    </row>
    <row r="8" spans="2:27" ht="16" thickBot="1">
      <c r="B8" s="13"/>
      <c r="C8" s="18" t="s">
        <v>126</v>
      </c>
      <c r="D8" s="20">
        <v>39</v>
      </c>
      <c r="E8" s="17" t="s">
        <v>110</v>
      </c>
      <c r="F8" s="20">
        <v>39</v>
      </c>
      <c r="G8">
        <v>75</v>
      </c>
      <c r="H8" s="77">
        <v>0</v>
      </c>
      <c r="L8" t="s">
        <v>586</v>
      </c>
      <c r="M8" t="s">
        <v>585</v>
      </c>
      <c r="N8" t="s">
        <v>584</v>
      </c>
      <c r="O8" t="s">
        <v>587</v>
      </c>
      <c r="P8" t="s">
        <v>588</v>
      </c>
      <c r="Q8" t="str">
        <f>DEC2BIN(FLOOR(HEX2DEC(T8)/2, 1))</f>
        <v>0</v>
      </c>
      <c r="R8">
        <f>BIN2DEC(Q8)*2+BIN2DEC($N$9)</f>
        <v>1</v>
      </c>
      <c r="T8" s="112">
        <v>0</v>
      </c>
      <c r="U8" s="117">
        <v>0</v>
      </c>
      <c r="V8" s="113">
        <v>0</v>
      </c>
      <c r="W8" s="113">
        <f>U8</f>
        <v>0</v>
      </c>
      <c r="X8" s="114">
        <v>0</v>
      </c>
      <c r="Z8">
        <f>IF(Design_Tool!$E$15,V8,X8)</f>
        <v>0</v>
      </c>
      <c r="AA8" s="113">
        <v>0</v>
      </c>
    </row>
    <row r="9" spans="2:27" ht="16" thickBot="1">
      <c r="B9" s="13"/>
      <c r="C9" s="18" t="s">
        <v>127</v>
      </c>
      <c r="D9" s="20">
        <v>42</v>
      </c>
      <c r="E9" s="17" t="s">
        <v>110</v>
      </c>
      <c r="F9" s="20">
        <v>42</v>
      </c>
      <c r="G9">
        <v>100</v>
      </c>
      <c r="H9" s="77">
        <v>0</v>
      </c>
      <c r="L9">
        <f>VLOOKUP(Design_Tool!C26, Datasheet!J102:K105, 2, FALSE)</f>
        <v>0</v>
      </c>
      <c r="M9" t="str">
        <f>VLOOKUP(Design_Tool!C35, Datasheet!Z8:AA263, 2, FALSE)</f>
        <v>1111111</v>
      </c>
      <c r="N9">
        <f>BIN2DEC(M9)-FLOOR(BIN2DEC(M9)/2, 1)*2</f>
        <v>1</v>
      </c>
      <c r="O9" t="str">
        <f>DEC2BIN(L9*2+N9)</f>
        <v>1</v>
      </c>
      <c r="P9">
        <f>BIN2DEC(O9)</f>
        <v>1</v>
      </c>
      <c r="Q9" t="str">
        <f t="shared" ref="Q9:Q15" si="0">DEC2BIN(FLOOR(HEX2DEC(T9)/2, 1))</f>
        <v>0</v>
      </c>
      <c r="R9">
        <f t="shared" ref="R9:R15" si="1">BIN2DEC(Q9)*2+BIN2DEC($N$9)</f>
        <v>1</v>
      </c>
      <c r="T9" s="112">
        <v>1</v>
      </c>
      <c r="U9" s="116" t="str">
        <f t="shared" ref="U9:U72" si="2">HEX2BIN(T9)</f>
        <v>1</v>
      </c>
      <c r="V9" s="113">
        <v>0.25</v>
      </c>
      <c r="W9" s="113" t="str">
        <f t="shared" ref="W9:W72" si="3">U9</f>
        <v>1</v>
      </c>
      <c r="X9" s="114">
        <v>0.5</v>
      </c>
      <c r="Z9">
        <f>IF(Design_Tool!$E$15,V9,X9)</f>
        <v>0.25</v>
      </c>
      <c r="AA9" s="113" t="s">
        <v>170</v>
      </c>
    </row>
    <row r="10" spans="2:27" ht="16" thickBot="1">
      <c r="B10" s="13"/>
      <c r="C10" s="18" t="s">
        <v>128</v>
      </c>
      <c r="D10" s="20">
        <v>45</v>
      </c>
      <c r="E10" s="17" t="s">
        <v>110</v>
      </c>
      <c r="F10" s="20">
        <v>45</v>
      </c>
      <c r="G10">
        <v>150</v>
      </c>
      <c r="H10" s="77">
        <v>0</v>
      </c>
      <c r="Q10" t="str">
        <f t="shared" si="0"/>
        <v>1</v>
      </c>
      <c r="R10">
        <f t="shared" si="1"/>
        <v>3</v>
      </c>
      <c r="T10" s="112">
        <v>2</v>
      </c>
      <c r="U10" s="116" t="str">
        <f t="shared" si="2"/>
        <v>10</v>
      </c>
      <c r="V10" s="113">
        <v>0.255</v>
      </c>
      <c r="W10" s="113" t="str">
        <f t="shared" si="3"/>
        <v>10</v>
      </c>
      <c r="X10" s="114">
        <v>0.51</v>
      </c>
      <c r="Z10">
        <f>IF(Design_Tool!$E$15,V10,X10)</f>
        <v>0.255</v>
      </c>
      <c r="AA10" s="113" t="s">
        <v>330</v>
      </c>
    </row>
    <row r="11" spans="2:27" ht="16" thickBot="1">
      <c r="B11" s="157"/>
      <c r="C11" s="159" t="s">
        <v>129</v>
      </c>
      <c r="D11" s="156">
        <v>48</v>
      </c>
      <c r="E11" s="17" t="s">
        <v>110</v>
      </c>
      <c r="F11" s="151">
        <v>48</v>
      </c>
      <c r="G11">
        <v>20</v>
      </c>
      <c r="H11" s="77">
        <v>1</v>
      </c>
      <c r="L11" t="s">
        <v>591</v>
      </c>
      <c r="M11" t="str">
        <f>DEC2BIN(FLOOR(BIN2DEC(M9)/16, 1))</f>
        <v>111</v>
      </c>
      <c r="N11">
        <f>BIN2DEC(M11)</f>
        <v>7</v>
      </c>
      <c r="Q11" t="str">
        <f t="shared" si="0"/>
        <v>1</v>
      </c>
      <c r="R11">
        <f t="shared" si="1"/>
        <v>3</v>
      </c>
      <c r="T11" s="112">
        <v>3</v>
      </c>
      <c r="U11" s="116" t="str">
        <f t="shared" si="2"/>
        <v>11</v>
      </c>
      <c r="V11" s="113">
        <v>0.26</v>
      </c>
      <c r="W11" s="113" t="str">
        <f t="shared" si="3"/>
        <v>11</v>
      </c>
      <c r="X11" s="114">
        <v>0.52</v>
      </c>
      <c r="Z11">
        <f>IF(Design_Tool!$E$15,V11,X11)</f>
        <v>0.26</v>
      </c>
      <c r="AA11" s="113" t="s">
        <v>331</v>
      </c>
    </row>
    <row r="12" spans="2:27" ht="16" thickBot="1">
      <c r="B12" s="157"/>
      <c r="C12" s="160" t="s">
        <v>130</v>
      </c>
      <c r="D12" s="156">
        <v>51</v>
      </c>
      <c r="E12" s="17" t="s">
        <v>110</v>
      </c>
      <c r="F12" s="151">
        <v>51</v>
      </c>
      <c r="G12">
        <v>24</v>
      </c>
      <c r="H12" s="77">
        <v>1</v>
      </c>
      <c r="L12" t="s">
        <v>593</v>
      </c>
      <c r="M12" t="str">
        <f>DEC2BIN(BIN2DEC(M9)-FLOOR(BIN2DEC(M9)/16, 1)*16)</f>
        <v>1111</v>
      </c>
      <c r="Q12" t="str">
        <f t="shared" si="0"/>
        <v>10</v>
      </c>
      <c r="R12">
        <f t="shared" si="1"/>
        <v>5</v>
      </c>
      <c r="T12" s="112">
        <v>4</v>
      </c>
      <c r="U12" s="116" t="str">
        <f t="shared" si="2"/>
        <v>100</v>
      </c>
      <c r="V12" s="113">
        <v>0.26500000000000001</v>
      </c>
      <c r="W12" s="113" t="str">
        <f t="shared" si="3"/>
        <v>100</v>
      </c>
      <c r="X12" s="114">
        <v>0.53</v>
      </c>
      <c r="Z12">
        <f>IF(Design_Tool!$E$15,V12,X12)</f>
        <v>0.26500000000000001</v>
      </c>
      <c r="AA12" s="113" t="s">
        <v>332</v>
      </c>
    </row>
    <row r="13" spans="2:27" ht="16" thickBot="1">
      <c r="B13" s="157"/>
      <c r="C13" s="160" t="s">
        <v>131</v>
      </c>
      <c r="D13" s="156">
        <v>54</v>
      </c>
      <c r="E13" s="17" t="s">
        <v>110</v>
      </c>
      <c r="F13" s="151">
        <v>54</v>
      </c>
      <c r="G13">
        <v>30</v>
      </c>
      <c r="H13" s="77">
        <v>1</v>
      </c>
      <c r="L13" t="s">
        <v>592</v>
      </c>
      <c r="M13" t="str">
        <f>DEC2BIN(FLOOR(BIN2DEC(M12)/2, 1))</f>
        <v>111</v>
      </c>
      <c r="Q13" t="str">
        <f t="shared" si="0"/>
        <v>10</v>
      </c>
      <c r="R13">
        <f t="shared" si="1"/>
        <v>5</v>
      </c>
      <c r="T13" s="112">
        <v>5</v>
      </c>
      <c r="U13" s="116" t="str">
        <f t="shared" si="2"/>
        <v>101</v>
      </c>
      <c r="V13" s="113">
        <v>0.27</v>
      </c>
      <c r="W13" s="113" t="str">
        <f t="shared" si="3"/>
        <v>101</v>
      </c>
      <c r="X13" s="114">
        <v>0.54</v>
      </c>
      <c r="Z13">
        <f>IF(Design_Tool!$E$15,V13,X13)</f>
        <v>0.27</v>
      </c>
      <c r="AA13" s="113" t="s">
        <v>333</v>
      </c>
    </row>
    <row r="14" spans="2:27" ht="16" thickBot="1">
      <c r="B14" s="157"/>
      <c r="C14" s="160" t="s">
        <v>132</v>
      </c>
      <c r="D14" s="156">
        <v>57</v>
      </c>
      <c r="E14" s="17" t="s">
        <v>110</v>
      </c>
      <c r="F14" s="151">
        <v>57</v>
      </c>
      <c r="G14">
        <v>39</v>
      </c>
      <c r="H14" s="77">
        <v>1</v>
      </c>
      <c r="L14" s="12" t="s">
        <v>594</v>
      </c>
      <c r="M14">
        <f>BIN2DEC(M13)</f>
        <v>7</v>
      </c>
      <c r="Q14" t="str">
        <f t="shared" si="0"/>
        <v>11</v>
      </c>
      <c r="R14">
        <f t="shared" si="1"/>
        <v>7</v>
      </c>
      <c r="T14" s="112">
        <v>6</v>
      </c>
      <c r="U14" s="116" t="str">
        <f t="shared" si="2"/>
        <v>110</v>
      </c>
      <c r="V14" s="113">
        <v>0.27500000000000002</v>
      </c>
      <c r="W14" s="113" t="str">
        <f t="shared" si="3"/>
        <v>110</v>
      </c>
      <c r="X14" s="114">
        <v>0.55000000000000004</v>
      </c>
      <c r="Z14">
        <f>IF(Design_Tool!$E$15,V14,X14)</f>
        <v>0.27500000000000002</v>
      </c>
      <c r="AA14" s="113" t="s">
        <v>334</v>
      </c>
    </row>
    <row r="15" spans="2:27" ht="16" thickBot="1">
      <c r="B15" s="157"/>
      <c r="C15" s="159" t="s">
        <v>133</v>
      </c>
      <c r="D15" s="156">
        <v>60</v>
      </c>
      <c r="E15" s="17" t="s">
        <v>110</v>
      </c>
      <c r="F15" s="151">
        <v>60</v>
      </c>
      <c r="G15">
        <v>56</v>
      </c>
      <c r="H15" s="77">
        <v>1</v>
      </c>
      <c r="Q15" t="str">
        <f t="shared" si="0"/>
        <v>11</v>
      </c>
      <c r="R15">
        <f t="shared" si="1"/>
        <v>7</v>
      </c>
      <c r="T15" s="112">
        <v>7</v>
      </c>
      <c r="U15" s="116" t="str">
        <f t="shared" si="2"/>
        <v>111</v>
      </c>
      <c r="V15" s="113">
        <v>0.28000000000000003</v>
      </c>
      <c r="W15" s="113" t="str">
        <f t="shared" si="3"/>
        <v>111</v>
      </c>
      <c r="X15" s="114">
        <v>0.56000000000000005</v>
      </c>
      <c r="Z15">
        <f>IF(Design_Tool!$E$15,V15,X15)</f>
        <v>0.28000000000000003</v>
      </c>
      <c r="AA15" s="113" t="s">
        <v>335</v>
      </c>
    </row>
    <row r="16" spans="2:27" ht="16" thickBot="1">
      <c r="B16" s="157"/>
      <c r="C16" s="160" t="s">
        <v>134</v>
      </c>
      <c r="D16" s="156">
        <v>63</v>
      </c>
      <c r="E16" s="17" t="s">
        <v>110</v>
      </c>
      <c r="F16" s="151">
        <v>63</v>
      </c>
      <c r="G16">
        <v>75</v>
      </c>
      <c r="H16" s="77">
        <v>1</v>
      </c>
      <c r="T16" s="112">
        <v>8</v>
      </c>
      <c r="U16" s="116" t="str">
        <f t="shared" si="2"/>
        <v>1000</v>
      </c>
      <c r="V16" s="113">
        <v>0.28499999999999998</v>
      </c>
      <c r="W16" s="113" t="str">
        <f t="shared" si="3"/>
        <v>1000</v>
      </c>
      <c r="X16" s="114">
        <v>0.56999999999999995</v>
      </c>
      <c r="Z16">
        <f>IF(Design_Tool!$E$15,V16,X16)</f>
        <v>0.28499999999999998</v>
      </c>
      <c r="AA16" s="113" t="s">
        <v>336</v>
      </c>
    </row>
    <row r="17" spans="2:27" ht="16" thickBot="1">
      <c r="B17" s="157"/>
      <c r="C17" s="160" t="s">
        <v>135</v>
      </c>
      <c r="D17" s="156">
        <v>66</v>
      </c>
      <c r="E17" s="17" t="s">
        <v>110</v>
      </c>
      <c r="F17" s="151">
        <v>66</v>
      </c>
      <c r="G17">
        <v>100</v>
      </c>
      <c r="H17" s="77">
        <v>1</v>
      </c>
      <c r="T17" s="112">
        <v>9</v>
      </c>
      <c r="U17" s="116" t="str">
        <f t="shared" si="2"/>
        <v>1001</v>
      </c>
      <c r="V17" s="113">
        <v>0.28999999999999998</v>
      </c>
      <c r="W17" s="113" t="str">
        <f t="shared" si="3"/>
        <v>1001</v>
      </c>
      <c r="X17" s="114">
        <v>0.57999999999999996</v>
      </c>
      <c r="Z17">
        <f>IF(Design_Tool!$E$15,V17,X17)</f>
        <v>0.28999999999999998</v>
      </c>
      <c r="AA17" s="113" t="s">
        <v>337</v>
      </c>
    </row>
    <row r="18" spans="2:27" ht="16" thickBot="1">
      <c r="B18" s="158"/>
      <c r="C18" s="160" t="s">
        <v>136</v>
      </c>
      <c r="D18" s="156">
        <v>69</v>
      </c>
      <c r="E18" s="17" t="s">
        <v>110</v>
      </c>
      <c r="F18" s="20">
        <v>69</v>
      </c>
      <c r="G18">
        <v>150</v>
      </c>
      <c r="H18" s="77">
        <v>1</v>
      </c>
      <c r="K18">
        <f>BIN2DEC(L18)</f>
        <v>0</v>
      </c>
      <c r="L18">
        <v>0</v>
      </c>
      <c r="M18">
        <v>20</v>
      </c>
      <c r="T18" s="112" t="s">
        <v>174</v>
      </c>
      <c r="U18" s="116" t="str">
        <f t="shared" si="2"/>
        <v>1010</v>
      </c>
      <c r="V18" s="113">
        <v>0.29499999999999998</v>
      </c>
      <c r="W18" s="113" t="str">
        <f t="shared" si="3"/>
        <v>1010</v>
      </c>
      <c r="X18" s="114">
        <v>0.59</v>
      </c>
      <c r="Z18">
        <f>IF(Design_Tool!$E$15,V18,X18)</f>
        <v>0.29499999999999998</v>
      </c>
      <c r="AA18" s="113" t="s">
        <v>338</v>
      </c>
    </row>
    <row r="19" spans="2:27" ht="13.5" thickBot="1">
      <c r="B19" s="32"/>
      <c r="C19" s="35"/>
      <c r="D19" s="34"/>
      <c r="E19" s="34"/>
      <c r="F19" s="34"/>
      <c r="K19">
        <f t="shared" ref="K19:K25" si="4">BIN2DEC(L19)</f>
        <v>1</v>
      </c>
      <c r="L19">
        <v>1</v>
      </c>
      <c r="M19">
        <v>24</v>
      </c>
      <c r="T19" s="112" t="s">
        <v>175</v>
      </c>
      <c r="U19" s="116" t="str">
        <f t="shared" si="2"/>
        <v>1011</v>
      </c>
      <c r="V19" s="113">
        <v>0.3</v>
      </c>
      <c r="W19" s="113" t="str">
        <f t="shared" si="3"/>
        <v>1011</v>
      </c>
      <c r="X19" s="114">
        <v>0.6</v>
      </c>
      <c r="Z19">
        <f>IF(Design_Tool!$E$15,V19,X19)</f>
        <v>0.3</v>
      </c>
      <c r="AA19" s="113" t="s">
        <v>339</v>
      </c>
    </row>
    <row r="20" spans="2:27" ht="13.5" thickBot="1">
      <c r="B20" s="32"/>
      <c r="C20" s="35"/>
      <c r="D20" s="34"/>
      <c r="E20" s="34"/>
      <c r="F20" s="34"/>
      <c r="K20">
        <f t="shared" si="4"/>
        <v>2</v>
      </c>
      <c r="L20">
        <v>10</v>
      </c>
      <c r="M20">
        <v>30</v>
      </c>
      <c r="T20" s="112" t="s">
        <v>176</v>
      </c>
      <c r="U20" s="116" t="str">
        <f t="shared" si="2"/>
        <v>1100</v>
      </c>
      <c r="V20" s="113">
        <v>0.30499999999999999</v>
      </c>
      <c r="W20" s="113" t="str">
        <f t="shared" si="3"/>
        <v>1100</v>
      </c>
      <c r="X20" s="114">
        <v>0.61</v>
      </c>
      <c r="Z20">
        <f>IF(Design_Tool!$E$15,V20,X20)</f>
        <v>0.30499999999999999</v>
      </c>
      <c r="AA20" s="113" t="s">
        <v>340</v>
      </c>
    </row>
    <row r="21" spans="2:27" ht="13.5" thickBot="1">
      <c r="B21" s="32"/>
      <c r="C21" s="35"/>
      <c r="D21" s="34"/>
      <c r="E21" s="34"/>
      <c r="F21" s="34"/>
      <c r="K21">
        <f t="shared" si="4"/>
        <v>3</v>
      </c>
      <c r="L21">
        <v>11</v>
      </c>
      <c r="M21">
        <v>39</v>
      </c>
      <c r="T21" s="112" t="s">
        <v>177</v>
      </c>
      <c r="U21" s="116" t="str">
        <f t="shared" si="2"/>
        <v>1101</v>
      </c>
      <c r="V21" s="113">
        <v>0.31</v>
      </c>
      <c r="W21" s="113" t="str">
        <f t="shared" si="3"/>
        <v>1101</v>
      </c>
      <c r="X21" s="114">
        <v>0.62</v>
      </c>
      <c r="Z21">
        <f>IF(Design_Tool!$E$15,V21,X21)</f>
        <v>0.31</v>
      </c>
      <c r="AA21" s="113" t="s">
        <v>341</v>
      </c>
    </row>
    <row r="22" spans="2:27" ht="13.5" thickBot="1">
      <c r="B22" s="32"/>
      <c r="C22" s="35"/>
      <c r="D22" s="34"/>
      <c r="E22" s="34"/>
      <c r="F22" s="34"/>
      <c r="K22">
        <f t="shared" si="4"/>
        <v>4</v>
      </c>
      <c r="L22">
        <v>100</v>
      </c>
      <c r="M22">
        <v>56</v>
      </c>
      <c r="T22" s="112" t="s">
        <v>178</v>
      </c>
      <c r="U22" s="116" t="str">
        <f t="shared" si="2"/>
        <v>1110</v>
      </c>
      <c r="V22" s="113">
        <v>0.315</v>
      </c>
      <c r="W22" s="113" t="str">
        <f t="shared" si="3"/>
        <v>1110</v>
      </c>
      <c r="X22" s="114">
        <v>0.63</v>
      </c>
      <c r="Z22">
        <f>IF(Design_Tool!$E$15,V22,X22)</f>
        <v>0.315</v>
      </c>
      <c r="AA22" s="113" t="s">
        <v>342</v>
      </c>
    </row>
    <row r="23" spans="2:27" ht="13.5" thickBot="1">
      <c r="K23">
        <f t="shared" si="4"/>
        <v>5</v>
      </c>
      <c r="L23">
        <v>101</v>
      </c>
      <c r="M23">
        <v>75</v>
      </c>
      <c r="T23" s="112" t="s">
        <v>179</v>
      </c>
      <c r="U23" s="116" t="str">
        <f t="shared" si="2"/>
        <v>1111</v>
      </c>
      <c r="V23" s="113">
        <v>0.32</v>
      </c>
      <c r="W23" s="113" t="str">
        <f t="shared" si="3"/>
        <v>1111</v>
      </c>
      <c r="X23" s="114">
        <v>0.64</v>
      </c>
      <c r="Z23">
        <f>IF(Design_Tool!$E$15,V23,X23)</f>
        <v>0.32</v>
      </c>
      <c r="AA23" s="113" t="s">
        <v>343</v>
      </c>
    </row>
    <row r="24" spans="2:27" ht="16" thickBot="1">
      <c r="B24" s="181" t="s">
        <v>21</v>
      </c>
      <c r="C24" s="15" t="s">
        <v>22</v>
      </c>
      <c r="D24" s="17">
        <v>0.34</v>
      </c>
      <c r="E24" s="17" t="s">
        <v>23</v>
      </c>
      <c r="F24">
        <v>20</v>
      </c>
      <c r="K24">
        <f t="shared" si="4"/>
        <v>6</v>
      </c>
      <c r="L24">
        <v>110</v>
      </c>
      <c r="M24">
        <v>100</v>
      </c>
      <c r="T24" s="112">
        <v>10</v>
      </c>
      <c r="U24" s="116" t="str">
        <f t="shared" si="2"/>
        <v>10000</v>
      </c>
      <c r="V24" s="113">
        <v>0.32500000000000001</v>
      </c>
      <c r="W24" s="113" t="str">
        <f t="shared" si="3"/>
        <v>10000</v>
      </c>
      <c r="X24" s="114">
        <v>0.65</v>
      </c>
      <c r="Z24">
        <f>IF(Design_Tool!$E$15,V24,X24)</f>
        <v>0.32500000000000001</v>
      </c>
      <c r="AA24" s="113" t="s">
        <v>344</v>
      </c>
    </row>
    <row r="25" spans="2:27" ht="16" thickBot="1">
      <c r="B25" s="182"/>
      <c r="C25" s="18" t="s">
        <v>24</v>
      </c>
      <c r="D25" s="20">
        <v>0.68</v>
      </c>
      <c r="E25" s="20" t="s">
        <v>23</v>
      </c>
      <c r="F25">
        <v>24</v>
      </c>
      <c r="K25">
        <f t="shared" si="4"/>
        <v>7</v>
      </c>
      <c r="L25">
        <v>111</v>
      </c>
      <c r="M25">
        <v>150</v>
      </c>
      <c r="T25" s="112">
        <v>11</v>
      </c>
      <c r="U25" s="116" t="str">
        <f t="shared" si="2"/>
        <v>10001</v>
      </c>
      <c r="V25" s="113">
        <v>0.33</v>
      </c>
      <c r="W25" s="113" t="str">
        <f t="shared" si="3"/>
        <v>10001</v>
      </c>
      <c r="X25" s="114">
        <v>0.66</v>
      </c>
      <c r="Z25">
        <f>IF(Design_Tool!$E$15,V25,X25)</f>
        <v>0.33</v>
      </c>
      <c r="AA25" s="113" t="s">
        <v>345</v>
      </c>
    </row>
    <row r="26" spans="2:27" ht="16" thickBot="1">
      <c r="B26" s="182"/>
      <c r="C26" s="18" t="s">
        <v>25</v>
      </c>
      <c r="D26" s="20">
        <v>1.02</v>
      </c>
      <c r="E26" s="20" t="s">
        <v>23</v>
      </c>
      <c r="F26">
        <v>30</v>
      </c>
      <c r="T26" s="112">
        <v>12</v>
      </c>
      <c r="U26" s="116" t="str">
        <f t="shared" si="2"/>
        <v>10010</v>
      </c>
      <c r="V26" s="113">
        <v>0.33500000000000002</v>
      </c>
      <c r="W26" s="113" t="str">
        <f t="shared" si="3"/>
        <v>10010</v>
      </c>
      <c r="X26" s="114">
        <v>0.67</v>
      </c>
      <c r="Z26">
        <f>IF(Design_Tool!$E$15,V26,X26)</f>
        <v>0.33500000000000002</v>
      </c>
      <c r="AA26" s="113" t="s">
        <v>346</v>
      </c>
    </row>
    <row r="27" spans="2:27" ht="16" thickBot="1">
      <c r="B27" s="182"/>
      <c r="C27" s="18" t="s">
        <v>26</v>
      </c>
      <c r="D27" s="20">
        <v>1.36</v>
      </c>
      <c r="E27" s="20" t="s">
        <v>23</v>
      </c>
      <c r="F27">
        <v>39</v>
      </c>
      <c r="T27" s="112">
        <v>13</v>
      </c>
      <c r="U27" s="116" t="str">
        <f t="shared" si="2"/>
        <v>10011</v>
      </c>
      <c r="V27" s="113">
        <v>0.34</v>
      </c>
      <c r="W27" s="113" t="str">
        <f t="shared" si="3"/>
        <v>10011</v>
      </c>
      <c r="X27" s="114">
        <v>0.68</v>
      </c>
      <c r="Z27">
        <f>IF(Design_Tool!$E$15,V27,X27)</f>
        <v>0.34</v>
      </c>
      <c r="AA27" s="113" t="s">
        <v>347</v>
      </c>
    </row>
    <row r="28" spans="2:27" ht="16" thickBot="1">
      <c r="B28" s="182"/>
      <c r="C28" s="21" t="s">
        <v>27</v>
      </c>
      <c r="D28" s="17">
        <v>1.7</v>
      </c>
      <c r="E28" s="20" t="s">
        <v>23</v>
      </c>
      <c r="F28">
        <v>56</v>
      </c>
      <c r="T28" s="112">
        <v>14</v>
      </c>
      <c r="U28" s="116" t="str">
        <f t="shared" si="2"/>
        <v>10100</v>
      </c>
      <c r="V28" s="113">
        <v>0.34499999999999997</v>
      </c>
      <c r="W28" s="113" t="str">
        <f t="shared" si="3"/>
        <v>10100</v>
      </c>
      <c r="X28" s="114">
        <v>0.69</v>
      </c>
      <c r="Z28">
        <f>IF(Design_Tool!$E$15,V28,X28)</f>
        <v>0.34499999999999997</v>
      </c>
      <c r="AA28" s="113" t="s">
        <v>348</v>
      </c>
    </row>
    <row r="29" spans="2:27" ht="16" thickBot="1">
      <c r="B29" s="182"/>
      <c r="C29" s="18" t="s">
        <v>28</v>
      </c>
      <c r="D29" s="20">
        <v>2.04</v>
      </c>
      <c r="E29" s="20" t="s">
        <v>23</v>
      </c>
      <c r="F29">
        <v>75</v>
      </c>
      <c r="L29">
        <f>VLOOKUP(M14, K18:M25, 3, FALSE)</f>
        <v>150</v>
      </c>
      <c r="T29" s="112">
        <v>15</v>
      </c>
      <c r="U29" s="116" t="str">
        <f t="shared" si="2"/>
        <v>10101</v>
      </c>
      <c r="V29" s="113">
        <v>0.35</v>
      </c>
      <c r="W29" s="113" t="str">
        <f t="shared" si="3"/>
        <v>10101</v>
      </c>
      <c r="X29" s="114">
        <v>0.7</v>
      </c>
      <c r="Z29">
        <f>IF(Design_Tool!$E$15,V29,X29)</f>
        <v>0.35</v>
      </c>
      <c r="AA29" s="113" t="s">
        <v>349</v>
      </c>
    </row>
    <row r="30" spans="2:27" ht="16" thickBot="1">
      <c r="B30" s="182"/>
      <c r="C30" s="18" t="s">
        <v>29</v>
      </c>
      <c r="D30" s="20">
        <v>2.38</v>
      </c>
      <c r="E30" s="20" t="s">
        <v>23</v>
      </c>
      <c r="F30">
        <v>100</v>
      </c>
      <c r="T30" s="112">
        <v>16</v>
      </c>
      <c r="U30" s="116" t="str">
        <f t="shared" si="2"/>
        <v>10110</v>
      </c>
      <c r="V30" s="113">
        <v>0.35499999999999998</v>
      </c>
      <c r="W30" s="113" t="str">
        <f t="shared" si="3"/>
        <v>10110</v>
      </c>
      <c r="X30" s="114">
        <v>0.71</v>
      </c>
      <c r="Z30">
        <f>IF(Design_Tool!$E$15,V30,X30)</f>
        <v>0.35499999999999998</v>
      </c>
      <c r="AA30" s="113" t="s">
        <v>350</v>
      </c>
    </row>
    <row r="31" spans="2:27" ht="16" thickBot="1">
      <c r="B31" s="183"/>
      <c r="C31" s="18" t="s">
        <v>30</v>
      </c>
      <c r="D31" s="20">
        <v>2.74</v>
      </c>
      <c r="E31" s="20" t="s">
        <v>23</v>
      </c>
      <c r="F31">
        <v>150</v>
      </c>
      <c r="T31" s="112">
        <v>17</v>
      </c>
      <c r="U31" s="116" t="str">
        <f t="shared" si="2"/>
        <v>10111</v>
      </c>
      <c r="V31" s="113">
        <v>0.36</v>
      </c>
      <c r="W31" s="113" t="str">
        <f t="shared" si="3"/>
        <v>10111</v>
      </c>
      <c r="X31" s="114">
        <v>0.72</v>
      </c>
      <c r="Z31">
        <f>IF(Design_Tool!$E$15,V31,X31)</f>
        <v>0.36</v>
      </c>
      <c r="AA31" s="113" t="s">
        <v>351</v>
      </c>
    </row>
    <row r="32" spans="2:27" ht="13.5" thickBot="1">
      <c r="T32" s="112">
        <v>18</v>
      </c>
      <c r="U32" s="116" t="str">
        <f t="shared" si="2"/>
        <v>11000</v>
      </c>
      <c r="V32" s="113">
        <v>0.36499999999999999</v>
      </c>
      <c r="W32" s="113" t="str">
        <f t="shared" si="3"/>
        <v>11000</v>
      </c>
      <c r="X32" s="114">
        <v>0.73</v>
      </c>
      <c r="Z32">
        <f>IF(Design_Tool!$E$15,V32,X32)</f>
        <v>0.36499999999999999</v>
      </c>
      <c r="AA32" s="113" t="s">
        <v>352</v>
      </c>
    </row>
    <row r="33" spans="2:27" ht="28.5" thickBot="1">
      <c r="B33" s="191" t="s">
        <v>31</v>
      </c>
      <c r="C33" s="22" t="s">
        <v>32</v>
      </c>
      <c r="D33" s="16">
        <v>278</v>
      </c>
      <c r="E33" s="16" t="s">
        <v>33</v>
      </c>
      <c r="F33">
        <v>300</v>
      </c>
      <c r="G33">
        <v>20</v>
      </c>
      <c r="T33" s="112">
        <v>19</v>
      </c>
      <c r="U33" s="116" t="str">
        <f t="shared" si="2"/>
        <v>11001</v>
      </c>
      <c r="V33" s="113">
        <v>0.37</v>
      </c>
      <c r="W33" s="113" t="str">
        <f t="shared" si="3"/>
        <v>11001</v>
      </c>
      <c r="X33" s="114">
        <v>0.74</v>
      </c>
      <c r="Z33">
        <f>IF(Design_Tool!$E$15,V33,X33)</f>
        <v>0.37</v>
      </c>
      <c r="AA33" s="113" t="s">
        <v>353</v>
      </c>
    </row>
    <row r="34" spans="2:27" ht="28.5" thickBot="1">
      <c r="B34" s="192"/>
      <c r="C34" s="23" t="s">
        <v>34</v>
      </c>
      <c r="D34" s="19">
        <v>208</v>
      </c>
      <c r="E34" s="19" t="s">
        <v>33</v>
      </c>
      <c r="F34">
        <v>400</v>
      </c>
      <c r="G34">
        <v>24</v>
      </c>
      <c r="T34" s="112" t="s">
        <v>180</v>
      </c>
      <c r="U34" s="116" t="str">
        <f t="shared" si="2"/>
        <v>11010</v>
      </c>
      <c r="V34" s="113">
        <v>0.375</v>
      </c>
      <c r="W34" s="113" t="str">
        <f t="shared" si="3"/>
        <v>11010</v>
      </c>
      <c r="X34" s="114">
        <v>0.75</v>
      </c>
      <c r="Z34">
        <f>IF(Design_Tool!$E$15,V34,X34)</f>
        <v>0.375</v>
      </c>
      <c r="AA34" s="113" t="s">
        <v>354</v>
      </c>
    </row>
    <row r="35" spans="2:27" ht="28.5" thickBot="1">
      <c r="B35" s="192"/>
      <c r="C35" s="23" t="s">
        <v>35</v>
      </c>
      <c r="D35" s="19">
        <v>167</v>
      </c>
      <c r="E35" s="19" t="s">
        <v>33</v>
      </c>
      <c r="F35">
        <v>500</v>
      </c>
      <c r="G35">
        <v>30</v>
      </c>
      <c r="T35" s="112" t="s">
        <v>181</v>
      </c>
      <c r="U35" s="116" t="str">
        <f t="shared" si="2"/>
        <v>11011</v>
      </c>
      <c r="V35" s="113">
        <v>0.38</v>
      </c>
      <c r="W35" s="113" t="str">
        <f t="shared" si="3"/>
        <v>11011</v>
      </c>
      <c r="X35" s="114">
        <v>0.76</v>
      </c>
      <c r="Z35">
        <f>IF(Design_Tool!$E$15,V35,X35)</f>
        <v>0.38</v>
      </c>
      <c r="AA35" s="113" t="s">
        <v>355</v>
      </c>
    </row>
    <row r="36" spans="2:27" ht="28.5" thickBot="1">
      <c r="B36" s="192"/>
      <c r="C36" s="23" t="s">
        <v>36</v>
      </c>
      <c r="D36" s="19">
        <v>139</v>
      </c>
      <c r="E36" s="19" t="s">
        <v>33</v>
      </c>
      <c r="F36">
        <v>600</v>
      </c>
      <c r="G36">
        <v>39</v>
      </c>
      <c r="T36" s="112" t="s">
        <v>182</v>
      </c>
      <c r="U36" s="116" t="str">
        <f t="shared" si="2"/>
        <v>11100</v>
      </c>
      <c r="V36" s="113">
        <v>0.38500000000000001</v>
      </c>
      <c r="W36" s="113" t="str">
        <f t="shared" si="3"/>
        <v>11100</v>
      </c>
      <c r="X36" s="114">
        <v>0.77</v>
      </c>
      <c r="Z36">
        <f>IF(Design_Tool!$E$15,V36,X36)</f>
        <v>0.38500000000000001</v>
      </c>
      <c r="AA36" s="113" t="s">
        <v>356</v>
      </c>
    </row>
    <row r="37" spans="2:27" ht="28.5" thickBot="1">
      <c r="B37" s="192"/>
      <c r="C37" s="23" t="s">
        <v>37</v>
      </c>
      <c r="D37" s="19">
        <v>119</v>
      </c>
      <c r="E37" s="19" t="s">
        <v>33</v>
      </c>
      <c r="F37">
        <v>700</v>
      </c>
      <c r="G37">
        <v>56</v>
      </c>
      <c r="T37" s="112" t="s">
        <v>183</v>
      </c>
      <c r="U37" s="116" t="str">
        <f t="shared" si="2"/>
        <v>11101</v>
      </c>
      <c r="V37" s="113">
        <v>0.39</v>
      </c>
      <c r="W37" s="113" t="str">
        <f t="shared" si="3"/>
        <v>11101</v>
      </c>
      <c r="X37" s="114">
        <v>0.78</v>
      </c>
      <c r="Z37">
        <f>IF(Design_Tool!$E$15,V37,X37)</f>
        <v>0.39</v>
      </c>
      <c r="AA37" s="113" t="s">
        <v>357</v>
      </c>
    </row>
    <row r="38" spans="2:27" ht="28.5" thickBot="1">
      <c r="B38" s="192"/>
      <c r="C38" s="23" t="s">
        <v>38</v>
      </c>
      <c r="D38" s="19">
        <v>104</v>
      </c>
      <c r="E38" s="19" t="s">
        <v>33</v>
      </c>
      <c r="F38">
        <v>800</v>
      </c>
      <c r="G38">
        <v>75</v>
      </c>
      <c r="T38" s="112" t="s">
        <v>184</v>
      </c>
      <c r="U38" s="116" t="str">
        <f t="shared" si="2"/>
        <v>11110</v>
      </c>
      <c r="V38" s="113">
        <v>0.39500000000000002</v>
      </c>
      <c r="W38" s="113" t="str">
        <f t="shared" si="3"/>
        <v>11110</v>
      </c>
      <c r="X38" s="114">
        <v>0.79</v>
      </c>
      <c r="Z38">
        <f>IF(Design_Tool!$E$15,V38,X38)</f>
        <v>0.39500000000000002</v>
      </c>
      <c r="AA38" s="113" t="s">
        <v>358</v>
      </c>
    </row>
    <row r="39" spans="2:27" ht="28.5" thickBot="1">
      <c r="B39" s="192"/>
      <c r="C39" s="23" t="s">
        <v>39</v>
      </c>
      <c r="D39" s="19">
        <v>93</v>
      </c>
      <c r="E39" s="19" t="s">
        <v>33</v>
      </c>
      <c r="F39">
        <v>900</v>
      </c>
      <c r="G39">
        <v>100</v>
      </c>
      <c r="T39" s="112" t="s">
        <v>185</v>
      </c>
      <c r="U39" s="116" t="str">
        <f t="shared" si="2"/>
        <v>11111</v>
      </c>
      <c r="V39" s="113">
        <v>0.4</v>
      </c>
      <c r="W39" s="113" t="str">
        <f t="shared" si="3"/>
        <v>11111</v>
      </c>
      <c r="X39" s="114">
        <v>0.8</v>
      </c>
      <c r="Z39">
        <f>IF(Design_Tool!$E$15,V39,X39)</f>
        <v>0.4</v>
      </c>
      <c r="AA39" s="113" t="s">
        <v>359</v>
      </c>
    </row>
    <row r="40" spans="2:27" ht="28.5" thickBot="1">
      <c r="B40" s="193"/>
      <c r="C40" s="23" t="s">
        <v>40</v>
      </c>
      <c r="D40" s="19">
        <v>83</v>
      </c>
      <c r="E40" s="19" t="s">
        <v>33</v>
      </c>
      <c r="F40">
        <v>1000</v>
      </c>
      <c r="G40">
        <v>150</v>
      </c>
      <c r="T40" s="112">
        <v>20</v>
      </c>
      <c r="U40" s="116" t="str">
        <f t="shared" si="2"/>
        <v>100000</v>
      </c>
      <c r="V40" s="113">
        <v>0.40500000000000003</v>
      </c>
      <c r="W40" s="113" t="str">
        <f t="shared" si="3"/>
        <v>100000</v>
      </c>
      <c r="X40" s="114">
        <v>0.81</v>
      </c>
      <c r="Z40">
        <f>IF(Design_Tool!$E$15,V40,X40)</f>
        <v>0.40500000000000003</v>
      </c>
      <c r="AA40" s="113" t="s">
        <v>360</v>
      </c>
    </row>
    <row r="41" spans="2:27" ht="13.5" thickBot="1">
      <c r="T41" s="112">
        <v>21</v>
      </c>
      <c r="U41" s="116" t="str">
        <f t="shared" si="2"/>
        <v>100001</v>
      </c>
      <c r="V41" s="113">
        <v>0.41</v>
      </c>
      <c r="W41" s="113" t="str">
        <f t="shared" si="3"/>
        <v>100001</v>
      </c>
      <c r="X41" s="114">
        <v>0.82</v>
      </c>
      <c r="Z41">
        <f>IF(Design_Tool!$E$15,V41,X41)</f>
        <v>0.41</v>
      </c>
      <c r="AA41" s="113" t="s">
        <v>361</v>
      </c>
    </row>
    <row r="42" spans="2:27" ht="13.5" thickBot="1">
      <c r="B42" s="133"/>
      <c r="C42" s="133"/>
      <c r="D42" s="34"/>
      <c r="E42" s="34"/>
      <c r="F42" s="12"/>
      <c r="T42" s="112">
        <v>22</v>
      </c>
      <c r="U42" s="116" t="str">
        <f t="shared" si="2"/>
        <v>100010</v>
      </c>
      <c r="V42" s="113">
        <v>0.41499999999999998</v>
      </c>
      <c r="W42" s="113" t="str">
        <f t="shared" si="3"/>
        <v>100010</v>
      </c>
      <c r="X42" s="114">
        <v>0.83</v>
      </c>
      <c r="Z42">
        <f>IF(Design_Tool!$E$15,V42,X42)</f>
        <v>0.41499999999999998</v>
      </c>
      <c r="AA42" s="113" t="s">
        <v>362</v>
      </c>
    </row>
    <row r="43" spans="2:27" ht="13.5" thickBot="1">
      <c r="B43" s="133"/>
      <c r="C43" s="35"/>
      <c r="D43" s="34"/>
      <c r="E43" s="34"/>
      <c r="F43" s="12"/>
      <c r="T43" s="112">
        <v>23</v>
      </c>
      <c r="U43" s="116" t="str">
        <f t="shared" si="2"/>
        <v>100011</v>
      </c>
      <c r="V43" s="113">
        <v>0.42</v>
      </c>
      <c r="W43" s="113" t="str">
        <f t="shared" si="3"/>
        <v>100011</v>
      </c>
      <c r="X43" s="114">
        <v>0.84</v>
      </c>
      <c r="Z43">
        <f>IF(Design_Tool!$E$15,V43,X43)</f>
        <v>0.42</v>
      </c>
      <c r="AA43" s="113" t="s">
        <v>363</v>
      </c>
    </row>
    <row r="44" spans="2:27" ht="13.5" thickBot="1">
      <c r="T44" s="112">
        <v>24</v>
      </c>
      <c r="U44" s="116" t="str">
        <f t="shared" si="2"/>
        <v>100100</v>
      </c>
      <c r="V44" s="113">
        <v>0.42499999999999999</v>
      </c>
      <c r="W44" s="113" t="str">
        <f t="shared" si="3"/>
        <v>100100</v>
      </c>
      <c r="X44" s="114">
        <v>0.85</v>
      </c>
      <c r="Z44">
        <f>IF(Design_Tool!$E$15,V44,X44)</f>
        <v>0.42499999999999999</v>
      </c>
      <c r="AA44" s="113" t="s">
        <v>364</v>
      </c>
    </row>
    <row r="45" spans="2:27" ht="25.5" thickBot="1">
      <c r="B45" s="126" t="s">
        <v>41</v>
      </c>
      <c r="C45" s="15" t="s">
        <v>600</v>
      </c>
      <c r="D45" s="17"/>
      <c r="E45" s="17">
        <v>0</v>
      </c>
      <c r="T45" s="112">
        <v>25</v>
      </c>
      <c r="U45" s="116" t="str">
        <f t="shared" si="2"/>
        <v>100101</v>
      </c>
      <c r="V45" s="113">
        <v>0.43</v>
      </c>
      <c r="W45" s="113" t="str">
        <f t="shared" si="3"/>
        <v>100101</v>
      </c>
      <c r="X45" s="114">
        <v>0.86</v>
      </c>
      <c r="Z45">
        <f>IF(Design_Tool!$E$15,V45,X45)</f>
        <v>0.43</v>
      </c>
      <c r="AA45" s="113" t="s">
        <v>365</v>
      </c>
    </row>
    <row r="46" spans="2:27" ht="25.5" thickBot="1">
      <c r="B46" s="127" t="s">
        <v>599</v>
      </c>
      <c r="C46" s="21" t="s">
        <v>601</v>
      </c>
      <c r="D46" s="20"/>
      <c r="E46" s="20">
        <v>1</v>
      </c>
      <c r="T46" s="112">
        <v>26</v>
      </c>
      <c r="U46" s="116" t="str">
        <f t="shared" si="2"/>
        <v>100110</v>
      </c>
      <c r="V46" s="113">
        <v>0.435</v>
      </c>
      <c r="W46" s="113" t="str">
        <f t="shared" si="3"/>
        <v>100110</v>
      </c>
      <c r="X46" s="114">
        <v>0.87</v>
      </c>
      <c r="Z46">
        <f>IF(Design_Tool!$E$15,V46,X46)</f>
        <v>0.435</v>
      </c>
      <c r="AA46" s="113" t="s">
        <v>366</v>
      </c>
    </row>
    <row r="47" spans="2:27" ht="25.5" thickBot="1">
      <c r="B47" s="127"/>
      <c r="C47" s="24" t="s">
        <v>602</v>
      </c>
      <c r="D47" s="20"/>
      <c r="E47" s="20">
        <v>10</v>
      </c>
      <c r="T47" s="112">
        <v>27</v>
      </c>
      <c r="U47" s="116" t="str">
        <f t="shared" si="2"/>
        <v>100111</v>
      </c>
      <c r="V47" s="113">
        <v>0.44</v>
      </c>
      <c r="W47" s="113" t="str">
        <f t="shared" si="3"/>
        <v>100111</v>
      </c>
      <c r="X47" s="114">
        <v>0.88</v>
      </c>
      <c r="Z47">
        <f>IF(Design_Tool!$E$15,V47,X47)</f>
        <v>0.44</v>
      </c>
      <c r="AA47" s="113" t="s">
        <v>367</v>
      </c>
    </row>
    <row r="48" spans="2:27" ht="25.5" thickBot="1">
      <c r="B48" s="13"/>
      <c r="C48" s="24" t="s">
        <v>603</v>
      </c>
      <c r="D48" s="20"/>
      <c r="E48" s="20">
        <v>11</v>
      </c>
      <c r="T48" s="112">
        <v>28</v>
      </c>
      <c r="U48" s="116" t="str">
        <f t="shared" si="2"/>
        <v>101000</v>
      </c>
      <c r="V48" s="113">
        <v>0.44500000000000001</v>
      </c>
      <c r="W48" s="113" t="str">
        <f t="shared" si="3"/>
        <v>101000</v>
      </c>
      <c r="X48" s="114">
        <v>0.89</v>
      </c>
      <c r="Z48">
        <f>IF(Design_Tool!$E$15,V48,X48)</f>
        <v>0.44500000000000001</v>
      </c>
      <c r="AA48" s="113" t="s">
        <v>368</v>
      </c>
    </row>
    <row r="49" spans="2:27" ht="25.5" thickBot="1">
      <c r="B49" s="13"/>
      <c r="C49" s="24" t="s">
        <v>604</v>
      </c>
      <c r="D49" s="20"/>
      <c r="E49" s="20">
        <v>100</v>
      </c>
      <c r="T49" s="112">
        <v>29</v>
      </c>
      <c r="U49" s="116" t="str">
        <f t="shared" si="2"/>
        <v>101001</v>
      </c>
      <c r="V49" s="113">
        <v>0.45</v>
      </c>
      <c r="W49" s="113" t="str">
        <f t="shared" si="3"/>
        <v>101001</v>
      </c>
      <c r="X49" s="114">
        <v>0.9</v>
      </c>
      <c r="Z49">
        <f>IF(Design_Tool!$E$15,V49,X49)</f>
        <v>0.45</v>
      </c>
      <c r="AA49" s="113" t="s">
        <v>369</v>
      </c>
    </row>
    <row r="50" spans="2:27" ht="25.5" thickBot="1">
      <c r="B50" s="13"/>
      <c r="C50" s="24" t="s">
        <v>605</v>
      </c>
      <c r="D50" s="20"/>
      <c r="E50" s="20">
        <v>101</v>
      </c>
      <c r="T50" s="112" t="s">
        <v>186</v>
      </c>
      <c r="U50" s="116" t="str">
        <f t="shared" si="2"/>
        <v>101010</v>
      </c>
      <c r="V50" s="113">
        <v>0.45500000000000002</v>
      </c>
      <c r="W50" s="113" t="str">
        <f t="shared" si="3"/>
        <v>101010</v>
      </c>
      <c r="X50" s="114">
        <v>0.91</v>
      </c>
      <c r="Z50">
        <f>IF(Design_Tool!$E$15,V50,X50)</f>
        <v>0.45500000000000002</v>
      </c>
      <c r="AA50" s="113" t="s">
        <v>370</v>
      </c>
    </row>
    <row r="51" spans="2:27" ht="25.5" thickBot="1">
      <c r="B51" s="13"/>
      <c r="C51" s="24" t="s">
        <v>606</v>
      </c>
      <c r="D51" s="20"/>
      <c r="E51" s="20">
        <v>110</v>
      </c>
      <c r="T51" s="112" t="s">
        <v>187</v>
      </c>
      <c r="U51" s="116" t="str">
        <f t="shared" si="2"/>
        <v>101011</v>
      </c>
      <c r="V51" s="113">
        <v>0.46</v>
      </c>
      <c r="W51" s="113" t="str">
        <f t="shared" si="3"/>
        <v>101011</v>
      </c>
      <c r="X51" s="114">
        <v>0.92</v>
      </c>
      <c r="Z51">
        <f>IF(Design_Tool!$E$15,V51,X51)</f>
        <v>0.46</v>
      </c>
      <c r="AA51" s="113" t="s">
        <v>371</v>
      </c>
    </row>
    <row r="52" spans="2:27" ht="25.5" thickBot="1">
      <c r="B52" s="13"/>
      <c r="C52" s="24" t="s">
        <v>607</v>
      </c>
      <c r="D52" s="20"/>
      <c r="E52" s="20">
        <v>111</v>
      </c>
      <c r="T52" s="112" t="s">
        <v>188</v>
      </c>
      <c r="U52" s="116" t="str">
        <f t="shared" si="2"/>
        <v>101100</v>
      </c>
      <c r="V52" s="113">
        <v>0.46500000000000002</v>
      </c>
      <c r="W52" s="113" t="str">
        <f t="shared" si="3"/>
        <v>101100</v>
      </c>
      <c r="X52" s="114">
        <v>0.93</v>
      </c>
      <c r="Z52">
        <f>IF(Design_Tool!$E$15,V52,X52)</f>
        <v>0.46500000000000002</v>
      </c>
      <c r="AA52" s="113" t="s">
        <v>372</v>
      </c>
    </row>
    <row r="53" spans="2:27" ht="25.5" thickBot="1">
      <c r="B53" s="13"/>
      <c r="C53" s="24" t="s">
        <v>608</v>
      </c>
      <c r="D53" s="20"/>
      <c r="E53" s="20">
        <v>1000</v>
      </c>
      <c r="T53" s="112" t="s">
        <v>189</v>
      </c>
      <c r="U53" s="116" t="str">
        <f t="shared" si="2"/>
        <v>101101</v>
      </c>
      <c r="V53" s="113">
        <v>0.47</v>
      </c>
      <c r="W53" s="113" t="str">
        <f t="shared" si="3"/>
        <v>101101</v>
      </c>
      <c r="X53" s="114">
        <v>0.94</v>
      </c>
      <c r="Z53">
        <f>IF(Design_Tool!$E$15,V53,X53)</f>
        <v>0.47</v>
      </c>
      <c r="AA53" s="113" t="s">
        <v>373</v>
      </c>
    </row>
    <row r="54" spans="2:27" ht="25.5" thickBot="1">
      <c r="B54" s="13"/>
      <c r="C54" s="24" t="s">
        <v>609</v>
      </c>
      <c r="D54" s="20"/>
      <c r="E54" s="20">
        <v>1001</v>
      </c>
      <c r="T54" s="112" t="s">
        <v>190</v>
      </c>
      <c r="U54" s="116" t="str">
        <f t="shared" si="2"/>
        <v>101110</v>
      </c>
      <c r="V54" s="113">
        <v>0.47499999999999998</v>
      </c>
      <c r="W54" s="113" t="str">
        <f t="shared" si="3"/>
        <v>101110</v>
      </c>
      <c r="X54" s="114">
        <v>0.95</v>
      </c>
      <c r="Z54">
        <f>IF(Design_Tool!$E$15,V54,X54)</f>
        <v>0.47499999999999998</v>
      </c>
      <c r="AA54" s="113" t="s">
        <v>374</v>
      </c>
    </row>
    <row r="55" spans="2:27" ht="25.5" thickBot="1">
      <c r="B55" s="13"/>
      <c r="C55" s="24" t="s">
        <v>610</v>
      </c>
      <c r="D55" s="20"/>
      <c r="E55" s="20">
        <v>1010</v>
      </c>
      <c r="T55" s="112" t="s">
        <v>191</v>
      </c>
      <c r="U55" s="116" t="str">
        <f t="shared" si="2"/>
        <v>101111</v>
      </c>
      <c r="V55" s="113">
        <v>0.48</v>
      </c>
      <c r="W55" s="113" t="str">
        <f t="shared" si="3"/>
        <v>101111</v>
      </c>
      <c r="X55" s="114">
        <v>0.96</v>
      </c>
      <c r="Z55">
        <f>IF(Design_Tool!$E$15,V55,X55)</f>
        <v>0.48</v>
      </c>
      <c r="AA55" s="113" t="s">
        <v>375</v>
      </c>
    </row>
    <row r="56" spans="2:27" ht="25.5" thickBot="1">
      <c r="B56" s="13"/>
      <c r="C56" s="24" t="s">
        <v>611</v>
      </c>
      <c r="D56" s="20"/>
      <c r="E56" s="20">
        <v>1011</v>
      </c>
      <c r="T56" s="112">
        <v>30</v>
      </c>
      <c r="U56" s="116" t="str">
        <f t="shared" si="2"/>
        <v>110000</v>
      </c>
      <c r="V56" s="113">
        <v>0.48499999999999999</v>
      </c>
      <c r="W56" s="113" t="str">
        <f t="shared" si="3"/>
        <v>110000</v>
      </c>
      <c r="X56" s="114">
        <v>0.97</v>
      </c>
      <c r="Z56">
        <f>IF(Design_Tool!$E$15,V56,X56)</f>
        <v>0.48499999999999999</v>
      </c>
      <c r="AA56" s="113" t="s">
        <v>376</v>
      </c>
    </row>
    <row r="57" spans="2:27" ht="25.5" thickBot="1">
      <c r="B57" s="13"/>
      <c r="C57" s="24" t="s">
        <v>612</v>
      </c>
      <c r="D57" s="20"/>
      <c r="E57" s="20">
        <v>1100</v>
      </c>
      <c r="T57" s="112">
        <v>31</v>
      </c>
      <c r="U57" s="116" t="str">
        <f t="shared" si="2"/>
        <v>110001</v>
      </c>
      <c r="V57" s="113">
        <v>0.49</v>
      </c>
      <c r="W57" s="113" t="str">
        <f t="shared" si="3"/>
        <v>110001</v>
      </c>
      <c r="X57" s="114">
        <v>0.98</v>
      </c>
      <c r="Z57">
        <f>IF(Design_Tool!$E$15,V57,X57)</f>
        <v>0.49</v>
      </c>
      <c r="AA57" s="113" t="s">
        <v>377</v>
      </c>
    </row>
    <row r="58" spans="2:27" ht="25.5" thickBot="1">
      <c r="B58" s="13"/>
      <c r="C58" s="24" t="s">
        <v>613</v>
      </c>
      <c r="D58" s="20"/>
      <c r="E58" s="20">
        <v>1101</v>
      </c>
      <c r="T58" s="112">
        <v>32</v>
      </c>
      <c r="U58" s="116" t="str">
        <f t="shared" si="2"/>
        <v>110010</v>
      </c>
      <c r="V58" s="113">
        <v>0.495</v>
      </c>
      <c r="W58" s="113" t="str">
        <f t="shared" si="3"/>
        <v>110010</v>
      </c>
      <c r="X58" s="114">
        <v>0.99</v>
      </c>
      <c r="Z58">
        <f>IF(Design_Tool!$E$15,V58,X58)</f>
        <v>0.495</v>
      </c>
      <c r="AA58" s="113" t="s">
        <v>378</v>
      </c>
    </row>
    <row r="59" spans="2:27" ht="25.5" thickBot="1">
      <c r="B59" s="13"/>
      <c r="C59" s="24" t="s">
        <v>614</v>
      </c>
      <c r="D59" s="20"/>
      <c r="E59" s="20">
        <v>1110</v>
      </c>
      <c r="T59" s="112">
        <v>33</v>
      </c>
      <c r="U59" s="116" t="str">
        <f t="shared" si="2"/>
        <v>110011</v>
      </c>
      <c r="V59" s="113">
        <v>0.5</v>
      </c>
      <c r="W59" s="113" t="str">
        <f t="shared" si="3"/>
        <v>110011</v>
      </c>
      <c r="X59" s="114">
        <v>1</v>
      </c>
      <c r="Z59">
        <f>IF(Design_Tool!$E$15,V59,X59)</f>
        <v>0.5</v>
      </c>
      <c r="AA59" s="113" t="s">
        <v>379</v>
      </c>
    </row>
    <row r="60" spans="2:27" ht="25.5" thickBot="1">
      <c r="B60" s="14"/>
      <c r="C60" s="24" t="s">
        <v>615</v>
      </c>
      <c r="D60" s="20"/>
      <c r="E60" s="20">
        <v>1111</v>
      </c>
      <c r="T60" s="112">
        <v>34</v>
      </c>
      <c r="U60" s="116" t="str">
        <f t="shared" si="2"/>
        <v>110100</v>
      </c>
      <c r="V60" s="113">
        <v>0.505</v>
      </c>
      <c r="W60" s="113" t="str">
        <f t="shared" si="3"/>
        <v>110100</v>
      </c>
      <c r="X60" s="114">
        <v>1.01</v>
      </c>
      <c r="Z60">
        <f>IF(Design_Tool!$E$15,V60,X60)</f>
        <v>0.505</v>
      </c>
      <c r="AA60" s="113" t="s">
        <v>380</v>
      </c>
    </row>
    <row r="61" spans="2:27" ht="13.5" thickBot="1">
      <c r="B61" s="161"/>
      <c r="C61" s="33"/>
      <c r="D61" s="34"/>
      <c r="E61" s="35"/>
      <c r="T61" s="112">
        <v>35</v>
      </c>
      <c r="U61" s="116" t="str">
        <f t="shared" si="2"/>
        <v>110101</v>
      </c>
      <c r="V61" s="113">
        <v>0.51</v>
      </c>
      <c r="W61" s="113" t="str">
        <f t="shared" si="3"/>
        <v>110101</v>
      </c>
      <c r="X61" s="114">
        <v>1.02</v>
      </c>
      <c r="Z61">
        <f>IF(Design_Tool!$E$15,V61,X61)</f>
        <v>0.51</v>
      </c>
      <c r="AA61" s="113" t="s">
        <v>381</v>
      </c>
    </row>
    <row r="62" spans="2:27" ht="13.5" thickBot="1">
      <c r="B62" s="161"/>
      <c r="C62" s="33"/>
      <c r="D62" s="34"/>
      <c r="E62" s="35"/>
      <c r="T62" s="112">
        <v>36</v>
      </c>
      <c r="U62" s="116" t="str">
        <f t="shared" si="2"/>
        <v>110110</v>
      </c>
      <c r="V62" s="113">
        <v>0.51500000000000001</v>
      </c>
      <c r="W62" s="113" t="str">
        <f t="shared" si="3"/>
        <v>110110</v>
      </c>
      <c r="X62" s="114">
        <v>1.03</v>
      </c>
      <c r="Z62">
        <f>IF(Design_Tool!$E$15,V62,X62)</f>
        <v>0.51500000000000001</v>
      </c>
      <c r="AA62" s="113" t="s">
        <v>382</v>
      </c>
    </row>
    <row r="63" spans="2:27" ht="13.5" thickBot="1">
      <c r="B63" s="189" t="s">
        <v>589</v>
      </c>
      <c r="C63" s="189" t="s">
        <v>42</v>
      </c>
      <c r="D63" s="186" t="s">
        <v>43</v>
      </c>
      <c r="E63" s="25" t="s">
        <v>44</v>
      </c>
      <c r="F63" s="12" t="s">
        <v>92</v>
      </c>
      <c r="G63">
        <v>0</v>
      </c>
      <c r="T63" s="112">
        <v>37</v>
      </c>
      <c r="U63" s="116" t="str">
        <f t="shared" si="2"/>
        <v>110111</v>
      </c>
      <c r="V63" s="113">
        <v>0.52</v>
      </c>
      <c r="W63" s="113" t="str">
        <f t="shared" si="3"/>
        <v>110111</v>
      </c>
      <c r="X63" s="114">
        <v>1.04</v>
      </c>
      <c r="Z63">
        <f>IF(Design_Tool!$E$15,V63,X63)</f>
        <v>0.52</v>
      </c>
      <c r="AA63" s="113" t="s">
        <v>383</v>
      </c>
    </row>
    <row r="64" spans="2:27" ht="13.5" thickBot="1">
      <c r="B64" s="190"/>
      <c r="C64" s="190"/>
      <c r="D64" s="188"/>
      <c r="E64" s="26" t="s">
        <v>45</v>
      </c>
      <c r="F64" s="12" t="s">
        <v>91</v>
      </c>
      <c r="G64">
        <v>1</v>
      </c>
      <c r="T64" s="112">
        <v>38</v>
      </c>
      <c r="U64" s="116" t="str">
        <f t="shared" si="2"/>
        <v>111000</v>
      </c>
      <c r="V64" s="113">
        <v>0.52500000000000002</v>
      </c>
      <c r="W64" s="113" t="str">
        <f t="shared" si="3"/>
        <v>111000</v>
      </c>
      <c r="X64" s="114">
        <v>1.05</v>
      </c>
      <c r="Z64">
        <f>IF(Design_Tool!$E$15,V64,X64)</f>
        <v>0.52500000000000002</v>
      </c>
      <c r="AA64" s="113" t="s">
        <v>384</v>
      </c>
    </row>
    <row r="65" spans="2:27" ht="23.5" thickBot="1">
      <c r="B65" s="189" t="s">
        <v>590</v>
      </c>
      <c r="C65" s="189" t="s">
        <v>46</v>
      </c>
      <c r="D65" s="186" t="s">
        <v>47</v>
      </c>
      <c r="E65" s="27" t="s">
        <v>48</v>
      </c>
      <c r="F65" s="12" t="s">
        <v>150</v>
      </c>
      <c r="G65">
        <v>0</v>
      </c>
      <c r="T65" s="112">
        <v>39</v>
      </c>
      <c r="U65" s="116" t="str">
        <f t="shared" si="2"/>
        <v>111001</v>
      </c>
      <c r="V65" s="113">
        <v>0.53</v>
      </c>
      <c r="W65" s="113" t="str">
        <f t="shared" si="3"/>
        <v>111001</v>
      </c>
      <c r="X65" s="114">
        <v>1.06</v>
      </c>
      <c r="Z65">
        <f>IF(Design_Tool!$E$15,V65,X65)</f>
        <v>0.53</v>
      </c>
      <c r="AA65" s="113" t="s">
        <v>385</v>
      </c>
    </row>
    <row r="66" spans="2:27" ht="23.5" thickBot="1">
      <c r="B66" s="190"/>
      <c r="C66" s="190"/>
      <c r="D66" s="188"/>
      <c r="E66" s="26" t="s">
        <v>49</v>
      </c>
      <c r="F66" s="12" t="s">
        <v>598</v>
      </c>
      <c r="G66">
        <v>1</v>
      </c>
      <c r="T66" s="112" t="s">
        <v>192</v>
      </c>
      <c r="U66" s="116" t="str">
        <f t="shared" si="2"/>
        <v>111010</v>
      </c>
      <c r="V66" s="113">
        <v>0.53500000000000003</v>
      </c>
      <c r="W66" s="113" t="str">
        <f t="shared" si="3"/>
        <v>111010</v>
      </c>
      <c r="X66" s="114">
        <v>1.07</v>
      </c>
      <c r="Z66">
        <f>IF(Design_Tool!$E$15,V66,X66)</f>
        <v>0.53500000000000003</v>
      </c>
      <c r="AA66" s="113" t="s">
        <v>386</v>
      </c>
    </row>
    <row r="67" spans="2:27" ht="13.5" thickBot="1">
      <c r="B67" s="189"/>
      <c r="C67" s="189"/>
      <c r="D67" s="186"/>
      <c r="E67" s="184"/>
      <c r="T67" s="112" t="s">
        <v>193</v>
      </c>
      <c r="U67" s="116" t="str">
        <f t="shared" si="2"/>
        <v>111011</v>
      </c>
      <c r="V67" s="113">
        <v>0.54</v>
      </c>
      <c r="W67" s="113" t="str">
        <f t="shared" si="3"/>
        <v>111011</v>
      </c>
      <c r="X67" s="114">
        <v>1.08</v>
      </c>
      <c r="Z67">
        <f>IF(Design_Tool!$E$15,V67,X67)</f>
        <v>0.54</v>
      </c>
      <c r="AA67" s="113" t="s">
        <v>387</v>
      </c>
    </row>
    <row r="68" spans="2:27" ht="13.5" thickBot="1">
      <c r="B68" s="190"/>
      <c r="C68" s="190"/>
      <c r="D68" s="188"/>
      <c r="E68" s="185"/>
      <c r="T68" s="112" t="s">
        <v>194</v>
      </c>
      <c r="U68" s="116" t="str">
        <f t="shared" si="2"/>
        <v>111100</v>
      </c>
      <c r="V68" s="113">
        <v>0.54500000000000004</v>
      </c>
      <c r="W68" s="113" t="str">
        <f t="shared" si="3"/>
        <v>111100</v>
      </c>
      <c r="X68" s="114">
        <v>1.0900000000000001</v>
      </c>
      <c r="Z68">
        <f>IF(Design_Tool!$E$15,V68,X68)</f>
        <v>0.54500000000000004</v>
      </c>
      <c r="AA68" s="113" t="s">
        <v>388</v>
      </c>
    </row>
    <row r="69" spans="2:27" ht="23.5" thickBot="1">
      <c r="B69" s="189" t="s">
        <v>50</v>
      </c>
      <c r="C69" s="189" t="s">
        <v>51</v>
      </c>
      <c r="D69" s="186" t="s">
        <v>52</v>
      </c>
      <c r="E69" s="27" t="s">
        <v>53</v>
      </c>
      <c r="F69" s="12" t="s">
        <v>148</v>
      </c>
      <c r="G69">
        <v>0</v>
      </c>
      <c r="T69" s="112" t="s">
        <v>195</v>
      </c>
      <c r="U69" s="116" t="str">
        <f t="shared" si="2"/>
        <v>111101</v>
      </c>
      <c r="V69" s="113">
        <v>0.55000000000000004</v>
      </c>
      <c r="W69" s="113" t="str">
        <f t="shared" si="3"/>
        <v>111101</v>
      </c>
      <c r="X69" s="114">
        <v>1.1000000000000001</v>
      </c>
      <c r="Z69">
        <f>IF(Design_Tool!$E$15,V69,X69)</f>
        <v>0.55000000000000004</v>
      </c>
      <c r="AA69" s="113" t="s">
        <v>389</v>
      </c>
    </row>
    <row r="70" spans="2:27" ht="23.5" thickBot="1">
      <c r="B70" s="190"/>
      <c r="C70" s="190"/>
      <c r="D70" s="188"/>
      <c r="E70" s="26" t="s">
        <v>54</v>
      </c>
      <c r="F70" s="12" t="s">
        <v>149</v>
      </c>
      <c r="G70">
        <v>1</v>
      </c>
      <c r="T70" s="112" t="s">
        <v>196</v>
      </c>
      <c r="U70" s="116" t="str">
        <f t="shared" si="2"/>
        <v>111110</v>
      </c>
      <c r="V70" s="113">
        <v>0.55500000000000005</v>
      </c>
      <c r="W70" s="113" t="str">
        <f t="shared" si="3"/>
        <v>111110</v>
      </c>
      <c r="X70" s="114">
        <v>1.1100000000000001</v>
      </c>
      <c r="Z70">
        <f>IF(Design_Tool!$E$15,V70,X70)</f>
        <v>0.55500000000000005</v>
      </c>
      <c r="AA70" s="113" t="s">
        <v>390</v>
      </c>
    </row>
    <row r="71" spans="2:27" ht="13.5" thickBot="1">
      <c r="B71" s="189" t="s">
        <v>55</v>
      </c>
      <c r="C71" s="189" t="s">
        <v>56</v>
      </c>
      <c r="D71" s="186" t="s">
        <v>57</v>
      </c>
      <c r="E71" s="27" t="s">
        <v>58</v>
      </c>
      <c r="F71" t="s">
        <v>105</v>
      </c>
      <c r="G71">
        <v>0</v>
      </c>
      <c r="T71" s="112" t="s">
        <v>197</v>
      </c>
      <c r="U71" s="116" t="str">
        <f t="shared" si="2"/>
        <v>111111</v>
      </c>
      <c r="V71" s="113">
        <v>0.56000000000000005</v>
      </c>
      <c r="W71" s="113" t="str">
        <f t="shared" si="3"/>
        <v>111111</v>
      </c>
      <c r="X71" s="114">
        <v>1.1200000000000001</v>
      </c>
      <c r="Z71">
        <f>IF(Design_Tool!$E$15,V71,X71)</f>
        <v>0.56000000000000005</v>
      </c>
      <c r="AA71" s="113" t="s">
        <v>391</v>
      </c>
    </row>
    <row r="72" spans="2:27" ht="13.5" thickBot="1">
      <c r="B72" s="190"/>
      <c r="C72" s="190"/>
      <c r="D72" s="188"/>
      <c r="E72" s="26" t="s">
        <v>59</v>
      </c>
      <c r="F72" t="s">
        <v>106</v>
      </c>
      <c r="G72">
        <v>1</v>
      </c>
      <c r="T72" s="112">
        <v>40</v>
      </c>
      <c r="U72" s="116" t="str">
        <f t="shared" si="2"/>
        <v>1000000</v>
      </c>
      <c r="V72" s="113">
        <v>0.56499999999999995</v>
      </c>
      <c r="W72" s="113" t="str">
        <f t="shared" si="3"/>
        <v>1000000</v>
      </c>
      <c r="X72" s="114">
        <v>1.1299999999999999</v>
      </c>
      <c r="Z72">
        <f>IF(Design_Tool!$E$15,V72,X72)</f>
        <v>0.56499999999999995</v>
      </c>
      <c r="AA72" s="113" t="s">
        <v>392</v>
      </c>
    </row>
    <row r="73" spans="2:27" ht="13.5" thickBot="1">
      <c r="B73" s="32"/>
      <c r="C73" s="33"/>
      <c r="D73" s="34"/>
      <c r="E73" s="35"/>
      <c r="T73" s="112">
        <v>41</v>
      </c>
      <c r="U73" s="116" t="str">
        <f t="shared" ref="U73:U136" si="5">HEX2BIN(T73)</f>
        <v>1000001</v>
      </c>
      <c r="V73" s="113">
        <v>0.56999999999999995</v>
      </c>
      <c r="W73" s="113" t="str">
        <f t="shared" ref="W73:W136" si="6">U73</f>
        <v>1000001</v>
      </c>
      <c r="X73" s="114">
        <v>1.1399999999999999</v>
      </c>
      <c r="Z73">
        <f>IF(Design_Tool!$E$15,V73,X73)</f>
        <v>0.56999999999999995</v>
      </c>
      <c r="AA73" s="113" t="s">
        <v>393</v>
      </c>
    </row>
    <row r="74" spans="2:27" ht="13.5" thickBot="1">
      <c r="B74" s="32"/>
      <c r="C74" s="33"/>
      <c r="D74" s="34"/>
      <c r="E74" s="35"/>
      <c r="T74" s="112">
        <v>42</v>
      </c>
      <c r="U74" s="116" t="str">
        <f t="shared" si="5"/>
        <v>1000010</v>
      </c>
      <c r="V74" s="113">
        <v>0.57499999999999996</v>
      </c>
      <c r="W74" s="113" t="str">
        <f t="shared" si="6"/>
        <v>1000010</v>
      </c>
      <c r="X74" s="114">
        <v>1.1499999999999999</v>
      </c>
      <c r="Z74">
        <f>IF(Design_Tool!$E$15,V74,X74)</f>
        <v>0.57499999999999996</v>
      </c>
      <c r="AA74" s="113" t="s">
        <v>394</v>
      </c>
    </row>
    <row r="75" spans="2:27" ht="16" thickBot="1">
      <c r="B75" s="129" t="s">
        <v>60</v>
      </c>
      <c r="C75" s="15" t="s">
        <v>62</v>
      </c>
      <c r="D75" s="97">
        <v>1320</v>
      </c>
      <c r="E75" s="17" t="s">
        <v>6</v>
      </c>
      <c r="T75" s="112">
        <v>43</v>
      </c>
      <c r="U75" s="116" t="str">
        <f t="shared" si="5"/>
        <v>1000011</v>
      </c>
      <c r="V75" s="113">
        <v>0.57999999999999996</v>
      </c>
      <c r="W75" s="113" t="str">
        <f t="shared" si="6"/>
        <v>1000011</v>
      </c>
      <c r="X75" s="114">
        <v>1.1599999999999999</v>
      </c>
      <c r="Z75">
        <f>IF(Design_Tool!$E$15,V75,X75)</f>
        <v>0.57999999999999996</v>
      </c>
      <c r="AA75" s="113" t="s">
        <v>395</v>
      </c>
    </row>
    <row r="76" spans="2:27" ht="13.5" thickBot="1">
      <c r="B76" s="130" t="s">
        <v>61</v>
      </c>
      <c r="C76" s="21" t="s">
        <v>63</v>
      </c>
      <c r="D76" s="98">
        <v>1360</v>
      </c>
      <c r="E76" s="20" t="s">
        <v>6</v>
      </c>
      <c r="T76" s="112">
        <v>44</v>
      </c>
      <c r="U76" s="116" t="str">
        <f t="shared" si="5"/>
        <v>1000100</v>
      </c>
      <c r="V76" s="113">
        <v>0.58499999999999996</v>
      </c>
      <c r="W76" s="113" t="str">
        <f t="shared" si="6"/>
        <v>1000100</v>
      </c>
      <c r="X76" s="114">
        <v>1.17</v>
      </c>
      <c r="Z76">
        <f>IF(Design_Tool!$E$15,V76,X76)</f>
        <v>0.58499999999999996</v>
      </c>
      <c r="AA76" s="113" t="s">
        <v>396</v>
      </c>
    </row>
    <row r="77" spans="2:27" ht="13.5" thickBot="1">
      <c r="B77" s="13"/>
      <c r="C77" s="21" t="s">
        <v>64</v>
      </c>
      <c r="D77" s="98">
        <v>1400</v>
      </c>
      <c r="E77" s="20" t="s">
        <v>6</v>
      </c>
      <c r="T77" s="112">
        <v>45</v>
      </c>
      <c r="U77" s="116" t="str">
        <f t="shared" si="5"/>
        <v>1000101</v>
      </c>
      <c r="V77" s="113">
        <v>0.59</v>
      </c>
      <c r="W77" s="113" t="str">
        <f t="shared" si="6"/>
        <v>1000101</v>
      </c>
      <c r="X77" s="114">
        <v>1.18</v>
      </c>
      <c r="Z77">
        <f>IF(Design_Tool!$E$15,V77,X77)</f>
        <v>0.59</v>
      </c>
      <c r="AA77" s="113" t="s">
        <v>397</v>
      </c>
    </row>
    <row r="78" spans="2:27" ht="13.5" thickBot="1">
      <c r="B78" s="13"/>
      <c r="C78" s="21" t="s">
        <v>65</v>
      </c>
      <c r="D78" s="98">
        <v>1440</v>
      </c>
      <c r="E78" s="20" t="s">
        <v>6</v>
      </c>
      <c r="T78" s="112">
        <v>46</v>
      </c>
      <c r="U78" s="116" t="str">
        <f t="shared" si="5"/>
        <v>1000110</v>
      </c>
      <c r="V78" s="113">
        <v>0.59499999999999997</v>
      </c>
      <c r="W78" s="113" t="str">
        <f t="shared" si="6"/>
        <v>1000110</v>
      </c>
      <c r="X78" s="114">
        <v>1.19</v>
      </c>
      <c r="Z78">
        <f>IF(Design_Tool!$E$15,V78,X78)</f>
        <v>0.59499999999999997</v>
      </c>
      <c r="AA78" s="113" t="s">
        <v>398</v>
      </c>
    </row>
    <row r="79" spans="2:27" ht="13.5" thickBot="1">
      <c r="B79" s="13"/>
      <c r="C79" s="21" t="s">
        <v>66</v>
      </c>
      <c r="D79" s="98">
        <v>1480</v>
      </c>
      <c r="E79" s="20" t="s">
        <v>6</v>
      </c>
      <c r="T79" s="112">
        <v>47</v>
      </c>
      <c r="U79" s="116" t="str">
        <f t="shared" si="5"/>
        <v>1000111</v>
      </c>
      <c r="V79" s="113">
        <v>0.6</v>
      </c>
      <c r="W79" s="113" t="str">
        <f t="shared" si="6"/>
        <v>1000111</v>
      </c>
      <c r="X79" s="114">
        <v>1.2</v>
      </c>
      <c r="Z79">
        <f>IF(Design_Tool!$E$15,V79,X79)</f>
        <v>0.6</v>
      </c>
      <c r="AA79" s="113" t="s">
        <v>399</v>
      </c>
    </row>
    <row r="80" spans="2:27" ht="12.75" customHeight="1" thickBot="1">
      <c r="B80" s="13"/>
      <c r="C80" s="21" t="s">
        <v>67</v>
      </c>
      <c r="D80" s="98">
        <v>1520</v>
      </c>
      <c r="E80" s="20" t="s">
        <v>6</v>
      </c>
      <c r="T80" s="112">
        <v>48</v>
      </c>
      <c r="U80" s="116" t="str">
        <f t="shared" si="5"/>
        <v>1001000</v>
      </c>
      <c r="V80" s="113">
        <v>0.60499999999999998</v>
      </c>
      <c r="W80" s="113" t="str">
        <f t="shared" si="6"/>
        <v>1001000</v>
      </c>
      <c r="X80" s="114">
        <v>1.21</v>
      </c>
      <c r="Z80">
        <f>IF(Design_Tool!$E$15,V80,X80)</f>
        <v>0.60499999999999998</v>
      </c>
      <c r="AA80" s="113" t="s">
        <v>400</v>
      </c>
    </row>
    <row r="81" spans="2:27" ht="12.75" customHeight="1" thickBot="1">
      <c r="B81" s="13"/>
      <c r="C81" s="21" t="s">
        <v>68</v>
      </c>
      <c r="D81" s="98">
        <v>1560</v>
      </c>
      <c r="E81" s="20" t="s">
        <v>6</v>
      </c>
      <c r="T81" s="112">
        <v>49</v>
      </c>
      <c r="U81" s="116" t="str">
        <f t="shared" si="5"/>
        <v>1001001</v>
      </c>
      <c r="V81" s="113">
        <v>0.61</v>
      </c>
      <c r="W81" s="113" t="str">
        <f t="shared" si="6"/>
        <v>1001001</v>
      </c>
      <c r="X81" s="114">
        <v>1.22</v>
      </c>
      <c r="Z81">
        <f>IF(Design_Tool!$E$15,V81,X81)</f>
        <v>0.61</v>
      </c>
      <c r="AA81" s="113" t="s">
        <v>401</v>
      </c>
    </row>
    <row r="82" spans="2:27" ht="24" customHeight="1" thickBot="1">
      <c r="B82" s="14"/>
      <c r="C82" s="21" t="s">
        <v>69</v>
      </c>
      <c r="D82" s="98">
        <v>1600</v>
      </c>
      <c r="E82" s="20" t="s">
        <v>6</v>
      </c>
      <c r="H82" s="101"/>
      <c r="T82" s="112" t="s">
        <v>198</v>
      </c>
      <c r="U82" s="116" t="str">
        <f t="shared" si="5"/>
        <v>1001010</v>
      </c>
      <c r="V82" s="113">
        <v>0.61499999999999999</v>
      </c>
      <c r="W82" s="113" t="str">
        <f t="shared" si="6"/>
        <v>1001010</v>
      </c>
      <c r="X82" s="114">
        <v>1.23</v>
      </c>
      <c r="Z82">
        <f>IF(Design_Tool!$E$15,V82,X82)</f>
        <v>0.61499999999999999</v>
      </c>
      <c r="AA82" s="113" t="s">
        <v>402</v>
      </c>
    </row>
    <row r="83" spans="2:27" ht="13.5" thickBot="1">
      <c r="H83" s="101"/>
      <c r="T83" s="112" t="s">
        <v>199</v>
      </c>
      <c r="U83" s="116" t="str">
        <f t="shared" si="5"/>
        <v>1001011</v>
      </c>
      <c r="V83" s="113">
        <v>0.62</v>
      </c>
      <c r="W83" s="113" t="str">
        <f t="shared" si="6"/>
        <v>1001011</v>
      </c>
      <c r="X83" s="114">
        <v>1.24</v>
      </c>
      <c r="Z83">
        <f>IF(Design_Tool!$E$15,V83,X83)</f>
        <v>0.62</v>
      </c>
      <c r="AA83" s="113" t="s">
        <v>403</v>
      </c>
    </row>
    <row r="84" spans="2:27" ht="24" customHeight="1" thickBot="1">
      <c r="B84" s="186" t="s">
        <v>70</v>
      </c>
      <c r="C84" s="15" t="s">
        <v>71</v>
      </c>
      <c r="D84" s="17">
        <v>30</v>
      </c>
      <c r="E84" s="17" t="s">
        <v>6</v>
      </c>
      <c r="F84">
        <v>20</v>
      </c>
      <c r="T84" s="112" t="s">
        <v>200</v>
      </c>
      <c r="U84" s="116" t="str">
        <f t="shared" si="5"/>
        <v>1001100</v>
      </c>
      <c r="V84" s="113">
        <v>0.625</v>
      </c>
      <c r="W84" s="113" t="str">
        <f t="shared" si="6"/>
        <v>1001100</v>
      </c>
      <c r="X84" s="114">
        <v>1.25</v>
      </c>
      <c r="Z84">
        <f>IF(Design_Tool!$E$15,V84,X84)</f>
        <v>0.625</v>
      </c>
      <c r="AA84" s="113" t="s">
        <v>404</v>
      </c>
    </row>
    <row r="85" spans="2:27" ht="16" thickBot="1">
      <c r="B85" s="187"/>
      <c r="C85" s="18" t="s">
        <v>72</v>
      </c>
      <c r="D85" s="20">
        <v>40</v>
      </c>
      <c r="E85" s="20" t="s">
        <v>6</v>
      </c>
      <c r="F85">
        <v>24</v>
      </c>
      <c r="T85" s="112" t="s">
        <v>201</v>
      </c>
      <c r="U85" s="116" t="str">
        <f t="shared" si="5"/>
        <v>1001101</v>
      </c>
      <c r="V85" s="113">
        <v>0.63</v>
      </c>
      <c r="W85" s="113" t="str">
        <f t="shared" si="6"/>
        <v>1001101</v>
      </c>
      <c r="X85" s="114">
        <v>1.26</v>
      </c>
      <c r="Z85">
        <f>IF(Design_Tool!$E$15,V85,X85)</f>
        <v>0.63</v>
      </c>
      <c r="AA85" s="113" t="s">
        <v>405</v>
      </c>
    </row>
    <row r="86" spans="2:27" ht="24" customHeight="1" thickBot="1">
      <c r="B86" s="187"/>
      <c r="C86" s="18" t="s">
        <v>73</v>
      </c>
      <c r="D86" s="20">
        <v>60</v>
      </c>
      <c r="E86" s="20" t="s">
        <v>6</v>
      </c>
      <c r="F86">
        <v>30</v>
      </c>
      <c r="T86" s="112" t="s">
        <v>202</v>
      </c>
      <c r="U86" s="116" t="str">
        <f t="shared" si="5"/>
        <v>1001110</v>
      </c>
      <c r="V86" s="113">
        <v>0.63500000000000001</v>
      </c>
      <c r="W86" s="113" t="str">
        <f t="shared" si="6"/>
        <v>1001110</v>
      </c>
      <c r="X86" s="114">
        <v>1.27</v>
      </c>
      <c r="Z86">
        <f>IF(Design_Tool!$E$15,V86,X86)</f>
        <v>0.63500000000000001</v>
      </c>
      <c r="AA86" s="113" t="s">
        <v>406</v>
      </c>
    </row>
    <row r="87" spans="2:27" ht="16" thickBot="1">
      <c r="B87" s="187"/>
      <c r="C87" s="18" t="s">
        <v>74</v>
      </c>
      <c r="D87" s="20">
        <v>80</v>
      </c>
      <c r="E87" s="20" t="s">
        <v>6</v>
      </c>
      <c r="F87">
        <v>39</v>
      </c>
      <c r="T87" s="112" t="s">
        <v>203</v>
      </c>
      <c r="U87" s="116" t="str">
        <f t="shared" si="5"/>
        <v>1001111</v>
      </c>
      <c r="V87" s="113">
        <v>0.64</v>
      </c>
      <c r="W87" s="113" t="str">
        <f t="shared" si="6"/>
        <v>1001111</v>
      </c>
      <c r="X87" s="114">
        <v>1.28</v>
      </c>
      <c r="Z87">
        <f>IF(Design_Tool!$E$15,V87,X87)</f>
        <v>0.64</v>
      </c>
      <c r="AA87" s="113" t="s">
        <v>407</v>
      </c>
    </row>
    <row r="88" spans="2:27" ht="24" customHeight="1" thickBot="1">
      <c r="B88" s="187"/>
      <c r="C88" s="21" t="s">
        <v>75</v>
      </c>
      <c r="D88" s="20">
        <v>100</v>
      </c>
      <c r="E88" s="20" t="s">
        <v>6</v>
      </c>
      <c r="F88">
        <v>56</v>
      </c>
      <c r="T88" s="112">
        <v>50</v>
      </c>
      <c r="U88" s="116" t="str">
        <f t="shared" si="5"/>
        <v>1010000</v>
      </c>
      <c r="V88" s="113">
        <v>0.64500000000000002</v>
      </c>
      <c r="W88" s="113" t="str">
        <f t="shared" si="6"/>
        <v>1010000</v>
      </c>
      <c r="X88" s="114">
        <v>1.29</v>
      </c>
      <c r="Z88">
        <f>IF(Design_Tool!$E$15,V88,X88)</f>
        <v>0.64500000000000002</v>
      </c>
      <c r="AA88" s="113" t="s">
        <v>408</v>
      </c>
    </row>
    <row r="89" spans="2:27" ht="29.25" customHeight="1" thickBot="1">
      <c r="B89" s="187"/>
      <c r="C89" s="18" t="s">
        <v>76</v>
      </c>
      <c r="D89" s="20">
        <v>120</v>
      </c>
      <c r="E89" s="20" t="s">
        <v>6</v>
      </c>
      <c r="F89">
        <v>75</v>
      </c>
      <c r="T89" s="112">
        <v>51</v>
      </c>
      <c r="U89" s="116" t="str">
        <f t="shared" si="5"/>
        <v>1010001</v>
      </c>
      <c r="V89" s="113">
        <v>0.65</v>
      </c>
      <c r="W89" s="113" t="str">
        <f t="shared" si="6"/>
        <v>1010001</v>
      </c>
      <c r="X89" s="114">
        <v>1.3</v>
      </c>
      <c r="Z89">
        <f>IF(Design_Tool!$E$15,V89,X89)</f>
        <v>0.65</v>
      </c>
      <c r="AA89" s="113" t="s">
        <v>409</v>
      </c>
    </row>
    <row r="90" spans="2:27" ht="26.25" customHeight="1" thickBot="1">
      <c r="B90" s="187"/>
      <c r="C90" s="18" t="s">
        <v>77</v>
      </c>
      <c r="D90" s="20">
        <v>140</v>
      </c>
      <c r="E90" s="20" t="s">
        <v>6</v>
      </c>
      <c r="F90">
        <v>100</v>
      </c>
      <c r="T90" s="112">
        <v>52</v>
      </c>
      <c r="U90" s="116" t="str">
        <f t="shared" si="5"/>
        <v>1010010</v>
      </c>
      <c r="V90" s="113">
        <v>0.65500000000000003</v>
      </c>
      <c r="W90" s="113" t="str">
        <f t="shared" si="6"/>
        <v>1010010</v>
      </c>
      <c r="X90" s="114">
        <v>1.31</v>
      </c>
      <c r="Z90">
        <f>IF(Design_Tool!$E$15,V90,X90)</f>
        <v>0.65500000000000003</v>
      </c>
      <c r="AA90" s="113" t="s">
        <v>410</v>
      </c>
    </row>
    <row r="91" spans="2:27" ht="16" thickBot="1">
      <c r="B91" s="188"/>
      <c r="C91" s="18" t="s">
        <v>78</v>
      </c>
      <c r="D91" s="20" t="s">
        <v>147</v>
      </c>
      <c r="E91" s="20" t="s">
        <v>6</v>
      </c>
      <c r="F91">
        <v>150</v>
      </c>
      <c r="T91" s="112">
        <v>53</v>
      </c>
      <c r="U91" s="116" t="str">
        <f t="shared" si="5"/>
        <v>1010011</v>
      </c>
      <c r="V91" s="113">
        <v>0.66</v>
      </c>
      <c r="W91" s="113" t="str">
        <f t="shared" si="6"/>
        <v>1010011</v>
      </c>
      <c r="X91" s="114">
        <v>1.32</v>
      </c>
      <c r="Z91">
        <f>IF(Design_Tool!$E$15,V91,X91)</f>
        <v>0.66</v>
      </c>
      <c r="AA91" s="113" t="s">
        <v>411</v>
      </c>
    </row>
    <row r="92" spans="2:27" ht="12.75" customHeight="1" thickBot="1">
      <c r="B92" s="186" t="s">
        <v>79</v>
      </c>
      <c r="C92" s="21" t="s">
        <v>80</v>
      </c>
      <c r="D92" s="17">
        <v>20</v>
      </c>
      <c r="E92" s="20" t="s">
        <v>6</v>
      </c>
      <c r="F92">
        <v>0.2</v>
      </c>
      <c r="T92" s="112">
        <v>54</v>
      </c>
      <c r="U92" s="116" t="str">
        <f t="shared" si="5"/>
        <v>1010100</v>
      </c>
      <c r="V92" s="113">
        <v>0.66500000000000004</v>
      </c>
      <c r="W92" s="113" t="str">
        <f t="shared" si="6"/>
        <v>1010100</v>
      </c>
      <c r="X92" s="114">
        <v>1.33</v>
      </c>
      <c r="Z92">
        <f>IF(Design_Tool!$E$15,V92,X92)</f>
        <v>0.66500000000000004</v>
      </c>
      <c r="AA92" s="113" t="s">
        <v>412</v>
      </c>
    </row>
    <row r="93" spans="2:27" ht="16" thickBot="1">
      <c r="B93" s="187"/>
      <c r="C93" s="21" t="s">
        <v>81</v>
      </c>
      <c r="D93" s="20">
        <v>30</v>
      </c>
      <c r="E93" s="20" t="s">
        <v>6</v>
      </c>
      <c r="F93">
        <v>0.4</v>
      </c>
      <c r="T93" s="112">
        <v>55</v>
      </c>
      <c r="U93" s="116" t="str">
        <f t="shared" si="5"/>
        <v>1010101</v>
      </c>
      <c r="V93" s="113">
        <v>0.67</v>
      </c>
      <c r="W93" s="113" t="str">
        <f t="shared" si="6"/>
        <v>1010101</v>
      </c>
      <c r="X93" s="114">
        <v>1.34</v>
      </c>
      <c r="Z93">
        <f>IF(Design_Tool!$E$15,V93,X93)</f>
        <v>0.67</v>
      </c>
      <c r="AA93" s="113" t="s">
        <v>413</v>
      </c>
    </row>
    <row r="94" spans="2:27" ht="16" thickBot="1">
      <c r="B94" s="187"/>
      <c r="C94" s="28" t="s">
        <v>82</v>
      </c>
      <c r="D94" s="20">
        <v>60</v>
      </c>
      <c r="E94" s="20" t="s">
        <v>6</v>
      </c>
      <c r="F94">
        <v>0.6</v>
      </c>
      <c r="T94" s="112">
        <v>56</v>
      </c>
      <c r="U94" s="116" t="str">
        <f t="shared" si="5"/>
        <v>1010110</v>
      </c>
      <c r="V94" s="113">
        <v>0.67500000000000004</v>
      </c>
      <c r="W94" s="113" t="str">
        <f t="shared" si="6"/>
        <v>1010110</v>
      </c>
      <c r="X94" s="114">
        <v>1.35</v>
      </c>
      <c r="Z94">
        <f>IF(Design_Tool!$E$15,V94,X94)</f>
        <v>0.67500000000000004</v>
      </c>
      <c r="AA94" s="113" t="s">
        <v>414</v>
      </c>
    </row>
    <row r="95" spans="2:27" ht="16" thickBot="1">
      <c r="B95" s="187"/>
      <c r="C95" s="28" t="s">
        <v>83</v>
      </c>
      <c r="D95" s="20">
        <v>80</v>
      </c>
      <c r="E95" s="20" t="s">
        <v>6</v>
      </c>
      <c r="F95">
        <v>0.8</v>
      </c>
      <c r="T95" s="112">
        <v>57</v>
      </c>
      <c r="U95" s="116" t="str">
        <f t="shared" si="5"/>
        <v>1010111</v>
      </c>
      <c r="V95" s="113">
        <v>0.68</v>
      </c>
      <c r="W95" s="113" t="str">
        <f t="shared" si="6"/>
        <v>1010111</v>
      </c>
      <c r="X95" s="114">
        <v>1.36</v>
      </c>
      <c r="Z95">
        <f>IF(Design_Tool!$E$15,V95,X95)</f>
        <v>0.68</v>
      </c>
      <c r="AA95" s="113" t="s">
        <v>415</v>
      </c>
    </row>
    <row r="96" spans="2:27" ht="16" thickBot="1">
      <c r="B96" s="187"/>
      <c r="C96" s="28" t="s">
        <v>84</v>
      </c>
      <c r="D96" s="20">
        <v>100</v>
      </c>
      <c r="E96" s="20" t="s">
        <v>6</v>
      </c>
      <c r="F96">
        <v>1</v>
      </c>
      <c r="T96" s="112">
        <v>58</v>
      </c>
      <c r="U96" s="116" t="str">
        <f t="shared" si="5"/>
        <v>1011000</v>
      </c>
      <c r="V96" s="113">
        <v>0.68500000000000005</v>
      </c>
      <c r="W96" s="113" t="str">
        <f t="shared" si="6"/>
        <v>1011000</v>
      </c>
      <c r="X96" s="114">
        <v>1.37</v>
      </c>
      <c r="Z96">
        <f>IF(Design_Tool!$E$15,V96,X96)</f>
        <v>0.68500000000000005</v>
      </c>
      <c r="AA96" s="113" t="s">
        <v>416</v>
      </c>
    </row>
    <row r="97" spans="2:27" ht="16" thickBot="1">
      <c r="B97" s="187"/>
      <c r="C97" s="28" t="s">
        <v>85</v>
      </c>
      <c r="D97" s="20">
        <v>120</v>
      </c>
      <c r="E97" s="20" t="s">
        <v>6</v>
      </c>
      <c r="F97">
        <v>1.2</v>
      </c>
      <c r="T97" s="112">
        <v>59</v>
      </c>
      <c r="U97" s="116" t="str">
        <f t="shared" si="5"/>
        <v>1011001</v>
      </c>
      <c r="V97" s="113">
        <v>0.69</v>
      </c>
      <c r="W97" s="113" t="str">
        <f t="shared" si="6"/>
        <v>1011001</v>
      </c>
      <c r="X97" s="114">
        <v>1.38</v>
      </c>
      <c r="Z97">
        <f>IF(Design_Tool!$E$15,V97,X97)</f>
        <v>0.69</v>
      </c>
      <c r="AA97" s="113" t="s">
        <v>417</v>
      </c>
    </row>
    <row r="98" spans="2:27" ht="16.5" customHeight="1" thickBot="1">
      <c r="B98" s="187"/>
      <c r="C98" s="28" t="s">
        <v>86</v>
      </c>
      <c r="D98" s="20">
        <v>140</v>
      </c>
      <c r="E98" s="20" t="s">
        <v>6</v>
      </c>
      <c r="F98">
        <v>1.4</v>
      </c>
      <c r="T98" s="112" t="s">
        <v>204</v>
      </c>
      <c r="U98" s="116" t="str">
        <f t="shared" si="5"/>
        <v>1011010</v>
      </c>
      <c r="V98" s="113">
        <v>0.69499999999999995</v>
      </c>
      <c r="W98" s="113" t="str">
        <f t="shared" si="6"/>
        <v>1011010</v>
      </c>
      <c r="X98" s="114">
        <v>1.39</v>
      </c>
      <c r="Z98">
        <f>IF(Design_Tool!$E$15,V98,X98)</f>
        <v>0.69499999999999995</v>
      </c>
      <c r="AA98" s="113" t="s">
        <v>418</v>
      </c>
    </row>
    <row r="99" spans="2:27" ht="16" thickBot="1">
      <c r="B99" s="188"/>
      <c r="C99" s="28" t="s">
        <v>616</v>
      </c>
      <c r="D99" s="20" t="s">
        <v>147</v>
      </c>
      <c r="E99" s="20" t="s">
        <v>6</v>
      </c>
      <c r="F99">
        <v>1.6</v>
      </c>
      <c r="T99" s="112" t="s">
        <v>205</v>
      </c>
      <c r="U99" s="116" t="str">
        <f t="shared" si="5"/>
        <v>1011011</v>
      </c>
      <c r="V99" s="113">
        <v>0.7</v>
      </c>
      <c r="W99" s="113" t="str">
        <f t="shared" si="6"/>
        <v>1011011</v>
      </c>
      <c r="X99" s="114">
        <v>1.4</v>
      </c>
      <c r="Z99">
        <f>IF(Design_Tool!$E$15,V99,X99)</f>
        <v>0.7</v>
      </c>
      <c r="AA99" s="113" t="s">
        <v>419</v>
      </c>
    </row>
    <row r="100" spans="2:27" ht="13.5" thickBot="1">
      <c r="T100" s="112" t="s">
        <v>206</v>
      </c>
      <c r="U100" s="116" t="str">
        <f t="shared" si="5"/>
        <v>1011100</v>
      </c>
      <c r="V100" s="113">
        <v>0.70499999999999996</v>
      </c>
      <c r="W100" s="113" t="str">
        <f t="shared" si="6"/>
        <v>1011100</v>
      </c>
      <c r="X100" s="114">
        <v>1.41</v>
      </c>
      <c r="Z100">
        <f>IF(Design_Tool!$E$15,V100,X100)</f>
        <v>0.70499999999999996</v>
      </c>
      <c r="AA100" s="113" t="s">
        <v>420</v>
      </c>
    </row>
    <row r="101" spans="2:27" ht="13.5" thickBot="1">
      <c r="T101" s="112" t="s">
        <v>207</v>
      </c>
      <c r="U101" s="116" t="str">
        <f t="shared" si="5"/>
        <v>1011101</v>
      </c>
      <c r="V101" s="113">
        <v>0.71</v>
      </c>
      <c r="W101" s="113" t="str">
        <f t="shared" si="6"/>
        <v>1011101</v>
      </c>
      <c r="X101" s="114">
        <v>1.42</v>
      </c>
      <c r="Z101">
        <f>IF(Design_Tool!$E$15,V101,X101)</f>
        <v>0.71</v>
      </c>
      <c r="AA101" s="113" t="s">
        <v>421</v>
      </c>
    </row>
    <row r="102" spans="2:27" ht="28.5" thickBot="1">
      <c r="B102" s="134"/>
      <c r="C102" s="138" t="s">
        <v>618</v>
      </c>
      <c r="D102" s="162">
        <v>1</v>
      </c>
      <c r="E102" s="17"/>
      <c r="F102">
        <v>0</v>
      </c>
      <c r="G102">
        <v>20</v>
      </c>
      <c r="I102" s="103">
        <v>1</v>
      </c>
      <c r="J102" s="104" t="s">
        <v>170</v>
      </c>
      <c r="K102">
        <v>0</v>
      </c>
      <c r="L102" s="104" t="s">
        <v>170</v>
      </c>
      <c r="M102">
        <f>VLOOKUP("1/8", J102:K105, 2, FALSE)</f>
        <v>3</v>
      </c>
      <c r="T102" s="112" t="s">
        <v>208</v>
      </c>
      <c r="U102" s="116" t="str">
        <f t="shared" si="5"/>
        <v>1011110</v>
      </c>
      <c r="V102" s="113">
        <v>0.71499999999999997</v>
      </c>
      <c r="W102" s="113" t="str">
        <f t="shared" si="6"/>
        <v>1011110</v>
      </c>
      <c r="X102" s="114">
        <v>1.43</v>
      </c>
      <c r="Z102">
        <f>IF(Design_Tool!$E$15,V102,X102)</f>
        <v>0.71499999999999997</v>
      </c>
      <c r="AA102" s="113" t="s">
        <v>422</v>
      </c>
    </row>
    <row r="103" spans="2:27" ht="41" thickBot="1">
      <c r="B103" s="135" t="s">
        <v>617</v>
      </c>
      <c r="C103" s="140" t="s">
        <v>619</v>
      </c>
      <c r="D103" s="163" t="s">
        <v>167</v>
      </c>
      <c r="E103" s="20"/>
      <c r="F103">
        <v>1</v>
      </c>
      <c r="G103">
        <v>24</v>
      </c>
      <c r="I103" s="104" t="s">
        <v>170</v>
      </c>
      <c r="J103" s="104" t="s">
        <v>167</v>
      </c>
      <c r="K103">
        <v>1</v>
      </c>
      <c r="L103" s="104" t="s">
        <v>167</v>
      </c>
      <c r="T103" s="112" t="s">
        <v>209</v>
      </c>
      <c r="U103" s="116" t="str">
        <f t="shared" si="5"/>
        <v>1011111</v>
      </c>
      <c r="V103" s="113">
        <v>0.72</v>
      </c>
      <c r="W103" s="113" t="str">
        <f t="shared" si="6"/>
        <v>1011111</v>
      </c>
      <c r="X103" s="114">
        <v>1.44</v>
      </c>
      <c r="Z103">
        <f>IF(Design_Tool!$E$15,V103,X103)</f>
        <v>0.72</v>
      </c>
      <c r="AA103" s="113" t="s">
        <v>423</v>
      </c>
    </row>
    <row r="104" spans="2:27" ht="28.5" thickBot="1">
      <c r="B104" s="136"/>
      <c r="C104" s="140" t="s">
        <v>620</v>
      </c>
      <c r="D104" s="163" t="s">
        <v>168</v>
      </c>
      <c r="E104" s="20"/>
      <c r="F104">
        <v>2</v>
      </c>
      <c r="G104">
        <v>30</v>
      </c>
      <c r="I104" s="104" t="s">
        <v>167</v>
      </c>
      <c r="J104" s="104" t="s">
        <v>168</v>
      </c>
      <c r="K104">
        <v>2</v>
      </c>
      <c r="L104" s="104" t="s">
        <v>168</v>
      </c>
      <c r="T104" s="112">
        <v>60</v>
      </c>
      <c r="U104" s="116" t="str">
        <f t="shared" si="5"/>
        <v>1100000</v>
      </c>
      <c r="V104" s="113">
        <v>0.72499999999999998</v>
      </c>
      <c r="W104" s="113" t="str">
        <f t="shared" si="6"/>
        <v>1100000</v>
      </c>
      <c r="X104" s="114">
        <v>1.45</v>
      </c>
      <c r="Z104">
        <f>IF(Design_Tool!$E$15,V104,X104)</f>
        <v>0.72499999999999998</v>
      </c>
      <c r="AA104" s="113" t="s">
        <v>424</v>
      </c>
    </row>
    <row r="105" spans="2:27" ht="28.5" thickBot="1">
      <c r="B105" s="137"/>
      <c r="C105" s="140" t="s">
        <v>621</v>
      </c>
      <c r="D105" s="163" t="s">
        <v>169</v>
      </c>
      <c r="E105" s="20"/>
      <c r="F105">
        <v>3</v>
      </c>
      <c r="G105">
        <v>39</v>
      </c>
      <c r="I105" s="104" t="s">
        <v>167</v>
      </c>
      <c r="J105" s="104" t="s">
        <v>169</v>
      </c>
      <c r="K105">
        <v>3</v>
      </c>
      <c r="L105" s="104" t="s">
        <v>169</v>
      </c>
      <c r="T105" s="112">
        <v>61</v>
      </c>
      <c r="U105" s="116" t="str">
        <f t="shared" si="5"/>
        <v>1100001</v>
      </c>
      <c r="V105" s="113">
        <v>0.73</v>
      </c>
      <c r="W105" s="113" t="str">
        <f t="shared" si="6"/>
        <v>1100001</v>
      </c>
      <c r="X105" s="114">
        <v>1.46</v>
      </c>
      <c r="Z105">
        <f>IF(Design_Tool!$E$15,V105,X105)</f>
        <v>0.73</v>
      </c>
      <c r="AA105" s="113" t="s">
        <v>425</v>
      </c>
    </row>
    <row r="106" spans="2:27" ht="31.5" thickBot="1">
      <c r="B106" s="142" t="s">
        <v>622</v>
      </c>
      <c r="C106" s="153" t="s">
        <v>624</v>
      </c>
      <c r="D106" s="154">
        <v>0</v>
      </c>
      <c r="E106" s="151"/>
      <c r="F106">
        <v>4</v>
      </c>
      <c r="G106">
        <v>56</v>
      </c>
      <c r="I106" s="104" t="s">
        <v>168</v>
      </c>
      <c r="T106" s="112">
        <v>62</v>
      </c>
      <c r="U106" s="116" t="str">
        <f t="shared" si="5"/>
        <v>1100010</v>
      </c>
      <c r="V106" s="113">
        <v>0.73499999999999999</v>
      </c>
      <c r="W106" s="113" t="str">
        <f t="shared" si="6"/>
        <v>1100010</v>
      </c>
      <c r="X106" s="114">
        <v>1.47</v>
      </c>
      <c r="Z106">
        <f>IF(Design_Tool!$E$15,V106,X106)</f>
        <v>0.73499999999999999</v>
      </c>
      <c r="AA106" s="113" t="s">
        <v>426</v>
      </c>
    </row>
    <row r="107" spans="2:27" ht="31.5" thickBot="1">
      <c r="B107" s="155" t="s">
        <v>623</v>
      </c>
      <c r="C107" s="138" t="s">
        <v>625</v>
      </c>
      <c r="D107" s="139">
        <v>1</v>
      </c>
      <c r="E107" s="17"/>
      <c r="F107">
        <v>5</v>
      </c>
      <c r="G107">
        <v>75</v>
      </c>
      <c r="I107" s="104" t="s">
        <v>168</v>
      </c>
      <c r="T107" s="112">
        <v>63</v>
      </c>
      <c r="U107" s="116" t="str">
        <f t="shared" si="5"/>
        <v>1100011</v>
      </c>
      <c r="V107" s="113">
        <v>0.74</v>
      </c>
      <c r="W107" s="113" t="str">
        <f t="shared" si="6"/>
        <v>1100011</v>
      </c>
      <c r="X107" s="114">
        <v>1.48</v>
      </c>
      <c r="Z107">
        <f>IF(Design_Tool!$E$15,V107,X107)</f>
        <v>0.74</v>
      </c>
      <c r="AA107" s="113" t="s">
        <v>427</v>
      </c>
    </row>
    <row r="108" spans="2:27" ht="13.5" thickBot="1">
      <c r="B108" s="32"/>
      <c r="C108" s="35"/>
      <c r="D108" s="152"/>
      <c r="E108" s="34"/>
      <c r="F108">
        <v>6</v>
      </c>
      <c r="G108">
        <v>100</v>
      </c>
      <c r="I108" s="104" t="s">
        <v>169</v>
      </c>
      <c r="T108" s="112">
        <v>64</v>
      </c>
      <c r="U108" s="116" t="str">
        <f t="shared" si="5"/>
        <v>1100100</v>
      </c>
      <c r="V108" s="113">
        <v>0.745</v>
      </c>
      <c r="W108" s="113" t="str">
        <f t="shared" si="6"/>
        <v>1100100</v>
      </c>
      <c r="X108" s="114">
        <v>1.49</v>
      </c>
      <c r="Z108">
        <f>IF(Design_Tool!$E$15,V108,X108)</f>
        <v>0.745</v>
      </c>
      <c r="AA108" s="113" t="s">
        <v>428</v>
      </c>
    </row>
    <row r="109" spans="2:27" ht="13.5" thickBot="1">
      <c r="B109" s="32"/>
      <c r="C109" s="35"/>
      <c r="D109" s="152"/>
      <c r="E109" s="34"/>
      <c r="F109">
        <v>7</v>
      </c>
      <c r="G109">
        <v>150</v>
      </c>
      <c r="I109" s="104" t="s">
        <v>169</v>
      </c>
      <c r="T109" s="112">
        <v>65</v>
      </c>
      <c r="U109" s="116" t="str">
        <f t="shared" si="5"/>
        <v>1100101</v>
      </c>
      <c r="V109" s="113">
        <v>0.75</v>
      </c>
      <c r="W109" s="113" t="str">
        <f t="shared" si="6"/>
        <v>1100101</v>
      </c>
      <c r="X109" s="114">
        <v>1.5</v>
      </c>
      <c r="Z109">
        <f>IF(Design_Tool!$E$15,V109,X109)</f>
        <v>0.75</v>
      </c>
      <c r="AA109" s="113" t="s">
        <v>429</v>
      </c>
    </row>
    <row r="110" spans="2:27" ht="13.5" thickBot="1">
      <c r="B110" s="161"/>
      <c r="C110" s="164"/>
      <c r="D110" s="34"/>
      <c r="E110" s="34"/>
      <c r="T110" s="112">
        <v>66</v>
      </c>
      <c r="U110" s="116" t="str">
        <f t="shared" si="5"/>
        <v>1100110</v>
      </c>
      <c r="V110" s="113">
        <v>0.755</v>
      </c>
      <c r="W110" s="113" t="str">
        <f t="shared" si="6"/>
        <v>1100110</v>
      </c>
      <c r="X110" s="114">
        <v>1.51</v>
      </c>
      <c r="Z110">
        <f>IF(Design_Tool!$E$15,V110,X110)</f>
        <v>0.755</v>
      </c>
      <c r="AA110" s="113" t="s">
        <v>430</v>
      </c>
    </row>
    <row r="111" spans="2:27" ht="13.5" thickBot="1">
      <c r="B111" s="166"/>
      <c r="C111" s="164"/>
      <c r="D111" s="34"/>
      <c r="E111" s="34"/>
      <c r="T111" s="112">
        <v>67</v>
      </c>
      <c r="U111" s="116" t="str">
        <f t="shared" si="5"/>
        <v>1100111</v>
      </c>
      <c r="V111" s="113">
        <v>0.76</v>
      </c>
      <c r="W111" s="113" t="str">
        <f t="shared" si="6"/>
        <v>1100111</v>
      </c>
      <c r="X111" s="114">
        <v>1.52</v>
      </c>
      <c r="Z111">
        <f>IF(Design_Tool!$E$15,V111,X111)</f>
        <v>0.76</v>
      </c>
      <c r="AA111" s="113" t="s">
        <v>431</v>
      </c>
    </row>
    <row r="112" spans="2:27" ht="39" thickBot="1">
      <c r="B112" s="146" t="s">
        <v>626</v>
      </c>
      <c r="C112" s="143" t="s">
        <v>627</v>
      </c>
      <c r="D112" s="144">
        <v>1100000</v>
      </c>
      <c r="E112" s="17"/>
      <c r="F112">
        <f t="shared" ref="F112:F127" si="7">BIN2DEC(G112)</f>
        <v>0</v>
      </c>
      <c r="G112" s="36">
        <v>0</v>
      </c>
      <c r="H112">
        <v>1100000</v>
      </c>
      <c r="I112">
        <v>2.7E-2</v>
      </c>
      <c r="T112" s="112">
        <v>68</v>
      </c>
      <c r="U112" s="116" t="str">
        <f t="shared" si="5"/>
        <v>1101000</v>
      </c>
      <c r="V112" s="113">
        <v>0.76500000000000001</v>
      </c>
      <c r="W112" s="113" t="str">
        <f t="shared" si="6"/>
        <v>1101000</v>
      </c>
      <c r="X112" s="114">
        <v>1.53</v>
      </c>
      <c r="Z112">
        <f>IF(Design_Tool!$E$15,V112,X112)</f>
        <v>0.76500000000000001</v>
      </c>
      <c r="AA112" s="113" t="s">
        <v>432</v>
      </c>
    </row>
    <row r="113" spans="2:27" ht="28.5" thickBot="1">
      <c r="B113" s="149"/>
      <c r="C113" s="145" t="s">
        <v>628</v>
      </c>
      <c r="D113" s="141">
        <v>1100001</v>
      </c>
      <c r="E113" s="20"/>
      <c r="F113">
        <f t="shared" si="7"/>
        <v>1</v>
      </c>
      <c r="G113" s="36">
        <v>1</v>
      </c>
      <c r="H113">
        <v>1100001</v>
      </c>
      <c r="I113">
        <v>0.159</v>
      </c>
      <c r="T113" s="112">
        <v>69</v>
      </c>
      <c r="U113" s="116" t="str">
        <f t="shared" si="5"/>
        <v>1101001</v>
      </c>
      <c r="V113" s="113">
        <v>0.77</v>
      </c>
      <c r="W113" s="113" t="str">
        <f t="shared" si="6"/>
        <v>1101001</v>
      </c>
      <c r="X113" s="114">
        <v>1.54</v>
      </c>
      <c r="Z113">
        <f>IF(Design_Tool!$E$15,V113,X113)</f>
        <v>0.77</v>
      </c>
      <c r="AA113" s="113" t="s">
        <v>433</v>
      </c>
    </row>
    <row r="114" spans="2:27" ht="28.5" thickBot="1">
      <c r="B114" s="149"/>
      <c r="C114" s="145" t="s">
        <v>629</v>
      </c>
      <c r="D114" s="141">
        <v>1100010</v>
      </c>
      <c r="E114" s="20"/>
      <c r="F114">
        <f t="shared" si="7"/>
        <v>2</v>
      </c>
      <c r="G114" s="36">
        <v>10</v>
      </c>
      <c r="H114">
        <v>1100010</v>
      </c>
      <c r="I114">
        <v>0.26600000000000001</v>
      </c>
      <c r="T114" s="112" t="s">
        <v>210</v>
      </c>
      <c r="U114" s="116" t="str">
        <f t="shared" si="5"/>
        <v>1101010</v>
      </c>
      <c r="V114" s="113">
        <v>0.77500000000000002</v>
      </c>
      <c r="W114" s="113" t="str">
        <f t="shared" si="6"/>
        <v>1101010</v>
      </c>
      <c r="X114" s="114">
        <v>1.55</v>
      </c>
      <c r="Z114">
        <f>IF(Design_Tool!$E$15,V114,X114)</f>
        <v>0.77500000000000002</v>
      </c>
      <c r="AA114" s="113" t="s">
        <v>434</v>
      </c>
    </row>
    <row r="115" spans="2:27" ht="28.5" thickBot="1">
      <c r="B115" s="149"/>
      <c r="C115" s="148" t="s">
        <v>630</v>
      </c>
      <c r="D115" s="141">
        <v>1100011</v>
      </c>
      <c r="E115" s="20"/>
      <c r="F115">
        <f t="shared" si="7"/>
        <v>3</v>
      </c>
      <c r="G115" s="36">
        <v>11</v>
      </c>
      <c r="H115">
        <v>1100011</v>
      </c>
      <c r="I115">
        <v>0.372</v>
      </c>
      <c r="T115" s="112" t="s">
        <v>211</v>
      </c>
      <c r="U115" s="116" t="str">
        <f t="shared" si="5"/>
        <v>1101011</v>
      </c>
      <c r="V115" s="113">
        <v>0.78</v>
      </c>
      <c r="W115" s="113" t="str">
        <f t="shared" si="6"/>
        <v>1101011</v>
      </c>
      <c r="X115" s="114">
        <v>1.56</v>
      </c>
      <c r="Z115">
        <f>IF(Design_Tool!$E$15,V115,X115)</f>
        <v>0.78</v>
      </c>
      <c r="AA115" s="113" t="s">
        <v>435</v>
      </c>
    </row>
    <row r="116" spans="2:27" ht="44.25" customHeight="1" thickBot="1">
      <c r="B116" s="149"/>
      <c r="C116" s="148" t="s">
        <v>631</v>
      </c>
      <c r="D116" s="141">
        <v>1100100</v>
      </c>
      <c r="E116" s="20"/>
      <c r="F116">
        <f t="shared" si="7"/>
        <v>4</v>
      </c>
      <c r="G116" s="36">
        <v>100</v>
      </c>
      <c r="H116">
        <v>1100100</v>
      </c>
      <c r="I116">
        <v>0.47799999999999998</v>
      </c>
      <c r="T116" s="112" t="s">
        <v>212</v>
      </c>
      <c r="U116" s="116" t="str">
        <f t="shared" si="5"/>
        <v>1101100</v>
      </c>
      <c r="V116" s="113">
        <v>0.78500000000000003</v>
      </c>
      <c r="W116" s="113" t="str">
        <f t="shared" si="6"/>
        <v>1101100</v>
      </c>
      <c r="X116" s="114">
        <v>1.57</v>
      </c>
      <c r="Z116">
        <f>IF(Design_Tool!$E$15,V116,X116)</f>
        <v>0.78500000000000003</v>
      </c>
      <c r="AA116" s="113" t="s">
        <v>436</v>
      </c>
    </row>
    <row r="117" spans="2:27" ht="28.5" thickBot="1">
      <c r="B117" s="149"/>
      <c r="C117" s="148" t="s">
        <v>632</v>
      </c>
      <c r="D117" s="141">
        <v>1100101</v>
      </c>
      <c r="E117" s="20"/>
      <c r="F117">
        <f t="shared" si="7"/>
        <v>5</v>
      </c>
      <c r="G117" s="36">
        <v>101</v>
      </c>
      <c r="H117">
        <v>1100101</v>
      </c>
      <c r="I117">
        <v>0.58399999999999996</v>
      </c>
      <c r="T117" s="112" t="s">
        <v>213</v>
      </c>
      <c r="U117" s="116" t="str">
        <f t="shared" si="5"/>
        <v>1101101</v>
      </c>
      <c r="V117" s="113">
        <v>0.79</v>
      </c>
      <c r="W117" s="113" t="str">
        <f t="shared" si="6"/>
        <v>1101101</v>
      </c>
      <c r="X117" s="114">
        <v>1.58</v>
      </c>
      <c r="Z117">
        <f>IF(Design_Tool!$E$15,V117,X117)</f>
        <v>0.79</v>
      </c>
      <c r="AA117" s="113" t="s">
        <v>437</v>
      </c>
    </row>
    <row r="118" spans="2:27" ht="28.5" thickBot="1">
      <c r="B118" s="149"/>
      <c r="C118" s="148" t="s">
        <v>633</v>
      </c>
      <c r="D118" s="141">
        <v>1100110</v>
      </c>
      <c r="E118" s="20"/>
      <c r="F118">
        <f t="shared" si="7"/>
        <v>6</v>
      </c>
      <c r="G118" s="36">
        <v>110</v>
      </c>
      <c r="H118">
        <v>1100110</v>
      </c>
      <c r="I118">
        <v>0.69099999999999995</v>
      </c>
      <c r="T118" s="112" t="s">
        <v>214</v>
      </c>
      <c r="U118" s="116" t="str">
        <f t="shared" si="5"/>
        <v>1101110</v>
      </c>
      <c r="V118" s="113">
        <v>0.79500000000000004</v>
      </c>
      <c r="W118" s="113" t="str">
        <f t="shared" si="6"/>
        <v>1101110</v>
      </c>
      <c r="X118" s="114">
        <v>1.59</v>
      </c>
      <c r="Z118">
        <f>IF(Design_Tool!$E$15,V118,X118)</f>
        <v>0.79500000000000004</v>
      </c>
      <c r="AA118" s="113" t="s">
        <v>438</v>
      </c>
    </row>
    <row r="119" spans="2:27" ht="28.5" thickBot="1">
      <c r="B119" s="149"/>
      <c r="C119" s="148" t="s">
        <v>634</v>
      </c>
      <c r="D119" s="141">
        <v>1100111</v>
      </c>
      <c r="E119" s="20"/>
      <c r="F119">
        <f t="shared" si="7"/>
        <v>7</v>
      </c>
      <c r="G119" s="36">
        <v>111</v>
      </c>
      <c r="H119">
        <v>1100111</v>
      </c>
      <c r="I119">
        <v>0.79700000000000004</v>
      </c>
      <c r="T119" s="112" t="s">
        <v>215</v>
      </c>
      <c r="U119" s="116" t="str">
        <f t="shared" si="5"/>
        <v>1101111</v>
      </c>
      <c r="V119" s="113">
        <v>0.8</v>
      </c>
      <c r="W119" s="113" t="str">
        <f t="shared" si="6"/>
        <v>1101111</v>
      </c>
      <c r="X119" s="114">
        <v>1.6</v>
      </c>
      <c r="Z119">
        <f>IF(Design_Tool!$E$15,V119,X119)</f>
        <v>0.8</v>
      </c>
      <c r="AA119" s="113" t="s">
        <v>439</v>
      </c>
    </row>
    <row r="120" spans="2:27" ht="28.5" thickBot="1">
      <c r="B120" s="149"/>
      <c r="C120" s="148" t="s">
        <v>635</v>
      </c>
      <c r="D120" s="141">
        <v>1110000</v>
      </c>
      <c r="E120" s="20"/>
      <c r="F120">
        <f t="shared" si="7"/>
        <v>8</v>
      </c>
      <c r="G120" s="36">
        <v>1000</v>
      </c>
      <c r="H120">
        <v>1110000</v>
      </c>
      <c r="I120">
        <v>0.90300000000000002</v>
      </c>
      <c r="T120" s="112">
        <v>70</v>
      </c>
      <c r="U120" s="116" t="str">
        <f t="shared" si="5"/>
        <v>1110000</v>
      </c>
      <c r="V120" s="113">
        <v>0.80500000000000005</v>
      </c>
      <c r="W120" s="113" t="str">
        <f t="shared" si="6"/>
        <v>1110000</v>
      </c>
      <c r="X120" s="114">
        <v>1.61</v>
      </c>
      <c r="Z120">
        <f>IF(Design_Tool!$E$15,V120,X120)</f>
        <v>0.80500000000000005</v>
      </c>
      <c r="AA120" s="113" t="s">
        <v>440</v>
      </c>
    </row>
    <row r="121" spans="2:27" ht="28.5" thickBot="1">
      <c r="B121" s="149"/>
      <c r="C121" s="148" t="s">
        <v>636</v>
      </c>
      <c r="D121" s="141">
        <v>1110001</v>
      </c>
      <c r="E121" s="20"/>
      <c r="F121">
        <f t="shared" si="7"/>
        <v>9</v>
      </c>
      <c r="G121" s="36">
        <v>1001</v>
      </c>
      <c r="H121">
        <v>1110001</v>
      </c>
      <c r="I121">
        <v>1.0089999999999999</v>
      </c>
      <c r="T121" s="112">
        <v>71</v>
      </c>
      <c r="U121" s="116" t="str">
        <f t="shared" si="5"/>
        <v>1110001</v>
      </c>
      <c r="V121" s="113">
        <v>0.81</v>
      </c>
      <c r="W121" s="113" t="str">
        <f t="shared" si="6"/>
        <v>1110001</v>
      </c>
      <c r="X121" s="114">
        <v>1.62</v>
      </c>
      <c r="Z121">
        <f>IF(Design_Tool!$E$15,V121,X121)</f>
        <v>0.81</v>
      </c>
      <c r="AA121" s="113" t="s">
        <v>441</v>
      </c>
    </row>
    <row r="122" spans="2:27" ht="28.5" thickBot="1">
      <c r="B122" s="149"/>
      <c r="C122" s="148" t="s">
        <v>637</v>
      </c>
      <c r="D122" s="141">
        <v>1110010</v>
      </c>
      <c r="E122" s="20"/>
      <c r="F122">
        <f t="shared" si="7"/>
        <v>10</v>
      </c>
      <c r="G122" s="36">
        <v>1010</v>
      </c>
      <c r="H122">
        <v>1110010</v>
      </c>
      <c r="I122">
        <v>1.1160000000000001</v>
      </c>
      <c r="T122" s="112">
        <v>72</v>
      </c>
      <c r="U122" s="116" t="str">
        <f t="shared" si="5"/>
        <v>1110010</v>
      </c>
      <c r="V122" s="113">
        <v>0.81499999999999995</v>
      </c>
      <c r="W122" s="113" t="str">
        <f t="shared" si="6"/>
        <v>1110010</v>
      </c>
      <c r="X122" s="114">
        <v>1.63</v>
      </c>
      <c r="Z122">
        <f>IF(Design_Tool!$E$15,V122,X122)</f>
        <v>0.81499999999999995</v>
      </c>
      <c r="AA122" s="113" t="s">
        <v>442</v>
      </c>
    </row>
    <row r="123" spans="2:27" ht="28.5" thickBot="1">
      <c r="B123" s="149"/>
      <c r="C123" s="148" t="s">
        <v>638</v>
      </c>
      <c r="D123" s="141">
        <v>1110011</v>
      </c>
      <c r="E123" s="20"/>
      <c r="F123">
        <f t="shared" si="7"/>
        <v>11</v>
      </c>
      <c r="G123" s="34">
        <v>1011</v>
      </c>
      <c r="H123">
        <v>1110011</v>
      </c>
      <c r="I123">
        <v>1.222</v>
      </c>
      <c r="T123" s="112">
        <v>73</v>
      </c>
      <c r="U123" s="116" t="str">
        <f t="shared" si="5"/>
        <v>1110011</v>
      </c>
      <c r="V123" s="113">
        <v>0.82</v>
      </c>
      <c r="W123" s="113" t="str">
        <f t="shared" si="6"/>
        <v>1110011</v>
      </c>
      <c r="X123" s="114">
        <v>1.64</v>
      </c>
      <c r="Z123">
        <f>IF(Design_Tool!$E$15,V123,X123)</f>
        <v>0.82</v>
      </c>
      <c r="AA123" s="113" t="s">
        <v>443</v>
      </c>
    </row>
    <row r="124" spans="2:27" ht="21.75" customHeight="1" thickBot="1">
      <c r="B124" s="149"/>
      <c r="C124" s="148" t="s">
        <v>639</v>
      </c>
      <c r="D124" s="141">
        <v>1110100</v>
      </c>
      <c r="E124" s="20"/>
      <c r="F124">
        <f t="shared" si="7"/>
        <v>12</v>
      </c>
      <c r="G124" s="34">
        <v>1100</v>
      </c>
      <c r="H124">
        <v>1110100</v>
      </c>
      <c r="I124">
        <v>1.3280000000000001</v>
      </c>
      <c r="T124" s="112">
        <v>74</v>
      </c>
      <c r="U124" s="116" t="str">
        <f t="shared" si="5"/>
        <v>1110100</v>
      </c>
      <c r="V124" s="113">
        <v>0.82499999999999996</v>
      </c>
      <c r="W124" s="113" t="str">
        <f t="shared" si="6"/>
        <v>1110100</v>
      </c>
      <c r="X124" s="114">
        <v>1.65</v>
      </c>
      <c r="Z124">
        <f>IF(Design_Tool!$E$15,V124,X124)</f>
        <v>0.82499999999999996</v>
      </c>
      <c r="AA124" s="113" t="s">
        <v>444</v>
      </c>
    </row>
    <row r="125" spans="2:27" ht="28.5" thickBot="1">
      <c r="B125" s="149"/>
      <c r="C125" s="148" t="s">
        <v>640</v>
      </c>
      <c r="D125" s="141">
        <v>1110101</v>
      </c>
      <c r="E125" s="20"/>
      <c r="F125">
        <f t="shared" si="7"/>
        <v>13</v>
      </c>
      <c r="G125" s="34">
        <v>1101</v>
      </c>
      <c r="H125">
        <v>1110101</v>
      </c>
      <c r="I125">
        <v>1.4339999999999999</v>
      </c>
      <c r="T125" s="112">
        <v>75</v>
      </c>
      <c r="U125" s="116" t="str">
        <f t="shared" si="5"/>
        <v>1110101</v>
      </c>
      <c r="V125" s="113">
        <v>0.83</v>
      </c>
      <c r="W125" s="113" t="str">
        <f t="shared" si="6"/>
        <v>1110101</v>
      </c>
      <c r="X125" s="114">
        <v>1.66</v>
      </c>
      <c r="Z125">
        <f>IF(Design_Tool!$E$15,V125,X125)</f>
        <v>0.83</v>
      </c>
      <c r="AA125" s="113" t="s">
        <v>445</v>
      </c>
    </row>
    <row r="126" spans="2:27" ht="29.25" customHeight="1" thickBot="1">
      <c r="B126" s="149"/>
      <c r="C126" s="148" t="s">
        <v>641</v>
      </c>
      <c r="D126" s="141">
        <v>1110110</v>
      </c>
      <c r="E126" s="20"/>
      <c r="F126">
        <f t="shared" si="7"/>
        <v>14</v>
      </c>
      <c r="G126" s="34">
        <v>1110</v>
      </c>
      <c r="H126">
        <v>1110110</v>
      </c>
      <c r="I126">
        <v>1.5409999999999999</v>
      </c>
      <c r="J126" s="12"/>
      <c r="T126" s="112">
        <v>76</v>
      </c>
      <c r="U126" s="116" t="str">
        <f t="shared" si="5"/>
        <v>1110110</v>
      </c>
      <c r="V126" s="113">
        <v>0.83499999999999996</v>
      </c>
      <c r="W126" s="113" t="str">
        <f t="shared" si="6"/>
        <v>1110110</v>
      </c>
      <c r="X126" s="114">
        <v>1.67</v>
      </c>
      <c r="Z126">
        <f>IF(Design_Tool!$E$15,V126,X126)</f>
        <v>0.83499999999999996</v>
      </c>
      <c r="AA126" s="113" t="s">
        <v>446</v>
      </c>
    </row>
    <row r="127" spans="2:27" ht="28.5" thickBot="1">
      <c r="B127" s="147"/>
      <c r="C127" s="148" t="s">
        <v>642</v>
      </c>
      <c r="D127" s="141">
        <v>1110111</v>
      </c>
      <c r="E127" s="20"/>
      <c r="F127">
        <f t="shared" si="7"/>
        <v>15</v>
      </c>
      <c r="G127" s="34">
        <v>1111</v>
      </c>
      <c r="H127">
        <v>1110111</v>
      </c>
      <c r="I127" s="132">
        <v>1.6184000000000001</v>
      </c>
      <c r="J127" s="12"/>
      <c r="T127" s="112">
        <v>77</v>
      </c>
      <c r="U127" s="116" t="str">
        <f t="shared" si="5"/>
        <v>1110111</v>
      </c>
      <c r="V127" s="113">
        <v>0.84</v>
      </c>
      <c r="W127" s="113" t="str">
        <f t="shared" si="6"/>
        <v>1110111</v>
      </c>
      <c r="X127" s="114">
        <v>1.68</v>
      </c>
      <c r="Z127">
        <f>IF(Design_Tool!$E$15,V127,X127)</f>
        <v>0.84</v>
      </c>
      <c r="AA127" s="113" t="s">
        <v>447</v>
      </c>
    </row>
    <row r="128" spans="2:27" ht="16" thickBot="1">
      <c r="B128" s="29"/>
      <c r="T128" s="112">
        <v>78</v>
      </c>
      <c r="U128" s="116" t="str">
        <f t="shared" si="5"/>
        <v>1111000</v>
      </c>
      <c r="V128" s="113">
        <v>0.84499999999999997</v>
      </c>
      <c r="W128" s="113" t="str">
        <f t="shared" si="6"/>
        <v>1111000</v>
      </c>
      <c r="X128" s="114">
        <v>1.69</v>
      </c>
      <c r="Z128">
        <f>IF(Design_Tool!$E$15,V128,X128)</f>
        <v>0.84499999999999997</v>
      </c>
      <c r="AA128" s="113" t="s">
        <v>448</v>
      </c>
    </row>
    <row r="129" spans="2:27" ht="13.5" thickBot="1">
      <c r="T129" s="112">
        <v>79</v>
      </c>
      <c r="U129" s="116" t="str">
        <f t="shared" si="5"/>
        <v>1111001</v>
      </c>
      <c r="V129" s="113">
        <v>0.85</v>
      </c>
      <c r="W129" s="113" t="str">
        <f t="shared" si="6"/>
        <v>1111001</v>
      </c>
      <c r="X129" s="114">
        <v>1.7</v>
      </c>
      <c r="Z129">
        <f>IF(Design_Tool!$E$15,V129,X129)</f>
        <v>0.85</v>
      </c>
      <c r="AA129" s="113" t="s">
        <v>449</v>
      </c>
    </row>
    <row r="130" spans="2:27" ht="13.5" thickBot="1">
      <c r="B130" s="125" t="s">
        <v>622</v>
      </c>
      <c r="C130" s="15" t="s">
        <v>644</v>
      </c>
      <c r="D130" s="17"/>
      <c r="E130" s="17">
        <v>0</v>
      </c>
      <c r="F130">
        <v>0.2</v>
      </c>
      <c r="T130" s="112" t="s">
        <v>216</v>
      </c>
      <c r="U130" s="116" t="str">
        <f t="shared" si="5"/>
        <v>1111010</v>
      </c>
      <c r="V130" s="113">
        <v>0.85499999999999998</v>
      </c>
      <c r="W130" s="113" t="str">
        <f t="shared" si="6"/>
        <v>1111010</v>
      </c>
      <c r="X130" s="114">
        <v>1.71</v>
      </c>
      <c r="Z130">
        <f>IF(Design_Tool!$E$15,V130,X130)</f>
        <v>0.85499999999999998</v>
      </c>
      <c r="AA130" s="113" t="s">
        <v>450</v>
      </c>
    </row>
    <row r="131" spans="2:27" ht="13.5" thickBot="1">
      <c r="B131" s="150" t="s">
        <v>643</v>
      </c>
      <c r="C131" s="28" t="s">
        <v>645</v>
      </c>
      <c r="D131" s="20"/>
      <c r="E131" s="30">
        <v>1</v>
      </c>
      <c r="F131">
        <v>0.4</v>
      </c>
      <c r="T131" s="112" t="s">
        <v>217</v>
      </c>
      <c r="U131" s="116" t="str">
        <f t="shared" si="5"/>
        <v>1111011</v>
      </c>
      <c r="V131" s="113">
        <v>0.86</v>
      </c>
      <c r="W131" s="113" t="str">
        <f t="shared" si="6"/>
        <v>1111011</v>
      </c>
      <c r="X131" s="114">
        <v>1.72</v>
      </c>
      <c r="Z131">
        <f>IF(Design_Tool!$E$15,V131,X131)</f>
        <v>0.86</v>
      </c>
      <c r="AA131" s="113" t="s">
        <v>451</v>
      </c>
    </row>
    <row r="132" spans="2:27" ht="13.5" thickBot="1">
      <c r="B132" s="127"/>
      <c r="C132" s="28" t="s">
        <v>646</v>
      </c>
      <c r="D132" s="20"/>
      <c r="E132" s="30">
        <v>10</v>
      </c>
      <c r="F132">
        <v>0.6</v>
      </c>
      <c r="T132" s="112" t="s">
        <v>218</v>
      </c>
      <c r="U132" s="116" t="str">
        <f t="shared" si="5"/>
        <v>1111100</v>
      </c>
      <c r="V132" s="113">
        <v>0.86499999999999999</v>
      </c>
      <c r="W132" s="113" t="str">
        <f t="shared" si="6"/>
        <v>1111100</v>
      </c>
      <c r="X132" s="114">
        <v>1.73</v>
      </c>
      <c r="Z132">
        <f>IF(Design_Tool!$E$15,V132,X132)</f>
        <v>0.86499999999999999</v>
      </c>
      <c r="AA132" s="113" t="s">
        <v>452</v>
      </c>
    </row>
    <row r="133" spans="2:27" ht="13.5" thickBot="1">
      <c r="B133" s="127"/>
      <c r="C133" s="28" t="s">
        <v>647</v>
      </c>
      <c r="D133" s="20"/>
      <c r="E133" s="30">
        <v>11</v>
      </c>
      <c r="F133">
        <v>0.8</v>
      </c>
      <c r="T133" s="112" t="s">
        <v>219</v>
      </c>
      <c r="U133" s="116" t="str">
        <f t="shared" si="5"/>
        <v>1111101</v>
      </c>
      <c r="V133" s="113">
        <v>0.87</v>
      </c>
      <c r="W133" s="113" t="str">
        <f t="shared" si="6"/>
        <v>1111101</v>
      </c>
      <c r="X133" s="114">
        <v>1.74</v>
      </c>
      <c r="Z133">
        <f>IF(Design_Tool!$E$15,V133,X133)</f>
        <v>0.87</v>
      </c>
      <c r="AA133" s="113" t="s">
        <v>453</v>
      </c>
    </row>
    <row r="134" spans="2:27" ht="13.5" thickBot="1">
      <c r="B134" s="127"/>
      <c r="C134" s="28" t="s">
        <v>648</v>
      </c>
      <c r="D134" s="20"/>
      <c r="E134" s="30">
        <v>100</v>
      </c>
      <c r="F134">
        <v>1</v>
      </c>
      <c r="T134" s="112" t="s">
        <v>220</v>
      </c>
      <c r="U134" s="116" t="str">
        <f t="shared" si="5"/>
        <v>1111110</v>
      </c>
      <c r="V134" s="113">
        <v>0.875</v>
      </c>
      <c r="W134" s="113" t="str">
        <f t="shared" si="6"/>
        <v>1111110</v>
      </c>
      <c r="X134" s="114">
        <v>1.75</v>
      </c>
      <c r="Z134">
        <f>IF(Design_Tool!$E$15,V134,X134)</f>
        <v>0.875</v>
      </c>
      <c r="AA134" s="113" t="s">
        <v>454</v>
      </c>
    </row>
    <row r="135" spans="2:27" ht="13.5" thickBot="1">
      <c r="B135" s="127"/>
      <c r="C135" s="28" t="s">
        <v>649</v>
      </c>
      <c r="D135" s="20"/>
      <c r="E135" s="30">
        <v>101</v>
      </c>
      <c r="F135">
        <v>1.2</v>
      </c>
      <c r="T135" s="112" t="s">
        <v>221</v>
      </c>
      <c r="U135" s="116" t="str">
        <f t="shared" si="5"/>
        <v>1111111</v>
      </c>
      <c r="V135" s="113">
        <v>0.88</v>
      </c>
      <c r="W135" s="113" t="str">
        <f t="shared" si="6"/>
        <v>1111111</v>
      </c>
      <c r="X135" s="114">
        <v>1.76</v>
      </c>
      <c r="Z135">
        <f>IF(Design_Tool!$E$15,V135,X135)</f>
        <v>0.88</v>
      </c>
      <c r="AA135" s="113" t="s">
        <v>455</v>
      </c>
    </row>
    <row r="136" spans="2:27" ht="13.5" thickBot="1">
      <c r="B136" s="127"/>
      <c r="C136" s="28" t="s">
        <v>650</v>
      </c>
      <c r="D136" s="20"/>
      <c r="E136" s="30">
        <v>110</v>
      </c>
      <c r="F136">
        <v>1.4</v>
      </c>
      <c r="T136" s="112">
        <v>80</v>
      </c>
      <c r="U136" s="116" t="str">
        <f t="shared" si="5"/>
        <v>10000000</v>
      </c>
      <c r="V136" s="113">
        <v>0.88500000000000001</v>
      </c>
      <c r="W136" s="113" t="str">
        <f t="shared" si="6"/>
        <v>10000000</v>
      </c>
      <c r="X136" s="114">
        <v>1.77</v>
      </c>
      <c r="Z136">
        <f>IF(Design_Tool!$E$15,V136,X136)</f>
        <v>0.88500000000000001</v>
      </c>
      <c r="AA136" s="113" t="s">
        <v>456</v>
      </c>
    </row>
    <row r="137" spans="2:27" ht="13.5" thickBot="1">
      <c r="B137" s="128"/>
      <c r="C137" s="28" t="s">
        <v>651</v>
      </c>
      <c r="D137" s="20"/>
      <c r="E137" s="30">
        <v>111</v>
      </c>
      <c r="F137">
        <v>1.6</v>
      </c>
      <c r="T137" s="112">
        <v>81</v>
      </c>
      <c r="U137" s="116" t="str">
        <f t="shared" ref="U137:U200" si="8">HEX2BIN(T137)</f>
        <v>10000001</v>
      </c>
      <c r="V137" s="113">
        <v>0.89</v>
      </c>
      <c r="W137" s="113" t="str">
        <f t="shared" ref="W137:W200" si="9">U137</f>
        <v>10000001</v>
      </c>
      <c r="X137" s="114">
        <v>1.78</v>
      </c>
      <c r="Z137">
        <f>IF(Design_Tool!$E$15,V137,X137)</f>
        <v>0.89</v>
      </c>
      <c r="AA137" s="113" t="s">
        <v>457</v>
      </c>
    </row>
    <row r="138" spans="2:27" ht="25.5" thickBot="1">
      <c r="B138" s="150" t="s">
        <v>622</v>
      </c>
      <c r="C138" s="21" t="s">
        <v>654</v>
      </c>
      <c r="D138" s="20"/>
      <c r="E138" s="20">
        <v>0</v>
      </c>
      <c r="F138">
        <v>20</v>
      </c>
      <c r="H138">
        <f>IF(Design_Tool!$E$15,D146,D138)</f>
        <v>0</v>
      </c>
      <c r="T138" s="112">
        <v>82</v>
      </c>
      <c r="U138" s="116" t="str">
        <f t="shared" si="8"/>
        <v>10000010</v>
      </c>
      <c r="V138" s="113">
        <v>0.89500000000000002</v>
      </c>
      <c r="W138" s="113" t="str">
        <f t="shared" si="9"/>
        <v>10000010</v>
      </c>
      <c r="X138" s="114">
        <v>1.79</v>
      </c>
      <c r="Z138">
        <f>IF(Design_Tool!$E$15,V138,X138)</f>
        <v>0.89500000000000002</v>
      </c>
      <c r="AA138" s="113" t="s">
        <v>458</v>
      </c>
    </row>
    <row r="139" spans="2:27" ht="25.5" thickBot="1">
      <c r="B139" s="150" t="s">
        <v>669</v>
      </c>
      <c r="C139" s="18" t="s">
        <v>655</v>
      </c>
      <c r="D139" s="20"/>
      <c r="E139" s="20">
        <v>1</v>
      </c>
      <c r="F139">
        <v>24</v>
      </c>
      <c r="H139">
        <f>IF(Design_Tool!$E$15,D147,D139)</f>
        <v>0</v>
      </c>
      <c r="T139" s="112">
        <v>83</v>
      </c>
      <c r="U139" s="116" t="str">
        <f t="shared" si="8"/>
        <v>10000011</v>
      </c>
      <c r="V139" s="113">
        <v>0.9</v>
      </c>
      <c r="W139" s="113" t="str">
        <f t="shared" si="9"/>
        <v>10000011</v>
      </c>
      <c r="X139" s="114">
        <v>1.8</v>
      </c>
      <c r="Z139">
        <f>IF(Design_Tool!$E$15,V139,X139)</f>
        <v>0.9</v>
      </c>
      <c r="AA139" s="113" t="s">
        <v>459</v>
      </c>
    </row>
    <row r="140" spans="2:27" ht="25.5" thickBot="1">
      <c r="B140" s="13" t="s">
        <v>652</v>
      </c>
      <c r="C140" s="18" t="s">
        <v>656</v>
      </c>
      <c r="D140" s="20"/>
      <c r="E140" s="30">
        <v>10</v>
      </c>
      <c r="F140">
        <v>30</v>
      </c>
      <c r="H140">
        <f>IF(Design_Tool!$E$15,D148,D140)</f>
        <v>0</v>
      </c>
      <c r="T140" s="112">
        <v>84</v>
      </c>
      <c r="U140" s="116" t="str">
        <f t="shared" si="8"/>
        <v>10000100</v>
      </c>
      <c r="V140" s="113">
        <v>0.90500000000000003</v>
      </c>
      <c r="W140" s="113" t="str">
        <f t="shared" si="9"/>
        <v>10000100</v>
      </c>
      <c r="X140" s="114">
        <v>1.81</v>
      </c>
      <c r="Z140">
        <f>IF(Design_Tool!$E$15,V140,X140)</f>
        <v>0.90500000000000003</v>
      </c>
      <c r="AA140" s="113" t="s">
        <v>460</v>
      </c>
    </row>
    <row r="141" spans="2:27" ht="25.5" thickBot="1">
      <c r="B141" s="13" t="s">
        <v>653</v>
      </c>
      <c r="C141" s="18" t="s">
        <v>657</v>
      </c>
      <c r="D141" s="20"/>
      <c r="E141" s="30">
        <v>11</v>
      </c>
      <c r="F141">
        <v>39</v>
      </c>
      <c r="H141">
        <f>IF(Design_Tool!$E$15,D149,D141)</f>
        <v>0</v>
      </c>
      <c r="T141" s="112">
        <v>85</v>
      </c>
      <c r="U141" s="116" t="str">
        <f t="shared" si="8"/>
        <v>10000101</v>
      </c>
      <c r="V141" s="113">
        <v>0.91</v>
      </c>
      <c r="W141" s="113" t="str">
        <f t="shared" si="9"/>
        <v>10000101</v>
      </c>
      <c r="X141" s="114">
        <v>1.82</v>
      </c>
      <c r="Z141">
        <f>IF(Design_Tool!$E$15,V141,X141)</f>
        <v>0.91</v>
      </c>
      <c r="AA141" s="113" t="s">
        <v>461</v>
      </c>
    </row>
    <row r="142" spans="2:27" ht="25.5" thickBot="1">
      <c r="B142" s="13"/>
      <c r="C142" s="21" t="s">
        <v>658</v>
      </c>
      <c r="D142" s="20"/>
      <c r="E142" s="30">
        <v>100</v>
      </c>
      <c r="F142">
        <v>56</v>
      </c>
      <c r="H142">
        <f>IF(Design_Tool!$E$15,D150,D142)</f>
        <v>0</v>
      </c>
      <c r="T142" s="112">
        <v>86</v>
      </c>
      <c r="U142" s="116" t="str">
        <f t="shared" si="8"/>
        <v>10000110</v>
      </c>
      <c r="V142" s="113">
        <v>0.91500000000000004</v>
      </c>
      <c r="W142" s="113" t="str">
        <f t="shared" si="9"/>
        <v>10000110</v>
      </c>
      <c r="X142" s="114">
        <v>1.83</v>
      </c>
      <c r="Z142">
        <f>IF(Design_Tool!$E$15,V142,X142)</f>
        <v>0.91500000000000004</v>
      </c>
      <c r="AA142" s="113" t="s">
        <v>462</v>
      </c>
    </row>
    <row r="143" spans="2:27" ht="25.5" thickBot="1">
      <c r="B143" s="13"/>
      <c r="C143" s="18" t="s">
        <v>659</v>
      </c>
      <c r="D143" s="20"/>
      <c r="E143" s="30">
        <v>101</v>
      </c>
      <c r="F143">
        <v>75</v>
      </c>
      <c r="H143">
        <f>IF(Design_Tool!$E$15,D151,D143)</f>
        <v>0</v>
      </c>
      <c r="T143" s="112">
        <v>87</v>
      </c>
      <c r="U143" s="116" t="str">
        <f t="shared" si="8"/>
        <v>10000111</v>
      </c>
      <c r="V143" s="113">
        <v>0.92</v>
      </c>
      <c r="W143" s="113" t="str">
        <f t="shared" si="9"/>
        <v>10000111</v>
      </c>
      <c r="X143" s="114">
        <v>1.84</v>
      </c>
      <c r="Z143">
        <f>IF(Design_Tool!$E$15,V143,X143)</f>
        <v>0.92</v>
      </c>
      <c r="AA143" s="113" t="s">
        <v>463</v>
      </c>
    </row>
    <row r="144" spans="2:27" ht="16.5" customHeight="1" thickBot="1">
      <c r="B144" s="13"/>
      <c r="C144" s="18" t="s">
        <v>660</v>
      </c>
      <c r="D144" s="20"/>
      <c r="E144" s="30">
        <v>110</v>
      </c>
      <c r="F144">
        <v>100</v>
      </c>
      <c r="H144">
        <f>IF(Design_Tool!$E$15,D152,D144)</f>
        <v>0</v>
      </c>
      <c r="T144" s="112">
        <v>88</v>
      </c>
      <c r="U144" s="116" t="str">
        <f t="shared" si="8"/>
        <v>10001000</v>
      </c>
      <c r="V144" s="113">
        <v>0.92500000000000004</v>
      </c>
      <c r="W144" s="113" t="str">
        <f t="shared" si="9"/>
        <v>10001000</v>
      </c>
      <c r="X144" s="114">
        <v>1.85</v>
      </c>
      <c r="Z144">
        <f>IF(Design_Tool!$E$15,V144,X144)</f>
        <v>0.92500000000000004</v>
      </c>
      <c r="AA144" s="113" t="s">
        <v>464</v>
      </c>
    </row>
    <row r="145" spans="2:27" ht="25.5" thickBot="1">
      <c r="B145" s="13"/>
      <c r="C145" s="18" t="s">
        <v>661</v>
      </c>
      <c r="D145" s="20"/>
      <c r="E145" s="30">
        <v>111</v>
      </c>
      <c r="F145">
        <v>150</v>
      </c>
      <c r="H145">
        <f>IF(Design_Tool!$E$15,D153,D145)</f>
        <v>0</v>
      </c>
      <c r="T145" s="112">
        <v>89</v>
      </c>
      <c r="U145" s="116" t="str">
        <f t="shared" si="8"/>
        <v>10001001</v>
      </c>
      <c r="V145" s="113">
        <v>0.93</v>
      </c>
      <c r="W145" s="113" t="str">
        <f t="shared" si="9"/>
        <v>10001001</v>
      </c>
      <c r="X145" s="114">
        <v>1.86</v>
      </c>
      <c r="Z145">
        <f>IF(Design_Tool!$E$15,V145,X145)</f>
        <v>0.93</v>
      </c>
      <c r="AA145" s="113" t="s">
        <v>465</v>
      </c>
    </row>
    <row r="146" spans="2:27" ht="25.5" thickBot="1">
      <c r="B146" s="130"/>
      <c r="C146" s="21" t="s">
        <v>662</v>
      </c>
      <c r="D146" s="20"/>
      <c r="E146" s="20">
        <v>1000</v>
      </c>
      <c r="F146">
        <v>20</v>
      </c>
      <c r="T146" s="112" t="s">
        <v>222</v>
      </c>
      <c r="U146" s="116" t="str">
        <f t="shared" si="8"/>
        <v>10001010</v>
      </c>
      <c r="V146" s="113">
        <v>0.93500000000000005</v>
      </c>
      <c r="W146" s="113" t="str">
        <f t="shared" si="9"/>
        <v>10001010</v>
      </c>
      <c r="X146" s="114">
        <v>1.87</v>
      </c>
      <c r="Z146">
        <f>IF(Design_Tool!$E$15,V146,X146)</f>
        <v>0.93500000000000005</v>
      </c>
      <c r="AA146" s="113" t="s">
        <v>466</v>
      </c>
    </row>
    <row r="147" spans="2:27" ht="25.5" thickBot="1">
      <c r="B147" s="130"/>
      <c r="C147" s="18" t="s">
        <v>663</v>
      </c>
      <c r="D147" s="20"/>
      <c r="E147" s="20">
        <v>1001</v>
      </c>
      <c r="F147">
        <v>24</v>
      </c>
      <c r="T147" s="112" t="s">
        <v>223</v>
      </c>
      <c r="U147" s="116" t="str">
        <f t="shared" si="8"/>
        <v>10001011</v>
      </c>
      <c r="V147" s="113">
        <v>0.94</v>
      </c>
      <c r="W147" s="113" t="str">
        <f t="shared" si="9"/>
        <v>10001011</v>
      </c>
      <c r="X147" s="114">
        <v>1.88</v>
      </c>
      <c r="Z147">
        <f>IF(Design_Tool!$E$15,V147,X147)</f>
        <v>0.94</v>
      </c>
      <c r="AA147" s="113" t="s">
        <v>467</v>
      </c>
    </row>
    <row r="148" spans="2:27" ht="25.5" thickBot="1">
      <c r="B148" s="13"/>
      <c r="C148" s="18" t="s">
        <v>664</v>
      </c>
      <c r="D148" s="20"/>
      <c r="E148" s="30">
        <v>1010</v>
      </c>
      <c r="F148">
        <v>30</v>
      </c>
      <c r="T148" s="112" t="s">
        <v>224</v>
      </c>
      <c r="U148" s="116" t="str">
        <f t="shared" si="8"/>
        <v>10001100</v>
      </c>
      <c r="V148" s="113">
        <v>0.94499999999999995</v>
      </c>
      <c r="W148" s="113" t="str">
        <f t="shared" si="9"/>
        <v>10001100</v>
      </c>
      <c r="X148" s="114">
        <v>1.89</v>
      </c>
      <c r="Z148">
        <f>IF(Design_Tool!$E$15,V148,X148)</f>
        <v>0.94499999999999995</v>
      </c>
      <c r="AA148" s="113" t="s">
        <v>468</v>
      </c>
    </row>
    <row r="149" spans="2:27" ht="25.5" thickBot="1">
      <c r="B149" s="13"/>
      <c r="C149" s="18" t="s">
        <v>665</v>
      </c>
      <c r="D149" s="20"/>
      <c r="E149" s="30">
        <v>1011</v>
      </c>
      <c r="F149">
        <v>39</v>
      </c>
      <c r="T149" s="112" t="s">
        <v>225</v>
      </c>
      <c r="U149" s="116" t="str">
        <f t="shared" si="8"/>
        <v>10001101</v>
      </c>
      <c r="V149" s="113">
        <v>0.95</v>
      </c>
      <c r="W149" s="113" t="str">
        <f t="shared" si="9"/>
        <v>10001101</v>
      </c>
      <c r="X149" s="114">
        <v>1.9</v>
      </c>
      <c r="Z149">
        <f>IF(Design_Tool!$E$15,V149,X149)</f>
        <v>0.95</v>
      </c>
      <c r="AA149" s="113" t="s">
        <v>469</v>
      </c>
    </row>
    <row r="150" spans="2:27" ht="25.5" thickBot="1">
      <c r="B150" s="13"/>
      <c r="C150" s="21" t="s">
        <v>666</v>
      </c>
      <c r="D150" s="20"/>
      <c r="E150" s="30">
        <v>1100</v>
      </c>
      <c r="F150">
        <v>56</v>
      </c>
      <c r="T150" s="112" t="s">
        <v>226</v>
      </c>
      <c r="U150" s="116" t="str">
        <f t="shared" si="8"/>
        <v>10001110</v>
      </c>
      <c r="V150" s="113">
        <v>0.95499999999999996</v>
      </c>
      <c r="W150" s="113" t="str">
        <f t="shared" si="9"/>
        <v>10001110</v>
      </c>
      <c r="X150" s="114">
        <v>1.91</v>
      </c>
      <c r="Z150">
        <f>IF(Design_Tool!$E$15,V150,X150)</f>
        <v>0.95499999999999996</v>
      </c>
      <c r="AA150" s="113" t="s">
        <v>470</v>
      </c>
    </row>
    <row r="151" spans="2:27" ht="25.5" thickBot="1">
      <c r="B151" s="13"/>
      <c r="C151" s="18" t="s">
        <v>667</v>
      </c>
      <c r="D151" s="20"/>
      <c r="E151" s="30">
        <v>1101</v>
      </c>
      <c r="F151">
        <v>75</v>
      </c>
      <c r="T151" s="112" t="s">
        <v>227</v>
      </c>
      <c r="U151" s="116" t="str">
        <f t="shared" si="8"/>
        <v>10001111</v>
      </c>
      <c r="V151" s="113">
        <v>0.96</v>
      </c>
      <c r="W151" s="113" t="str">
        <f t="shared" si="9"/>
        <v>10001111</v>
      </c>
      <c r="X151" s="114">
        <v>1.92</v>
      </c>
      <c r="Z151">
        <f>IF(Design_Tool!$E$15,V151,X151)</f>
        <v>0.96</v>
      </c>
      <c r="AA151" s="113" t="s">
        <v>471</v>
      </c>
    </row>
    <row r="152" spans="2:27" ht="25.5" thickBot="1">
      <c r="B152" s="13"/>
      <c r="C152" s="18" t="s">
        <v>668</v>
      </c>
      <c r="D152" s="20"/>
      <c r="E152" s="30">
        <v>1110</v>
      </c>
      <c r="F152">
        <v>100</v>
      </c>
      <c r="T152" s="112">
        <v>90</v>
      </c>
      <c r="U152" s="116" t="str">
        <f t="shared" si="8"/>
        <v>10010000</v>
      </c>
      <c r="V152" s="113">
        <v>0.96499999999999997</v>
      </c>
      <c r="W152" s="113" t="str">
        <f t="shared" si="9"/>
        <v>10010000</v>
      </c>
      <c r="X152" s="114">
        <v>1.93</v>
      </c>
      <c r="Z152">
        <f>IF(Design_Tool!$E$15,V152,X152)</f>
        <v>0.96499999999999997</v>
      </c>
      <c r="AA152" s="113" t="s">
        <v>472</v>
      </c>
    </row>
    <row r="153" spans="2:27" ht="25.5" thickBot="1">
      <c r="B153" s="14"/>
      <c r="C153" s="18" t="s">
        <v>670</v>
      </c>
      <c r="D153" s="20"/>
      <c r="E153" s="30">
        <v>1111</v>
      </c>
      <c r="F153">
        <v>150</v>
      </c>
      <c r="T153" s="112">
        <v>91</v>
      </c>
      <c r="U153" s="116" t="str">
        <f t="shared" si="8"/>
        <v>10010001</v>
      </c>
      <c r="V153" s="113">
        <v>0.97</v>
      </c>
      <c r="W153" s="113" t="str">
        <f t="shared" si="9"/>
        <v>10010001</v>
      </c>
      <c r="X153" s="114">
        <v>1.94</v>
      </c>
      <c r="Z153">
        <f>IF(Design_Tool!$E$15,V153,X153)</f>
        <v>0.97</v>
      </c>
      <c r="AA153" s="113" t="s">
        <v>473</v>
      </c>
    </row>
    <row r="154" spans="2:27" ht="13.5" thickBot="1">
      <c r="T154" s="112">
        <v>92</v>
      </c>
      <c r="U154" s="116" t="str">
        <f t="shared" si="8"/>
        <v>10010010</v>
      </c>
      <c r="V154" s="113">
        <v>0.97499999999999998</v>
      </c>
      <c r="W154" s="113" t="str">
        <f t="shared" si="9"/>
        <v>10010010</v>
      </c>
      <c r="X154" s="114">
        <v>1.95</v>
      </c>
      <c r="Z154">
        <f>IF(Design_Tool!$E$15,V154,X154)</f>
        <v>0.97499999999999998</v>
      </c>
      <c r="AA154" s="113" t="s">
        <v>474</v>
      </c>
    </row>
    <row r="155" spans="2:27" ht="16" thickBot="1">
      <c r="B155" s="181" t="s">
        <v>87</v>
      </c>
      <c r="C155" s="99" t="s">
        <v>151</v>
      </c>
      <c r="D155" s="17">
        <v>40</v>
      </c>
      <c r="E155" s="17" t="s">
        <v>88</v>
      </c>
      <c r="F155">
        <v>0</v>
      </c>
      <c r="H155">
        <v>0</v>
      </c>
      <c r="I155">
        <v>0.2</v>
      </c>
      <c r="T155" s="112">
        <v>93</v>
      </c>
      <c r="U155" s="116" t="str">
        <f t="shared" si="8"/>
        <v>10010011</v>
      </c>
      <c r="V155" s="113">
        <v>0.98</v>
      </c>
      <c r="W155" s="113" t="str">
        <f t="shared" si="9"/>
        <v>10010011</v>
      </c>
      <c r="X155" s="114">
        <v>1.96</v>
      </c>
      <c r="Z155">
        <f>IF(Design_Tool!$E$15,V155,X155)</f>
        <v>0.98</v>
      </c>
      <c r="AA155" s="113" t="s">
        <v>475</v>
      </c>
    </row>
    <row r="156" spans="2:27" ht="16" thickBot="1">
      <c r="B156" s="182"/>
      <c r="C156" s="100" t="s">
        <v>152</v>
      </c>
      <c r="D156" s="20">
        <v>80</v>
      </c>
      <c r="E156" s="30" t="s">
        <v>88</v>
      </c>
      <c r="F156">
        <v>1</v>
      </c>
      <c r="H156">
        <v>1</v>
      </c>
      <c r="I156">
        <v>0.4</v>
      </c>
      <c r="T156" s="112">
        <v>94</v>
      </c>
      <c r="U156" s="116" t="str">
        <f t="shared" si="8"/>
        <v>10010100</v>
      </c>
      <c r="V156" s="113">
        <v>0.98499999999999999</v>
      </c>
      <c r="W156" s="113" t="str">
        <f t="shared" si="9"/>
        <v>10010100</v>
      </c>
      <c r="X156" s="114">
        <v>1.97</v>
      </c>
      <c r="Z156">
        <f>IF(Design_Tool!$E$15,V156,X156)</f>
        <v>0.98499999999999999</v>
      </c>
      <c r="AA156" s="113" t="s">
        <v>476</v>
      </c>
    </row>
    <row r="157" spans="2:27" ht="16" thickBot="1">
      <c r="B157" s="182"/>
      <c r="C157" s="100" t="s">
        <v>153</v>
      </c>
      <c r="D157" s="20">
        <v>150</v>
      </c>
      <c r="E157" s="30" t="s">
        <v>88</v>
      </c>
      <c r="F157">
        <v>2</v>
      </c>
      <c r="H157">
        <v>2</v>
      </c>
      <c r="I157">
        <v>0.6</v>
      </c>
      <c r="T157" s="112">
        <v>95</v>
      </c>
      <c r="U157" s="116" t="str">
        <f t="shared" si="8"/>
        <v>10010101</v>
      </c>
      <c r="V157" s="113">
        <v>0.99</v>
      </c>
      <c r="W157" s="113" t="str">
        <f t="shared" si="9"/>
        <v>10010101</v>
      </c>
      <c r="X157" s="114">
        <v>1.98</v>
      </c>
      <c r="Z157">
        <f>IF(Design_Tool!$E$15,V157,X157)</f>
        <v>0.99</v>
      </c>
      <c r="AA157" s="113" t="s">
        <v>477</v>
      </c>
    </row>
    <row r="158" spans="2:27" ht="16" thickBot="1">
      <c r="B158" s="183"/>
      <c r="C158" s="165" t="s">
        <v>154</v>
      </c>
      <c r="D158" s="20">
        <v>200</v>
      </c>
      <c r="E158" s="30" t="s">
        <v>88</v>
      </c>
      <c r="F158">
        <v>3</v>
      </c>
      <c r="H158">
        <v>3</v>
      </c>
      <c r="I158">
        <v>0.8</v>
      </c>
      <c r="T158" s="112">
        <v>96</v>
      </c>
      <c r="U158" s="116" t="str">
        <f t="shared" si="8"/>
        <v>10010110</v>
      </c>
      <c r="V158" s="113">
        <v>0.995</v>
      </c>
      <c r="W158" s="113" t="str">
        <f t="shared" si="9"/>
        <v>10010110</v>
      </c>
      <c r="X158" s="114">
        <v>1.99</v>
      </c>
      <c r="Z158">
        <f>IF(Design_Tool!$E$15,V158,X158)</f>
        <v>0.995</v>
      </c>
      <c r="AA158" s="113" t="s">
        <v>478</v>
      </c>
    </row>
    <row r="159" spans="2:27" ht="13.5" thickBot="1">
      <c r="H159">
        <v>4</v>
      </c>
      <c r="I159">
        <v>1</v>
      </c>
      <c r="T159" s="112">
        <v>97</v>
      </c>
      <c r="U159" s="116" t="str">
        <f t="shared" si="8"/>
        <v>10010111</v>
      </c>
      <c r="V159" s="113">
        <v>1</v>
      </c>
      <c r="W159" s="113" t="str">
        <f t="shared" si="9"/>
        <v>10010111</v>
      </c>
      <c r="X159" s="114">
        <v>2</v>
      </c>
      <c r="Z159">
        <f>IF(Design_Tool!$E$15,V159,X159)</f>
        <v>1</v>
      </c>
      <c r="AA159" s="113" t="s">
        <v>479</v>
      </c>
    </row>
    <row r="160" spans="2:27" ht="13.5" thickBot="1">
      <c r="F160" s="12" t="s">
        <v>155</v>
      </c>
      <c r="G160">
        <v>20</v>
      </c>
      <c r="H160">
        <v>5</v>
      </c>
      <c r="I160">
        <v>1.2</v>
      </c>
      <c r="T160" s="112">
        <v>98</v>
      </c>
      <c r="U160" s="116" t="str">
        <f t="shared" si="8"/>
        <v>10011000</v>
      </c>
      <c r="V160" s="113">
        <v>1.0049999999999999</v>
      </c>
      <c r="W160" s="113" t="str">
        <f t="shared" si="9"/>
        <v>10011000</v>
      </c>
      <c r="X160" s="114">
        <v>2.0099999999999998</v>
      </c>
      <c r="Z160">
        <f>IF(Design_Tool!$E$15,V160,X160)</f>
        <v>1.0049999999999999</v>
      </c>
      <c r="AA160" s="113" t="s">
        <v>480</v>
      </c>
    </row>
    <row r="161" spans="6:27" ht="13.5" thickBot="1">
      <c r="F161" s="12" t="s">
        <v>156</v>
      </c>
      <c r="G161">
        <v>100</v>
      </c>
      <c r="H161">
        <v>6</v>
      </c>
      <c r="I161">
        <v>1.4</v>
      </c>
      <c r="T161" s="112">
        <v>99</v>
      </c>
      <c r="U161" s="116" t="str">
        <f t="shared" si="8"/>
        <v>10011001</v>
      </c>
      <c r="V161" s="113">
        <v>1.01</v>
      </c>
      <c r="W161" s="113" t="str">
        <f t="shared" si="9"/>
        <v>10011001</v>
      </c>
      <c r="X161" s="114">
        <v>2.02</v>
      </c>
      <c r="Z161">
        <f>IF(Design_Tool!$E$15,V161,X161)</f>
        <v>1.01</v>
      </c>
      <c r="AA161" s="113" t="s">
        <v>481</v>
      </c>
    </row>
    <row r="162" spans="6:27" ht="13.5" thickBot="1">
      <c r="H162">
        <v>7</v>
      </c>
      <c r="I162">
        <v>1.6</v>
      </c>
      <c r="T162" s="112" t="s">
        <v>228</v>
      </c>
      <c r="U162" s="116" t="str">
        <f t="shared" si="8"/>
        <v>10011010</v>
      </c>
      <c r="V162" s="113">
        <v>1.0149999999999999</v>
      </c>
      <c r="W162" s="113" t="str">
        <f t="shared" si="9"/>
        <v>10011010</v>
      </c>
      <c r="X162" s="114">
        <v>2.0299999999999998</v>
      </c>
      <c r="Z162">
        <f>IF(Design_Tool!$E$15,V162,X162)</f>
        <v>1.0149999999999999</v>
      </c>
      <c r="AA162" s="113" t="s">
        <v>482</v>
      </c>
    </row>
    <row r="163" spans="6:27" ht="13.5" thickBot="1">
      <c r="T163" s="112" t="s">
        <v>229</v>
      </c>
      <c r="U163" s="116" t="str">
        <f t="shared" si="8"/>
        <v>10011011</v>
      </c>
      <c r="V163" s="113">
        <v>1.02</v>
      </c>
      <c r="W163" s="113" t="str">
        <f t="shared" si="9"/>
        <v>10011011</v>
      </c>
      <c r="X163" s="114">
        <v>2.04</v>
      </c>
      <c r="Z163">
        <f>IF(Design_Tool!$E$15,V163,X163)</f>
        <v>1.02</v>
      </c>
      <c r="AA163" s="113" t="s">
        <v>483</v>
      </c>
    </row>
    <row r="164" spans="6:27" ht="13.5" thickBot="1">
      <c r="T164" s="112" t="s">
        <v>230</v>
      </c>
      <c r="U164" s="116" t="str">
        <f t="shared" si="8"/>
        <v>10011100</v>
      </c>
      <c r="V164" s="113">
        <v>1.0249999999999999</v>
      </c>
      <c r="W164" s="113" t="str">
        <f t="shared" si="9"/>
        <v>10011100</v>
      </c>
      <c r="X164" s="114">
        <v>2.0499999999999998</v>
      </c>
      <c r="Z164">
        <f>IF(Design_Tool!$E$15,V164,X164)</f>
        <v>1.0249999999999999</v>
      </c>
      <c r="AA164" s="113" t="s">
        <v>484</v>
      </c>
    </row>
    <row r="165" spans="6:27" ht="13.5" thickBot="1">
      <c r="T165" s="112" t="s">
        <v>231</v>
      </c>
      <c r="U165" s="116" t="str">
        <f t="shared" si="8"/>
        <v>10011101</v>
      </c>
      <c r="V165" s="113">
        <v>1.03</v>
      </c>
      <c r="W165" s="113" t="str">
        <f t="shared" si="9"/>
        <v>10011101</v>
      </c>
      <c r="X165" s="114">
        <v>2.06</v>
      </c>
      <c r="Z165">
        <f>IF(Design_Tool!$E$15,V165,X165)</f>
        <v>1.03</v>
      </c>
      <c r="AA165" s="113" t="s">
        <v>485</v>
      </c>
    </row>
    <row r="166" spans="6:27" ht="13.5" thickBot="1">
      <c r="T166" s="112" t="s">
        <v>232</v>
      </c>
      <c r="U166" s="116" t="str">
        <f t="shared" si="8"/>
        <v>10011110</v>
      </c>
      <c r="V166" s="113">
        <v>1.0349999999999999</v>
      </c>
      <c r="W166" s="113" t="str">
        <f t="shared" si="9"/>
        <v>10011110</v>
      </c>
      <c r="X166" s="114">
        <v>2.0699999999999998</v>
      </c>
      <c r="Z166">
        <f>IF(Design_Tool!$E$15,V166,X166)</f>
        <v>1.0349999999999999</v>
      </c>
      <c r="AA166" s="113" t="s">
        <v>486</v>
      </c>
    </row>
    <row r="167" spans="6:27" ht="13.5" thickBot="1">
      <c r="T167" s="112" t="s">
        <v>233</v>
      </c>
      <c r="U167" s="116" t="str">
        <f t="shared" si="8"/>
        <v>10011111</v>
      </c>
      <c r="V167" s="113">
        <v>1.04</v>
      </c>
      <c r="W167" s="113" t="str">
        <f t="shared" si="9"/>
        <v>10011111</v>
      </c>
      <c r="X167" s="114">
        <v>2.08</v>
      </c>
      <c r="Z167">
        <f>IF(Design_Tool!$E$15,V167,X167)</f>
        <v>1.04</v>
      </c>
      <c r="AA167" s="113" t="s">
        <v>487</v>
      </c>
    </row>
    <row r="168" spans="6:27" ht="13.5" thickBot="1">
      <c r="T168" s="112" t="s">
        <v>234</v>
      </c>
      <c r="U168" s="116" t="str">
        <f t="shared" si="8"/>
        <v>10100000</v>
      </c>
      <c r="V168" s="113">
        <v>1.0449999999999999</v>
      </c>
      <c r="W168" s="113" t="str">
        <f t="shared" si="9"/>
        <v>10100000</v>
      </c>
      <c r="X168" s="114">
        <v>2.09</v>
      </c>
      <c r="Z168">
        <f>IF(Design_Tool!$E$15,V168,X168)</f>
        <v>1.0449999999999999</v>
      </c>
      <c r="AA168" s="113" t="s">
        <v>488</v>
      </c>
    </row>
    <row r="169" spans="6:27" ht="13.5" thickBot="1">
      <c r="T169" s="112" t="s">
        <v>235</v>
      </c>
      <c r="U169" s="116" t="str">
        <f t="shared" si="8"/>
        <v>10100001</v>
      </c>
      <c r="V169" s="113">
        <v>1.05</v>
      </c>
      <c r="W169" s="113" t="str">
        <f t="shared" si="9"/>
        <v>10100001</v>
      </c>
      <c r="X169" s="114">
        <v>2.1</v>
      </c>
      <c r="Z169">
        <f>IF(Design_Tool!$E$15,V169,X169)</f>
        <v>1.05</v>
      </c>
      <c r="AA169" s="113" t="s">
        <v>489</v>
      </c>
    </row>
    <row r="170" spans="6:27" ht="13.5" thickBot="1">
      <c r="T170" s="112" t="s">
        <v>236</v>
      </c>
      <c r="U170" s="116" t="str">
        <f t="shared" si="8"/>
        <v>10100010</v>
      </c>
      <c r="V170" s="113">
        <v>1.0549999999999999</v>
      </c>
      <c r="W170" s="113" t="str">
        <f t="shared" si="9"/>
        <v>10100010</v>
      </c>
      <c r="X170" s="114">
        <v>2.11</v>
      </c>
      <c r="Z170">
        <f>IF(Design_Tool!$E$15,V170,X170)</f>
        <v>1.0549999999999999</v>
      </c>
      <c r="AA170" s="113" t="s">
        <v>490</v>
      </c>
    </row>
    <row r="171" spans="6:27" ht="13.5" thickBot="1">
      <c r="T171" s="112" t="s">
        <v>237</v>
      </c>
      <c r="U171" s="116" t="str">
        <f t="shared" si="8"/>
        <v>10100011</v>
      </c>
      <c r="V171" s="113">
        <v>1.06</v>
      </c>
      <c r="W171" s="113" t="str">
        <f t="shared" si="9"/>
        <v>10100011</v>
      </c>
      <c r="X171" s="114">
        <v>2.12</v>
      </c>
      <c r="Z171">
        <f>IF(Design_Tool!$E$15,V171,X171)</f>
        <v>1.06</v>
      </c>
      <c r="AA171" s="113" t="s">
        <v>491</v>
      </c>
    </row>
    <row r="172" spans="6:27" ht="13.5" thickBot="1">
      <c r="T172" s="112" t="s">
        <v>238</v>
      </c>
      <c r="U172" s="116" t="str">
        <f t="shared" si="8"/>
        <v>10100100</v>
      </c>
      <c r="V172" s="113">
        <v>1.0649999999999999</v>
      </c>
      <c r="W172" s="113" t="str">
        <f t="shared" si="9"/>
        <v>10100100</v>
      </c>
      <c r="X172" s="114">
        <v>2.13</v>
      </c>
      <c r="Z172">
        <f>IF(Design_Tool!$E$15,V172,X172)</f>
        <v>1.0649999999999999</v>
      </c>
      <c r="AA172" s="113" t="s">
        <v>492</v>
      </c>
    </row>
    <row r="173" spans="6:27" ht="13.5" thickBot="1">
      <c r="T173" s="112" t="s">
        <v>239</v>
      </c>
      <c r="U173" s="116" t="str">
        <f t="shared" si="8"/>
        <v>10100101</v>
      </c>
      <c r="V173" s="113">
        <v>1.07</v>
      </c>
      <c r="W173" s="113" t="str">
        <f t="shared" si="9"/>
        <v>10100101</v>
      </c>
      <c r="X173" s="114">
        <v>2.14</v>
      </c>
      <c r="Z173">
        <f>IF(Design_Tool!$E$15,V173,X173)</f>
        <v>1.07</v>
      </c>
      <c r="AA173" s="113" t="s">
        <v>493</v>
      </c>
    </row>
    <row r="174" spans="6:27" ht="13.5" thickBot="1">
      <c r="T174" s="112" t="s">
        <v>240</v>
      </c>
      <c r="U174" s="116" t="str">
        <f t="shared" si="8"/>
        <v>10100110</v>
      </c>
      <c r="V174" s="113">
        <v>1.075</v>
      </c>
      <c r="W174" s="113" t="str">
        <f t="shared" si="9"/>
        <v>10100110</v>
      </c>
      <c r="X174" s="114">
        <v>2.15</v>
      </c>
      <c r="Z174">
        <f>IF(Design_Tool!$E$15,V174,X174)</f>
        <v>1.075</v>
      </c>
      <c r="AA174" s="113" t="s">
        <v>494</v>
      </c>
    </row>
    <row r="175" spans="6:27" ht="13.5" thickBot="1">
      <c r="T175" s="112" t="s">
        <v>241</v>
      </c>
      <c r="U175" s="116" t="str">
        <f t="shared" si="8"/>
        <v>10100111</v>
      </c>
      <c r="V175" s="113">
        <v>1.08</v>
      </c>
      <c r="W175" s="113" t="str">
        <f t="shared" si="9"/>
        <v>10100111</v>
      </c>
      <c r="X175" s="114">
        <v>2.16</v>
      </c>
      <c r="Z175">
        <f>IF(Design_Tool!$E$15,V175,X175)</f>
        <v>1.08</v>
      </c>
      <c r="AA175" s="113" t="s">
        <v>495</v>
      </c>
    </row>
    <row r="176" spans="6:27" ht="13.5" thickBot="1">
      <c r="T176" s="112" t="s">
        <v>242</v>
      </c>
      <c r="U176" s="116" t="str">
        <f t="shared" si="8"/>
        <v>10101000</v>
      </c>
      <c r="V176" s="113">
        <v>1.085</v>
      </c>
      <c r="W176" s="113" t="str">
        <f t="shared" si="9"/>
        <v>10101000</v>
      </c>
      <c r="X176" s="114">
        <v>2.17</v>
      </c>
      <c r="Z176">
        <f>IF(Design_Tool!$E$15,V176,X176)</f>
        <v>1.085</v>
      </c>
      <c r="AA176" s="113" t="s">
        <v>496</v>
      </c>
    </row>
    <row r="177" spans="20:27" ht="13.5" thickBot="1">
      <c r="T177" s="112" t="s">
        <v>243</v>
      </c>
      <c r="U177" s="116" t="str">
        <f t="shared" si="8"/>
        <v>10101001</v>
      </c>
      <c r="V177" s="113">
        <v>1.0900000000000001</v>
      </c>
      <c r="W177" s="113" t="str">
        <f t="shared" si="9"/>
        <v>10101001</v>
      </c>
      <c r="X177" s="114">
        <v>2.1800000000000002</v>
      </c>
      <c r="Z177">
        <f>IF(Design_Tool!$E$15,V177,X177)</f>
        <v>1.0900000000000001</v>
      </c>
      <c r="AA177" s="113" t="s">
        <v>497</v>
      </c>
    </row>
    <row r="178" spans="20:27" ht="13.5" thickBot="1">
      <c r="T178" s="112" t="s">
        <v>244</v>
      </c>
      <c r="U178" s="116" t="str">
        <f t="shared" si="8"/>
        <v>10101010</v>
      </c>
      <c r="V178" s="113">
        <v>1.095</v>
      </c>
      <c r="W178" s="113" t="str">
        <f t="shared" si="9"/>
        <v>10101010</v>
      </c>
      <c r="X178" s="114">
        <v>2.19</v>
      </c>
      <c r="Z178">
        <f>IF(Design_Tool!$E$15,V178,X178)</f>
        <v>1.095</v>
      </c>
      <c r="AA178" s="113" t="s">
        <v>498</v>
      </c>
    </row>
    <row r="179" spans="20:27" ht="13.5" thickBot="1">
      <c r="T179" s="112" t="s">
        <v>245</v>
      </c>
      <c r="U179" s="116" t="str">
        <f t="shared" si="8"/>
        <v>10101011</v>
      </c>
      <c r="V179" s="113">
        <v>1.1000000000000001</v>
      </c>
      <c r="W179" s="113" t="str">
        <f t="shared" si="9"/>
        <v>10101011</v>
      </c>
      <c r="X179" s="114">
        <v>2.2000000000000002</v>
      </c>
      <c r="Z179">
        <f>IF(Design_Tool!$E$15,V179,X179)</f>
        <v>1.1000000000000001</v>
      </c>
      <c r="AA179" s="113" t="s">
        <v>499</v>
      </c>
    </row>
    <row r="180" spans="20:27" ht="13.5" thickBot="1">
      <c r="T180" s="112" t="s">
        <v>246</v>
      </c>
      <c r="U180" s="116" t="str">
        <f t="shared" si="8"/>
        <v>10101100</v>
      </c>
      <c r="V180" s="113">
        <v>1.105</v>
      </c>
      <c r="W180" s="113" t="str">
        <f t="shared" si="9"/>
        <v>10101100</v>
      </c>
      <c r="X180" s="114">
        <v>2.21</v>
      </c>
      <c r="Z180">
        <f>IF(Design_Tool!$E$15,V180,X180)</f>
        <v>1.105</v>
      </c>
      <c r="AA180" s="113" t="s">
        <v>500</v>
      </c>
    </row>
    <row r="181" spans="20:27" ht="13.5" thickBot="1">
      <c r="T181" s="112" t="s">
        <v>247</v>
      </c>
      <c r="U181" s="116" t="str">
        <f t="shared" si="8"/>
        <v>10101101</v>
      </c>
      <c r="V181" s="113">
        <v>1.1100000000000001</v>
      </c>
      <c r="W181" s="113" t="str">
        <f t="shared" si="9"/>
        <v>10101101</v>
      </c>
      <c r="X181" s="114">
        <v>2.2200000000000002</v>
      </c>
      <c r="Z181">
        <f>IF(Design_Tool!$E$15,V181,X181)</f>
        <v>1.1100000000000001</v>
      </c>
      <c r="AA181" s="113" t="s">
        <v>501</v>
      </c>
    </row>
    <row r="182" spans="20:27" ht="13.5" thickBot="1">
      <c r="T182" s="112" t="s">
        <v>248</v>
      </c>
      <c r="U182" s="116" t="str">
        <f t="shared" si="8"/>
        <v>10101110</v>
      </c>
      <c r="V182" s="113">
        <v>1.115</v>
      </c>
      <c r="W182" s="113" t="str">
        <f t="shared" si="9"/>
        <v>10101110</v>
      </c>
      <c r="X182" s="114">
        <v>2.23</v>
      </c>
      <c r="Z182">
        <f>IF(Design_Tool!$E$15,V182,X182)</f>
        <v>1.115</v>
      </c>
      <c r="AA182" s="113" t="s">
        <v>502</v>
      </c>
    </row>
    <row r="183" spans="20:27" ht="13.5" thickBot="1">
      <c r="T183" s="112" t="s">
        <v>249</v>
      </c>
      <c r="U183" s="116" t="str">
        <f t="shared" si="8"/>
        <v>10101111</v>
      </c>
      <c r="V183" s="113">
        <v>1.1200000000000001</v>
      </c>
      <c r="W183" s="113" t="str">
        <f t="shared" si="9"/>
        <v>10101111</v>
      </c>
      <c r="X183" s="114">
        <v>2.2400000000000002</v>
      </c>
      <c r="Z183">
        <f>IF(Design_Tool!$E$15,V183,X183)</f>
        <v>1.1200000000000001</v>
      </c>
      <c r="AA183" s="113" t="s">
        <v>503</v>
      </c>
    </row>
    <row r="184" spans="20:27" ht="13.5" thickBot="1">
      <c r="T184" s="112" t="s">
        <v>250</v>
      </c>
      <c r="U184" s="116" t="str">
        <f t="shared" si="8"/>
        <v>10110000</v>
      </c>
      <c r="V184" s="113">
        <v>1.125</v>
      </c>
      <c r="W184" s="113" t="str">
        <f t="shared" si="9"/>
        <v>10110000</v>
      </c>
      <c r="X184" s="114">
        <v>2.25</v>
      </c>
      <c r="Z184">
        <f>IF(Design_Tool!$E$15,V184,X184)</f>
        <v>1.125</v>
      </c>
      <c r="AA184" s="113" t="s">
        <v>504</v>
      </c>
    </row>
    <row r="185" spans="20:27" ht="13.5" thickBot="1">
      <c r="T185" s="112" t="s">
        <v>251</v>
      </c>
      <c r="U185" s="116" t="str">
        <f t="shared" si="8"/>
        <v>10110001</v>
      </c>
      <c r="V185" s="113">
        <v>1.1299999999999999</v>
      </c>
      <c r="W185" s="113" t="str">
        <f t="shared" si="9"/>
        <v>10110001</v>
      </c>
      <c r="X185" s="114">
        <v>2.2599999999999998</v>
      </c>
      <c r="Z185">
        <f>IF(Design_Tool!$E$15,V185,X185)</f>
        <v>1.1299999999999999</v>
      </c>
      <c r="AA185" s="113" t="s">
        <v>505</v>
      </c>
    </row>
    <row r="186" spans="20:27" ht="13.5" thickBot="1">
      <c r="T186" s="112" t="s">
        <v>252</v>
      </c>
      <c r="U186" s="116" t="str">
        <f t="shared" si="8"/>
        <v>10110010</v>
      </c>
      <c r="V186" s="113">
        <v>1.135</v>
      </c>
      <c r="W186" s="113" t="str">
        <f t="shared" si="9"/>
        <v>10110010</v>
      </c>
      <c r="X186" s="114">
        <v>2.27</v>
      </c>
      <c r="Z186">
        <f>IF(Design_Tool!$E$15,V186,X186)</f>
        <v>1.135</v>
      </c>
      <c r="AA186" s="113" t="s">
        <v>506</v>
      </c>
    </row>
    <row r="187" spans="20:27" ht="13.5" thickBot="1">
      <c r="T187" s="112" t="s">
        <v>253</v>
      </c>
      <c r="U187" s="116" t="str">
        <f t="shared" si="8"/>
        <v>10110011</v>
      </c>
      <c r="V187" s="113">
        <v>1.1399999999999999</v>
      </c>
      <c r="W187" s="113" t="str">
        <f t="shared" si="9"/>
        <v>10110011</v>
      </c>
      <c r="X187" s="114">
        <v>2.2799999999999998</v>
      </c>
      <c r="Z187">
        <f>IF(Design_Tool!$E$15,V187,X187)</f>
        <v>1.1399999999999999</v>
      </c>
      <c r="AA187" s="113" t="s">
        <v>507</v>
      </c>
    </row>
    <row r="188" spans="20:27" ht="13.5" thickBot="1">
      <c r="T188" s="112" t="s">
        <v>254</v>
      </c>
      <c r="U188" s="116" t="str">
        <f t="shared" si="8"/>
        <v>10110100</v>
      </c>
      <c r="V188" s="113">
        <v>1.145</v>
      </c>
      <c r="W188" s="113" t="str">
        <f t="shared" si="9"/>
        <v>10110100</v>
      </c>
      <c r="X188" s="114">
        <v>2.29</v>
      </c>
      <c r="Z188">
        <f>IF(Design_Tool!$E$15,V188,X188)</f>
        <v>1.145</v>
      </c>
      <c r="AA188" s="113" t="s">
        <v>508</v>
      </c>
    </row>
    <row r="189" spans="20:27" ht="13.5" thickBot="1">
      <c r="T189" s="112" t="s">
        <v>255</v>
      </c>
      <c r="U189" s="116" t="str">
        <f t="shared" si="8"/>
        <v>10110101</v>
      </c>
      <c r="V189" s="113">
        <v>1.1499999999999999</v>
      </c>
      <c r="W189" s="113" t="str">
        <f t="shared" si="9"/>
        <v>10110101</v>
      </c>
      <c r="X189" s="114">
        <v>2.2999999999999998</v>
      </c>
      <c r="Z189">
        <f>IF(Design_Tool!$E$15,V189,X189)</f>
        <v>1.1499999999999999</v>
      </c>
      <c r="AA189" s="113" t="s">
        <v>509</v>
      </c>
    </row>
    <row r="190" spans="20:27" ht="13.5" thickBot="1">
      <c r="T190" s="112" t="s">
        <v>256</v>
      </c>
      <c r="U190" s="116" t="str">
        <f t="shared" si="8"/>
        <v>10110110</v>
      </c>
      <c r="V190" s="113">
        <v>1.155</v>
      </c>
      <c r="W190" s="113" t="str">
        <f t="shared" si="9"/>
        <v>10110110</v>
      </c>
      <c r="X190" s="114">
        <v>2.31</v>
      </c>
      <c r="Z190">
        <f>IF(Design_Tool!$E$15,V190,X190)</f>
        <v>1.155</v>
      </c>
      <c r="AA190" s="113" t="s">
        <v>510</v>
      </c>
    </row>
    <row r="191" spans="20:27" ht="13.5" thickBot="1">
      <c r="T191" s="112" t="s">
        <v>257</v>
      </c>
      <c r="U191" s="116" t="str">
        <f t="shared" si="8"/>
        <v>10110111</v>
      </c>
      <c r="V191" s="113">
        <v>1.1599999999999999</v>
      </c>
      <c r="W191" s="113" t="str">
        <f t="shared" si="9"/>
        <v>10110111</v>
      </c>
      <c r="X191" s="114">
        <v>2.3199999999999998</v>
      </c>
      <c r="Z191">
        <f>IF(Design_Tool!$E$15,V191,X191)</f>
        <v>1.1599999999999999</v>
      </c>
      <c r="AA191" s="113" t="s">
        <v>511</v>
      </c>
    </row>
    <row r="192" spans="20:27" ht="13.5" thickBot="1">
      <c r="T192" s="112" t="s">
        <v>258</v>
      </c>
      <c r="U192" s="116" t="str">
        <f t="shared" si="8"/>
        <v>10111000</v>
      </c>
      <c r="V192" s="113">
        <v>1.165</v>
      </c>
      <c r="W192" s="113" t="str">
        <f t="shared" si="9"/>
        <v>10111000</v>
      </c>
      <c r="X192" s="114">
        <v>2.33</v>
      </c>
      <c r="Z192">
        <f>IF(Design_Tool!$E$15,V192,X192)</f>
        <v>1.165</v>
      </c>
      <c r="AA192" s="113" t="s">
        <v>512</v>
      </c>
    </row>
    <row r="193" spans="20:27" ht="13.5" thickBot="1">
      <c r="T193" s="112" t="s">
        <v>259</v>
      </c>
      <c r="U193" s="116" t="str">
        <f t="shared" si="8"/>
        <v>10111001</v>
      </c>
      <c r="V193" s="113">
        <v>1.17</v>
      </c>
      <c r="W193" s="113" t="str">
        <f t="shared" si="9"/>
        <v>10111001</v>
      </c>
      <c r="X193" s="114">
        <v>2.34</v>
      </c>
      <c r="Z193">
        <f>IF(Design_Tool!$E$15,V193,X193)</f>
        <v>1.17</v>
      </c>
      <c r="AA193" s="113" t="s">
        <v>513</v>
      </c>
    </row>
    <row r="194" spans="20:27" ht="13.5" thickBot="1">
      <c r="T194" s="112" t="s">
        <v>260</v>
      </c>
      <c r="U194" s="116" t="str">
        <f t="shared" si="8"/>
        <v>10111010</v>
      </c>
      <c r="V194" s="113">
        <v>1.175</v>
      </c>
      <c r="W194" s="113" t="str">
        <f t="shared" si="9"/>
        <v>10111010</v>
      </c>
      <c r="X194" s="114">
        <v>2.35</v>
      </c>
      <c r="Z194">
        <f>IF(Design_Tool!$E$15,V194,X194)</f>
        <v>1.175</v>
      </c>
      <c r="AA194" s="113" t="s">
        <v>514</v>
      </c>
    </row>
    <row r="195" spans="20:27" ht="13.5" thickBot="1">
      <c r="T195" s="112" t="s">
        <v>261</v>
      </c>
      <c r="U195" s="116" t="str">
        <f t="shared" si="8"/>
        <v>10111011</v>
      </c>
      <c r="V195" s="113">
        <v>1.18</v>
      </c>
      <c r="W195" s="113" t="str">
        <f t="shared" si="9"/>
        <v>10111011</v>
      </c>
      <c r="X195" s="114">
        <v>2.36</v>
      </c>
      <c r="Z195">
        <f>IF(Design_Tool!$E$15,V195,X195)</f>
        <v>1.18</v>
      </c>
      <c r="AA195" s="113" t="s">
        <v>515</v>
      </c>
    </row>
    <row r="196" spans="20:27" ht="13.5" thickBot="1">
      <c r="T196" s="112" t="s">
        <v>262</v>
      </c>
      <c r="U196" s="116" t="str">
        <f t="shared" si="8"/>
        <v>10111100</v>
      </c>
      <c r="V196" s="113">
        <v>1.1850000000000001</v>
      </c>
      <c r="W196" s="113" t="str">
        <f t="shared" si="9"/>
        <v>10111100</v>
      </c>
      <c r="X196" s="114">
        <v>2.37</v>
      </c>
      <c r="Z196">
        <f>IF(Design_Tool!$E$15,V196,X196)</f>
        <v>1.1850000000000001</v>
      </c>
      <c r="AA196" s="113" t="s">
        <v>516</v>
      </c>
    </row>
    <row r="197" spans="20:27" ht="13.5" thickBot="1">
      <c r="T197" s="112" t="s">
        <v>263</v>
      </c>
      <c r="U197" s="116" t="str">
        <f t="shared" si="8"/>
        <v>10111101</v>
      </c>
      <c r="V197" s="113">
        <v>1.19</v>
      </c>
      <c r="W197" s="113" t="str">
        <f t="shared" si="9"/>
        <v>10111101</v>
      </c>
      <c r="X197" s="114">
        <v>2.38</v>
      </c>
      <c r="Z197">
        <f>IF(Design_Tool!$E$15,V197,X197)</f>
        <v>1.19</v>
      </c>
      <c r="AA197" s="113" t="s">
        <v>517</v>
      </c>
    </row>
    <row r="198" spans="20:27" ht="13.5" thickBot="1">
      <c r="T198" s="112" t="s">
        <v>264</v>
      </c>
      <c r="U198" s="116" t="str">
        <f t="shared" si="8"/>
        <v>10111110</v>
      </c>
      <c r="V198" s="113">
        <v>1.1950000000000001</v>
      </c>
      <c r="W198" s="113" t="str">
        <f t="shared" si="9"/>
        <v>10111110</v>
      </c>
      <c r="X198" s="114">
        <v>2.39</v>
      </c>
      <c r="Z198">
        <f>IF(Design_Tool!$E$15,V198,X198)</f>
        <v>1.1950000000000001</v>
      </c>
      <c r="AA198" s="113" t="s">
        <v>518</v>
      </c>
    </row>
    <row r="199" spans="20:27" ht="13.5" thickBot="1">
      <c r="T199" s="112" t="s">
        <v>265</v>
      </c>
      <c r="U199" s="116" t="str">
        <f t="shared" si="8"/>
        <v>10111111</v>
      </c>
      <c r="V199" s="113">
        <v>1.2</v>
      </c>
      <c r="W199" s="113" t="str">
        <f t="shared" si="9"/>
        <v>10111111</v>
      </c>
      <c r="X199" s="114">
        <v>2.4</v>
      </c>
      <c r="Z199">
        <f>IF(Design_Tool!$E$15,V199,X199)</f>
        <v>1.2</v>
      </c>
      <c r="AA199" s="113" t="s">
        <v>519</v>
      </c>
    </row>
    <row r="200" spans="20:27" ht="13.5" thickBot="1">
      <c r="T200" s="112" t="s">
        <v>266</v>
      </c>
      <c r="U200" s="116" t="str">
        <f t="shared" si="8"/>
        <v>11000000</v>
      </c>
      <c r="V200" s="113">
        <v>1.2050000000000001</v>
      </c>
      <c r="W200" s="113" t="str">
        <f t="shared" si="9"/>
        <v>11000000</v>
      </c>
      <c r="X200" s="114">
        <v>2.41</v>
      </c>
      <c r="Z200">
        <f>IF(Design_Tool!$E$15,V200,X200)</f>
        <v>1.2050000000000001</v>
      </c>
      <c r="AA200" s="113" t="s">
        <v>520</v>
      </c>
    </row>
    <row r="201" spans="20:27" ht="13.5" thickBot="1">
      <c r="T201" s="112" t="s">
        <v>267</v>
      </c>
      <c r="U201" s="116" t="str">
        <f t="shared" ref="U201:U263" si="10">HEX2BIN(T201)</f>
        <v>11000001</v>
      </c>
      <c r="V201" s="113">
        <v>1.21</v>
      </c>
      <c r="W201" s="113" t="str">
        <f t="shared" ref="W201:W263" si="11">U201</f>
        <v>11000001</v>
      </c>
      <c r="X201" s="114">
        <v>2.42</v>
      </c>
      <c r="Z201">
        <f>IF(Design_Tool!$E$15,V201,X201)</f>
        <v>1.21</v>
      </c>
      <c r="AA201" s="113" t="s">
        <v>521</v>
      </c>
    </row>
    <row r="202" spans="20:27" ht="13.5" thickBot="1">
      <c r="T202" s="112" t="s">
        <v>268</v>
      </c>
      <c r="U202" s="116" t="str">
        <f t="shared" si="10"/>
        <v>11000010</v>
      </c>
      <c r="V202" s="113">
        <v>1.2150000000000001</v>
      </c>
      <c r="W202" s="113" t="str">
        <f t="shared" si="11"/>
        <v>11000010</v>
      </c>
      <c r="X202" s="114">
        <v>2.4300000000000002</v>
      </c>
      <c r="Z202">
        <f>IF(Design_Tool!$E$15,V202,X202)</f>
        <v>1.2150000000000001</v>
      </c>
      <c r="AA202" s="113" t="s">
        <v>522</v>
      </c>
    </row>
    <row r="203" spans="20:27" ht="13.5" thickBot="1">
      <c r="T203" s="112" t="s">
        <v>269</v>
      </c>
      <c r="U203" s="116" t="str">
        <f t="shared" si="10"/>
        <v>11000011</v>
      </c>
      <c r="V203" s="113">
        <v>1.22</v>
      </c>
      <c r="W203" s="113" t="str">
        <f t="shared" si="11"/>
        <v>11000011</v>
      </c>
      <c r="X203" s="114">
        <v>2.44</v>
      </c>
      <c r="Z203">
        <f>IF(Design_Tool!$E$15,V203,X203)</f>
        <v>1.22</v>
      </c>
      <c r="AA203" s="113" t="s">
        <v>523</v>
      </c>
    </row>
    <row r="204" spans="20:27" ht="13.5" thickBot="1">
      <c r="T204" s="112" t="s">
        <v>270</v>
      </c>
      <c r="U204" s="116" t="str">
        <f t="shared" si="10"/>
        <v>11000100</v>
      </c>
      <c r="V204" s="113">
        <v>1.2250000000000001</v>
      </c>
      <c r="W204" s="113" t="str">
        <f t="shared" si="11"/>
        <v>11000100</v>
      </c>
      <c r="X204" s="114">
        <v>2.4500000000000002</v>
      </c>
      <c r="Z204">
        <f>IF(Design_Tool!$E$15,V204,X204)</f>
        <v>1.2250000000000001</v>
      </c>
      <c r="AA204" s="113" t="s">
        <v>524</v>
      </c>
    </row>
    <row r="205" spans="20:27" ht="13.5" thickBot="1">
      <c r="T205" s="112" t="s">
        <v>271</v>
      </c>
      <c r="U205" s="116" t="str">
        <f t="shared" si="10"/>
        <v>11000101</v>
      </c>
      <c r="V205" s="113">
        <v>1.23</v>
      </c>
      <c r="W205" s="113" t="str">
        <f t="shared" si="11"/>
        <v>11000101</v>
      </c>
      <c r="X205" s="114">
        <v>2.46</v>
      </c>
      <c r="Z205">
        <f>IF(Design_Tool!$E$15,V205,X205)</f>
        <v>1.23</v>
      </c>
      <c r="AA205" s="113" t="s">
        <v>525</v>
      </c>
    </row>
    <row r="206" spans="20:27" ht="13.5" thickBot="1">
      <c r="T206" s="112" t="s">
        <v>272</v>
      </c>
      <c r="U206" s="116" t="str">
        <f t="shared" si="10"/>
        <v>11000110</v>
      </c>
      <c r="V206" s="113">
        <v>1.2350000000000001</v>
      </c>
      <c r="W206" s="113" t="str">
        <f t="shared" si="11"/>
        <v>11000110</v>
      </c>
      <c r="X206" s="114">
        <v>2.4700000000000002</v>
      </c>
      <c r="Z206">
        <f>IF(Design_Tool!$E$15,V206,X206)</f>
        <v>1.2350000000000001</v>
      </c>
      <c r="AA206" s="113" t="s">
        <v>526</v>
      </c>
    </row>
    <row r="207" spans="20:27" ht="13.5" thickBot="1">
      <c r="T207" s="112" t="s">
        <v>273</v>
      </c>
      <c r="U207" s="116" t="str">
        <f t="shared" si="10"/>
        <v>11000111</v>
      </c>
      <c r="V207" s="113">
        <v>1.24</v>
      </c>
      <c r="W207" s="113" t="str">
        <f t="shared" si="11"/>
        <v>11000111</v>
      </c>
      <c r="X207" s="114">
        <v>2.48</v>
      </c>
      <c r="Z207">
        <f>IF(Design_Tool!$E$15,V207,X207)</f>
        <v>1.24</v>
      </c>
      <c r="AA207" s="113" t="s">
        <v>527</v>
      </c>
    </row>
    <row r="208" spans="20:27" ht="13.5" thickBot="1">
      <c r="T208" s="112" t="s">
        <v>274</v>
      </c>
      <c r="U208" s="116" t="str">
        <f t="shared" si="10"/>
        <v>11001000</v>
      </c>
      <c r="V208" s="113">
        <v>1.2450000000000001</v>
      </c>
      <c r="W208" s="113" t="str">
        <f t="shared" si="11"/>
        <v>11001000</v>
      </c>
      <c r="X208" s="114">
        <v>2.4900000000000002</v>
      </c>
      <c r="Z208">
        <f>IF(Design_Tool!$E$15,V208,X208)</f>
        <v>1.2450000000000001</v>
      </c>
      <c r="AA208" s="113" t="s">
        <v>528</v>
      </c>
    </row>
    <row r="209" spans="20:27" ht="13.5" thickBot="1">
      <c r="T209" s="112" t="s">
        <v>275</v>
      </c>
      <c r="U209" s="116" t="str">
        <f t="shared" si="10"/>
        <v>11001001</v>
      </c>
      <c r="V209" s="113">
        <v>1.25</v>
      </c>
      <c r="W209" s="113" t="str">
        <f t="shared" si="11"/>
        <v>11001001</v>
      </c>
      <c r="X209" s="114">
        <v>2.5</v>
      </c>
      <c r="Z209">
        <f>IF(Design_Tool!$E$15,V209,X209)</f>
        <v>1.25</v>
      </c>
      <c r="AA209" s="113" t="s">
        <v>529</v>
      </c>
    </row>
    <row r="210" spans="20:27" ht="13.5" thickBot="1">
      <c r="T210" s="112" t="s">
        <v>276</v>
      </c>
      <c r="U210" s="116" t="str">
        <f t="shared" si="10"/>
        <v>11001010</v>
      </c>
      <c r="V210" s="113">
        <v>1.2549999999999999</v>
      </c>
      <c r="W210" s="113" t="str">
        <f t="shared" si="11"/>
        <v>11001010</v>
      </c>
      <c r="X210" s="114">
        <v>2.5</v>
      </c>
      <c r="Z210">
        <f>IF(Design_Tool!$E$15,V210,X210)</f>
        <v>1.2549999999999999</v>
      </c>
      <c r="AA210" s="113" t="s">
        <v>530</v>
      </c>
    </row>
    <row r="211" spans="20:27" ht="13.5" thickBot="1">
      <c r="T211" s="112" t="s">
        <v>277</v>
      </c>
      <c r="U211" s="116" t="str">
        <f t="shared" si="10"/>
        <v>11001011</v>
      </c>
      <c r="V211" s="113">
        <v>1.26</v>
      </c>
      <c r="W211" s="113" t="str">
        <f t="shared" si="11"/>
        <v>11001011</v>
      </c>
      <c r="X211" s="114">
        <v>2.5</v>
      </c>
      <c r="Z211">
        <f>IF(Design_Tool!$E$15,V211,X211)</f>
        <v>1.26</v>
      </c>
      <c r="AA211" s="113" t="s">
        <v>531</v>
      </c>
    </row>
    <row r="212" spans="20:27" ht="13.5" thickBot="1">
      <c r="T212" s="112" t="s">
        <v>278</v>
      </c>
      <c r="U212" s="116" t="str">
        <f t="shared" si="10"/>
        <v>11001100</v>
      </c>
      <c r="V212" s="113">
        <v>1.2649999999999999</v>
      </c>
      <c r="W212" s="113" t="str">
        <f t="shared" si="11"/>
        <v>11001100</v>
      </c>
      <c r="X212" s="114">
        <v>2.5</v>
      </c>
      <c r="Z212">
        <f>IF(Design_Tool!$E$15,V212,X212)</f>
        <v>1.2649999999999999</v>
      </c>
      <c r="AA212" s="113" t="s">
        <v>532</v>
      </c>
    </row>
    <row r="213" spans="20:27" ht="13.5" thickBot="1">
      <c r="T213" s="112" t="s">
        <v>279</v>
      </c>
      <c r="U213" s="116" t="str">
        <f t="shared" si="10"/>
        <v>11001101</v>
      </c>
      <c r="V213" s="113">
        <v>1.27</v>
      </c>
      <c r="W213" s="113" t="str">
        <f t="shared" si="11"/>
        <v>11001101</v>
      </c>
      <c r="X213" s="114">
        <v>2.5</v>
      </c>
      <c r="Z213">
        <f>IF(Design_Tool!$E$15,V213,X213)</f>
        <v>1.27</v>
      </c>
      <c r="AA213" s="113" t="s">
        <v>533</v>
      </c>
    </row>
    <row r="214" spans="20:27" ht="13.5" thickBot="1">
      <c r="T214" s="112" t="s">
        <v>280</v>
      </c>
      <c r="U214" s="116" t="str">
        <f t="shared" si="10"/>
        <v>11001110</v>
      </c>
      <c r="V214" s="113">
        <v>1.2749999999999999</v>
      </c>
      <c r="W214" s="113" t="str">
        <f t="shared" si="11"/>
        <v>11001110</v>
      </c>
      <c r="X214" s="114">
        <v>2.5</v>
      </c>
      <c r="Z214">
        <f>IF(Design_Tool!$E$15,V214,X214)</f>
        <v>1.2749999999999999</v>
      </c>
      <c r="AA214" s="113" t="s">
        <v>534</v>
      </c>
    </row>
    <row r="215" spans="20:27" ht="13.5" thickBot="1">
      <c r="T215" s="112" t="s">
        <v>281</v>
      </c>
      <c r="U215" s="116" t="str">
        <f t="shared" si="10"/>
        <v>11001111</v>
      </c>
      <c r="V215" s="113">
        <v>1.28</v>
      </c>
      <c r="W215" s="113" t="str">
        <f t="shared" si="11"/>
        <v>11001111</v>
      </c>
      <c r="X215" s="114">
        <v>2.5</v>
      </c>
      <c r="Z215">
        <f>IF(Design_Tool!$E$15,V215,X215)</f>
        <v>1.28</v>
      </c>
      <c r="AA215" s="113" t="s">
        <v>535</v>
      </c>
    </row>
    <row r="216" spans="20:27" ht="13.5" thickBot="1">
      <c r="T216" s="112" t="s">
        <v>282</v>
      </c>
      <c r="U216" s="116" t="str">
        <f t="shared" si="10"/>
        <v>11010000</v>
      </c>
      <c r="V216" s="113">
        <v>1.2849999999999999</v>
      </c>
      <c r="W216" s="113" t="str">
        <f t="shared" si="11"/>
        <v>11010000</v>
      </c>
      <c r="X216" s="114">
        <v>2.5</v>
      </c>
      <c r="Z216">
        <f>IF(Design_Tool!$E$15,V216,X216)</f>
        <v>1.2849999999999999</v>
      </c>
      <c r="AA216" s="113" t="s">
        <v>536</v>
      </c>
    </row>
    <row r="217" spans="20:27" ht="13.5" thickBot="1">
      <c r="T217" s="112" t="s">
        <v>283</v>
      </c>
      <c r="U217" s="116" t="str">
        <f t="shared" si="10"/>
        <v>11010001</v>
      </c>
      <c r="V217" s="113">
        <v>1.29</v>
      </c>
      <c r="W217" s="113" t="str">
        <f t="shared" si="11"/>
        <v>11010001</v>
      </c>
      <c r="X217" s="114">
        <v>2.5</v>
      </c>
      <c r="Z217">
        <f>IF(Design_Tool!$E$15,V217,X217)</f>
        <v>1.29</v>
      </c>
      <c r="AA217" s="113" t="s">
        <v>537</v>
      </c>
    </row>
    <row r="218" spans="20:27" ht="13.5" thickBot="1">
      <c r="T218" s="112" t="s">
        <v>284</v>
      </c>
      <c r="U218" s="116" t="str">
        <f t="shared" si="10"/>
        <v>11010010</v>
      </c>
      <c r="V218" s="113">
        <v>1.2949999999999999</v>
      </c>
      <c r="W218" s="113" t="str">
        <f t="shared" si="11"/>
        <v>11010010</v>
      </c>
      <c r="X218" s="114">
        <v>2.5</v>
      </c>
      <c r="Z218">
        <f>IF(Design_Tool!$E$15,V218,X218)</f>
        <v>1.2949999999999999</v>
      </c>
      <c r="AA218" s="113" t="s">
        <v>538</v>
      </c>
    </row>
    <row r="219" spans="20:27" ht="13.5" thickBot="1">
      <c r="T219" s="112" t="s">
        <v>285</v>
      </c>
      <c r="U219" s="116" t="str">
        <f t="shared" si="10"/>
        <v>11010011</v>
      </c>
      <c r="V219" s="113">
        <v>1.3</v>
      </c>
      <c r="W219" s="113" t="str">
        <f t="shared" si="11"/>
        <v>11010011</v>
      </c>
      <c r="X219" s="114">
        <v>2.5</v>
      </c>
      <c r="Z219">
        <f>IF(Design_Tool!$E$15,V219,X219)</f>
        <v>1.3</v>
      </c>
      <c r="AA219" s="113" t="s">
        <v>539</v>
      </c>
    </row>
    <row r="220" spans="20:27" ht="13.5" thickBot="1">
      <c r="T220" s="112" t="s">
        <v>286</v>
      </c>
      <c r="U220" s="116" t="str">
        <f t="shared" si="10"/>
        <v>11010100</v>
      </c>
      <c r="V220" s="113">
        <v>1.3049999999999999</v>
      </c>
      <c r="W220" s="113" t="str">
        <f t="shared" si="11"/>
        <v>11010100</v>
      </c>
      <c r="X220" s="114">
        <v>2.5</v>
      </c>
      <c r="Z220">
        <f>IF(Design_Tool!$E$15,V220,X220)</f>
        <v>1.3049999999999999</v>
      </c>
      <c r="AA220" s="113" t="s">
        <v>540</v>
      </c>
    </row>
    <row r="221" spans="20:27" ht="13.5" thickBot="1">
      <c r="T221" s="112" t="s">
        <v>287</v>
      </c>
      <c r="U221" s="116" t="str">
        <f t="shared" si="10"/>
        <v>11010101</v>
      </c>
      <c r="V221" s="113">
        <v>1.31</v>
      </c>
      <c r="W221" s="113" t="str">
        <f t="shared" si="11"/>
        <v>11010101</v>
      </c>
      <c r="X221" s="114">
        <v>2.5</v>
      </c>
      <c r="Z221">
        <f>IF(Design_Tool!$E$15,V221,X221)</f>
        <v>1.31</v>
      </c>
      <c r="AA221" s="113" t="s">
        <v>541</v>
      </c>
    </row>
    <row r="222" spans="20:27" ht="13.5" thickBot="1">
      <c r="T222" s="112" t="s">
        <v>288</v>
      </c>
      <c r="U222" s="116" t="str">
        <f t="shared" si="10"/>
        <v>11010110</v>
      </c>
      <c r="V222" s="113">
        <v>1.3149999999999999</v>
      </c>
      <c r="W222" s="113" t="str">
        <f t="shared" si="11"/>
        <v>11010110</v>
      </c>
      <c r="X222" s="114">
        <v>2.5</v>
      </c>
      <c r="Z222">
        <f>IF(Design_Tool!$E$15,V222,X222)</f>
        <v>1.3149999999999999</v>
      </c>
      <c r="AA222" s="113" t="s">
        <v>542</v>
      </c>
    </row>
    <row r="223" spans="20:27" ht="13.5" thickBot="1">
      <c r="T223" s="112" t="s">
        <v>289</v>
      </c>
      <c r="U223" s="116" t="str">
        <f t="shared" si="10"/>
        <v>11010111</v>
      </c>
      <c r="V223" s="113">
        <v>1.32</v>
      </c>
      <c r="W223" s="113" t="str">
        <f t="shared" si="11"/>
        <v>11010111</v>
      </c>
      <c r="X223" s="114">
        <v>2.5</v>
      </c>
      <c r="Z223">
        <f>IF(Design_Tool!$E$15,V223,X223)</f>
        <v>1.32</v>
      </c>
      <c r="AA223" s="113" t="s">
        <v>543</v>
      </c>
    </row>
    <row r="224" spans="20:27" ht="13.5" thickBot="1">
      <c r="T224" s="112" t="s">
        <v>290</v>
      </c>
      <c r="U224" s="116" t="str">
        <f t="shared" si="10"/>
        <v>11011000</v>
      </c>
      <c r="V224" s="113">
        <v>1.325</v>
      </c>
      <c r="W224" s="113" t="str">
        <f t="shared" si="11"/>
        <v>11011000</v>
      </c>
      <c r="X224" s="114">
        <v>2.5</v>
      </c>
      <c r="Z224">
        <f>IF(Design_Tool!$E$15,V224,X224)</f>
        <v>1.325</v>
      </c>
      <c r="AA224" s="113" t="s">
        <v>544</v>
      </c>
    </row>
    <row r="225" spans="20:27" ht="13.5" thickBot="1">
      <c r="T225" s="112" t="s">
        <v>291</v>
      </c>
      <c r="U225" s="116" t="str">
        <f t="shared" si="10"/>
        <v>11011001</v>
      </c>
      <c r="V225" s="113">
        <v>1.33</v>
      </c>
      <c r="W225" s="113" t="str">
        <f t="shared" si="11"/>
        <v>11011001</v>
      </c>
      <c r="X225" s="114">
        <v>2.5</v>
      </c>
      <c r="Z225">
        <f>IF(Design_Tool!$E$15,V225,X225)</f>
        <v>1.33</v>
      </c>
      <c r="AA225" s="113" t="s">
        <v>545</v>
      </c>
    </row>
    <row r="226" spans="20:27" ht="13.5" thickBot="1">
      <c r="T226" s="112" t="s">
        <v>292</v>
      </c>
      <c r="U226" s="116" t="str">
        <f t="shared" si="10"/>
        <v>11011010</v>
      </c>
      <c r="V226" s="113">
        <v>1.335</v>
      </c>
      <c r="W226" s="113" t="str">
        <f t="shared" si="11"/>
        <v>11011010</v>
      </c>
      <c r="X226" s="114">
        <v>2.5</v>
      </c>
      <c r="Z226">
        <f>IF(Design_Tool!$E$15,V226,X226)</f>
        <v>1.335</v>
      </c>
      <c r="AA226" s="113" t="s">
        <v>546</v>
      </c>
    </row>
    <row r="227" spans="20:27" ht="13.5" thickBot="1">
      <c r="T227" s="112" t="s">
        <v>293</v>
      </c>
      <c r="U227" s="116" t="str">
        <f t="shared" si="10"/>
        <v>11011011</v>
      </c>
      <c r="V227" s="113">
        <v>1.34</v>
      </c>
      <c r="W227" s="113" t="str">
        <f t="shared" si="11"/>
        <v>11011011</v>
      </c>
      <c r="X227" s="114">
        <v>2.5</v>
      </c>
      <c r="Z227">
        <f>IF(Design_Tool!$E$15,V227,X227)</f>
        <v>1.34</v>
      </c>
      <c r="AA227" s="113" t="s">
        <v>547</v>
      </c>
    </row>
    <row r="228" spans="20:27" ht="13.5" thickBot="1">
      <c r="T228" s="112" t="s">
        <v>294</v>
      </c>
      <c r="U228" s="116" t="str">
        <f t="shared" si="10"/>
        <v>11011100</v>
      </c>
      <c r="V228" s="113">
        <v>1.345</v>
      </c>
      <c r="W228" s="113" t="str">
        <f t="shared" si="11"/>
        <v>11011100</v>
      </c>
      <c r="X228" s="114">
        <v>2.5</v>
      </c>
      <c r="Z228">
        <f>IF(Design_Tool!$E$15,V228,X228)</f>
        <v>1.345</v>
      </c>
      <c r="AA228" s="113" t="s">
        <v>548</v>
      </c>
    </row>
    <row r="229" spans="20:27" ht="13.5" thickBot="1">
      <c r="T229" s="112" t="s">
        <v>295</v>
      </c>
      <c r="U229" s="116" t="str">
        <f t="shared" si="10"/>
        <v>11011101</v>
      </c>
      <c r="V229" s="113">
        <v>1.35</v>
      </c>
      <c r="W229" s="113" t="str">
        <f t="shared" si="11"/>
        <v>11011101</v>
      </c>
      <c r="X229" s="114">
        <v>2.5</v>
      </c>
      <c r="Z229">
        <f>IF(Design_Tool!$E$15,V229,X229)</f>
        <v>1.35</v>
      </c>
      <c r="AA229" s="113" t="s">
        <v>549</v>
      </c>
    </row>
    <row r="230" spans="20:27" ht="13.5" thickBot="1">
      <c r="T230" s="112" t="s">
        <v>296</v>
      </c>
      <c r="U230" s="116" t="str">
        <f t="shared" si="10"/>
        <v>11011110</v>
      </c>
      <c r="V230" s="113">
        <v>1.355</v>
      </c>
      <c r="W230" s="113" t="str">
        <f t="shared" si="11"/>
        <v>11011110</v>
      </c>
      <c r="X230" s="114">
        <v>2.5</v>
      </c>
      <c r="Z230">
        <f>IF(Design_Tool!$E$15,V230,X230)</f>
        <v>1.355</v>
      </c>
      <c r="AA230" s="113" t="s">
        <v>550</v>
      </c>
    </row>
    <row r="231" spans="20:27" ht="13.5" thickBot="1">
      <c r="T231" s="112" t="s">
        <v>297</v>
      </c>
      <c r="U231" s="116" t="str">
        <f t="shared" si="10"/>
        <v>11011111</v>
      </c>
      <c r="V231" s="113">
        <v>1.36</v>
      </c>
      <c r="W231" s="113" t="str">
        <f t="shared" si="11"/>
        <v>11011111</v>
      </c>
      <c r="X231" s="114">
        <v>2.5</v>
      </c>
      <c r="Z231">
        <f>IF(Design_Tool!$E$15,V231,X231)</f>
        <v>1.36</v>
      </c>
      <c r="AA231" s="113" t="s">
        <v>551</v>
      </c>
    </row>
    <row r="232" spans="20:27" ht="13.5" thickBot="1">
      <c r="T232" s="112" t="s">
        <v>298</v>
      </c>
      <c r="U232" s="116" t="str">
        <f t="shared" si="10"/>
        <v>11100000</v>
      </c>
      <c r="V232" s="113">
        <v>1.365</v>
      </c>
      <c r="W232" s="113" t="str">
        <f t="shared" si="11"/>
        <v>11100000</v>
      </c>
      <c r="X232" s="114">
        <v>2.5</v>
      </c>
      <c r="Z232">
        <f>IF(Design_Tool!$E$15,V232,X232)</f>
        <v>1.365</v>
      </c>
      <c r="AA232" s="113" t="s">
        <v>552</v>
      </c>
    </row>
    <row r="233" spans="20:27" ht="13.5" thickBot="1">
      <c r="T233" s="112" t="s">
        <v>299</v>
      </c>
      <c r="U233" s="116" t="str">
        <f t="shared" si="10"/>
        <v>11100001</v>
      </c>
      <c r="V233" s="113">
        <v>1.37</v>
      </c>
      <c r="W233" s="113" t="str">
        <f t="shared" si="11"/>
        <v>11100001</v>
      </c>
      <c r="X233" s="114">
        <v>2.5</v>
      </c>
      <c r="Z233">
        <f>IF(Design_Tool!$E$15,V233,X233)</f>
        <v>1.37</v>
      </c>
      <c r="AA233" s="113" t="s">
        <v>553</v>
      </c>
    </row>
    <row r="234" spans="20:27" ht="13.5" thickBot="1">
      <c r="T234" s="112" t="s">
        <v>300</v>
      </c>
      <c r="U234" s="116" t="str">
        <f t="shared" si="10"/>
        <v>11100010</v>
      </c>
      <c r="V234" s="113">
        <v>1.375</v>
      </c>
      <c r="W234" s="113" t="str">
        <f t="shared" si="11"/>
        <v>11100010</v>
      </c>
      <c r="X234" s="114">
        <v>2.5</v>
      </c>
      <c r="Z234">
        <f>IF(Design_Tool!$E$15,V234,X234)</f>
        <v>1.375</v>
      </c>
      <c r="AA234" s="113" t="s">
        <v>554</v>
      </c>
    </row>
    <row r="235" spans="20:27" ht="13.5" thickBot="1">
      <c r="T235" s="112" t="s">
        <v>301</v>
      </c>
      <c r="U235" s="116" t="str">
        <f t="shared" si="10"/>
        <v>11100011</v>
      </c>
      <c r="V235" s="113">
        <v>1.38</v>
      </c>
      <c r="W235" s="113" t="str">
        <f t="shared" si="11"/>
        <v>11100011</v>
      </c>
      <c r="X235" s="114">
        <v>2.5</v>
      </c>
      <c r="Z235">
        <f>IF(Design_Tool!$E$15,V235,X235)</f>
        <v>1.38</v>
      </c>
      <c r="AA235" s="113" t="s">
        <v>555</v>
      </c>
    </row>
    <row r="236" spans="20:27" ht="13.5" thickBot="1">
      <c r="T236" s="112" t="s">
        <v>302</v>
      </c>
      <c r="U236" s="116" t="str">
        <f t="shared" si="10"/>
        <v>11100100</v>
      </c>
      <c r="V236" s="113">
        <v>1.385</v>
      </c>
      <c r="W236" s="113" t="str">
        <f t="shared" si="11"/>
        <v>11100100</v>
      </c>
      <c r="X236" s="114">
        <v>2.5</v>
      </c>
      <c r="Z236">
        <f>IF(Design_Tool!$E$15,V236,X236)</f>
        <v>1.385</v>
      </c>
      <c r="AA236" s="113" t="s">
        <v>556</v>
      </c>
    </row>
    <row r="237" spans="20:27" ht="13.5" thickBot="1">
      <c r="T237" s="112" t="s">
        <v>303</v>
      </c>
      <c r="U237" s="116" t="str">
        <f t="shared" si="10"/>
        <v>11100101</v>
      </c>
      <c r="V237" s="113">
        <v>1.39</v>
      </c>
      <c r="W237" s="113" t="str">
        <f t="shared" si="11"/>
        <v>11100101</v>
      </c>
      <c r="X237" s="114">
        <v>2.5</v>
      </c>
      <c r="Z237">
        <f>IF(Design_Tool!$E$15,V237,X237)</f>
        <v>1.39</v>
      </c>
      <c r="AA237" s="113" t="s">
        <v>557</v>
      </c>
    </row>
    <row r="238" spans="20:27" ht="13.5" thickBot="1">
      <c r="T238" s="112" t="s">
        <v>304</v>
      </c>
      <c r="U238" s="116" t="str">
        <f t="shared" si="10"/>
        <v>11100110</v>
      </c>
      <c r="V238" s="113">
        <v>1.395</v>
      </c>
      <c r="W238" s="113" t="str">
        <f t="shared" si="11"/>
        <v>11100110</v>
      </c>
      <c r="X238" s="114">
        <v>2.5</v>
      </c>
      <c r="Z238">
        <f>IF(Design_Tool!$E$15,V238,X238)</f>
        <v>1.395</v>
      </c>
      <c r="AA238" s="113" t="s">
        <v>558</v>
      </c>
    </row>
    <row r="239" spans="20:27" ht="13.5" thickBot="1">
      <c r="T239" s="112" t="s">
        <v>305</v>
      </c>
      <c r="U239" s="116" t="str">
        <f t="shared" si="10"/>
        <v>11100111</v>
      </c>
      <c r="V239" s="113">
        <v>1.4</v>
      </c>
      <c r="W239" s="113" t="str">
        <f t="shared" si="11"/>
        <v>11100111</v>
      </c>
      <c r="X239" s="114">
        <v>2.5</v>
      </c>
      <c r="Z239">
        <f>IF(Design_Tool!$E$15,V239,X239)</f>
        <v>1.4</v>
      </c>
      <c r="AA239" s="113" t="s">
        <v>559</v>
      </c>
    </row>
    <row r="240" spans="20:27" ht="13.5" thickBot="1">
      <c r="T240" s="112" t="s">
        <v>306</v>
      </c>
      <c r="U240" s="116" t="str">
        <f t="shared" si="10"/>
        <v>11101000</v>
      </c>
      <c r="V240" s="113">
        <v>1.405</v>
      </c>
      <c r="W240" s="113" t="str">
        <f t="shared" si="11"/>
        <v>11101000</v>
      </c>
      <c r="X240" s="114">
        <v>2.5</v>
      </c>
      <c r="Z240">
        <f>IF(Design_Tool!$E$15,V240,X240)</f>
        <v>1.405</v>
      </c>
      <c r="AA240" s="113" t="s">
        <v>560</v>
      </c>
    </row>
    <row r="241" spans="20:27" ht="13.5" thickBot="1">
      <c r="T241" s="112" t="s">
        <v>307</v>
      </c>
      <c r="U241" s="116" t="str">
        <f t="shared" si="10"/>
        <v>11101001</v>
      </c>
      <c r="V241" s="113">
        <v>1.41</v>
      </c>
      <c r="W241" s="113" t="str">
        <f t="shared" si="11"/>
        <v>11101001</v>
      </c>
      <c r="X241" s="114">
        <v>2.5</v>
      </c>
      <c r="Z241">
        <f>IF(Design_Tool!$E$15,V241,X241)</f>
        <v>1.41</v>
      </c>
      <c r="AA241" s="113" t="s">
        <v>561</v>
      </c>
    </row>
    <row r="242" spans="20:27" ht="13.5" thickBot="1">
      <c r="T242" s="112" t="s">
        <v>308</v>
      </c>
      <c r="U242" s="116" t="str">
        <f t="shared" si="10"/>
        <v>11101010</v>
      </c>
      <c r="V242" s="113">
        <v>1.415</v>
      </c>
      <c r="W242" s="113" t="str">
        <f t="shared" si="11"/>
        <v>11101010</v>
      </c>
      <c r="X242" s="114">
        <v>2.5</v>
      </c>
      <c r="Z242">
        <f>IF(Design_Tool!$E$15,V242,X242)</f>
        <v>1.415</v>
      </c>
      <c r="AA242" s="113" t="s">
        <v>562</v>
      </c>
    </row>
    <row r="243" spans="20:27" ht="13.5" thickBot="1">
      <c r="T243" s="112" t="s">
        <v>309</v>
      </c>
      <c r="U243" s="116" t="str">
        <f t="shared" si="10"/>
        <v>11101011</v>
      </c>
      <c r="V243" s="113">
        <v>1.42</v>
      </c>
      <c r="W243" s="113" t="str">
        <f t="shared" si="11"/>
        <v>11101011</v>
      </c>
      <c r="X243" s="114">
        <v>2.5</v>
      </c>
      <c r="Z243">
        <f>IF(Design_Tool!$E$15,V243,X243)</f>
        <v>1.42</v>
      </c>
      <c r="AA243" s="113" t="s">
        <v>563</v>
      </c>
    </row>
    <row r="244" spans="20:27" ht="13.5" thickBot="1">
      <c r="T244" s="112" t="s">
        <v>310</v>
      </c>
      <c r="U244" s="116" t="str">
        <f t="shared" si="10"/>
        <v>11101100</v>
      </c>
      <c r="V244" s="113">
        <v>1.425</v>
      </c>
      <c r="W244" s="113" t="str">
        <f t="shared" si="11"/>
        <v>11101100</v>
      </c>
      <c r="X244" s="114">
        <v>2.5</v>
      </c>
      <c r="Z244">
        <f>IF(Design_Tool!$E$15,V244,X244)</f>
        <v>1.425</v>
      </c>
      <c r="AA244" s="113" t="s">
        <v>564</v>
      </c>
    </row>
    <row r="245" spans="20:27" ht="13.5" thickBot="1">
      <c r="T245" s="112" t="s">
        <v>311</v>
      </c>
      <c r="U245" s="116" t="str">
        <f t="shared" si="10"/>
        <v>11101101</v>
      </c>
      <c r="V245" s="113">
        <v>1.43</v>
      </c>
      <c r="W245" s="113" t="str">
        <f t="shared" si="11"/>
        <v>11101101</v>
      </c>
      <c r="X245" s="114">
        <v>2.5</v>
      </c>
      <c r="Z245">
        <f>IF(Design_Tool!$E$15,V245,X245)</f>
        <v>1.43</v>
      </c>
      <c r="AA245" s="113" t="s">
        <v>565</v>
      </c>
    </row>
    <row r="246" spans="20:27" ht="13.5" thickBot="1">
      <c r="T246" s="112" t="s">
        <v>312</v>
      </c>
      <c r="U246" s="116" t="str">
        <f t="shared" si="10"/>
        <v>11101110</v>
      </c>
      <c r="V246" s="113">
        <v>1.4350000000000001</v>
      </c>
      <c r="W246" s="113" t="str">
        <f t="shared" si="11"/>
        <v>11101110</v>
      </c>
      <c r="X246" s="114">
        <v>2.5</v>
      </c>
      <c r="Z246">
        <f>IF(Design_Tool!$E$15,V246,X246)</f>
        <v>1.4350000000000001</v>
      </c>
      <c r="AA246" s="113" t="s">
        <v>566</v>
      </c>
    </row>
    <row r="247" spans="20:27" ht="13.5" thickBot="1">
      <c r="T247" s="112" t="s">
        <v>313</v>
      </c>
      <c r="U247" s="116" t="str">
        <f t="shared" si="10"/>
        <v>11101111</v>
      </c>
      <c r="V247" s="113">
        <v>1.44</v>
      </c>
      <c r="W247" s="113" t="str">
        <f t="shared" si="11"/>
        <v>11101111</v>
      </c>
      <c r="X247" s="114">
        <v>2.5</v>
      </c>
      <c r="Z247">
        <f>IF(Design_Tool!$E$15,V247,X247)</f>
        <v>1.44</v>
      </c>
      <c r="AA247" s="113" t="s">
        <v>567</v>
      </c>
    </row>
    <row r="248" spans="20:27" ht="13.5" thickBot="1">
      <c r="T248" s="112" t="s">
        <v>314</v>
      </c>
      <c r="U248" s="116" t="str">
        <f t="shared" si="10"/>
        <v>11110000</v>
      </c>
      <c r="V248" s="113">
        <v>1.4450000000000001</v>
      </c>
      <c r="W248" s="113" t="str">
        <f t="shared" si="11"/>
        <v>11110000</v>
      </c>
      <c r="X248" s="114">
        <v>2.5</v>
      </c>
      <c r="Z248">
        <f>IF(Design_Tool!$E$15,V248,X248)</f>
        <v>1.4450000000000001</v>
      </c>
      <c r="AA248" s="113" t="s">
        <v>568</v>
      </c>
    </row>
    <row r="249" spans="20:27" ht="13.5" thickBot="1">
      <c r="T249" s="112" t="s">
        <v>315</v>
      </c>
      <c r="U249" s="116" t="str">
        <f t="shared" si="10"/>
        <v>11110001</v>
      </c>
      <c r="V249" s="113">
        <v>1.45</v>
      </c>
      <c r="W249" s="113" t="str">
        <f t="shared" si="11"/>
        <v>11110001</v>
      </c>
      <c r="X249" s="114">
        <v>2.5</v>
      </c>
      <c r="Z249">
        <f>IF(Design_Tool!$E$15,V249,X249)</f>
        <v>1.45</v>
      </c>
      <c r="AA249" s="113" t="s">
        <v>569</v>
      </c>
    </row>
    <row r="250" spans="20:27" ht="13.5" thickBot="1">
      <c r="T250" s="112" t="s">
        <v>316</v>
      </c>
      <c r="U250" s="116" t="str">
        <f t="shared" si="10"/>
        <v>11110010</v>
      </c>
      <c r="V250" s="113">
        <v>1.4550000000000001</v>
      </c>
      <c r="W250" s="113" t="str">
        <f t="shared" si="11"/>
        <v>11110010</v>
      </c>
      <c r="X250" s="114">
        <v>2.5</v>
      </c>
      <c r="Z250">
        <f>IF(Design_Tool!$E$15,V250,X250)</f>
        <v>1.4550000000000001</v>
      </c>
      <c r="AA250" s="113" t="s">
        <v>570</v>
      </c>
    </row>
    <row r="251" spans="20:27" ht="13.5" thickBot="1">
      <c r="T251" s="112" t="s">
        <v>317</v>
      </c>
      <c r="U251" s="116" t="str">
        <f t="shared" si="10"/>
        <v>11110011</v>
      </c>
      <c r="V251" s="113">
        <v>1.46</v>
      </c>
      <c r="W251" s="113" t="str">
        <f t="shared" si="11"/>
        <v>11110011</v>
      </c>
      <c r="X251" s="114">
        <v>2.5</v>
      </c>
      <c r="Z251">
        <f>IF(Design_Tool!$E$15,V251,X251)</f>
        <v>1.46</v>
      </c>
      <c r="AA251" s="113" t="s">
        <v>571</v>
      </c>
    </row>
    <row r="252" spans="20:27" ht="13.5" thickBot="1">
      <c r="T252" s="112" t="s">
        <v>318</v>
      </c>
      <c r="U252" s="116" t="str">
        <f t="shared" si="10"/>
        <v>11110100</v>
      </c>
      <c r="V252" s="113">
        <v>1.4650000000000001</v>
      </c>
      <c r="W252" s="113" t="str">
        <f t="shared" si="11"/>
        <v>11110100</v>
      </c>
      <c r="X252" s="114">
        <v>2.5</v>
      </c>
      <c r="Z252">
        <f>IF(Design_Tool!$E$15,V252,X252)</f>
        <v>1.4650000000000001</v>
      </c>
      <c r="AA252" s="113" t="s">
        <v>572</v>
      </c>
    </row>
    <row r="253" spans="20:27" ht="13.5" thickBot="1">
      <c r="T253" s="112" t="s">
        <v>319</v>
      </c>
      <c r="U253" s="116" t="str">
        <f t="shared" si="10"/>
        <v>11110101</v>
      </c>
      <c r="V253" s="113">
        <v>1.47</v>
      </c>
      <c r="W253" s="113" t="str">
        <f t="shared" si="11"/>
        <v>11110101</v>
      </c>
      <c r="X253" s="114">
        <v>2.5</v>
      </c>
      <c r="Z253">
        <f>IF(Design_Tool!$E$15,V253,X253)</f>
        <v>1.47</v>
      </c>
      <c r="AA253" s="113" t="s">
        <v>573</v>
      </c>
    </row>
    <row r="254" spans="20:27" ht="13.5" thickBot="1">
      <c r="T254" s="112" t="s">
        <v>320</v>
      </c>
      <c r="U254" s="116" t="str">
        <f t="shared" si="10"/>
        <v>11110110</v>
      </c>
      <c r="V254" s="113">
        <v>1.4750000000000001</v>
      </c>
      <c r="W254" s="113" t="str">
        <f t="shared" si="11"/>
        <v>11110110</v>
      </c>
      <c r="X254" s="114">
        <v>2.5</v>
      </c>
      <c r="Z254">
        <f>IF(Design_Tool!$E$15,V254,X254)</f>
        <v>1.4750000000000001</v>
      </c>
      <c r="AA254" s="113" t="s">
        <v>574</v>
      </c>
    </row>
    <row r="255" spans="20:27" ht="13.5" thickBot="1">
      <c r="T255" s="112" t="s">
        <v>321</v>
      </c>
      <c r="U255" s="116" t="str">
        <f t="shared" si="10"/>
        <v>11110111</v>
      </c>
      <c r="V255" s="113">
        <v>1.48</v>
      </c>
      <c r="W255" s="113" t="str">
        <f t="shared" si="11"/>
        <v>11110111</v>
      </c>
      <c r="X255" s="114">
        <v>2.5</v>
      </c>
      <c r="Z255">
        <f>IF(Design_Tool!$E$15,V255,X255)</f>
        <v>1.48</v>
      </c>
      <c r="AA255" s="113" t="s">
        <v>575</v>
      </c>
    </row>
    <row r="256" spans="20:27" ht="13.5" thickBot="1">
      <c r="T256" s="112" t="s">
        <v>322</v>
      </c>
      <c r="U256" s="116" t="str">
        <f t="shared" si="10"/>
        <v>11111000</v>
      </c>
      <c r="V256" s="113">
        <v>1.4850000000000001</v>
      </c>
      <c r="W256" s="113" t="str">
        <f t="shared" si="11"/>
        <v>11111000</v>
      </c>
      <c r="X256" s="114">
        <v>2.5</v>
      </c>
      <c r="Z256">
        <f>IF(Design_Tool!$E$15,V256,X256)</f>
        <v>1.4850000000000001</v>
      </c>
      <c r="AA256" s="113" t="s">
        <v>576</v>
      </c>
    </row>
    <row r="257" spans="20:27" ht="13.5" thickBot="1">
      <c r="T257" s="112" t="s">
        <v>323</v>
      </c>
      <c r="U257" s="116" t="str">
        <f t="shared" si="10"/>
        <v>11111001</v>
      </c>
      <c r="V257" s="113">
        <v>1.49</v>
      </c>
      <c r="W257" s="113" t="str">
        <f t="shared" si="11"/>
        <v>11111001</v>
      </c>
      <c r="X257" s="114">
        <v>2.5</v>
      </c>
      <c r="Z257">
        <f>IF(Design_Tool!$E$15,V257,X257)</f>
        <v>1.49</v>
      </c>
      <c r="AA257" s="113" t="s">
        <v>577</v>
      </c>
    </row>
    <row r="258" spans="20:27" ht="13.5" thickBot="1">
      <c r="T258" s="112" t="s">
        <v>324</v>
      </c>
      <c r="U258" s="116" t="str">
        <f t="shared" si="10"/>
        <v>11111010</v>
      </c>
      <c r="V258" s="113">
        <v>1.4950000000000001</v>
      </c>
      <c r="W258" s="113" t="str">
        <f t="shared" si="11"/>
        <v>11111010</v>
      </c>
      <c r="X258" s="114">
        <v>2.5</v>
      </c>
      <c r="Z258">
        <f>IF(Design_Tool!$E$15,V258,X258)</f>
        <v>1.4950000000000001</v>
      </c>
      <c r="AA258" s="113" t="s">
        <v>578</v>
      </c>
    </row>
    <row r="259" spans="20:27" ht="13.5" thickBot="1">
      <c r="T259" s="112" t="s">
        <v>325</v>
      </c>
      <c r="U259" s="116" t="str">
        <f t="shared" si="10"/>
        <v>11111011</v>
      </c>
      <c r="V259" s="113">
        <v>1.5</v>
      </c>
      <c r="W259" s="113" t="str">
        <f t="shared" si="11"/>
        <v>11111011</v>
      </c>
      <c r="X259" s="114">
        <v>2.5</v>
      </c>
      <c r="Z259">
        <f>IF(Design_Tool!$E$15,V259,X259)</f>
        <v>1.5</v>
      </c>
      <c r="AA259" s="113" t="s">
        <v>579</v>
      </c>
    </row>
    <row r="260" spans="20:27" ht="13.5" thickBot="1">
      <c r="T260" s="112" t="s">
        <v>326</v>
      </c>
      <c r="U260" s="116" t="str">
        <f t="shared" si="10"/>
        <v>11111100</v>
      </c>
      <c r="V260" s="113">
        <v>1.5049999999999999</v>
      </c>
      <c r="W260" s="113" t="str">
        <f t="shared" si="11"/>
        <v>11111100</v>
      </c>
      <c r="X260" s="114">
        <v>2.5</v>
      </c>
      <c r="Z260">
        <f>IF(Design_Tool!$E$15,V260,X260)</f>
        <v>1.5049999999999999</v>
      </c>
      <c r="AA260" s="113" t="s">
        <v>580</v>
      </c>
    </row>
    <row r="261" spans="20:27" ht="13.5" thickBot="1">
      <c r="T261" s="112" t="s">
        <v>327</v>
      </c>
      <c r="U261" s="116" t="str">
        <f t="shared" si="10"/>
        <v>11111101</v>
      </c>
      <c r="V261" s="113">
        <v>1.51</v>
      </c>
      <c r="W261" s="113" t="str">
        <f t="shared" si="11"/>
        <v>11111101</v>
      </c>
      <c r="X261" s="114">
        <v>2.5</v>
      </c>
      <c r="Z261">
        <f>IF(Design_Tool!$E$15,V261,X261)</f>
        <v>1.51</v>
      </c>
      <c r="AA261" s="113" t="s">
        <v>581</v>
      </c>
    </row>
    <row r="262" spans="20:27" ht="13.5" thickBot="1">
      <c r="T262" s="112" t="s">
        <v>328</v>
      </c>
      <c r="U262" s="116" t="str">
        <f t="shared" si="10"/>
        <v>11111110</v>
      </c>
      <c r="V262" s="113">
        <v>1.5149999999999999</v>
      </c>
      <c r="W262" s="113" t="str">
        <f t="shared" si="11"/>
        <v>11111110</v>
      </c>
      <c r="X262" s="114">
        <v>2.5</v>
      </c>
      <c r="Z262">
        <f>IF(Design_Tool!$E$15,V262,X262)</f>
        <v>1.5149999999999999</v>
      </c>
      <c r="AA262" s="113" t="s">
        <v>582</v>
      </c>
    </row>
    <row r="263" spans="20:27" ht="13.5" thickBot="1">
      <c r="T263" s="112" t="s">
        <v>329</v>
      </c>
      <c r="U263" s="116" t="str">
        <f t="shared" si="10"/>
        <v>11111111</v>
      </c>
      <c r="V263" s="113">
        <v>1.52</v>
      </c>
      <c r="W263" s="113" t="str">
        <f t="shared" si="11"/>
        <v>11111111</v>
      </c>
      <c r="X263" s="114">
        <v>2.5</v>
      </c>
      <c r="Z263">
        <f>IF(Design_Tool!$E$15,V263,X263)</f>
        <v>1.52</v>
      </c>
      <c r="AA263" s="113" t="s">
        <v>583</v>
      </c>
    </row>
    <row r="264" spans="20:27" ht="15.5">
      <c r="T264" s="115"/>
      <c r="U264" s="115"/>
    </row>
  </sheetData>
  <mergeCells count="21">
    <mergeCell ref="B24:B31"/>
    <mergeCell ref="B33:B40"/>
    <mergeCell ref="B69:B70"/>
    <mergeCell ref="B92:B99"/>
    <mergeCell ref="D63:D64"/>
    <mergeCell ref="B65:B66"/>
    <mergeCell ref="C65:C66"/>
    <mergeCell ref="D65:D66"/>
    <mergeCell ref="B67:B68"/>
    <mergeCell ref="C67:C68"/>
    <mergeCell ref="D67:D68"/>
    <mergeCell ref="B63:B64"/>
    <mergeCell ref="C63:C64"/>
    <mergeCell ref="B155:B158"/>
    <mergeCell ref="E67:E68"/>
    <mergeCell ref="B84:B91"/>
    <mergeCell ref="C69:C70"/>
    <mergeCell ref="D69:D70"/>
    <mergeCell ref="B71:B72"/>
    <mergeCell ref="C71:C72"/>
    <mergeCell ref="D71:D7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55FB542D5A594A9916BC1FB8864F0B" ma:contentTypeVersion="0" ma:contentTypeDescription="Create a new document." ma:contentTypeScope="" ma:versionID="3fbcc6db73e75feb81122e651ec329f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9467F9B-0DBD-4F53-A4A8-1F2C18D3E90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BB5564-39CF-4E14-87CD-9C8A5349B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410183-ED03-47B8-96F5-822025E43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Design_Tool</vt:lpstr>
      <vt:lpstr>Datasheet</vt:lpstr>
      <vt:lpstr>IMAX</vt:lpstr>
      <vt:lpstr>Datasheet!OLE_LINK5</vt:lpstr>
      <vt:lpstr>Design_Tool!Print_Area</vt:lpstr>
    </vt:vector>
  </TitlesOfParts>
  <Company>Texas Instruments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A0796437</dc:creator>
  <cp:lastModifiedBy>Windows User</cp:lastModifiedBy>
  <cp:lastPrinted>2012-08-08T22:02:13Z</cp:lastPrinted>
  <dcterms:created xsi:type="dcterms:W3CDTF">2008-11-11T14:48:40Z</dcterms:created>
  <dcterms:modified xsi:type="dcterms:W3CDTF">2019-10-22T11:40:11Z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0x0101001055FB542D5A594A9916BC1FB8864F0B</vt:lpwstr>
  </property>
</Properties>
</file>