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endra\Desktop\"/>
    </mc:Choice>
  </mc:AlternateContent>
  <bookViews>
    <workbookView xWindow="0" yWindow="0" windowWidth="20490" windowHeight="7530" activeTab="1" xr2:uid="{F110862A-1BD0-45E4-9152-70CA402461D9}"/>
  </bookViews>
  <sheets>
    <sheet name="For 1.0V (CH-1)" sheetId="1" r:id="rId1"/>
    <sheet name="For 3.3V (CH-1)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3" l="1"/>
  <c r="C105" i="3"/>
  <c r="C100" i="3"/>
  <c r="C99" i="3"/>
  <c r="C92" i="3"/>
  <c r="C72" i="3"/>
  <c r="C85" i="3"/>
  <c r="C81" i="3"/>
  <c r="C71" i="3"/>
  <c r="C70" i="3"/>
  <c r="C52" i="3" l="1"/>
  <c r="C48" i="3"/>
  <c r="C32" i="3"/>
  <c r="C98" i="3"/>
  <c r="C80" i="3"/>
  <c r="C79" i="3"/>
  <c r="C78" i="3"/>
  <c r="C63" i="3"/>
  <c r="C40" i="3"/>
  <c r="C33" i="3"/>
  <c r="C47" i="3" s="1"/>
  <c r="C15" i="3"/>
  <c r="C106" i="1"/>
  <c r="C99" i="1"/>
  <c r="C92" i="1"/>
  <c r="C85" i="1"/>
  <c r="C81" i="1"/>
  <c r="C80" i="1"/>
  <c r="C79" i="1"/>
  <c r="C105" i="1"/>
  <c r="C98" i="1"/>
  <c r="C46" i="3" l="1"/>
  <c r="C78" i="1"/>
  <c r="C63" i="1"/>
  <c r="C40" i="1"/>
  <c r="C47" i="1" s="1"/>
  <c r="C33" i="1"/>
  <c r="C46" i="1" s="1"/>
  <c r="C32" i="1"/>
  <c r="C71" i="1" l="1"/>
  <c r="C70" i="1"/>
  <c r="C52" i="1"/>
  <c r="C15" i="1"/>
</calcChain>
</file>

<file path=xl/sharedStrings.xml><?xml version="1.0" encoding="utf-8"?>
<sst xmlns="http://schemas.openxmlformats.org/spreadsheetml/2006/main" count="198" uniqueCount="77">
  <si>
    <t>R1</t>
  </si>
  <si>
    <t>R2</t>
  </si>
  <si>
    <t>Volts</t>
  </si>
  <si>
    <t>Ohms</t>
  </si>
  <si>
    <t>Vin</t>
  </si>
  <si>
    <t>L</t>
  </si>
  <si>
    <t>H</t>
  </si>
  <si>
    <t>TPS54291 component values calculations</t>
  </si>
  <si>
    <t>Vout (Reqd)</t>
  </si>
  <si>
    <t>Vout (Calc)</t>
  </si>
  <si>
    <t>Duty Cycle Estimation:</t>
  </si>
  <si>
    <t>Feedback resistor values:</t>
  </si>
  <si>
    <t>Inductor value:</t>
  </si>
  <si>
    <t>Vin (Min)</t>
  </si>
  <si>
    <t>Vin (Max)</t>
  </si>
  <si>
    <t>D (Max)</t>
  </si>
  <si>
    <t>D (Min)</t>
  </si>
  <si>
    <t>Inductor Selection:</t>
  </si>
  <si>
    <t>(Considering channel-1 only)</t>
  </si>
  <si>
    <t>I Lrip (Max)</t>
  </si>
  <si>
    <t>Amps</t>
  </si>
  <si>
    <t>Iout (Max)</t>
  </si>
  <si>
    <t>L min</t>
  </si>
  <si>
    <t>fsw</t>
  </si>
  <si>
    <t>(TPS54291)</t>
  </si>
  <si>
    <t>Hz</t>
  </si>
  <si>
    <t>uH</t>
  </si>
  <si>
    <t>I ripple</t>
  </si>
  <si>
    <t>A</t>
  </si>
  <si>
    <t>Also I L(avg)</t>
  </si>
  <si>
    <t>Feedback:</t>
  </si>
  <si>
    <t>RFB</t>
  </si>
  <si>
    <t>VFB</t>
  </si>
  <si>
    <t>RBIAS</t>
  </si>
  <si>
    <t>Compensation Components:</t>
  </si>
  <si>
    <t>Vout (reqd) / Iout (max)</t>
  </si>
  <si>
    <t>Output Capacitor Selection:</t>
  </si>
  <si>
    <t>Cout</t>
  </si>
  <si>
    <t>I Tran(max)</t>
  </si>
  <si>
    <t>Vover</t>
  </si>
  <si>
    <t>F</t>
  </si>
  <si>
    <t>L min (in H)</t>
  </si>
  <si>
    <t>for calc</t>
  </si>
  <si>
    <t>for procure</t>
  </si>
  <si>
    <t>Cout (in F)</t>
  </si>
  <si>
    <t>uF</t>
  </si>
  <si>
    <t>(Channel-1 current)</t>
  </si>
  <si>
    <t>The TPS54291 controller uses a transconductance error amplifier, which is compensated with a series capacitor and resistor to ground plus a high-frequency capacitor to reduce the gain at high frequency</t>
  </si>
  <si>
    <t>FM</t>
  </si>
  <si>
    <t>Fc</t>
  </si>
  <si>
    <t>dB</t>
  </si>
  <si>
    <t>KEA</t>
  </si>
  <si>
    <t>Rload</t>
  </si>
  <si>
    <t>Compensation Gain Setting Resistor:</t>
  </si>
  <si>
    <t>fCO</t>
  </si>
  <si>
    <t>gM</t>
  </si>
  <si>
    <t>Sec</t>
  </si>
  <si>
    <t>from datasheet</t>
  </si>
  <si>
    <t>Rcomp</t>
  </si>
  <si>
    <t>Compensation Integrator Capacitor:</t>
  </si>
  <si>
    <t>fPOLE</t>
  </si>
  <si>
    <t>Ccomp</t>
  </si>
  <si>
    <t>tON</t>
  </si>
  <si>
    <t>K</t>
  </si>
  <si>
    <t>TPS54291</t>
  </si>
  <si>
    <t>Zupper</t>
  </si>
  <si>
    <t>Zlower</t>
  </si>
  <si>
    <t>better to select nearby value of L</t>
  </si>
  <si>
    <t>L (actual)</t>
  </si>
  <si>
    <t>nearby value</t>
  </si>
  <si>
    <t>after selecting nearby value of L</t>
  </si>
  <si>
    <t>Vin(max) selected</t>
  </si>
  <si>
    <t>Cout (min)</t>
  </si>
  <si>
    <t>Cout (actual)</t>
  </si>
  <si>
    <t>nearby value after ESR</t>
  </si>
  <si>
    <t>Rcomp (near-by)</t>
  </si>
  <si>
    <t>mistake in datasheet formula?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</si>
</sst>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164" fontId="0" fillId="3" borderId="0" xfId="0" applyNumberFormat="1" applyFill="1"/>
    <xf numFmtId="2" fontId="0" fillId="2" borderId="0" xfId="0" applyNumberFormat="1" applyFill="1"/>
    <xf numFmtId="0" fontId="2" fillId="0" borderId="0" xfId="0" applyFont="1"/>
    <xf numFmtId="0" fontId="3" fillId="0" borderId="0" xfId="0" applyFont="1"/>
    <xf numFmtId="0" fontId="0" fillId="3" borderId="0" xfId="0" applyNumberFormat="1" applyFill="1"/>
    <xf numFmtId="2" fontId="0" fillId="4" borderId="0" xfId="0" applyNumberFormat="1" applyFill="1"/>
    <xf numFmtId="0" fontId="0" fillId="4" borderId="0" xfId="0" applyFill="1"/>
    <xf numFmtId="165" fontId="0" fillId="3" borderId="0" xfId="0" applyNumberFormat="1" applyFill="1"/>
    <xf numFmtId="0" fontId="0" fillId="0" borderId="0" xfId="0" applyFont="1"/>
    <xf numFmtId="0" fontId="0" fillId="4" borderId="0" xfId="0" applyNumberFormat="1" applyFill="1"/>
    <xf numFmtId="164" fontId="1" fillId="3" borderId="0" xfId="0" applyNumberFormat="1" applyFont="1" applyFill="1"/>
    <xf numFmtId="0" fontId="0" fillId="0" borderId="0" xfId="0" applyFont="1" applyAlignment="1">
      <alignment horizontal="left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46B7B-D094-4565-BD1E-E4A08DD1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2009775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F40BEA-71B9-4506-AE91-738A071BA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23</xdr:row>
      <xdr:rowOff>38100</xdr:rowOff>
    </xdr:from>
    <xdr:to>
      <xdr:col>7</xdr:col>
      <xdr:colOff>19050</xdr:colOff>
      <xdr:row>26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94C13D-C3D9-4983-8A1D-4701C397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5257800"/>
          <a:ext cx="12096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30</xdr:row>
      <xdr:rowOff>28575</xdr:rowOff>
    </xdr:from>
    <xdr:to>
      <xdr:col>7</xdr:col>
      <xdr:colOff>171450</xdr:colOff>
      <xdr:row>36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963839-C2DE-40DD-9A52-8D71D5D5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65817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11</xdr:col>
      <xdr:colOff>285750</xdr:colOff>
      <xdr:row>41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955A14-7AC8-4D03-A7D7-4FEF6741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84867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43</xdr:row>
      <xdr:rowOff>28575</xdr:rowOff>
    </xdr:from>
    <xdr:to>
      <xdr:col>9</xdr:col>
      <xdr:colOff>514350</xdr:colOff>
      <xdr:row>49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D82C1A-FB31-436D-8741-DD6A4519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4392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51</xdr:row>
      <xdr:rowOff>19050</xdr:rowOff>
    </xdr:from>
    <xdr:to>
      <xdr:col>10</xdr:col>
      <xdr:colOff>47625</xdr:colOff>
      <xdr:row>57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7B3213B-705A-4BB2-8A80-68B9A7B8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09537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60</xdr:row>
      <xdr:rowOff>28575</xdr:rowOff>
    </xdr:from>
    <xdr:to>
      <xdr:col>7</xdr:col>
      <xdr:colOff>514350</xdr:colOff>
      <xdr:row>62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FC1CD6-E4F3-4E01-9BBE-546FAB2F9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26777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66</xdr:row>
      <xdr:rowOff>28575</xdr:rowOff>
    </xdr:from>
    <xdr:to>
      <xdr:col>8</xdr:col>
      <xdr:colOff>438150</xdr:colOff>
      <xdr:row>69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B78E065-2C88-4AE2-8981-2C17C2D57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38207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19050</xdr:rowOff>
    </xdr:from>
    <xdr:to>
      <xdr:col>10</xdr:col>
      <xdr:colOff>561975</xdr:colOff>
      <xdr:row>82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A816EC-36C1-4F5B-9BA9-43979D21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7449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79</xdr:row>
      <xdr:rowOff>19050</xdr:rowOff>
    </xdr:from>
    <xdr:to>
      <xdr:col>14</xdr:col>
      <xdr:colOff>466725</xdr:colOff>
      <xdr:row>83</xdr:row>
      <xdr:rowOff>19050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5D04A53-3287-4808-B482-830385C36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67449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8</xdr:col>
      <xdr:colOff>371475</xdr:colOff>
      <xdr:row>88</xdr:row>
      <xdr:rowOff>66675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F4DDB3F-C5FB-400A-AF62-3389DC31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76784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10</xdr:col>
      <xdr:colOff>485775</xdr:colOff>
      <xdr:row>93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2429315-58F1-4085-B54B-89A7BFE5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88214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9</xdr:col>
      <xdr:colOff>219075</xdr:colOff>
      <xdr:row>100</xdr:row>
      <xdr:rowOff>76200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4F5A1BC-BAF5-408B-8CE3-96D79843B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01549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97</xdr:row>
      <xdr:rowOff>0</xdr:rowOff>
    </xdr:from>
    <xdr:to>
      <xdr:col>17</xdr:col>
      <xdr:colOff>333375</xdr:colOff>
      <xdr:row>116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5B66D6F-92B5-4426-A851-C7403033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01549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104</xdr:row>
      <xdr:rowOff>19050</xdr:rowOff>
    </xdr:from>
    <xdr:to>
      <xdr:col>8</xdr:col>
      <xdr:colOff>390525</xdr:colOff>
      <xdr:row>108</xdr:row>
      <xdr:rowOff>171450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EAF677E-966E-4A99-87A0-F545CF7D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3644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128D4-73E0-406C-8386-12091964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981200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9A99A7-F1AC-4DDD-AD49-2FAD605E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23</xdr:row>
      <xdr:rowOff>38100</xdr:rowOff>
    </xdr:from>
    <xdr:to>
      <xdr:col>7</xdr:col>
      <xdr:colOff>19050</xdr:colOff>
      <xdr:row>26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B4E27-DB48-416A-BC9D-31565398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495800"/>
          <a:ext cx="12096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30</xdr:row>
      <xdr:rowOff>28575</xdr:rowOff>
    </xdr:from>
    <xdr:to>
      <xdr:col>7</xdr:col>
      <xdr:colOff>171450</xdr:colOff>
      <xdr:row>36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B7FA00-80E9-43E1-A596-F6706E85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8197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11</xdr:col>
      <xdr:colOff>285750</xdr:colOff>
      <xdr:row>41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BF2562-D3D0-4036-B237-62C3F09F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73437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43</xdr:row>
      <xdr:rowOff>28575</xdr:rowOff>
    </xdr:from>
    <xdr:to>
      <xdr:col>9</xdr:col>
      <xdr:colOff>514350</xdr:colOff>
      <xdr:row>49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B74762-300F-4E8F-A6C0-EF5B2720D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82962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51</xdr:row>
      <xdr:rowOff>19050</xdr:rowOff>
    </xdr:from>
    <xdr:to>
      <xdr:col>10</xdr:col>
      <xdr:colOff>47625</xdr:colOff>
      <xdr:row>57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D7836BF-E209-4A0B-85C8-67DE59AE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98107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60</xdr:row>
      <xdr:rowOff>28575</xdr:rowOff>
    </xdr:from>
    <xdr:to>
      <xdr:col>7</xdr:col>
      <xdr:colOff>514350</xdr:colOff>
      <xdr:row>62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A5A561F-A0AA-4FA0-9477-4A93AE6B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15347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66</xdr:row>
      <xdr:rowOff>28575</xdr:rowOff>
    </xdr:from>
    <xdr:to>
      <xdr:col>8</xdr:col>
      <xdr:colOff>438150</xdr:colOff>
      <xdr:row>69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AAFA0D2-0547-47F0-912C-29F0D5D85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26777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19050</xdr:rowOff>
    </xdr:from>
    <xdr:to>
      <xdr:col>10</xdr:col>
      <xdr:colOff>561975</xdr:colOff>
      <xdr:row>82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1FF63D8-D6EA-4DAD-80DF-3F659675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56019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79</xdr:row>
      <xdr:rowOff>19050</xdr:rowOff>
    </xdr:from>
    <xdr:to>
      <xdr:col>14</xdr:col>
      <xdr:colOff>466725</xdr:colOff>
      <xdr:row>83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E97079-F254-4E67-897F-F12522581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56019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8</xdr:col>
      <xdr:colOff>371475</xdr:colOff>
      <xdr:row>88</xdr:row>
      <xdr:rowOff>66675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7B21395-CBDE-4773-9CE6-C88576A7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5354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10</xdr:col>
      <xdr:colOff>485775</xdr:colOff>
      <xdr:row>93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A143033-DF3B-4EC7-9338-77B452B95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76784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9</xdr:col>
      <xdr:colOff>219075</xdr:colOff>
      <xdr:row>100</xdr:row>
      <xdr:rowOff>76200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43192DA-9881-4B0F-A4E9-0260ED67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90119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97</xdr:row>
      <xdr:rowOff>0</xdr:rowOff>
    </xdr:from>
    <xdr:to>
      <xdr:col>17</xdr:col>
      <xdr:colOff>333375</xdr:colOff>
      <xdr:row>116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7A23F44-4637-4CDA-869C-F7C6DD28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90119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104</xdr:row>
      <xdr:rowOff>19050</xdr:rowOff>
    </xdr:from>
    <xdr:to>
      <xdr:col>8</xdr:col>
      <xdr:colOff>390525</xdr:colOff>
      <xdr:row>108</xdr:row>
      <xdr:rowOff>171450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3E7010E-2BC4-4CB2-9AB8-1BB00C36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3644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110</xdr:row>
      <xdr:rowOff>0</xdr:rowOff>
    </xdr:from>
    <xdr:to>
      <xdr:col>8</xdr:col>
      <xdr:colOff>523875</xdr:colOff>
      <xdr:row>112</xdr:row>
      <xdr:rowOff>133350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381305C-A5F9-4859-A7B8-7190C673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1488400"/>
          <a:ext cx="2352675" cy="514350"/>
        </a:xfrm>
        <a:prstGeom prst="rect">
          <a:avLst/>
        </a:prstGeom>
        <a:noFill/>
        <a:ln w="15875">
          <a:solidFill>
            <a:srgbClr val="00B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5630-EA09-4480-BF28-4DAD60EF8FC0}">
  <dimension ref="B1:I106"/>
  <sheetViews>
    <sheetView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1</v>
      </c>
      <c r="D7" t="s">
        <v>2</v>
      </c>
    </row>
    <row r="8" spans="2:6" x14ac:dyDescent="0.25">
      <c r="B8" s="1" t="s">
        <v>21</v>
      </c>
      <c r="C8" s="4">
        <v>1.5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v>80600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1.0034739454094292</v>
      </c>
      <c r="D15" t="s">
        <v>2</v>
      </c>
    </row>
    <row r="23" spans="2:4" x14ac:dyDescent="0.25">
      <c r="B23" s="1" t="s">
        <v>12</v>
      </c>
    </row>
    <row r="24" spans="2:4" x14ac:dyDescent="0.25">
      <c r="B24" s="1"/>
    </row>
    <row r="25" spans="2:4" x14ac:dyDescent="0.25">
      <c r="B25" s="1" t="s">
        <v>5</v>
      </c>
      <c r="C25" s="3"/>
      <c r="D25" t="s">
        <v>6</v>
      </c>
    </row>
    <row r="26" spans="2:4" x14ac:dyDescent="0.25">
      <c r="B26" s="1"/>
    </row>
    <row r="27" spans="2:4" x14ac:dyDescent="0.25">
      <c r="B27" s="1"/>
    </row>
    <row r="30" spans="2:4" x14ac:dyDescent="0.25">
      <c r="B30" s="1" t="s">
        <v>10</v>
      </c>
    </row>
    <row r="32" spans="2:4" x14ac:dyDescent="0.25">
      <c r="B32" t="s">
        <v>15</v>
      </c>
      <c r="C32" s="3">
        <f>C7/C5</f>
        <v>0.125</v>
      </c>
    </row>
    <row r="33" spans="2:5" x14ac:dyDescent="0.25">
      <c r="B33" t="s">
        <v>16</v>
      </c>
      <c r="C33" s="3">
        <f>C7/C6</f>
        <v>7.1428571428571425E-2</v>
      </c>
    </row>
    <row r="38" spans="2:5" x14ac:dyDescent="0.25">
      <c r="B38" s="1" t="s">
        <v>17</v>
      </c>
    </row>
    <row r="40" spans="2:5" x14ac:dyDescent="0.25">
      <c r="B40" t="s">
        <v>19</v>
      </c>
      <c r="C40" s="3">
        <f>0.3*C8</f>
        <v>0.44999999999999996</v>
      </c>
      <c r="D40" t="s">
        <v>20</v>
      </c>
      <c r="E40" t="s">
        <v>46</v>
      </c>
    </row>
    <row r="45" spans="2:5" x14ac:dyDescent="0.25">
      <c r="B45" t="s">
        <v>23</v>
      </c>
      <c r="C45" s="9">
        <v>600000</v>
      </c>
      <c r="D45" t="s">
        <v>25</v>
      </c>
      <c r="E45" t="s">
        <v>24</v>
      </c>
    </row>
    <row r="46" spans="2:5" x14ac:dyDescent="0.25">
      <c r="B46" s="1" t="s">
        <v>22</v>
      </c>
      <c r="C46" s="13">
        <f>((((C6-C7)/C40)*C33)*(1/C45))*1000000</f>
        <v>3.4391534391534395</v>
      </c>
      <c r="D46" s="1" t="s">
        <v>26</v>
      </c>
      <c r="E46" t="s">
        <v>43</v>
      </c>
    </row>
    <row r="47" spans="2:5" x14ac:dyDescent="0.25">
      <c r="B47" t="s">
        <v>41</v>
      </c>
      <c r="C47" s="10">
        <f>((((C6-C7)/C40)*C33)*(1/C45))</f>
        <v>3.4391534391534394E-6</v>
      </c>
      <c r="D47" t="s">
        <v>6</v>
      </c>
      <c r="E47" t="s">
        <v>42</v>
      </c>
    </row>
    <row r="52" spans="2:5" x14ac:dyDescent="0.25">
      <c r="B52" t="s">
        <v>27</v>
      </c>
      <c r="C52" s="3">
        <f>((C6-C7)/(C47))*C33*(1/C45)</f>
        <v>0.4499999999999999</v>
      </c>
      <c r="D52" t="s">
        <v>28</v>
      </c>
      <c r="E52" t="s">
        <v>67</v>
      </c>
    </row>
    <row r="59" spans="2:5" x14ac:dyDescent="0.25">
      <c r="B59" s="1" t="s">
        <v>30</v>
      </c>
    </row>
    <row r="61" spans="2:5" x14ac:dyDescent="0.25">
      <c r="B61" t="s">
        <v>31</v>
      </c>
      <c r="C61" s="2">
        <v>20500</v>
      </c>
      <c r="D61" t="s">
        <v>3</v>
      </c>
    </row>
    <row r="62" spans="2:5" x14ac:dyDescent="0.25">
      <c r="B62" t="s">
        <v>32</v>
      </c>
      <c r="C62" s="8">
        <v>0.8</v>
      </c>
      <c r="D62" t="s">
        <v>2</v>
      </c>
      <c r="E62" t="s">
        <v>57</v>
      </c>
    </row>
    <row r="63" spans="2:5" x14ac:dyDescent="0.25">
      <c r="B63" t="s">
        <v>33</v>
      </c>
      <c r="C63" s="7">
        <f>(C62*C61)/(C7-C62)</f>
        <v>82000.000000000015</v>
      </c>
      <c r="D63" t="s">
        <v>3</v>
      </c>
    </row>
    <row r="66" spans="2:9" x14ac:dyDescent="0.25">
      <c r="B66" s="1" t="s">
        <v>36</v>
      </c>
    </row>
    <row r="68" spans="2:9" x14ac:dyDescent="0.25">
      <c r="B68" t="s">
        <v>38</v>
      </c>
      <c r="C68" s="8">
        <v>1</v>
      </c>
      <c r="D68" t="s">
        <v>20</v>
      </c>
      <c r="E68" t="s">
        <v>57</v>
      </c>
    </row>
    <row r="69" spans="2:9" x14ac:dyDescent="0.25">
      <c r="B69" t="s">
        <v>39</v>
      </c>
      <c r="C69" s="8">
        <v>0.2</v>
      </c>
      <c r="D69" t="s">
        <v>2</v>
      </c>
      <c r="E69" t="s">
        <v>57</v>
      </c>
    </row>
    <row r="70" spans="2:9" x14ac:dyDescent="0.25">
      <c r="B70" t="s">
        <v>37</v>
      </c>
      <c r="C70" s="7">
        <f>(((C68)^2)*C47*1000000)/(C7*C69)</f>
        <v>17.195767195767196</v>
      </c>
      <c r="D70" t="s">
        <v>45</v>
      </c>
      <c r="E70" t="s">
        <v>43</v>
      </c>
    </row>
    <row r="71" spans="2:9" x14ac:dyDescent="0.25">
      <c r="B71" t="s">
        <v>44</v>
      </c>
      <c r="C71" s="7">
        <f>(((C68)^2)*C47)/(C7*C69)</f>
        <v>1.7195767195767195E-5</v>
      </c>
      <c r="D71" t="s">
        <v>40</v>
      </c>
      <c r="E71" t="s">
        <v>42</v>
      </c>
    </row>
    <row r="74" spans="2:9" x14ac:dyDescent="0.25">
      <c r="B74" s="1" t="s">
        <v>34</v>
      </c>
    </row>
    <row r="75" spans="2:9" x14ac:dyDescent="0.25">
      <c r="B75" s="11"/>
    </row>
    <row r="76" spans="2:9" ht="51" customHeight="1" x14ac:dyDescent="0.25">
      <c r="B76" s="14" t="s">
        <v>47</v>
      </c>
      <c r="C76" s="14"/>
      <c r="D76" s="14"/>
      <c r="E76" s="14"/>
      <c r="F76" s="14"/>
      <c r="G76" s="14"/>
      <c r="H76" s="14"/>
      <c r="I76" s="14"/>
    </row>
    <row r="77" spans="2:9" x14ac:dyDescent="0.25">
      <c r="B77" s="11"/>
    </row>
    <row r="78" spans="2:9" x14ac:dyDescent="0.25">
      <c r="B78" t="s">
        <v>52</v>
      </c>
      <c r="C78" s="7">
        <f>C7/C8</f>
        <v>0.66666666666666663</v>
      </c>
      <c r="D78" t="s">
        <v>3</v>
      </c>
      <c r="F78" t="s">
        <v>35</v>
      </c>
    </row>
    <row r="79" spans="2:9" x14ac:dyDescent="0.25">
      <c r="B79" t="s">
        <v>62</v>
      </c>
      <c r="C79" s="12">
        <f>393*(10^-9)</f>
        <v>3.9300000000000004E-7</v>
      </c>
      <c r="D79" t="s">
        <v>56</v>
      </c>
      <c r="E79" t="s">
        <v>57</v>
      </c>
    </row>
    <row r="80" spans="2:9" x14ac:dyDescent="0.25">
      <c r="B80" t="s">
        <v>63</v>
      </c>
      <c r="C80" s="12">
        <f>1.5*(10^6)</f>
        <v>1500000</v>
      </c>
      <c r="E80" t="s">
        <v>64</v>
      </c>
    </row>
    <row r="81" spans="2:5" x14ac:dyDescent="0.25">
      <c r="B81" t="s">
        <v>48</v>
      </c>
      <c r="C81" s="7">
        <f>C45/(19.7*EXP(C80*C79)+(95*(10^-6))*((C4-C7)/C47))</f>
        <v>1767.9576083008292</v>
      </c>
    </row>
    <row r="85" spans="2:5" x14ac:dyDescent="0.25">
      <c r="B85" t="s">
        <v>49</v>
      </c>
      <c r="C85" s="7">
        <f>(C4*C81*2*(10^-4))/(1+((C4*C81*95*(10^-6))/(2*C78)))</f>
        <v>1.689397959893465</v>
      </c>
    </row>
    <row r="91" spans="2:5" x14ac:dyDescent="0.25">
      <c r="B91" t="s">
        <v>54</v>
      </c>
      <c r="C91" s="12">
        <v>30000</v>
      </c>
      <c r="D91" t="s">
        <v>25</v>
      </c>
      <c r="E91" t="s">
        <v>57</v>
      </c>
    </row>
    <row r="92" spans="2:5" x14ac:dyDescent="0.25">
      <c r="B92" t="s">
        <v>51</v>
      </c>
      <c r="C92" s="7">
        <f>-20*LOG((C85)/(1+(2*(22/7)*C91*2*C78*C71)))</f>
        <v>9.9693175761843928</v>
      </c>
      <c r="D92" t="s">
        <v>50</v>
      </c>
    </row>
    <row r="96" spans="2:5" x14ac:dyDescent="0.25">
      <c r="B96" s="1" t="s">
        <v>53</v>
      </c>
    </row>
    <row r="98" spans="2:5" x14ac:dyDescent="0.25">
      <c r="B98" t="s">
        <v>55</v>
      </c>
      <c r="C98" s="9">
        <f>325*(10^-6)</f>
        <v>3.2499999999999999E-4</v>
      </c>
      <c r="D98" t="s">
        <v>56</v>
      </c>
      <c r="E98" t="s">
        <v>57</v>
      </c>
    </row>
    <row r="99" spans="2:5" x14ac:dyDescent="0.25">
      <c r="B99" s="1" t="s">
        <v>58</v>
      </c>
      <c r="C99" s="7">
        <f>(10^(C92/20)*(C14+C13))/(C98*C14)</f>
        <v>12161.82168669217</v>
      </c>
      <c r="D99" s="1" t="s">
        <v>3</v>
      </c>
    </row>
    <row r="103" spans="2:5" x14ac:dyDescent="0.25">
      <c r="B103" s="1" t="s">
        <v>59</v>
      </c>
    </row>
    <row r="105" spans="2:5" x14ac:dyDescent="0.25">
      <c r="B105" t="s">
        <v>60</v>
      </c>
      <c r="C105" s="7">
        <f>1/(2*(22/7)*C78*C71)</f>
        <v>13877.622377622381</v>
      </c>
      <c r="D105" t="s">
        <v>25</v>
      </c>
    </row>
    <row r="106" spans="2:5" x14ac:dyDescent="0.25">
      <c r="B106" s="1" t="s">
        <v>61</v>
      </c>
      <c r="C106" s="7">
        <f>1/(2*(22/7)*C105*C99)</f>
        <v>9.426091824485644E-10</v>
      </c>
      <c r="D106" s="1" t="s">
        <v>40</v>
      </c>
    </row>
  </sheetData>
  <mergeCells count="1">
    <mergeCell ref="B76:I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05D5-E404-4A54-9023-1A008112FF7D}">
  <dimension ref="B1:I106"/>
  <sheetViews>
    <sheetView tabSelected="1"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3.3</v>
      </c>
      <c r="D7" t="s">
        <v>2</v>
      </c>
    </row>
    <row r="8" spans="2:6" x14ac:dyDescent="0.25">
      <c r="B8" s="1" t="s">
        <v>21</v>
      </c>
      <c r="C8" s="4">
        <v>1.5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v>6490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3.3269645608628657</v>
      </c>
      <c r="D15" t="s">
        <v>2</v>
      </c>
    </row>
    <row r="23" spans="2:4" x14ac:dyDescent="0.25">
      <c r="B23" s="1" t="s">
        <v>12</v>
      </c>
    </row>
    <row r="24" spans="2:4" x14ac:dyDescent="0.25">
      <c r="B24" s="1"/>
    </row>
    <row r="25" spans="2:4" x14ac:dyDescent="0.25">
      <c r="B25" s="1" t="s">
        <v>5</v>
      </c>
      <c r="C25" s="3"/>
      <c r="D25" t="s">
        <v>6</v>
      </c>
    </row>
    <row r="26" spans="2:4" x14ac:dyDescent="0.25">
      <c r="B26" s="1"/>
    </row>
    <row r="27" spans="2:4" x14ac:dyDescent="0.25">
      <c r="B27" s="1"/>
    </row>
    <row r="30" spans="2:4" x14ac:dyDescent="0.25">
      <c r="B30" s="1" t="s">
        <v>10</v>
      </c>
    </row>
    <row r="32" spans="2:4" x14ac:dyDescent="0.25">
      <c r="B32" t="s">
        <v>15</v>
      </c>
      <c r="C32" s="3">
        <f>C7/C5</f>
        <v>0.41249999999999998</v>
      </c>
    </row>
    <row r="33" spans="2:5" x14ac:dyDescent="0.25">
      <c r="B33" t="s">
        <v>16</v>
      </c>
      <c r="C33" s="3">
        <f>C7/C6</f>
        <v>0.23571428571428571</v>
      </c>
    </row>
    <row r="38" spans="2:5" x14ac:dyDescent="0.25">
      <c r="B38" s="1" t="s">
        <v>17</v>
      </c>
    </row>
    <row r="40" spans="2:5" x14ac:dyDescent="0.25">
      <c r="B40" t="s">
        <v>19</v>
      </c>
      <c r="C40" s="3">
        <f>0.3*C8</f>
        <v>0.44999999999999996</v>
      </c>
      <c r="D40" t="s">
        <v>20</v>
      </c>
      <c r="E40" t="s">
        <v>46</v>
      </c>
    </row>
    <row r="45" spans="2:5" x14ac:dyDescent="0.25">
      <c r="B45" t="s">
        <v>23</v>
      </c>
      <c r="C45" s="9">
        <v>600000</v>
      </c>
      <c r="D45" t="s">
        <v>25</v>
      </c>
      <c r="E45" t="s">
        <v>24</v>
      </c>
    </row>
    <row r="46" spans="2:5" x14ac:dyDescent="0.25">
      <c r="B46" s="1" t="s">
        <v>22</v>
      </c>
      <c r="C46" s="13">
        <f>((((C6-C7)/C40)*C33)*(1/C45))*1000000</f>
        <v>9.3412698412698418</v>
      </c>
      <c r="D46" s="1" t="s">
        <v>26</v>
      </c>
      <c r="E46" t="s">
        <v>43</v>
      </c>
    </row>
    <row r="47" spans="2:5" x14ac:dyDescent="0.25">
      <c r="B47" t="s">
        <v>41</v>
      </c>
      <c r="C47" s="10">
        <f>((((C6-C7)/C40)*C33)*(1/C45))</f>
        <v>9.3412698412698418E-6</v>
      </c>
      <c r="D47" t="s">
        <v>6</v>
      </c>
      <c r="E47" t="s">
        <v>42</v>
      </c>
    </row>
    <row r="48" spans="2:5" x14ac:dyDescent="0.25">
      <c r="B48" t="s">
        <v>68</v>
      </c>
      <c r="C48" s="2">
        <f>8.2*10^-6</f>
        <v>8.1999999999999994E-6</v>
      </c>
      <c r="D48" t="s">
        <v>6</v>
      </c>
      <c r="E48" t="s">
        <v>69</v>
      </c>
    </row>
    <row r="52" spans="2:5" x14ac:dyDescent="0.25">
      <c r="B52" t="s">
        <v>27</v>
      </c>
      <c r="C52" s="3">
        <f>((C6-C7)/(C48))*C33*(1/C45)</f>
        <v>0.51263066202090601</v>
      </c>
      <c r="D52" t="s">
        <v>28</v>
      </c>
      <c r="E52" t="s">
        <v>70</v>
      </c>
    </row>
    <row r="59" spans="2:5" x14ac:dyDescent="0.25">
      <c r="B59" s="1" t="s">
        <v>30</v>
      </c>
    </row>
    <row r="61" spans="2:5" x14ac:dyDescent="0.25">
      <c r="B61" t="s">
        <v>31</v>
      </c>
      <c r="C61" s="2">
        <v>20500</v>
      </c>
      <c r="D61" t="s">
        <v>3</v>
      </c>
    </row>
    <row r="62" spans="2:5" x14ac:dyDescent="0.25">
      <c r="B62" t="s">
        <v>32</v>
      </c>
      <c r="C62" s="8">
        <v>0.8</v>
      </c>
      <c r="D62" t="s">
        <v>2</v>
      </c>
      <c r="E62" t="s">
        <v>57</v>
      </c>
    </row>
    <row r="63" spans="2:5" x14ac:dyDescent="0.25">
      <c r="B63" t="s">
        <v>33</v>
      </c>
      <c r="C63" s="7">
        <f>(C62*C61)/(C7-C62)</f>
        <v>6560</v>
      </c>
      <c r="D63" t="s">
        <v>3</v>
      </c>
    </row>
    <row r="66" spans="2:9" x14ac:dyDescent="0.25">
      <c r="B66" s="1" t="s">
        <v>36</v>
      </c>
    </row>
    <row r="68" spans="2:9" x14ac:dyDescent="0.25">
      <c r="B68" t="s">
        <v>38</v>
      </c>
      <c r="C68" s="8">
        <v>1</v>
      </c>
      <c r="D68" t="s">
        <v>20</v>
      </c>
      <c r="E68" t="s">
        <v>57</v>
      </c>
    </row>
    <row r="69" spans="2:9" x14ac:dyDescent="0.25">
      <c r="B69" t="s">
        <v>39</v>
      </c>
      <c r="C69" s="8">
        <v>0.2</v>
      </c>
      <c r="D69" t="s">
        <v>2</v>
      </c>
      <c r="E69" t="s">
        <v>57</v>
      </c>
    </row>
    <row r="70" spans="2:9" x14ac:dyDescent="0.25">
      <c r="B70" t="s">
        <v>72</v>
      </c>
      <c r="C70" s="7">
        <f>(((C68)^2)*C48*1000000)/(C7*C69)</f>
        <v>12.424242424242422</v>
      </c>
      <c r="D70" t="s">
        <v>45</v>
      </c>
      <c r="E70" t="s">
        <v>43</v>
      </c>
    </row>
    <row r="71" spans="2:9" x14ac:dyDescent="0.25">
      <c r="B71" t="s">
        <v>44</v>
      </c>
      <c r="C71" s="7">
        <f>(((C68)^2)*C48)/(C7*C69)</f>
        <v>1.2424242424242424E-5</v>
      </c>
      <c r="D71" t="s">
        <v>40</v>
      </c>
      <c r="E71" t="s">
        <v>42</v>
      </c>
    </row>
    <row r="72" spans="2:9" x14ac:dyDescent="0.25">
      <c r="B72" t="s">
        <v>73</v>
      </c>
      <c r="C72" s="2">
        <f>22*(10^-6)</f>
        <v>2.1999999999999999E-5</v>
      </c>
      <c r="D72" t="s">
        <v>40</v>
      </c>
      <c r="E72" t="s">
        <v>74</v>
      </c>
    </row>
    <row r="74" spans="2:9" x14ac:dyDescent="0.25">
      <c r="B74" s="1" t="s">
        <v>34</v>
      </c>
    </row>
    <row r="75" spans="2:9" x14ac:dyDescent="0.25">
      <c r="B75" s="11"/>
    </row>
    <row r="76" spans="2:9" ht="51" customHeight="1" x14ac:dyDescent="0.25">
      <c r="B76" s="14" t="s">
        <v>47</v>
      </c>
      <c r="C76" s="14"/>
      <c r="D76" s="14"/>
      <c r="E76" s="14"/>
      <c r="F76" s="14"/>
      <c r="G76" s="14"/>
      <c r="H76" s="14"/>
      <c r="I76" s="14"/>
    </row>
    <row r="77" spans="2:9" x14ac:dyDescent="0.25">
      <c r="B77" s="11"/>
    </row>
    <row r="78" spans="2:9" x14ac:dyDescent="0.25">
      <c r="B78" t="s">
        <v>52</v>
      </c>
      <c r="C78" s="7">
        <f>C7/C8</f>
        <v>2.1999999999999997</v>
      </c>
      <c r="D78" t="s">
        <v>3</v>
      </c>
      <c r="F78" t="s">
        <v>35</v>
      </c>
    </row>
    <row r="79" spans="2:9" x14ac:dyDescent="0.25">
      <c r="B79" t="s">
        <v>62</v>
      </c>
      <c r="C79" s="12">
        <f>393*(10^-9)</f>
        <v>3.9300000000000004E-7</v>
      </c>
      <c r="D79" t="s">
        <v>56</v>
      </c>
      <c r="E79" t="s">
        <v>57</v>
      </c>
    </row>
    <row r="80" spans="2:9" x14ac:dyDescent="0.25">
      <c r="B80" t="s">
        <v>63</v>
      </c>
      <c r="C80" s="12">
        <f>1.5*(10^6)</f>
        <v>1500000</v>
      </c>
      <c r="E80" t="s">
        <v>64</v>
      </c>
    </row>
    <row r="81" spans="2:5" x14ac:dyDescent="0.25">
      <c r="B81" t="s">
        <v>48</v>
      </c>
      <c r="C81" s="7">
        <f>C45/(19.7*EXP(C80*C79)+(95*(10^-6))*((C6-C7)/C48))</f>
        <v>3762.1276517609081</v>
      </c>
      <c r="E81" t="s">
        <v>71</v>
      </c>
    </row>
    <row r="85" spans="2:5" x14ac:dyDescent="0.25">
      <c r="B85" t="s">
        <v>49</v>
      </c>
      <c r="C85" s="7">
        <f>(C6*C81*2*(10^-4))/(1+((C6*C81*95*(10^-6))/(2*C78)))</f>
        <v>4.9288853102062236</v>
      </c>
    </row>
    <row r="91" spans="2:5" x14ac:dyDescent="0.25">
      <c r="B91" t="s">
        <v>54</v>
      </c>
      <c r="C91" s="12">
        <v>30000</v>
      </c>
      <c r="D91" t="s">
        <v>25</v>
      </c>
      <c r="E91" t="s">
        <v>57</v>
      </c>
    </row>
    <row r="92" spans="2:5" x14ac:dyDescent="0.25">
      <c r="B92" t="s">
        <v>51</v>
      </c>
      <c r="C92" s="7">
        <f>-20*LOG((C85)/(1+(2*(22/7)*C91*2*C78*C72)))</f>
        <v>11.835316202572052</v>
      </c>
      <c r="D92" t="s">
        <v>50</v>
      </c>
    </row>
    <row r="96" spans="2:5" x14ac:dyDescent="0.25">
      <c r="B96" s="1" t="s">
        <v>53</v>
      </c>
    </row>
    <row r="98" spans="2:5" x14ac:dyDescent="0.25">
      <c r="B98" t="s">
        <v>55</v>
      </c>
      <c r="C98" s="9">
        <f>325*(10^-6)</f>
        <v>3.2499999999999999E-4</v>
      </c>
      <c r="D98" t="s">
        <v>56</v>
      </c>
      <c r="E98" t="s">
        <v>57</v>
      </c>
    </row>
    <row r="99" spans="2:5" x14ac:dyDescent="0.25">
      <c r="B99" s="1" t="s">
        <v>58</v>
      </c>
      <c r="C99" s="7">
        <f>((10^(C92/20))*(C14+C13))/(C98*C14)</f>
        <v>49985.10824227659</v>
      </c>
      <c r="D99" s="1" t="s">
        <v>3</v>
      </c>
    </row>
    <row r="100" spans="2:5" x14ac:dyDescent="0.25">
      <c r="B100" t="s">
        <v>75</v>
      </c>
      <c r="C100" s="2">
        <f>53.6*(10^3)</f>
        <v>53600</v>
      </c>
      <c r="D100" t="s">
        <v>3</v>
      </c>
    </row>
    <row r="103" spans="2:5" x14ac:dyDescent="0.25">
      <c r="B103" s="1" t="s">
        <v>59</v>
      </c>
    </row>
    <row r="105" spans="2:5" x14ac:dyDescent="0.25">
      <c r="B105" t="s">
        <v>60</v>
      </c>
      <c r="C105" s="7">
        <f>1/(2*(22/7)*2*C78*C72)</f>
        <v>1643.5011269722017</v>
      </c>
      <c r="D105" t="s">
        <v>25</v>
      </c>
      <c r="E105" s="15" t="s">
        <v>76</v>
      </c>
    </row>
    <row r="106" spans="2:5" x14ac:dyDescent="0.25">
      <c r="B106" s="1" t="s">
        <v>61</v>
      </c>
      <c r="C106" s="7">
        <f>1/(2*(22/7)*C105*C100)</f>
        <v>1.8059701492537309E-9</v>
      </c>
      <c r="D106" s="1" t="s">
        <v>40</v>
      </c>
    </row>
  </sheetData>
  <mergeCells count="1">
    <mergeCell ref="B76:I7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1.0V (CH-1)</vt:lpstr>
      <vt:lpstr>For 3.3V (CH-1)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Pravardhan</dc:creator>
  <cp:lastModifiedBy>Pravardhan</cp:lastModifiedBy>
  <dcterms:created xsi:type="dcterms:W3CDTF">2017-12-05T04:44:31Z</dcterms:created>
  <dcterms:modified xsi:type="dcterms:W3CDTF">2017-12-07T11:15:50Z</dcterms:modified>
</cp:coreProperties>
</file>