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9420" windowHeight="11020" activeTab="1"/>
  </bookViews>
  <sheets>
    <sheet name="Device Calculator" sheetId="3" r:id="rId1"/>
    <sheet name="Pin Detect Programming" sheetId="6" r:id="rId2"/>
    <sheet name="Schematic Checklist" sheetId="10" r:id="rId3"/>
    <sheet name="Layout Checklist" sheetId="11" r:id="rId4"/>
    <sheet name="Extra" sheetId="12" state="hidden" r:id="rId5"/>
    <sheet name="Pin Detect Programming (2)" sheetId="13" state="hidden" r:id="rId6"/>
    <sheet name="COMP_DECODE" sheetId="5" state="hidden" r:id="rId7"/>
    <sheet name="Pinstrap Reverse Lookup" sheetId="9" state="hidden" r:id="rId8"/>
    <sheet name="Compensation References" sheetId="2" state="hidden" r:id="rId9"/>
    <sheet name="Resistor References" sheetId="8" r:id="rId10"/>
    <sheet name="Resistor Selection" sheetId="7" state="hidden" r:id="rId11"/>
    <sheet name="Sheet2" sheetId="14" state="hidden" r:id="rId12"/>
    <sheet name="Concatenation" sheetId="15" state="hidden" r:id="rId13"/>
  </sheets>
  <externalReferences>
    <externalReference r:id="rId14"/>
    <externalReference r:id="rId15"/>
  </externalReferences>
  <definedNames>
    <definedName name="_xlnm._FilterDatabase" localSheetId="3" hidden="1">'Layout Checklist'!$A$1:$R$25</definedName>
    <definedName name="_xlnm._FilterDatabase" localSheetId="2" hidden="1">'Schematic Checklist'!$A$1:$O$61</definedName>
    <definedName name="Cin_cer">'Device Calculator'!$E$61</definedName>
    <definedName name="Comp_Code">'Device Calculator'!$E$78</definedName>
    <definedName name="Cout_bulk">'Device Calculator'!$F$41</definedName>
    <definedName name="Cout_cer">'Device Calculator'!$F$48</definedName>
    <definedName name="Cout_max">'Device Calculator'!$D$52</definedName>
    <definedName name="Cout_total">'Device Calculator'!$F$50</definedName>
    <definedName name="CSA">'Device Calculator'!$D$67</definedName>
    <definedName name="ESR_bulk">'Device Calculator'!$F$42</definedName>
    <definedName name="ESR_cer">'Device Calculator'!$F$49</definedName>
    <definedName name="fcoi_trgt">'Device Calculator'!$F$70</definedName>
    <definedName name="fcov_trgt">'Device Calculator'!$F$73</definedName>
    <definedName name="fpi_trgt">'Device Calculator'!$D$95</definedName>
    <definedName name="fsw">'Device Calculator'!$C$16</definedName>
    <definedName name="fzi_trgt">'Device Calculator'!$D$94</definedName>
    <definedName name="GM_PS">'Device Calculator'!$D$68</definedName>
    <definedName name="ILOOP">'Device Calculator'!$F$106</definedName>
    <definedName name="ILOOP_trgt">'Device Calculator'!$D$93</definedName>
    <definedName name="Iout">'Device Calculator'!$C$9</definedName>
    <definedName name="Iphase">'Device Calculator'!$D$11</definedName>
    <definedName name="Iripple">'Device Calculator'!$F$26</definedName>
    <definedName name="Lout">'Device Calculator'!$F$25</definedName>
    <definedName name="Mod_ratio">'Device Calculator'!$D$66</definedName>
    <definedName name="Phases">'Device Calculator'!$C$10</definedName>
    <definedName name="Pvin">'Device Calculator'!$C$5</definedName>
    <definedName name="VLOOP">'Device Calculator'!$F$121</definedName>
    <definedName name="VLOOP_trgt">'Device Calculator'!$D$111</definedName>
    <definedName name="VOSL">'Device Calculator'!$E$7</definedName>
    <definedName name="Vout">'Device Calculator'!$C$6</definedName>
    <definedName name="Vref">'Device Calculator'!$F$8</definedName>
    <definedName name="Zout_fco_trgt">'Device Calculator'!$F$74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3" l="1"/>
  <c r="E61" i="3" l="1"/>
  <c r="E24" i="3" l="1"/>
  <c r="C296" i="14" l="1"/>
  <c r="C297" i="14"/>
  <c r="C298" i="14"/>
  <c r="C299" i="14"/>
  <c r="C300" i="14"/>
  <c r="C301" i="14"/>
  <c r="C302" i="14"/>
  <c r="C303" i="14"/>
  <c r="C304" i="14"/>
  <c r="C305" i="14"/>
  <c r="C306" i="14"/>
  <c r="C275" i="14"/>
  <c r="C276" i="14"/>
  <c r="C277" i="14"/>
  <c r="C278" i="14"/>
  <c r="C279" i="14"/>
  <c r="C280" i="14"/>
  <c r="C281" i="14"/>
  <c r="C282" i="14"/>
  <c r="C283" i="14"/>
  <c r="C284" i="14"/>
  <c r="C285" i="14"/>
  <c r="C286" i="14"/>
  <c r="C287" i="14"/>
  <c r="C288" i="14"/>
  <c r="C289" i="14"/>
  <c r="C290" i="14"/>
  <c r="C291" i="14"/>
  <c r="C292" i="14"/>
  <c r="C293" i="14"/>
  <c r="C294" i="14"/>
  <c r="C295" i="14"/>
  <c r="C274" i="14"/>
  <c r="C267" i="14"/>
  <c r="C268" i="14"/>
  <c r="C269" i="14"/>
  <c r="C270" i="14"/>
  <c r="C271" i="14"/>
  <c r="C272" i="14"/>
  <c r="C273" i="14"/>
  <c r="C255" i="14"/>
  <c r="C256" i="14"/>
  <c r="C257" i="14"/>
  <c r="C258" i="14"/>
  <c r="C259" i="14"/>
  <c r="C260" i="14"/>
  <c r="C261" i="14"/>
  <c r="C262" i="14"/>
  <c r="C263" i="14"/>
  <c r="C264" i="14"/>
  <c r="C265" i="14"/>
  <c r="C266" i="14"/>
  <c r="C242" i="14"/>
  <c r="C243" i="14"/>
  <c r="C244" i="14"/>
  <c r="C245" i="14"/>
  <c r="C246" i="14"/>
  <c r="C247" i="14"/>
  <c r="C248" i="14"/>
  <c r="C249" i="14"/>
  <c r="C250" i="14"/>
  <c r="C251" i="14"/>
  <c r="C252" i="14"/>
  <c r="C253" i="14"/>
  <c r="C254" i="14"/>
  <c r="C241" i="14"/>
  <c r="C239" i="14"/>
  <c r="C240" i="14"/>
  <c r="C234" i="14"/>
  <c r="C235" i="14"/>
  <c r="C236" i="14"/>
  <c r="C237" i="14"/>
  <c r="C238" i="14"/>
  <c r="C209" i="14"/>
  <c r="C210" i="14"/>
  <c r="C211" i="14"/>
  <c r="C212" i="14"/>
  <c r="C213" i="14"/>
  <c r="C214" i="14"/>
  <c r="C215" i="14"/>
  <c r="C216" i="14"/>
  <c r="C217" i="14"/>
  <c r="C218" i="14"/>
  <c r="C219" i="14"/>
  <c r="C220" i="14"/>
  <c r="C221" i="14"/>
  <c r="C222" i="14"/>
  <c r="C223" i="14"/>
  <c r="C224" i="14"/>
  <c r="C225" i="14"/>
  <c r="C226" i="14"/>
  <c r="C227" i="14"/>
  <c r="C228" i="14"/>
  <c r="C229" i="14"/>
  <c r="C230" i="14"/>
  <c r="C231" i="14"/>
  <c r="C232" i="14"/>
  <c r="C233" i="14"/>
  <c r="C208" i="14"/>
  <c r="C207" i="14"/>
  <c r="C176" i="14"/>
  <c r="C177" i="14"/>
  <c r="C178" i="14"/>
  <c r="C179" i="14"/>
  <c r="C180" i="14"/>
  <c r="C181" i="14"/>
  <c r="C182" i="14"/>
  <c r="C183" i="14"/>
  <c r="C184" i="14"/>
  <c r="C185" i="14"/>
  <c r="C186" i="14"/>
  <c r="C187" i="14"/>
  <c r="C188" i="14"/>
  <c r="C189" i="14"/>
  <c r="C190" i="14"/>
  <c r="C191" i="14"/>
  <c r="C192" i="14"/>
  <c r="C193" i="14"/>
  <c r="C194" i="14"/>
  <c r="C195" i="14"/>
  <c r="C196" i="14"/>
  <c r="C197" i="14"/>
  <c r="C198" i="14"/>
  <c r="C199" i="14"/>
  <c r="C200" i="14"/>
  <c r="C201" i="14"/>
  <c r="C202" i="14"/>
  <c r="C203" i="14"/>
  <c r="C204" i="14"/>
  <c r="C205" i="14"/>
  <c r="C206" i="14"/>
  <c r="C175" i="14"/>
  <c r="C172" i="14"/>
  <c r="C173" i="14"/>
  <c r="C174" i="14"/>
  <c r="C143" i="14"/>
  <c r="C144" i="14"/>
  <c r="C145" i="14"/>
  <c r="C146" i="14"/>
  <c r="C147" i="14"/>
  <c r="C148" i="14"/>
  <c r="C149" i="14"/>
  <c r="C150" i="14"/>
  <c r="C151" i="14"/>
  <c r="C152" i="14"/>
  <c r="C153" i="14"/>
  <c r="C154" i="14"/>
  <c r="C155" i="14"/>
  <c r="C156" i="14"/>
  <c r="C157" i="14"/>
  <c r="C158" i="14"/>
  <c r="C159" i="14"/>
  <c r="C160" i="14"/>
  <c r="C161" i="14"/>
  <c r="C162" i="14"/>
  <c r="C163" i="14"/>
  <c r="C164" i="14"/>
  <c r="C165" i="14"/>
  <c r="C166" i="14"/>
  <c r="C167" i="14"/>
  <c r="C168" i="14"/>
  <c r="C169" i="14"/>
  <c r="C170" i="14"/>
  <c r="C171" i="14"/>
  <c r="C142" i="14"/>
  <c r="C130" i="14"/>
  <c r="C131" i="14"/>
  <c r="C132" i="14"/>
  <c r="C133" i="14"/>
  <c r="C134" i="14"/>
  <c r="C135" i="14"/>
  <c r="C136" i="14"/>
  <c r="C137" i="14"/>
  <c r="C138" i="14"/>
  <c r="C139" i="14"/>
  <c r="C140" i="14"/>
  <c r="C141" i="14"/>
  <c r="C110" i="14"/>
  <c r="C111" i="14"/>
  <c r="C112" i="14"/>
  <c r="C113" i="14"/>
  <c r="C114" i="14"/>
  <c r="C115" i="14"/>
  <c r="C116" i="14"/>
  <c r="C117" i="14"/>
  <c r="C118" i="14"/>
  <c r="C119" i="14"/>
  <c r="C120" i="14"/>
  <c r="C121" i="14"/>
  <c r="C122" i="14"/>
  <c r="C123" i="14"/>
  <c r="C124" i="14"/>
  <c r="C125" i="14"/>
  <c r="C126" i="14"/>
  <c r="C127" i="14"/>
  <c r="C128" i="14"/>
  <c r="C129" i="14"/>
  <c r="C109" i="14"/>
  <c r="C108" i="14"/>
  <c r="C105" i="14"/>
  <c r="C106" i="14"/>
  <c r="C107" i="14"/>
  <c r="C101" i="14"/>
  <c r="C102" i="14"/>
  <c r="C103" i="14"/>
  <c r="C104" i="14"/>
  <c r="C77" i="14"/>
  <c r="C78" i="14"/>
  <c r="C79" i="14"/>
  <c r="C80" i="14"/>
  <c r="C81" i="14"/>
  <c r="C82" i="14"/>
  <c r="C83" i="14"/>
  <c r="C84" i="14"/>
  <c r="C85" i="14"/>
  <c r="C86" i="14"/>
  <c r="C87" i="14"/>
  <c r="C88" i="14"/>
  <c r="C89" i="14"/>
  <c r="C90" i="14"/>
  <c r="C91" i="14"/>
  <c r="C92" i="14"/>
  <c r="C93" i="14"/>
  <c r="C94" i="14"/>
  <c r="C95" i="14"/>
  <c r="C96" i="14"/>
  <c r="C97" i="14"/>
  <c r="C98" i="14"/>
  <c r="C99" i="14"/>
  <c r="C100" i="14"/>
  <c r="C76"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43" i="14"/>
  <c r="B54" i="13" l="1"/>
  <c r="B53" i="13"/>
  <c r="B52" i="13"/>
  <c r="B51" i="13"/>
  <c r="D48" i="13"/>
  <c r="J47" i="13" s="1"/>
  <c r="B47" i="13"/>
  <c r="B43" i="13"/>
  <c r="B42" i="13"/>
  <c r="B41" i="13"/>
  <c r="B40" i="13"/>
  <c r="D37" i="13"/>
  <c r="J36" i="13" s="1"/>
  <c r="B36" i="13"/>
  <c r="B32" i="13"/>
  <c r="B31" i="13"/>
  <c r="B30" i="13"/>
  <c r="B29" i="13"/>
  <c r="D26" i="13"/>
  <c r="H25" i="13"/>
  <c r="G25" i="13"/>
  <c r="B25" i="13"/>
  <c r="B21" i="13"/>
  <c r="B20" i="13"/>
  <c r="B19" i="13"/>
  <c r="B18" i="13"/>
  <c r="E21" i="13"/>
  <c r="M13" i="13"/>
  <c r="M12" i="13"/>
  <c r="D20" i="13"/>
  <c r="G20" i="13" s="1"/>
  <c r="E20" i="13"/>
  <c r="M10" i="13"/>
  <c r="M9" i="13"/>
  <c r="M8" i="13"/>
  <c r="M4" i="13"/>
  <c r="D3" i="13"/>
  <c r="F36" i="13" l="1"/>
  <c r="H20" i="13"/>
  <c r="D18" i="13"/>
  <c r="G18" i="13" s="1"/>
  <c r="C15" i="13"/>
  <c r="F47" i="13"/>
  <c r="D50" i="6"/>
  <c r="D38" i="6"/>
  <c r="D26" i="6"/>
  <c r="D19" i="13" l="1"/>
  <c r="G19" i="13" s="1"/>
  <c r="E19" i="13"/>
  <c r="H19" i="13" s="1"/>
  <c r="B140" i="3"/>
  <c r="B139" i="3"/>
  <c r="B138" i="3"/>
  <c r="B137" i="3"/>
  <c r="B136" i="3"/>
  <c r="B135" i="3"/>
  <c r="B134" i="3"/>
  <c r="B133" i="3"/>
  <c r="B132" i="3"/>
  <c r="F80" i="3"/>
  <c r="F79" i="3"/>
  <c r="M9" i="6"/>
  <c r="M7" i="6"/>
  <c r="AE7" i="8" l="1"/>
  <c r="AE2" i="8"/>
  <c r="AE6" i="8"/>
  <c r="AE4" i="8"/>
  <c r="AE3" i="8"/>
  <c r="AE5" i="8"/>
  <c r="D113" i="3"/>
  <c r="E37" i="3" l="1"/>
  <c r="C13" i="3" l="1"/>
  <c r="F25" i="3"/>
  <c r="F47" i="3"/>
  <c r="F38" i="3"/>
  <c r="C2" i="6"/>
  <c r="M4" i="6" l="1"/>
  <c r="M11" i="6"/>
  <c r="M12" i="6"/>
  <c r="M8" i="6"/>
  <c r="O3" i="8"/>
  <c r="AJ32" i="8"/>
  <c r="AJ31" i="8"/>
  <c r="AJ30" i="8"/>
  <c r="AJ29" i="8"/>
  <c r="AJ28" i="8"/>
  <c r="AJ27" i="8"/>
  <c r="Z27" i="8"/>
  <c r="AJ26" i="8"/>
  <c r="AJ25" i="8"/>
  <c r="AJ24" i="8"/>
  <c r="AJ23" i="8"/>
  <c r="AJ22" i="8"/>
  <c r="AJ21" i="8"/>
  <c r="AJ20" i="8"/>
  <c r="AJ19" i="8"/>
  <c r="AJ18" i="8"/>
  <c r="AJ17" i="8"/>
  <c r="AJ16" i="8"/>
  <c r="AJ15" i="8"/>
  <c r="AJ14" i="8"/>
  <c r="AJ13" i="8"/>
  <c r="AJ12" i="8"/>
  <c r="AJ11" i="8"/>
  <c r="AB11" i="8"/>
  <c r="AJ10" i="8"/>
  <c r="AB10" i="8"/>
  <c r="K10" i="8"/>
  <c r="AJ9" i="8"/>
  <c r="AB9" i="8"/>
  <c r="K9" i="8"/>
  <c r="I9" i="8"/>
  <c r="AO11" i="8" s="1"/>
  <c r="AJ8" i="8"/>
  <c r="AB8" i="8"/>
  <c r="K8" i="8"/>
  <c r="I8" i="8"/>
  <c r="I12" i="8" s="1"/>
  <c r="AO14" i="8" s="1"/>
  <c r="AO7" i="8"/>
  <c r="AJ7" i="8"/>
  <c r="AB7" i="8"/>
  <c r="K7" i="8"/>
  <c r="I7" i="8"/>
  <c r="AO9" i="8" s="1"/>
  <c r="AO6" i="8"/>
  <c r="AJ6" i="8"/>
  <c r="AB6" i="8"/>
  <c r="K6" i="8"/>
  <c r="I6" i="8"/>
  <c r="I10" i="8" s="1"/>
  <c r="I14" i="8" s="1"/>
  <c r="AO16" i="8" s="1"/>
  <c r="AO5" i="8"/>
  <c r="AN5" i="8"/>
  <c r="AN6" i="8" s="1"/>
  <c r="AN7" i="8" s="1"/>
  <c r="AN8" i="8" s="1"/>
  <c r="AN9" i="8" s="1"/>
  <c r="AN10" i="8" s="1"/>
  <c r="AN11" i="8" s="1"/>
  <c r="AN12" i="8" s="1"/>
  <c r="AN13" i="8" s="1"/>
  <c r="AN14" i="8" s="1"/>
  <c r="AN15" i="8" s="1"/>
  <c r="AN16" i="8" s="1"/>
  <c r="AN17" i="8" s="1"/>
  <c r="AN18" i="8" s="1"/>
  <c r="AN19" i="8" s="1"/>
  <c r="AJ5" i="8"/>
  <c r="AC5" i="8"/>
  <c r="AC6" i="8" s="1"/>
  <c r="AC7" i="8" s="1"/>
  <c r="AC8" i="8" s="1"/>
  <c r="AC9" i="8" s="1"/>
  <c r="AC10" i="8" s="1"/>
  <c r="AC11" i="8" s="1"/>
  <c r="AB5" i="8"/>
  <c r="T5" i="8"/>
  <c r="T6" i="8" s="1"/>
  <c r="T7" i="8" s="1"/>
  <c r="T8" i="8" s="1"/>
  <c r="T9" i="8" s="1"/>
  <c r="T10" i="8" s="1"/>
  <c r="T11" i="8" s="1"/>
  <c r="T12" i="8" s="1"/>
  <c r="T13" i="8" s="1"/>
  <c r="T14" i="8" s="1"/>
  <c r="K5" i="8"/>
  <c r="G5" i="8"/>
  <c r="G6" i="8" s="1"/>
  <c r="AO4" i="8"/>
  <c r="AK4" i="8"/>
  <c r="AK5" i="8" s="1"/>
  <c r="AK6" i="8" s="1"/>
  <c r="AK7" i="8" s="1"/>
  <c r="AK8" i="8" s="1"/>
  <c r="AK9" i="8" s="1"/>
  <c r="AK10" i="8" s="1"/>
  <c r="AK11" i="8" s="1"/>
  <c r="AK12" i="8" s="1"/>
  <c r="AK13" i="8" s="1"/>
  <c r="AK14" i="8" s="1"/>
  <c r="AK15" i="8" s="1"/>
  <c r="AK16" i="8" s="1"/>
  <c r="AK17" i="8" s="1"/>
  <c r="AK18" i="8" s="1"/>
  <c r="AK19" i="8" s="1"/>
  <c r="AK20" i="8" s="1"/>
  <c r="AK21" i="8" s="1"/>
  <c r="AK22" i="8" s="1"/>
  <c r="AK23" i="8" s="1"/>
  <c r="AK24" i="8" s="1"/>
  <c r="AK25" i="8" s="1"/>
  <c r="AK26" i="8" s="1"/>
  <c r="AK27" i="8" s="1"/>
  <c r="AK28" i="8" s="1"/>
  <c r="AK29" i="8" s="1"/>
  <c r="AK30" i="8" s="1"/>
  <c r="AK31" i="8" s="1"/>
  <c r="AK32" i="8" s="1"/>
  <c r="AJ4" i="8"/>
  <c r="AB4" i="8"/>
  <c r="O4" i="8"/>
  <c r="K4" i="8"/>
  <c r="H4" i="8"/>
  <c r="H5" i="8" s="1"/>
  <c r="H6" i="8" s="1"/>
  <c r="H7" i="8" s="1"/>
  <c r="H8" i="8" s="1"/>
  <c r="H9" i="8" s="1"/>
  <c r="H10" i="8" s="1"/>
  <c r="H11" i="8" s="1"/>
  <c r="H12" i="8" s="1"/>
  <c r="H13" i="8" s="1"/>
  <c r="H14" i="8" s="1"/>
  <c r="H15" i="8" s="1"/>
  <c r="H16" i="8" s="1"/>
  <c r="H17" i="8" s="1"/>
  <c r="H18" i="8" s="1"/>
  <c r="H19" i="8" s="1"/>
  <c r="H20" i="8" s="1"/>
  <c r="H21" i="8" s="1"/>
  <c r="H22" i="8" s="1"/>
  <c r="H23" i="8" s="1"/>
  <c r="H24" i="8" s="1"/>
  <c r="H25" i="8" s="1"/>
  <c r="H26" i="8" s="1"/>
  <c r="H27" i="8" s="1"/>
  <c r="H28" i="8" s="1"/>
  <c r="H29" i="8" s="1"/>
  <c r="H30" i="8" s="1"/>
  <c r="H31" i="8" s="1"/>
  <c r="H32" i="8" s="1"/>
  <c r="H33" i="8" s="1"/>
  <c r="H34" i="8" s="1"/>
  <c r="H35" i="8" s="1"/>
  <c r="AJ3" i="8"/>
  <c r="AB3" i="8"/>
  <c r="AA3" i="8"/>
  <c r="AA4" i="8" s="1"/>
  <c r="Y3" i="8"/>
  <c r="R3" i="8"/>
  <c r="R4" i="8" s="1"/>
  <c r="R5" i="8" s="1"/>
  <c r="P3" i="8"/>
  <c r="P4" i="8" s="1"/>
  <c r="P5" i="8" s="1"/>
  <c r="P6" i="8" s="1"/>
  <c r="N3" i="8"/>
  <c r="N4" i="8" s="1"/>
  <c r="N5" i="8" s="1"/>
  <c r="L3" i="8"/>
  <c r="L4" i="8" s="1"/>
  <c r="L5" i="8" s="1"/>
  <c r="L6" i="8" s="1"/>
  <c r="L7" i="8" s="1"/>
  <c r="L8" i="8" s="1"/>
  <c r="L9" i="8" s="1"/>
  <c r="L10" i="8" s="1"/>
  <c r="K3" i="8"/>
  <c r="E18" i="13" s="1"/>
  <c r="H18" i="13" s="1"/>
  <c r="J3" i="8"/>
  <c r="J4" i="8" s="1"/>
  <c r="J5" i="8" s="1"/>
  <c r="J6" i="8" s="1"/>
  <c r="J7" i="8" s="1"/>
  <c r="J8" i="8" s="1"/>
  <c r="J9" i="8" s="1"/>
  <c r="J10" i="8" s="1"/>
  <c r="J11" i="8" s="1"/>
  <c r="J12" i="8" s="1"/>
  <c r="J13" i="8" s="1"/>
  <c r="J14" i="8" s="1"/>
  <c r="J15" i="8" s="1"/>
  <c r="J16" i="8" s="1"/>
  <c r="J17" i="8" s="1"/>
  <c r="F3" i="8"/>
  <c r="F4" i="8" s="1"/>
  <c r="F5" i="8" s="1"/>
  <c r="F6" i="8" s="1"/>
  <c r="F7" i="8" s="1"/>
  <c r="F8" i="8" s="1"/>
  <c r="F9" i="8" s="1"/>
  <c r="F10" i="8" s="1"/>
  <c r="F11" i="8" s="1"/>
  <c r="F12" i="8" s="1"/>
  <c r="F13" i="8" s="1"/>
  <c r="F14" i="8" s="1"/>
  <c r="F15" i="8" s="1"/>
  <c r="F16" i="8" s="1"/>
  <c r="F17" i="8" s="1"/>
  <c r="F18" i="8" s="1"/>
  <c r="F19" i="8" s="1"/>
  <c r="F20" i="8" s="1"/>
  <c r="F21" i="8" s="1"/>
  <c r="F22" i="8" s="1"/>
  <c r="F23" i="8" s="1"/>
  <c r="F24" i="8" s="1"/>
  <c r="F25" i="8" s="1"/>
  <c r="F26" i="8" s="1"/>
  <c r="F27" i="8" s="1"/>
  <c r="F28" i="8" s="1"/>
  <c r="F29" i="8" s="1"/>
  <c r="F30" i="8" s="1"/>
  <c r="F31" i="8" s="1"/>
  <c r="F32" i="8" s="1"/>
  <c r="F33" i="8" s="1"/>
  <c r="AL2" i="8"/>
  <c r="AM20" i="7"/>
  <c r="AM19" i="7"/>
  <c r="AM18" i="7"/>
  <c r="AM17" i="7"/>
  <c r="AM16" i="7"/>
  <c r="AM15" i="7"/>
  <c r="AM14" i="7"/>
  <c r="AM13" i="7"/>
  <c r="E13" i="7"/>
  <c r="F13" i="7" s="1"/>
  <c r="G13" i="7" s="1"/>
  <c r="H13" i="7" s="1"/>
  <c r="I13" i="7" s="1"/>
  <c r="J13" i="7" s="1"/>
  <c r="K13" i="7" s="1"/>
  <c r="L13" i="7" s="1"/>
  <c r="M13" i="7" s="1"/>
  <c r="N13" i="7" s="1"/>
  <c r="O13" i="7" s="1"/>
  <c r="P13" i="7" s="1"/>
  <c r="Q13" i="7" s="1"/>
  <c r="R13" i="7" s="1"/>
  <c r="D13" i="7"/>
  <c r="AM12" i="7"/>
  <c r="AM11" i="7"/>
  <c r="AM10" i="7"/>
  <c r="AM9" i="7"/>
  <c r="AM8" i="7"/>
  <c r="AM7" i="7"/>
  <c r="AM6" i="7"/>
  <c r="AJ6" i="7"/>
  <c r="AL6" i="7" s="1"/>
  <c r="AQ5" i="7"/>
  <c r="AM5" i="7"/>
  <c r="AL5" i="7"/>
  <c r="AK5" i="7"/>
  <c r="AQ4" i="7"/>
  <c r="E3" i="9" s="1"/>
  <c r="AQ3" i="7"/>
  <c r="B57" i="6"/>
  <c r="B56" i="6"/>
  <c r="B55" i="6"/>
  <c r="B54" i="6"/>
  <c r="J49" i="6"/>
  <c r="B49" i="6"/>
  <c r="B45" i="6"/>
  <c r="B44" i="6"/>
  <c r="B43" i="6"/>
  <c r="B42" i="6"/>
  <c r="J37" i="6"/>
  <c r="B37" i="6"/>
  <c r="B33" i="6"/>
  <c r="B32" i="6"/>
  <c r="B31" i="6"/>
  <c r="B30" i="6"/>
  <c r="H25" i="6"/>
  <c r="G25" i="6"/>
  <c r="B25" i="6"/>
  <c r="B21" i="6"/>
  <c r="B20" i="6"/>
  <c r="B19" i="6"/>
  <c r="B18" i="6"/>
  <c r="C14" i="6"/>
  <c r="D12" i="6"/>
  <c r="J10" i="6"/>
  <c r="F10" i="6"/>
  <c r="E20" i="6" s="1"/>
  <c r="H5" i="6"/>
  <c r="G5" i="6"/>
  <c r="F3" i="9" l="1"/>
  <c r="H26" i="6"/>
  <c r="H26" i="13"/>
  <c r="G26" i="13"/>
  <c r="H14" i="6"/>
  <c r="D21" i="13"/>
  <c r="R6" i="8"/>
  <c r="F9" i="6"/>
  <c r="G7" i="8"/>
  <c r="G8" i="8" s="1"/>
  <c r="G9" i="8" s="1"/>
  <c r="G10" i="8" s="1"/>
  <c r="G11" i="8" s="1"/>
  <c r="G12" i="8" s="1"/>
  <c r="G13" i="8" s="1"/>
  <c r="G14" i="8" s="1"/>
  <c r="G15" i="8" s="1"/>
  <c r="G16" i="8" s="1"/>
  <c r="G17" i="8" s="1"/>
  <c r="G18" i="8" s="1"/>
  <c r="G19" i="8" s="1"/>
  <c r="G20" i="8" s="1"/>
  <c r="G21" i="8" s="1"/>
  <c r="G22" i="8" s="1"/>
  <c r="G23" i="8" s="1"/>
  <c r="G24" i="8" s="1"/>
  <c r="G25" i="8" s="1"/>
  <c r="G26" i="8" s="1"/>
  <c r="G27" i="8" s="1"/>
  <c r="G28" i="8" s="1"/>
  <c r="G29" i="8" s="1"/>
  <c r="G30" i="8" s="1"/>
  <c r="G31" i="8" s="1"/>
  <c r="G32" i="8" s="1"/>
  <c r="G33" i="8" s="1"/>
  <c r="G34" i="8" s="1"/>
  <c r="G35" i="8" s="1"/>
  <c r="F5" i="6"/>
  <c r="F37" i="6"/>
  <c r="N6" i="8"/>
  <c r="N7" i="8" s="1"/>
  <c r="N8" i="8" s="1"/>
  <c r="N9" i="8" s="1"/>
  <c r="N10" i="8" s="1"/>
  <c r="F7" i="6"/>
  <c r="Z3" i="8"/>
  <c r="AO8" i="8"/>
  <c r="F6" i="6"/>
  <c r="J5" i="6"/>
  <c r="G14" i="6"/>
  <c r="F14" i="6"/>
  <c r="G26" i="6"/>
  <c r="H8" i="6"/>
  <c r="G8" i="6"/>
  <c r="O5" i="8"/>
  <c r="F50" i="6" s="1"/>
  <c r="O6" i="8"/>
  <c r="Z4" i="8"/>
  <c r="AA5" i="8"/>
  <c r="E5" i="9"/>
  <c r="AO5" i="7" s="1"/>
  <c r="E11" i="9"/>
  <c r="E10" i="9"/>
  <c r="AQ6" i="7"/>
  <c r="E6" i="9" s="1"/>
  <c r="AJ7" i="7"/>
  <c r="Y4" i="8"/>
  <c r="X3" i="8"/>
  <c r="AK6" i="7"/>
  <c r="I13" i="8"/>
  <c r="I16" i="8"/>
  <c r="AO18" i="8" s="1"/>
  <c r="I11" i="8"/>
  <c r="AO12" i="8"/>
  <c r="AO10" i="8"/>
  <c r="F25" i="6" l="1"/>
  <c r="F26" i="13"/>
  <c r="J25" i="13"/>
  <c r="F25" i="13"/>
  <c r="F37" i="13"/>
  <c r="E55" i="6"/>
  <c r="F48" i="13"/>
  <c r="G21" i="13"/>
  <c r="H21" i="13"/>
  <c r="J13" i="6"/>
  <c r="F49" i="6"/>
  <c r="D55" i="6" s="1"/>
  <c r="D18" i="6"/>
  <c r="G18" i="6" s="1"/>
  <c r="E18" i="6"/>
  <c r="J7" i="6"/>
  <c r="E19" i="6" s="1"/>
  <c r="F38" i="6"/>
  <c r="E43" i="6" s="1"/>
  <c r="F26" i="6"/>
  <c r="F8" i="6"/>
  <c r="J25" i="6"/>
  <c r="AP6" i="7"/>
  <c r="AP5" i="7"/>
  <c r="Y5" i="8"/>
  <c r="X4" i="8"/>
  <c r="AO6" i="7"/>
  <c r="I17" i="8"/>
  <c r="AO19" i="8" s="1"/>
  <c r="AO15" i="8"/>
  <c r="AO7" i="7"/>
  <c r="AK7" i="7"/>
  <c r="AJ8" i="7"/>
  <c r="AQ7" i="7"/>
  <c r="AL7" i="7"/>
  <c r="AP7" i="7"/>
  <c r="AA6" i="8"/>
  <c r="Z5" i="8"/>
  <c r="AO13" i="8"/>
  <c r="I15" i="8"/>
  <c r="AO17" i="8" s="1"/>
  <c r="E52" i="13" l="1"/>
  <c r="H52" i="13" s="1"/>
  <c r="D52" i="13"/>
  <c r="G52" i="13" s="1"/>
  <c r="D43" i="6"/>
  <c r="G43" i="6" s="1"/>
  <c r="E41" i="13"/>
  <c r="H41" i="13" s="1"/>
  <c r="D41" i="13"/>
  <c r="G41" i="13" s="1"/>
  <c r="E30" i="13"/>
  <c r="H30" i="13" s="1"/>
  <c r="D30" i="13"/>
  <c r="G30" i="13" s="1"/>
  <c r="F3" i="15"/>
  <c r="F7" i="15" s="1"/>
  <c r="H18" i="6"/>
  <c r="E31" i="6"/>
  <c r="D31" i="6"/>
  <c r="G31" i="6" s="1"/>
  <c r="G55" i="6"/>
  <c r="H55" i="6"/>
  <c r="D19" i="6"/>
  <c r="G19" i="6" s="1"/>
  <c r="J3" i="15" s="1"/>
  <c r="J7" i="15" s="1"/>
  <c r="H43" i="6"/>
  <c r="Y6" i="8"/>
  <c r="X5" i="8"/>
  <c r="AA7" i="8"/>
  <c r="Z6" i="8"/>
  <c r="AO8" i="7"/>
  <c r="F5" i="9" s="1"/>
  <c r="AK8" i="7"/>
  <c r="AJ9" i="7"/>
  <c r="AQ8" i="7"/>
  <c r="AP8" i="7"/>
  <c r="AL8" i="7"/>
  <c r="F6" i="9"/>
  <c r="F2" i="15" l="1"/>
  <c r="F6" i="15" s="1"/>
  <c r="F9" i="10" s="1"/>
  <c r="H19" i="6"/>
  <c r="J2" i="15" s="1"/>
  <c r="J6" i="15" s="1"/>
  <c r="F10" i="10" s="1"/>
  <c r="H31" i="6"/>
  <c r="Y7" i="8"/>
  <c r="X6" i="8"/>
  <c r="AO9" i="7"/>
  <c r="AK9" i="7"/>
  <c r="AJ10" i="7"/>
  <c r="AQ9" i="7"/>
  <c r="AP9" i="7"/>
  <c r="AL9" i="7"/>
  <c r="AA8" i="8"/>
  <c r="Z7" i="8"/>
  <c r="AA9" i="8" l="1"/>
  <c r="Z8" i="8"/>
  <c r="AJ11" i="7"/>
  <c r="AO10" i="7"/>
  <c r="AK10" i="7"/>
  <c r="AQ10" i="7"/>
  <c r="AP10" i="7"/>
  <c r="AL10" i="7"/>
  <c r="Y8" i="8"/>
  <c r="X7" i="8"/>
  <c r="AJ12" i="7" l="1"/>
  <c r="AQ11" i="7"/>
  <c r="AL11" i="7"/>
  <c r="AP11" i="7"/>
  <c r="AK11" i="7"/>
  <c r="AO11" i="7"/>
  <c r="Y9" i="8"/>
  <c r="X8" i="8"/>
  <c r="AA10" i="8"/>
  <c r="Z9" i="8"/>
  <c r="Y10" i="8" l="1"/>
  <c r="X9" i="8"/>
  <c r="AA11" i="8"/>
  <c r="Z10" i="8"/>
  <c r="AJ13" i="7"/>
  <c r="AQ12" i="7"/>
  <c r="AO12" i="7"/>
  <c r="AL12" i="7"/>
  <c r="AP12" i="7"/>
  <c r="AK12" i="7"/>
  <c r="Z11" i="8" l="1"/>
  <c r="AA12" i="8"/>
  <c r="AJ14" i="7"/>
  <c r="AO13" i="7"/>
  <c r="AK13" i="7"/>
  <c r="AL13" i="7"/>
  <c r="AQ13" i="7"/>
  <c r="AP13" i="7"/>
  <c r="X10" i="8"/>
  <c r="Y11" i="8"/>
  <c r="Y12" i="8" l="1"/>
  <c r="X11" i="8"/>
  <c r="AJ15" i="7"/>
  <c r="AO14" i="7"/>
  <c r="AK14" i="7"/>
  <c r="AL14" i="7"/>
  <c r="AQ14" i="7"/>
  <c r="AP14" i="7"/>
  <c r="AA13" i="8"/>
  <c r="Z12" i="8"/>
  <c r="AJ16" i="7" l="1"/>
  <c r="AO15" i="7"/>
  <c r="AK15" i="7"/>
  <c r="AL15" i="7"/>
  <c r="AQ15" i="7"/>
  <c r="AP15" i="7"/>
  <c r="AA14" i="8"/>
  <c r="Z13" i="8"/>
  <c r="X12" i="8"/>
  <c r="Y13" i="8"/>
  <c r="Z14" i="8" l="1"/>
  <c r="AA15" i="8"/>
  <c r="Y14" i="8"/>
  <c r="X13" i="8"/>
  <c r="AJ17" i="7"/>
  <c r="AO16" i="7"/>
  <c r="AK16" i="7"/>
  <c r="AL16" i="7"/>
  <c r="AQ16" i="7"/>
  <c r="AP16" i="7"/>
  <c r="Y15" i="8" l="1"/>
  <c r="X14" i="8"/>
  <c r="AA16" i="8"/>
  <c r="Z15" i="8"/>
  <c r="AJ18" i="7"/>
  <c r="AO17" i="7"/>
  <c r="AK17" i="7"/>
  <c r="AL17" i="7"/>
  <c r="AQ17" i="7"/>
  <c r="AP17" i="7"/>
  <c r="AA17" i="8" l="1"/>
  <c r="Z16" i="8"/>
  <c r="AJ19" i="7"/>
  <c r="AO18" i="7"/>
  <c r="AK18" i="7"/>
  <c r="AL18" i="7"/>
  <c r="AQ18" i="7"/>
  <c r="AP18" i="7"/>
  <c r="X15" i="8"/>
  <c r="Y16" i="8"/>
  <c r="X16" i="8" l="1"/>
  <c r="Y17" i="8"/>
  <c r="AJ20" i="7"/>
  <c r="AO19" i="7"/>
  <c r="AK19" i="7"/>
  <c r="AL19" i="7"/>
  <c r="AQ19" i="7"/>
  <c r="AP19" i="7"/>
  <c r="AA18" i="8"/>
  <c r="Z17" i="8"/>
  <c r="AJ21" i="7" l="1"/>
  <c r="AO20" i="7"/>
  <c r="AK20" i="7"/>
  <c r="AL20" i="7"/>
  <c r="AQ20" i="7"/>
  <c r="E4" i="9" s="1"/>
  <c r="AN20" i="7" s="1"/>
  <c r="AP20" i="7"/>
  <c r="AA19" i="8"/>
  <c r="Z18" i="8"/>
  <c r="Y18" i="8"/>
  <c r="X17" i="8"/>
  <c r="Z19" i="8" l="1"/>
  <c r="AA20" i="8"/>
  <c r="X18" i="8"/>
  <c r="F11" i="6" s="1"/>
  <c r="D20" i="6" s="1"/>
  <c r="AN5" i="7"/>
  <c r="AN6" i="7"/>
  <c r="AN7" i="7"/>
  <c r="AN8" i="7"/>
  <c r="AN9" i="7"/>
  <c r="AN10" i="7"/>
  <c r="AN11" i="7"/>
  <c r="AN12" i="7"/>
  <c r="AN13" i="7"/>
  <c r="AN14" i="7"/>
  <c r="AN15" i="7"/>
  <c r="AN16" i="7"/>
  <c r="AN17" i="7"/>
  <c r="AN18" i="7"/>
  <c r="AN19" i="7"/>
  <c r="AK21" i="7"/>
  <c r="AJ22" i="7"/>
  <c r="AQ21" i="7"/>
  <c r="G20" i="6" l="1"/>
  <c r="H20" i="6"/>
  <c r="AA21" i="8"/>
  <c r="Z20" i="8"/>
  <c r="AK22" i="7"/>
  <c r="AQ22" i="7"/>
  <c r="AJ23" i="7"/>
  <c r="F4" i="9"/>
  <c r="B2" i="15" l="1"/>
  <c r="B6" i="15" s="1"/>
  <c r="B3" i="15"/>
  <c r="B7" i="15" s="1"/>
  <c r="AQ23" i="7"/>
  <c r="AK23" i="7"/>
  <c r="AJ24" i="7"/>
  <c r="AA22" i="8"/>
  <c r="Z21" i="8"/>
  <c r="F3" i="10" l="1"/>
  <c r="AA23" i="8"/>
  <c r="Z22" i="8"/>
  <c r="AJ25" i="7"/>
  <c r="AQ24" i="7"/>
  <c r="AK24" i="7"/>
  <c r="AJ26" i="7" l="1"/>
  <c r="AK25" i="7"/>
  <c r="AQ25" i="7"/>
  <c r="AA24" i="8"/>
  <c r="Z23" i="8"/>
  <c r="AA25" i="8" l="1"/>
  <c r="Z24" i="8"/>
  <c r="AK26" i="7"/>
  <c r="AQ26" i="7"/>
  <c r="AJ27" i="7"/>
  <c r="AJ28" i="7" l="1"/>
  <c r="AQ27" i="7"/>
  <c r="AK27" i="7"/>
  <c r="AA26" i="8"/>
  <c r="Z25" i="8"/>
  <c r="AA27" i="8" l="1"/>
  <c r="AA28" i="8" s="1"/>
  <c r="Z26" i="8"/>
  <c r="AJ29" i="7"/>
  <c r="AK28" i="7"/>
  <c r="AQ28" i="7"/>
  <c r="AK29" i="7" l="1"/>
  <c r="AQ29" i="7"/>
  <c r="AJ30" i="7"/>
  <c r="AA29" i="8"/>
  <c r="Z28" i="8"/>
  <c r="AA30" i="8" l="1"/>
  <c r="Z29" i="8"/>
  <c r="AQ30" i="7"/>
  <c r="AJ31" i="7"/>
  <c r="AK30" i="7"/>
  <c r="AJ32" i="7" l="1"/>
  <c r="AK31" i="7"/>
  <c r="AQ31" i="7"/>
  <c r="AA31" i="8"/>
  <c r="Z30" i="8"/>
  <c r="AA32" i="8" l="1"/>
  <c r="Z31" i="8"/>
  <c r="AJ33" i="7"/>
  <c r="AQ32" i="7"/>
  <c r="AK32" i="7"/>
  <c r="Z32" i="8" l="1"/>
  <c r="F13" i="6"/>
  <c r="AK33" i="7"/>
  <c r="AQ33" i="7"/>
  <c r="AJ34" i="7"/>
  <c r="E21" i="6" l="1"/>
  <c r="H21" i="6" s="1"/>
  <c r="N2" i="15" s="1"/>
  <c r="N6" i="15" s="1"/>
  <c r="D21" i="6"/>
  <c r="G21" i="6" s="1"/>
  <c r="N3" i="15" s="1"/>
  <c r="N7" i="15" s="1"/>
  <c r="AQ34" i="7"/>
  <c r="AJ35" i="7"/>
  <c r="AK34" i="7"/>
  <c r="F11" i="10" l="1"/>
  <c r="AJ36" i="7"/>
  <c r="AK35" i="7"/>
  <c r="AQ35" i="7"/>
  <c r="AQ36" i="7" l="1"/>
  <c r="AK36" i="7"/>
  <c r="F122" i="3" l="1"/>
  <c r="F106" i="3"/>
  <c r="F73" i="3"/>
  <c r="F70" i="3"/>
  <c r="C14" i="3"/>
  <c r="C15" i="3"/>
  <c r="F71" i="3" l="1"/>
  <c r="F27" i="3"/>
  <c r="D95" i="3"/>
  <c r="D94" i="3"/>
  <c r="D59" i="3"/>
  <c r="D35" i="3"/>
  <c r="D34" i="3"/>
  <c r="D19" i="3"/>
  <c r="D21" i="3" s="1"/>
  <c r="R3" i="15" s="1"/>
  <c r="R7" i="15" s="1"/>
  <c r="D11" i="3"/>
  <c r="F63" i="3"/>
  <c r="I5" i="3"/>
  <c r="F8" i="3"/>
  <c r="J2" i="3"/>
  <c r="I2" i="3"/>
  <c r="D104" i="3" l="1"/>
  <c r="D101" i="3"/>
  <c r="M10" i="6"/>
  <c r="M11" i="13"/>
  <c r="D20" i="3"/>
  <c r="R2" i="15" s="1"/>
  <c r="R6" i="15" s="1"/>
  <c r="F32" i="10" s="1"/>
  <c r="F62" i="3"/>
  <c r="D60" i="3"/>
  <c r="F28" i="10" s="1"/>
  <c r="F26" i="3"/>
  <c r="F30" i="3" s="1"/>
  <c r="D4" i="3"/>
  <c r="C4" i="2"/>
  <c r="C3" i="2"/>
  <c r="D67" i="3"/>
  <c r="D68" i="3" l="1"/>
  <c r="D93" i="3"/>
  <c r="D99" i="3" s="1"/>
  <c r="D33" i="3"/>
  <c r="F33" i="10" s="1"/>
  <c r="F29" i="3"/>
  <c r="F28" i="3"/>
  <c r="L34" i="5"/>
  <c r="I34" i="5" s="1"/>
  <c r="L18" i="5"/>
  <c r="H18" i="5" s="1"/>
  <c r="A18" i="5" l="1"/>
  <c r="B18" i="5"/>
  <c r="E34" i="5"/>
  <c r="I18" i="5"/>
  <c r="A34" i="5"/>
  <c r="G18" i="5"/>
  <c r="B34" i="5"/>
  <c r="J18" i="5"/>
  <c r="H34" i="5"/>
  <c r="J34" i="5"/>
  <c r="C18" i="5"/>
  <c r="D18" i="5"/>
  <c r="E18" i="5"/>
  <c r="F18" i="5"/>
  <c r="C34" i="5"/>
  <c r="D34" i="5"/>
  <c r="F34" i="5"/>
  <c r="G34" i="5"/>
  <c r="F81" i="3"/>
  <c r="M6" i="13"/>
  <c r="M5" i="6"/>
  <c r="F109" i="3"/>
  <c r="N2" i="2"/>
  <c r="F123" i="3" l="1"/>
  <c r="F121" i="3"/>
  <c r="F108" i="3"/>
  <c r="F107" i="3"/>
  <c r="J36" i="5" l="1"/>
  <c r="I36" i="5"/>
  <c r="H36" i="5"/>
  <c r="G36" i="5"/>
  <c r="F36" i="5"/>
  <c r="E36" i="5"/>
  <c r="D36" i="5"/>
  <c r="C36" i="5"/>
  <c r="B36" i="5"/>
  <c r="A36" i="5"/>
  <c r="J35" i="5"/>
  <c r="I35" i="5"/>
  <c r="H35" i="5"/>
  <c r="G35" i="5"/>
  <c r="F35" i="5"/>
  <c r="E35" i="5"/>
  <c r="D35" i="5"/>
  <c r="C35" i="5"/>
  <c r="B35" i="5"/>
  <c r="B39" i="5" s="1"/>
  <c r="C39" i="5" s="1"/>
  <c r="A35" i="5"/>
  <c r="B38" i="5" s="1"/>
  <c r="C38" i="5" s="1"/>
  <c r="B46" i="5" l="1"/>
  <c r="C46" i="5" s="1"/>
  <c r="B45" i="5"/>
  <c r="C45" i="5" s="1"/>
  <c r="B43" i="5"/>
  <c r="C43" i="5" s="1"/>
  <c r="F43" i="5" s="1"/>
  <c r="B42" i="5"/>
  <c r="B44" i="5"/>
  <c r="B41" i="5"/>
  <c r="C41" i="5" s="1"/>
  <c r="F41" i="5" s="1"/>
  <c r="B40" i="5"/>
  <c r="C40" i="5" s="1"/>
  <c r="F38" i="5" s="1"/>
  <c r="F45" i="5" l="1"/>
  <c r="F39" i="5"/>
  <c r="J20" i="5" l="1"/>
  <c r="I20" i="5"/>
  <c r="H20" i="5"/>
  <c r="G20" i="5"/>
  <c r="F20" i="5"/>
  <c r="E20" i="5"/>
  <c r="D20" i="5"/>
  <c r="C20" i="5"/>
  <c r="B20" i="5"/>
  <c r="A20" i="5"/>
  <c r="J19" i="5"/>
  <c r="B30" i="5" s="1"/>
  <c r="C30" i="5" s="1"/>
  <c r="I19" i="5"/>
  <c r="B29" i="5" s="1"/>
  <c r="H19" i="5"/>
  <c r="G19" i="5"/>
  <c r="F19" i="5"/>
  <c r="E19" i="5"/>
  <c r="D19" i="5"/>
  <c r="C19" i="5"/>
  <c r="B19" i="5"/>
  <c r="B23" i="5" s="1"/>
  <c r="C23" i="5" s="1"/>
  <c r="A19" i="5"/>
  <c r="B22" i="5" s="1"/>
  <c r="C22" i="5" s="1"/>
  <c r="C29" i="5" l="1"/>
  <c r="B26" i="5"/>
  <c r="B27" i="5"/>
  <c r="C27" i="5" s="1"/>
  <c r="F27" i="5" s="1"/>
  <c r="B25" i="5"/>
  <c r="C25" i="5" s="1"/>
  <c r="F25" i="5" s="1"/>
  <c r="B24" i="5"/>
  <c r="C24" i="5" s="1"/>
  <c r="B28" i="5"/>
  <c r="F23" i="5" l="1"/>
  <c r="F29" i="5"/>
  <c r="F22" i="5"/>
  <c r="M3" i="2" l="1"/>
  <c r="M2" i="2"/>
  <c r="F134" i="3" l="1"/>
  <c r="O2" i="2" l="1"/>
  <c r="D119" i="3"/>
  <c r="F49" i="3" l="1"/>
  <c r="F48" i="3"/>
  <c r="F42" i="3"/>
  <c r="F41" i="3"/>
  <c r="D52" i="3" l="1"/>
  <c r="F50" i="3"/>
  <c r="D54" i="3"/>
  <c r="D55" i="3" s="1"/>
  <c r="D56" i="3"/>
  <c r="D53" i="3" l="1"/>
  <c r="R7" i="2" l="1"/>
  <c r="R8" i="2"/>
  <c r="R9" i="2"/>
  <c r="R11" i="2"/>
  <c r="R15" i="2" s="1"/>
  <c r="R12" i="2"/>
  <c r="R16" i="2" s="1"/>
  <c r="R13" i="2"/>
  <c r="R17" i="2" s="1"/>
  <c r="R6" i="2"/>
  <c r="R10" i="2" s="1"/>
  <c r="R14" i="2" s="1"/>
  <c r="P3" i="2" l="1"/>
  <c r="F137" i="3" s="1"/>
  <c r="K3" i="2"/>
  <c r="K4" i="2" s="1"/>
  <c r="K5" i="2" s="1"/>
  <c r="K6" i="2" s="1"/>
  <c r="K7" i="2" s="1"/>
  <c r="K8" i="2" s="1"/>
  <c r="K9" i="2" s="1"/>
  <c r="K10" i="2" s="1"/>
  <c r="K11" i="2" s="1"/>
  <c r="K12" i="2" s="1"/>
  <c r="K13" i="2" s="1"/>
  <c r="K14" i="2" s="1"/>
  <c r="K15" i="2" s="1"/>
  <c r="K16" i="2" s="1"/>
  <c r="K17" i="2" s="1"/>
  <c r="K18" i="2" s="1"/>
  <c r="K19" i="2" s="1"/>
  <c r="K20" i="2" s="1"/>
  <c r="K21" i="2" s="1"/>
  <c r="K22" i="2" s="1"/>
  <c r="K23" i="2" s="1"/>
  <c r="K24" i="2" s="1"/>
  <c r="K25" i="2" s="1"/>
  <c r="K26" i="2" s="1"/>
  <c r="K27" i="2" s="1"/>
  <c r="K28" i="2" s="1"/>
  <c r="K29" i="2" s="1"/>
  <c r="K30" i="2" s="1"/>
  <c r="K31" i="2" s="1"/>
  <c r="K32" i="2" s="1"/>
  <c r="K33" i="2" s="1"/>
  <c r="J3" i="2"/>
  <c r="J4" i="2" s="1"/>
  <c r="H4" i="2"/>
  <c r="H5" i="2" s="1"/>
  <c r="H6" i="2" s="1"/>
  <c r="H7" i="2" s="1"/>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 i="2"/>
  <c r="G3" i="2"/>
  <c r="O3" i="2" s="1"/>
  <c r="F139" i="3" s="1"/>
  <c r="I3" i="2"/>
  <c r="F3" i="2"/>
  <c r="N4" i="2" l="1"/>
  <c r="J5" i="2"/>
  <c r="G4" i="2"/>
  <c r="N3" i="2"/>
  <c r="C44" i="5"/>
  <c r="C28" i="5"/>
  <c r="F4" i="2"/>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63" i="2" s="1"/>
  <c r="F64" i="2" s="1"/>
  <c r="F65" i="2" s="1"/>
  <c r="C42" i="5"/>
  <c r="F40" i="5" s="1"/>
  <c r="C26" i="5"/>
  <c r="F24" i="5" s="1"/>
  <c r="F140" i="3"/>
  <c r="I4" i="2"/>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P4" i="2"/>
  <c r="F74" i="3"/>
  <c r="F110" i="3" s="1"/>
  <c r="D112" i="3" s="1"/>
  <c r="F44" i="5" l="1"/>
  <c r="F46" i="5"/>
  <c r="F30" i="5"/>
  <c r="F28" i="5"/>
  <c r="O4" i="2"/>
  <c r="G5" i="2"/>
  <c r="P5" i="2"/>
  <c r="F132" i="3"/>
  <c r="N5" i="2"/>
  <c r="J6" i="2"/>
  <c r="D111" i="3"/>
  <c r="N6" i="2" l="1"/>
  <c r="J7" i="2"/>
  <c r="P6" i="2"/>
  <c r="F136" i="3"/>
  <c r="G6" i="2"/>
  <c r="O5" i="2"/>
  <c r="F82" i="3"/>
  <c r="F83" i="3" s="1"/>
  <c r="M7" i="13"/>
  <c r="D117" i="3"/>
  <c r="M89" i="3"/>
  <c r="M102" i="3"/>
  <c r="M103" i="3"/>
  <c r="M92" i="3"/>
  <c r="M105" i="3"/>
  <c r="M81" i="3"/>
  <c r="M93" i="3"/>
  <c r="M106" i="3"/>
  <c r="M90" i="3"/>
  <c r="M6" i="6"/>
  <c r="M91" i="3"/>
  <c r="M104" i="3"/>
  <c r="M82" i="3"/>
  <c r="M94" i="3"/>
  <c r="M107" i="3"/>
  <c r="M83" i="3"/>
  <c r="M95" i="3"/>
  <c r="M108" i="3"/>
  <c r="M88" i="3"/>
  <c r="M101" i="3"/>
  <c r="M84" i="3"/>
  <c r="M97" i="3"/>
  <c r="M109" i="3"/>
  <c r="M85" i="3"/>
  <c r="M98" i="3"/>
  <c r="M86" i="3"/>
  <c r="M99" i="3"/>
  <c r="M110" i="3"/>
  <c r="M87" i="3"/>
  <c r="M100" i="3"/>
  <c r="M80" i="3"/>
  <c r="D115" i="3"/>
  <c r="F124" i="3"/>
  <c r="F135" i="3" l="1"/>
  <c r="G7" i="2"/>
  <c r="O6" i="2"/>
  <c r="P7" i="2"/>
  <c r="P8" i="2" s="1"/>
  <c r="P9" i="2" s="1"/>
  <c r="P10" i="2" s="1"/>
  <c r="P11" i="2" s="1"/>
  <c r="P12" i="2" s="1"/>
  <c r="P13" i="2" s="1"/>
  <c r="P14" i="2" s="1"/>
  <c r="P15" i="2" s="1"/>
  <c r="P16" i="2" s="1"/>
  <c r="P17" i="2" s="1"/>
  <c r="P18" i="2" s="1"/>
  <c r="P19" i="2" s="1"/>
  <c r="P20" i="2" s="1"/>
  <c r="P21" i="2" s="1"/>
  <c r="P22" i="2" s="1"/>
  <c r="P23" i="2" s="1"/>
  <c r="P24" i="2" s="1"/>
  <c r="P25" i="2" s="1"/>
  <c r="P26" i="2" s="1"/>
  <c r="P27" i="2" s="1"/>
  <c r="P28" i="2" s="1"/>
  <c r="P29" i="2" s="1"/>
  <c r="P30" i="2" s="1"/>
  <c r="P31" i="2" s="1"/>
  <c r="P32" i="2" s="1"/>
  <c r="P33" i="2" s="1"/>
  <c r="P34" i="2" s="1"/>
  <c r="P35" i="2" s="1"/>
  <c r="F133" i="3"/>
  <c r="N7" i="2"/>
  <c r="J8" i="2"/>
  <c r="F84" i="3"/>
  <c r="F85" i="3" s="1"/>
  <c r="F86" i="3" s="1"/>
  <c r="F126" i="3"/>
  <c r="F127" i="3" s="1"/>
  <c r="F128" i="3" s="1"/>
  <c r="F125" i="3"/>
  <c r="J9" i="2" l="1"/>
  <c r="N8" i="2"/>
  <c r="P36" i="2"/>
  <c r="P37" i="2" s="1"/>
  <c r="P38" i="2" s="1"/>
  <c r="P39" i="2" s="1"/>
  <c r="P40" i="2" s="1"/>
  <c r="P41" i="2" s="1"/>
  <c r="P42" i="2" s="1"/>
  <c r="P43" i="2" s="1"/>
  <c r="P44" i="2" s="1"/>
  <c r="P45" i="2" s="1"/>
  <c r="P46" i="2" s="1"/>
  <c r="P47" i="2" s="1"/>
  <c r="P48" i="2" s="1"/>
  <c r="P49" i="2" s="1"/>
  <c r="P50" i="2" s="1"/>
  <c r="P51" i="2" s="1"/>
  <c r="P52" i="2" s="1"/>
  <c r="P53" i="2" s="1"/>
  <c r="P54" i="2" s="1"/>
  <c r="P55" i="2" s="1"/>
  <c r="P56" i="2" s="1"/>
  <c r="P57" i="2" s="1"/>
  <c r="P58" i="2" s="1"/>
  <c r="P59" i="2" s="1"/>
  <c r="P60" i="2" s="1"/>
  <c r="P61" i="2" s="1"/>
  <c r="P62" i="2" s="1"/>
  <c r="P63" i="2" s="1"/>
  <c r="P64" i="2" s="1"/>
  <c r="P65" i="2" s="1"/>
  <c r="F138" i="3"/>
  <c r="F131" i="3" s="1"/>
  <c r="K2" i="5" s="1"/>
  <c r="L2" i="5" s="1"/>
  <c r="G8" i="2"/>
  <c r="O7" i="2"/>
  <c r="J2" i="5" l="1"/>
  <c r="B2" i="5"/>
  <c r="E2" i="5"/>
  <c r="G2" i="5"/>
  <c r="C2" i="5"/>
  <c r="H2" i="5"/>
  <c r="D2" i="5"/>
  <c r="F2" i="5"/>
  <c r="I2" i="5"/>
  <c r="A2" i="5"/>
  <c r="G9" i="2"/>
  <c r="O8" i="2"/>
  <c r="J10" i="2"/>
  <c r="N9" i="2"/>
  <c r="A4" i="5" l="1"/>
  <c r="A3" i="5"/>
  <c r="B6" i="5" s="1"/>
  <c r="C6" i="5" s="1"/>
  <c r="I3" i="5"/>
  <c r="I4" i="5"/>
  <c r="D3" i="5"/>
  <c r="D4" i="5"/>
  <c r="C3" i="5"/>
  <c r="C4" i="5"/>
  <c r="G4" i="5"/>
  <c r="G3" i="5"/>
  <c r="G10" i="2"/>
  <c r="O9" i="2"/>
  <c r="E4" i="5"/>
  <c r="E3" i="5"/>
  <c r="B3" i="5"/>
  <c r="B7" i="5" s="1"/>
  <c r="C7" i="5" s="1"/>
  <c r="B4" i="5"/>
  <c r="J11" i="2"/>
  <c r="N10" i="2"/>
  <c r="F3" i="5"/>
  <c r="F4" i="5"/>
  <c r="H4" i="5"/>
  <c r="H3" i="5"/>
  <c r="J3" i="5"/>
  <c r="B14" i="5" s="1"/>
  <c r="C14" i="5" s="1"/>
  <c r="J4" i="5"/>
  <c r="B12" i="5" l="1"/>
  <c r="C12" i="5" s="1"/>
  <c r="B10" i="5"/>
  <c r="C10" i="5" s="1"/>
  <c r="B11" i="5"/>
  <c r="C11" i="5" s="1"/>
  <c r="F11" i="5" s="1"/>
  <c r="F14" i="5"/>
  <c r="G11" i="2"/>
  <c r="O10" i="2"/>
  <c r="B9" i="5"/>
  <c r="C9" i="5" s="1"/>
  <c r="F9" i="5" s="1"/>
  <c r="F12" i="5"/>
  <c r="B13" i="5"/>
  <c r="C13" i="5" s="1"/>
  <c r="F13" i="5" s="1"/>
  <c r="B8" i="5"/>
  <c r="C8" i="5" s="1"/>
  <c r="J12" i="2"/>
  <c r="N11" i="2"/>
  <c r="J13" i="2" l="1"/>
  <c r="N12" i="2"/>
  <c r="F8" i="5"/>
  <c r="F7" i="5"/>
  <c r="F6" i="5"/>
  <c r="G12" i="2"/>
  <c r="O11" i="2"/>
  <c r="G13" i="2" l="1"/>
  <c r="O12" i="2"/>
  <c r="J14" i="2"/>
  <c r="N13" i="2"/>
  <c r="J15" i="2" l="1"/>
  <c r="N14" i="2"/>
  <c r="G14" i="2"/>
  <c r="O13" i="2"/>
  <c r="G15" i="2" l="1"/>
  <c r="O14" i="2"/>
  <c r="J16" i="2"/>
  <c r="N15" i="2"/>
  <c r="J17" i="2" l="1"/>
  <c r="N17" i="2" s="1"/>
  <c r="N16" i="2"/>
  <c r="G16" i="2"/>
  <c r="O15" i="2"/>
  <c r="G17" i="2" l="1"/>
  <c r="O17" i="2" s="1"/>
  <c r="O16" i="2"/>
</calcChain>
</file>

<file path=xl/comments1.xml><?xml version="1.0" encoding="utf-8"?>
<comments xmlns="http://schemas.openxmlformats.org/spreadsheetml/2006/main">
  <authors>
    <author>Miller, Peter</author>
  </authors>
  <commentList>
    <comment ref="F8" authorId="0">
      <text>
        <r>
          <rPr>
            <sz val="9"/>
            <color indexed="81"/>
            <rFont val="Tahoma"/>
            <family val="2"/>
          </rPr>
          <t>Internal Reference Voltage limited to 0.75V.
Warning (Red): If Vref &gt; 0.75V, VOUT_SCALE_LOOP must be reduced.
Caution (Yellow): If Vref &lt; 0.25, recommend incresing VOUT_SCALE_LOOP to improve regulation accuracy.</t>
        </r>
      </text>
    </comment>
    <comment ref="D11" authorId="0">
      <text>
        <r>
          <rPr>
            <sz val="9"/>
            <color indexed="81"/>
            <rFont val="Tahoma"/>
            <family val="2"/>
          </rPr>
          <t>Warning: If Per Phase Current exceeds recommended maximum device current, increase number of Phase or reduce IOUT.</t>
        </r>
      </text>
    </comment>
  </commentList>
</comments>
</file>

<file path=xl/comments2.xml><?xml version="1.0" encoding="utf-8"?>
<comments xmlns="http://schemas.openxmlformats.org/spreadsheetml/2006/main">
  <authors>
    <author>Anthony Fagnani</author>
  </authors>
  <commentList>
    <comment ref="M5" authorId="0">
      <text>
        <r>
          <rPr>
            <sz val="9"/>
            <color indexed="81"/>
            <rFont val="Tahoma"/>
            <family val="2"/>
          </rPr>
          <t>Round down to closest available value</t>
        </r>
      </text>
    </comment>
    <comment ref="M6" authorId="0">
      <text>
        <r>
          <rPr>
            <sz val="9"/>
            <color indexed="81"/>
            <rFont val="Tahoma"/>
            <family val="2"/>
          </rPr>
          <t>Round down to closest available value</t>
        </r>
      </text>
    </comment>
  </commentList>
</comments>
</file>

<file path=xl/comments3.xml><?xml version="1.0" encoding="utf-8"?>
<comments xmlns="http://schemas.openxmlformats.org/spreadsheetml/2006/main">
  <authors>
    <author>Jackson, Layne</author>
  </authors>
  <commentList>
    <comment ref="F32" authorId="0">
      <text>
        <r>
          <rPr>
            <sz val="9"/>
            <color indexed="81"/>
            <rFont val="Tahoma"/>
            <family val="2"/>
          </rPr>
          <t>This is the target inductance value. User can select any value between L_min and L_max in the calculator</t>
        </r>
      </text>
    </comment>
    <comment ref="F33" authorId="0">
      <text>
        <r>
          <rPr>
            <sz val="9"/>
            <color indexed="81"/>
            <rFont val="Tahoma"/>
            <family val="2"/>
          </rPr>
          <t>Minimum calculated input capacitance after derating</t>
        </r>
      </text>
    </comment>
  </commentList>
</comments>
</file>

<file path=xl/comments4.xml><?xml version="1.0" encoding="utf-8"?>
<comments xmlns="http://schemas.openxmlformats.org/spreadsheetml/2006/main">
  <authors>
    <author>Anthony Fagnani</author>
  </authors>
  <commentList>
    <comment ref="M6" authorId="0">
      <text>
        <r>
          <rPr>
            <sz val="9"/>
            <color indexed="81"/>
            <rFont val="Tahoma"/>
            <family val="2"/>
          </rPr>
          <t>Round down to closest available value</t>
        </r>
      </text>
    </comment>
    <comment ref="M7" authorId="0">
      <text>
        <r>
          <rPr>
            <sz val="9"/>
            <color indexed="81"/>
            <rFont val="Tahoma"/>
            <family val="2"/>
          </rPr>
          <t>Round down to closest available value</t>
        </r>
      </text>
    </comment>
  </commentList>
</comments>
</file>

<file path=xl/sharedStrings.xml><?xml version="1.0" encoding="utf-8"?>
<sst xmlns="http://schemas.openxmlformats.org/spreadsheetml/2006/main" count="1502" uniqueCount="701">
  <si>
    <t>GMV</t>
  </si>
  <si>
    <t>GMI</t>
  </si>
  <si>
    <t>RVV</t>
  </si>
  <si>
    <t>INTV</t>
  </si>
  <si>
    <t>CPV</t>
  </si>
  <si>
    <t>RVI</t>
  </si>
  <si>
    <t>INTI</t>
  </si>
  <si>
    <t>CPI</t>
  </si>
  <si>
    <t>RINT</t>
  </si>
  <si>
    <t>uS</t>
  </si>
  <si>
    <t>pF</t>
  </si>
  <si>
    <t>kHz</t>
  </si>
  <si>
    <t>mV/A</t>
  </si>
  <si>
    <t>GVV</t>
  </si>
  <si>
    <t>Code</t>
  </si>
  <si>
    <t>VOSL</t>
  </si>
  <si>
    <t>Key</t>
  </si>
  <si>
    <t>Recommended Component Value</t>
  </si>
  <si>
    <t>Design Caution</t>
  </si>
  <si>
    <t>Design Warning</t>
  </si>
  <si>
    <t>Parameter</t>
  </si>
  <si>
    <t>Value</t>
  </si>
  <si>
    <t>V</t>
  </si>
  <si>
    <t>Vout</t>
  </si>
  <si>
    <t>Nominal Regulated Output Voltage</t>
  </si>
  <si>
    <t>Iout</t>
  </si>
  <si>
    <t>A</t>
  </si>
  <si>
    <t>Iout(trans)</t>
  </si>
  <si>
    <t>Load Step / Load Release Transient Current</t>
  </si>
  <si>
    <t>Vout(rip)</t>
  </si>
  <si>
    <t>mV</t>
  </si>
  <si>
    <t>Steady State peak to peak output voltage ripple</t>
  </si>
  <si>
    <t>Vunder</t>
  </si>
  <si>
    <t>Transient response Undershoot Voltage</t>
  </si>
  <si>
    <t>Vover</t>
  </si>
  <si>
    <t>Transient response Overshoot Voltage</t>
  </si>
  <si>
    <t>FRQUENCY_SWITCH</t>
  </si>
  <si>
    <t>FREQUENCY_SWITCH</t>
  </si>
  <si>
    <t>EEPROM</t>
  </si>
  <si>
    <t>Inductance</t>
  </si>
  <si>
    <t>uF</t>
  </si>
  <si>
    <t>uH</t>
  </si>
  <si>
    <t>L(40%)</t>
  </si>
  <si>
    <t>Minimum recommended inductor value (Inductor ripple 40% of full load)</t>
  </si>
  <si>
    <t>Ind-Volt</t>
  </si>
  <si>
    <t>Volt-uSec</t>
  </si>
  <si>
    <t>Inductor Volt-second during operation</t>
  </si>
  <si>
    <t>L(10%)</t>
  </si>
  <si>
    <t>Maximum recommended inductor value (Inductor ripple 10% of full load)</t>
  </si>
  <si>
    <t>Ipk-pk</t>
  </si>
  <si>
    <t>Iout/Ipk-pk</t>
  </si>
  <si>
    <t>A/A</t>
  </si>
  <si>
    <t>Inductor Ripple Current to Full Load current Ratio</t>
  </si>
  <si>
    <t>Ipk</t>
  </si>
  <si>
    <t>Peak Inductor current at full load (Compare to Inductor Saturation Current)</t>
  </si>
  <si>
    <t>Irms</t>
  </si>
  <si>
    <t>Arms</t>
  </si>
  <si>
    <t>Inductor RMS current (Compare to Inductor Thermal Current)</t>
  </si>
  <si>
    <t>Cout Ripple</t>
  </si>
  <si>
    <t>Cout Under</t>
  </si>
  <si>
    <t>Cout Over</t>
  </si>
  <si>
    <t>Cout (bulk)</t>
  </si>
  <si>
    <t>ESR (bulk)</t>
  </si>
  <si>
    <t>Count (bulk)</t>
  </si>
  <si>
    <t>Single Bulk Capacitor Capactiance</t>
  </si>
  <si>
    <t>Single Bulk Capacitor ESR</t>
  </si>
  <si>
    <t>Total Bulk Cout</t>
  </si>
  <si>
    <t>Total Bulk ESR</t>
  </si>
  <si>
    <t>Total Bulk Output Capacitance</t>
  </si>
  <si>
    <t>Effective Bulk Capacitance ESR</t>
  </si>
  <si>
    <t>Zout (Fsw)</t>
  </si>
  <si>
    <t>Zout (Fsw/10)</t>
  </si>
  <si>
    <t>Qin</t>
  </si>
  <si>
    <t>uC</t>
  </si>
  <si>
    <t>Input Charge per switching cycle</t>
  </si>
  <si>
    <t>Cin(cer) min</t>
  </si>
  <si>
    <t>Cin(cer)</t>
  </si>
  <si>
    <t>Vin(rip)</t>
  </si>
  <si>
    <t>Internal Divider Ratio (Vout Scale Loop)</t>
  </si>
  <si>
    <t>Modulator Ratio</t>
  </si>
  <si>
    <t>Current Sense Gain</t>
  </si>
  <si>
    <t>A/mV</t>
  </si>
  <si>
    <t>Fsw / Fcoi</t>
  </si>
  <si>
    <t>Fcoi</t>
  </si>
  <si>
    <t>Target Current Regulation Cross-over Frequency</t>
  </si>
  <si>
    <t>CZI</t>
  </si>
  <si>
    <t>Current Loop Zero Capacitor</t>
  </si>
  <si>
    <t>Target Mid-band gain for current reglation loop</t>
  </si>
  <si>
    <t>Target Fzi</t>
  </si>
  <si>
    <t>Target Zero-frequency for current regulation loop</t>
  </si>
  <si>
    <t>Target Fpi</t>
  </si>
  <si>
    <t>Target Pole-frequency for current regulation loop</t>
  </si>
  <si>
    <t>Current Loop Mid-band Resistor Value (5k - 315k)</t>
  </si>
  <si>
    <t>Current Loop Transconductance (25uS, 50uS, 100uS, 200us)</t>
  </si>
  <si>
    <t>kOhms</t>
  </si>
  <si>
    <t>Cout-Max</t>
  </si>
  <si>
    <t>Fsw / Fcov</t>
  </si>
  <si>
    <t>Fcov</t>
  </si>
  <si>
    <t>Target Voltage Regulation Cross-over Frequency</t>
  </si>
  <si>
    <t>Target Fzv</t>
  </si>
  <si>
    <t>Target Fpv</t>
  </si>
  <si>
    <t>Target Mid-band gain for voltage reglation loop</t>
  </si>
  <si>
    <t>Target Zero-frequency for voltage regulation loop</t>
  </si>
  <si>
    <t>Target Pole-frequency for voltage regulation loop</t>
  </si>
  <si>
    <t>Voltage Loop Transconductance (25uS, 50uS, 100uS, 200us)</t>
  </si>
  <si>
    <t>Voltage Loop Mid-band Resistor Value (5k - 315k)</t>
  </si>
  <si>
    <t>Voltage Loop Zero Capacitor</t>
  </si>
  <si>
    <t>Voltage Loop Pole Capacitor (6.25 - 193.75pF)</t>
  </si>
  <si>
    <t>Current Loop Pole Capacitor (6.25 - 193.75pF)</t>
  </si>
  <si>
    <t>Zout(Fcov)</t>
  </si>
  <si>
    <t>Output Impedance at desired Voltage Loop Cross-over Frequency</t>
  </si>
  <si>
    <t>CZV</t>
  </si>
  <si>
    <t>Czi</t>
  </si>
  <si>
    <t>Czv</t>
  </si>
  <si>
    <t>Output Impedance at Swiching Frequency</t>
  </si>
  <si>
    <t>Output Impedance at 1/10 Switching Frequency (Typical Voltage Crossover)</t>
  </si>
  <si>
    <t>mOhms</t>
  </si>
  <si>
    <t>RINTI</t>
  </si>
  <si>
    <t>Ratio of Switching Frequency to Current Loop Crossover (3 to 4 recommended)</t>
  </si>
  <si>
    <t>Ratio of Switching Frequency to Voltage Loop Crossover (8 to 12 recommended)</t>
  </si>
  <si>
    <t>Fco(Cout-max)</t>
  </si>
  <si>
    <t>Cout(total)</t>
  </si>
  <si>
    <t xml:space="preserve">Total Bulk + Ceramic Output Capacitance </t>
  </si>
  <si>
    <t>COMPENSATION_CONFIG</t>
  </si>
  <si>
    <t>(Hex)</t>
  </si>
  <si>
    <t>Current Control Gain</t>
  </si>
  <si>
    <t>PVIN / VRAMP(mod)</t>
  </si>
  <si>
    <t>Czi_multi</t>
  </si>
  <si>
    <t># of Phases</t>
  </si>
  <si>
    <t>Number of Phases Used</t>
  </si>
  <si>
    <t>Count</t>
  </si>
  <si>
    <t>Phase Count</t>
  </si>
  <si>
    <t>Current Sense Gain (6.155 /  #Phases)</t>
  </si>
  <si>
    <t>Single Phase Current Sense Gain</t>
  </si>
  <si>
    <t>Power Stage GM</t>
  </si>
  <si>
    <t>A/V</t>
  </si>
  <si>
    <t>PS GM x Zout @ Fco</t>
  </si>
  <si>
    <t>Total Output Current</t>
  </si>
  <si>
    <t>Current per Phase</t>
  </si>
  <si>
    <t>Vgain</t>
  </si>
  <si>
    <t>Vzero</t>
  </si>
  <si>
    <t>Vpole</t>
  </si>
  <si>
    <t>V/V</t>
  </si>
  <si>
    <t>Igain</t>
  </si>
  <si>
    <t>First Byte</t>
  </si>
  <si>
    <t>Second Byte</t>
  </si>
  <si>
    <t>Third Byte</t>
  </si>
  <si>
    <t>Fourth Byte</t>
  </si>
  <si>
    <t>Fifth Byte</t>
  </si>
  <si>
    <t>Izero</t>
  </si>
  <si>
    <t>Ipole</t>
  </si>
  <si>
    <t>Inductor Current Slope</t>
  </si>
  <si>
    <t>A/Tsw-V</t>
  </si>
  <si>
    <t>Inductor Current Slope per Switching Cycle-V</t>
  </si>
  <si>
    <t>Peak to Peak ripple current on inductor  (Between 2 and 14 for Pin-Strapped Compensation)</t>
  </si>
  <si>
    <t>111CCC17CC</t>
  </si>
  <si>
    <t>Comp Code</t>
  </si>
  <si>
    <t>ILOOP Gain</t>
  </si>
  <si>
    <t>VLOOP Gain</t>
  </si>
  <si>
    <t>COMPENSATION Pin Strap Code Values</t>
  </si>
  <si>
    <t>BW - ILOOP</t>
  </si>
  <si>
    <t>BW VLOOP</t>
  </si>
  <si>
    <t>ILOOP/VLOOP Ratio</t>
  </si>
  <si>
    <t>Estimated Voltage Loop Bandwidth</t>
  </si>
  <si>
    <t>Zout @ VLOOP BW</t>
  </si>
  <si>
    <t>Output Impedance at Voltage Loop Cross-over.  Estimates Transient Response</t>
  </si>
  <si>
    <t>Vunder/Over</t>
  </si>
  <si>
    <t>% Under/Over</t>
  </si>
  <si>
    <t>%</t>
  </si>
  <si>
    <t>Estimated Output Voltage Deviation due to Specified Transient</t>
  </si>
  <si>
    <t>Estimated Output Voltage Deviation due to Specified Transient, as percentage of VOUT</t>
  </si>
  <si>
    <t>Vref</t>
  </si>
  <si>
    <t>Minimum recommended Ceramic Input Capacitance (Limit Vin Ripple to &lt; 250mV)</t>
  </si>
  <si>
    <t>Select the highest Comp Code value that shows green for both ILOOP and VLOOP Gains. If all ILOOP Gains are Red, increase FREQUENCY_SWITCH or Increase L.  If All VLOOP gains are Red, Increase FREQUENCY_SWITCH or COUT</t>
  </si>
  <si>
    <t>Ratio of Bandwidth of Current Loop to Voltage Loop.  If Red, Increase ILOOP gain or decrease VLOOP Gain</t>
  </si>
  <si>
    <t>If #N/A - click on CZI and select a new value from the drop-down menu.</t>
  </si>
  <si>
    <t>If #N/A - click on CZV and select a new value from the drop-down menu.</t>
  </si>
  <si>
    <t>Vout_ripple</t>
  </si>
  <si>
    <t>Estimated Output Voltage Ripple Ipk-pk x Zout (Fsw)</t>
  </si>
  <si>
    <t>Minimum Output Capacitance to meet Ripple Requirement (Does not include ESR)</t>
  </si>
  <si>
    <t>Based on Fco @ 1/10 Fsw (Does not Inlcude ESR)</t>
  </si>
  <si>
    <t>Based on Fco @ 1/10 Fsw (Does not Include ESR)</t>
  </si>
  <si>
    <t>Input Voltage (If Yellow, AVIN or VDD5 needs to be provided from a separate supply &gt; 4.0V)</t>
  </si>
  <si>
    <t>Pvin</t>
  </si>
  <si>
    <t>013D044942</t>
  </si>
  <si>
    <t>Hex Code</t>
  </si>
  <si>
    <t>Decimal</t>
  </si>
  <si>
    <t>Hex</t>
  </si>
  <si>
    <t>Pulls Hex Code from Design tab</t>
  </si>
  <si>
    <t>Enter 10 digit Hex Code for COMP_CONFIG to decode</t>
  </si>
  <si>
    <t>Irms(Cin)</t>
  </si>
  <si>
    <t>Input Capacitor RMS ripple current.  Compare to Capacitor RMS ripple current rating.  Recommend not using Capacitors above 1/2 rated RMS current.</t>
  </si>
  <si>
    <t>Device Part Number</t>
  </si>
  <si>
    <t>Device</t>
  </si>
  <si>
    <t>TPS546D24A</t>
  </si>
  <si>
    <t>TPS546B24A</t>
  </si>
  <si>
    <t>TPS546A24A</t>
  </si>
  <si>
    <t>IC IOUT Max</t>
  </si>
  <si>
    <t>CSA Gain</t>
  </si>
  <si>
    <t>P/N</t>
  </si>
  <si>
    <t>Maximum Recommended Per Phase Current (Based on Device Selected)</t>
  </si>
  <si>
    <t>Per Phase Current</t>
  </si>
  <si>
    <t>System Configuration Complete.</t>
  </si>
  <si>
    <t>------&gt;</t>
  </si>
  <si>
    <t>Power Stage Gain at desired Cross-over frequency</t>
  </si>
  <si>
    <t>IC IOUT MAX</t>
  </si>
  <si>
    <t>This design tool is intended to provide assistance during schematic development, component selection and design review for power supplies using the TPS546x24A devices.  Please refer to the TPS546x24A datasheets for more information and layout recommendations.
Some cells are protected to prevent accidental edits. There is no password to unlock them.</t>
  </si>
  <si>
    <t>Master (PHASE = 0x00) (GOSNS Connected to GND at Load)</t>
  </si>
  <si>
    <t>Select Device</t>
  </si>
  <si>
    <t>Pin</t>
  </si>
  <si>
    <t>PMBus Command</t>
  </si>
  <si>
    <t>Units</t>
  </si>
  <si>
    <t>SHORT</t>
  </si>
  <si>
    <t>FLOAT</t>
  </si>
  <si>
    <t>EEPROM Defaults</t>
  </si>
  <si>
    <t>F/S/R?</t>
  </si>
  <si>
    <t>MSEL1</t>
  </si>
  <si>
    <t>MSEL2</t>
  </si>
  <si>
    <t>TON_RISE</t>
  </si>
  <si>
    <t>ms</t>
  </si>
  <si>
    <t>IOC WARN/FAULT</t>
  </si>
  <si>
    <t>40/52</t>
  </si>
  <si>
    <t>N/A</t>
  </si>
  <si>
    <t>Number of Devices</t>
  </si>
  <si>
    <t>VSEL</t>
  </si>
  <si>
    <t>VOUT Range</t>
  </si>
  <si>
    <t>0.50 to 1.25 @ 0.05</t>
  </si>
  <si>
    <t>0.6 to 1.1</t>
  </si>
  <si>
    <t>VOUT_COMMAND</t>
  </si>
  <si>
    <t>VOUT_SCALE_LOOP</t>
  </si>
  <si>
    <t>ADRSEL</t>
  </si>
  <si>
    <t>PMBUS ADDRESS</t>
  </si>
  <si>
    <t>d</t>
  </si>
  <si>
    <t>0x7F</t>
  </si>
  <si>
    <t>0, Auto</t>
  </si>
  <si>
    <t>R2G</t>
  </si>
  <si>
    <t>RDIV</t>
  </si>
  <si>
    <t>Rbot</t>
  </si>
  <si>
    <t>Rtop</t>
  </si>
  <si>
    <t>If any resistor value reports #N/A, the selected configuration is invalid.  Check the pull-down menu options for the selections of that pin.</t>
  </si>
  <si>
    <t>Comp &amp; Fsw</t>
  </si>
  <si>
    <t>SS, OC &amp; Stacking</t>
  </si>
  <si>
    <t>VOUT</t>
  </si>
  <si>
    <t>Address + Phase Shift</t>
  </si>
  <si>
    <t>Slave 1 (PHASE = 0x01) (GOSNS Connected to BP1V5)</t>
  </si>
  <si>
    <t>Position &amp; Number</t>
  </si>
  <si>
    <t>30/39</t>
  </si>
  <si>
    <t>If MSEL2 reports  #N/A, the selected configuration is invalid.  Check the pull-down menu options.  Slave MSEL1, VSEL and ADRSEL pins can be Open or shorted to Thermal Pad</t>
  </si>
  <si>
    <t>OPEN</t>
  </si>
  <si>
    <t>Open</t>
  </si>
  <si>
    <t>OC &amp; Stacking</t>
  </si>
  <si>
    <t>Slave 2 (PHASE = 0x02) (GOSNS Connected to BP1V5)</t>
  </si>
  <si>
    <t>Slave 3 (PHASE = 0x03) (GOSNS Connected to BP1V5)</t>
  </si>
  <si>
    <t>Rbot code</t>
  </si>
  <si>
    <t>R_divider code</t>
  </si>
  <si>
    <t>Devices</t>
  </si>
  <si>
    <t>IOC 1</t>
  </si>
  <si>
    <t>IOC2</t>
  </si>
  <si>
    <t>IOC3</t>
  </si>
  <si>
    <t>IOC4</t>
  </si>
  <si>
    <t>COMPENSATION</t>
  </si>
  <si>
    <t>IOUT_OC_LIMIT</t>
  </si>
  <si>
    <t># of Devices</t>
  </si>
  <si>
    <t>Vout Scale Loop</t>
  </si>
  <si>
    <t>Offset</t>
  </si>
  <si>
    <t>Step</t>
  </si>
  <si>
    <t>VOUT_COMMAND0</t>
  </si>
  <si>
    <t>PMBUS_ADDRESS</t>
  </si>
  <si>
    <t>POSITION/SYNC</t>
  </si>
  <si>
    <t>POS (Slave)</t>
  </si>
  <si>
    <t>Compensation</t>
  </si>
  <si>
    <t>20/26</t>
  </si>
  <si>
    <t>10/14</t>
  </si>
  <si>
    <t>Short</t>
  </si>
  <si>
    <t>Fixed</t>
  </si>
  <si>
    <t>15/19</t>
  </si>
  <si>
    <t>6/9</t>
  </si>
  <si>
    <t>0.80 to 1.09</t>
  </si>
  <si>
    <t>8/12</t>
  </si>
  <si>
    <t>5/7.5</t>
  </si>
  <si>
    <t>0.6 to 0.74 @ 0.01</t>
  </si>
  <si>
    <t>0.60 to 0.89</t>
  </si>
  <si>
    <t>0.75 to 0.89 @ 0.01</t>
  </si>
  <si>
    <t>0.90 to 1.19</t>
  </si>
  <si>
    <t>0.90 to 1.04 @ 0.01</t>
  </si>
  <si>
    <t>1.20 to 1.78</t>
  </si>
  <si>
    <t>1.05 to 1.19 @ 0.01</t>
  </si>
  <si>
    <t>1.80 to 2.38</t>
  </si>
  <si>
    <t>1.20 to 1.48 @ 0.02</t>
  </si>
  <si>
    <t>2.42 to 3.58</t>
  </si>
  <si>
    <t>1.50 to 1.78 @ 0.02</t>
  </si>
  <si>
    <t>3.62 to 4.78</t>
  </si>
  <si>
    <t>1.80 to 2.08 @ 0.02</t>
  </si>
  <si>
    <t>3.65 to 4.80</t>
  </si>
  <si>
    <t>2.10 to 2.38 @ 0.02</t>
  </si>
  <si>
    <t>4.85 to 6.00</t>
  </si>
  <si>
    <t>2.40 to 2.96 @ 0.04</t>
  </si>
  <si>
    <t>3.00 to 3.56 @ 0.04</t>
  </si>
  <si>
    <t>3.60 to 4.16 @ 0.04</t>
  </si>
  <si>
    <t>4.20 to 4.76 @ 0.04</t>
  </si>
  <si>
    <t>4.80 to 5.36 @ 0.04</t>
  </si>
  <si>
    <t>5.40 to 5.96 @ 0.04</t>
  </si>
  <si>
    <t>TPS546D24A Master</t>
  </si>
  <si>
    <t>R to AGND</t>
  </si>
  <si>
    <t>R to BP1V5</t>
  </si>
  <si>
    <t>R2G Code</t>
  </si>
  <si>
    <t>RDIV Code</t>
  </si>
  <si>
    <t>Select Device:</t>
  </si>
  <si>
    <t>INTERLEAVE</t>
  </si>
  <si>
    <t>Name</t>
  </si>
  <si>
    <t>Current per phase</t>
  </si>
  <si>
    <t>Inductor Value</t>
  </si>
  <si>
    <t>Nominal Inductor Value selected</t>
  </si>
  <si>
    <t>Inductor Derating</t>
  </si>
  <si>
    <t xml:space="preserve">Bulk Output Capacitor </t>
  </si>
  <si>
    <t>Nominal value of a Single Bulk/Polymer/Electrolytic Output Capacitor</t>
  </si>
  <si>
    <t>Ceramic Output Capacitor</t>
  </si>
  <si>
    <t>Capacitor Derating (Cer)</t>
  </si>
  <si>
    <t>Current Loop Gain Setting Resistor.  Select value equal to or less than RVI recommended.</t>
  </si>
  <si>
    <t>Equivilent Czi Capacitor Selected (including Multiplier) Integrator Bandwidth of the current loop.</t>
  </si>
  <si>
    <t>Current Loop Pole Capacitor.  Select nearest value CPI recommended.</t>
  </si>
  <si>
    <t xml:space="preserve">Voltage loop gain setting resistor.  Select value equal to or less than RVV recommended </t>
  </si>
  <si>
    <t>Equivelent Voltage Loop integrating capacitor.  Sets Integrator bandwidth of the voltage loop.</t>
  </si>
  <si>
    <t>Voltage loop pole capacitor.  Select the nearest value to CPV recommended.</t>
  </si>
  <si>
    <t>TPS546D24 Resistor Programming Look-up Table</t>
  </si>
  <si>
    <t>TPS546x24A Resistor Programming Look-up Table</t>
  </si>
  <si>
    <t>RVI target</t>
  </si>
  <si>
    <t>CZI target</t>
  </si>
  <si>
    <t>CPI target</t>
  </si>
  <si>
    <t>CZI_MULT</t>
  </si>
  <si>
    <t>MB ILOOP selected</t>
  </si>
  <si>
    <t>F zi selected</t>
  </si>
  <si>
    <t>F pi selected</t>
  </si>
  <si>
    <t>Current Loop Mid-band Gain with selected values</t>
  </si>
  <si>
    <t>Current Loop Zero Frequency with selected values</t>
  </si>
  <si>
    <t>Current Loop Pole Frequency with selected values</t>
  </si>
  <si>
    <t>RVV target</t>
  </si>
  <si>
    <t>CZV target</t>
  </si>
  <si>
    <t>CPV target</t>
  </si>
  <si>
    <t>Estimated Current Loop Bandwidth</t>
  </si>
  <si>
    <t>Voltage Loop Pole Frequency with selected values</t>
  </si>
  <si>
    <t>Voltage Loop Zero Frequency with selected values</t>
  </si>
  <si>
    <t>Voltage Loop Mid-Band Gain with selected values</t>
  </si>
  <si>
    <t>MB VLOOP selected</t>
  </si>
  <si>
    <t>F zv selected</t>
  </si>
  <si>
    <t>F pv selected</t>
  </si>
  <si>
    <t>Target GMI x RVI (ILOOP)</t>
  </si>
  <si>
    <t>Target GMV x RVV (VLOOP)</t>
  </si>
  <si>
    <t>ILOOP target</t>
  </si>
  <si>
    <t>VLOOP target</t>
  </si>
  <si>
    <t>If #N/A - click on CZI_Multiplier and select a new value from the drop down menu.  
CZI may need to be updated after as well.</t>
  </si>
  <si>
    <t>Internal Multiplier for Czi Capacitor  (If Multiplier is red, Current multiplier value not available)</t>
  </si>
  <si>
    <t>Selected Comp Code</t>
  </si>
  <si>
    <t>Values from Design Worksheet Tab</t>
  </si>
  <si>
    <t>Number of devices</t>
  </si>
  <si>
    <t>Switching Frequency (If Yellow, option is not available through pin strapping)</t>
  </si>
  <si>
    <t>Voltage Loop Mid-Band Gain with selected value through pin strapping</t>
  </si>
  <si>
    <t>Current Loop Mid-Band Gain with selected value through pin strapping</t>
  </si>
  <si>
    <t>Estimated Current Loop Bandwidth through pin strapping</t>
  </si>
  <si>
    <t>Estimated Voltage Loop Bandwidth through pin strapping</t>
  </si>
  <si>
    <t>Percentage of Nominal Bulk Capacitance remaining after Tolerance, Thermal, and DC Bias derating</t>
  </si>
  <si>
    <t>Percentage of Nominal Inductance remaining after Tolerance, Thermal, and Saturation derating</t>
  </si>
  <si>
    <t>Percentage of Nominal Ceramic Capacitance remaining after Tolerance, Thermal, and DC Bias derating</t>
  </si>
  <si>
    <t>Highest Comp Code value from table</t>
  </si>
  <si>
    <t>Maximum Output Capacitance used for loop compensation calculations
(max of total Nominal capacitance, total derated capacitance, user entered maximum)</t>
  </si>
  <si>
    <t>Cout-Max User</t>
  </si>
  <si>
    <t>Capacitor Derating (Bulk)</t>
  </si>
  <si>
    <t>Nominal value of a Single Ceramic Output Capacitor</t>
  </si>
  <si>
    <t>Single Ceramic Capacitor Capactiance</t>
  </si>
  <si>
    <t>Single Ceramic Capacitor ESR</t>
  </si>
  <si>
    <t>Total Ceramic Cout</t>
  </si>
  <si>
    <t>Total Ceramic Output Capacitance</t>
  </si>
  <si>
    <t>Total Ceramic ESR</t>
  </si>
  <si>
    <t>Effective Ceramic Capacitance ESR</t>
  </si>
  <si>
    <t>Cout (Cer)</t>
  </si>
  <si>
    <t>ESR (Cer)</t>
  </si>
  <si>
    <t>Count (Cer)</t>
  </si>
  <si>
    <t>Number of Ceramic Capacitors (Total, include all phases)</t>
  </si>
  <si>
    <t>Number of Bulk Capacitors (Total, include all phases)</t>
  </si>
  <si>
    <t>To select optimized COMPENSATION_CONFIG values available through PMBus programming, continue with value selection below.
When programming the compensation through PMBus, COMPENSATION_CONFIG must be written to the NVM prior to boot-up OR use pin strap compensation for initial boot-up.</t>
  </si>
  <si>
    <t>To select COMPENSATION_CONFIG through pin strap resistors, refer to the table at the right and select resistors in Pin Detect Programming TAB  ----------&gt;</t>
  </si>
  <si>
    <t>User Entered Maximum Total Output Capacitance (may be used to set voltage loop zero frequency)</t>
  </si>
  <si>
    <t>Loop Unity Gain Frequency with Cout Max (may be used to set voltage loop zero frequency)</t>
  </si>
  <si>
    <t>Purpose</t>
  </si>
  <si>
    <t>Connection For Functional Use</t>
  </si>
  <si>
    <t>Reasoning</t>
  </si>
  <si>
    <t>Recommended Component Values from Calculator</t>
  </si>
  <si>
    <t>Component units</t>
  </si>
  <si>
    <t>Status</t>
  </si>
  <si>
    <t>Comments</t>
  </si>
  <si>
    <t>Control</t>
  </si>
  <si>
    <t>Connect this pin to a resistor divider between BP1V5 and AGND for different options of internal voltage feedback divider and default output voltage.</t>
  </si>
  <si>
    <t>VSEL top and bottom resistors chosen correctly to set output voltage. Recommend placeholders for a divider.</t>
  </si>
  <si>
    <t>VOSNS</t>
  </si>
  <si>
    <t>The positive input of the remote sense amplifier.</t>
  </si>
  <si>
    <t>VOSNS connected to output voltage at the load using a 10 to 100 ohm resistor in series.</t>
  </si>
  <si>
    <t>VOSNS bypassed to GOSNS with 47pF or larger capacitor.  This combined with series resistor creates high frequency filter. This capacitor should be less than:
1/(2*PI*R*fsw)</t>
  </si>
  <si>
    <t>This capacitor combined the capacitor serves as a high frequency filter. Keeping the value less than calculated to the left minimizes the phase shift imposed by the filter.</t>
  </si>
  <si>
    <t>Configuration</t>
  </si>
  <si>
    <t>Connect this pin to a resistor divider between BP1V5 and AGND for different options of switching frequency and internal compensation parameters.</t>
  </si>
  <si>
    <t>MSEL1 top and bottom resistors chosen correctly to set fsw and compensation. Recommend placeholders for a divider.</t>
  </si>
  <si>
    <t>Connect this pin to a resistor divider between BP1V5 and AGND for different options of soft-start time, overcurrent fault limit, and multi-phase information.</t>
  </si>
  <si>
    <t>MSEL2 top and bottom resistors chosen correctly to set soft start, current limits and stack configuration. Recommend placeholders for a divider.</t>
  </si>
  <si>
    <t>Connect this pin to a resistor divider between BP1V5 and AGND for different options of PMBus addresses and frequency sync (including determination of SYNC pin as SYNC IN or SYNC OUT function).</t>
  </si>
  <si>
    <t>ADRSEL top and bottom resistors chosen correctly to set PMBus slave address and SYNC configuration. Recommend placeholders for a divider.</t>
  </si>
  <si>
    <t>29, 30, 31, 32</t>
  </si>
  <si>
    <t>MSEL1, MSEL2, VSEL, ADRSEL</t>
  </si>
  <si>
    <t>Pin strap resistors should be terminated to AGND.</t>
  </si>
  <si>
    <t>AGND is the analog ground and is clean. Connecting it to PGND will create noise to be coupled on to the pins and should be strictly avoided.</t>
  </si>
  <si>
    <t>GOSNS/SLAVE</t>
  </si>
  <si>
    <t>The negative input of the remote sense amplifier for loop master device or should be pulled up high to indicate loop slave.</t>
  </si>
  <si>
    <t>GOSNS connected to ground at the load using a 10 to 100 ohm resistor in series. Only for a single phase design or master in a multi-phase design.</t>
  </si>
  <si>
    <t>The resistor breaks the net to help ensure it is connected remotely to the load. This resistor combined the capacitor also serves as a high frequency filter.</t>
  </si>
  <si>
    <t>SLAVE connected to BP1V5 for slave devices in a multi-phase design</t>
  </si>
  <si>
    <t>VSHARE</t>
  </si>
  <si>
    <t>Voltage sharing signal for multi-phase operation.</t>
  </si>
  <si>
    <t>Single phase design: VSHARE left floating for single phase design</t>
  </si>
  <si>
    <t xml:space="preserve">Multi-phase design: VSHARE tied to AGND with a 33pF or larger bypass capacitor.  VSHARE is a low impedance output and internally sensed at the pin.  </t>
  </si>
  <si>
    <t>This bypassing capacitor is used to prevent external noise from adding to VSHARE signal between stacked multi-phase devices.</t>
  </si>
  <si>
    <t>EN/UVLO</t>
  </si>
  <si>
    <t>Enable switching as the PMBus CONTROL pin.</t>
  </si>
  <si>
    <t>The recommended max voltage on the EN pin is only 5.5V. It cannot be connected to PVIN directly (unless PVIN max is below 5.5V)</t>
  </si>
  <si>
    <t>Multi-phase design: recommend connecting between stacked devices. If a resistor divider is use, the hysteresis current is multiplied by the number of phases tied together.</t>
  </si>
  <si>
    <t>PGD/RST_B</t>
  </si>
  <si>
    <t>Open-drain power good or reset#</t>
  </si>
  <si>
    <t>When configured as PGOOD, pull-up resistor is present</t>
  </si>
  <si>
    <t>Open-drain output</t>
  </si>
  <si>
    <t>SYNC</t>
  </si>
  <si>
    <t>For frequency synchronization</t>
  </si>
  <si>
    <t>SYNC floating if not used, if used ADRSEL confirmed for application. Must be connected between stacked devices.</t>
  </si>
  <si>
    <t>39, 40</t>
  </si>
  <si>
    <t>BCX_CLK BCX_DAT</t>
  </si>
  <si>
    <t>Clock and data for back-channel communications between stacked devices</t>
  </si>
  <si>
    <t>Power Stage</t>
  </si>
  <si>
    <t>BOOT</t>
  </si>
  <si>
    <t>Bootstrap pin for the internal flying high side driver</t>
  </si>
  <si>
    <t>BOOT tied to SW with 0.1 µF capacitor with X5R or better grade dielectric. Use an 0603 package size to minimize derating.</t>
  </si>
  <si>
    <t xml:space="preserve">Add optional series BOOT resistor of up to 8 Ω. A 0-Ω placeholder for the BOOT resistor is recommended.  </t>
  </si>
  <si>
    <t>Series BOOT resistor helps reduce voltage spikes at switch by slowing down the turn-on of the high-side FET.</t>
  </si>
  <si>
    <t>8, 9, 10, 11, 12</t>
  </si>
  <si>
    <t>SW</t>
  </si>
  <si>
    <t>Switched power output of the device.</t>
  </si>
  <si>
    <t>R-C snubber placed between the SW and PGND. Resistor must be rated for the power dissipation in it. Typical values are 1-nF, 1-Ω with the resistor in an 0805 package.</t>
  </si>
  <si>
    <t>These components are chosen to reduce voltage spikes at switch by slowing down the turn-on of the high-side FET</t>
  </si>
  <si>
    <t>21, 22, 23, 24, 25</t>
  </si>
  <si>
    <t>PVIN</t>
  </si>
  <si>
    <t>Input power to the power stage.</t>
  </si>
  <si>
    <t>At least one ( two capacitors preferred) 2.2nF – 10nF capacitor in a 0402 package from PVIN to PGND to provide low inductance bypassing for the rising edge of SW.</t>
  </si>
  <si>
    <t>High-frequency bypass capacitor can help reduce switching spikes.
The 0402 capacitors, along with the vias (discussed in the layout review checklist) for returning the PVIN current to the thermal path through as many internal layers as possible to minimize the loop inductance, will help reduce the energy stored in the parasitic inductance during the charging of the switching node, and thus the ringing of the switch node on the turn-on of the high-side FET.</t>
  </si>
  <si>
    <t>Low-impedance bypassing of these pins to PGND is critical. At a minimum recommend enough capacitance to limit the input ripple to 5% Vin. Include derating for ceramic capacitors.</t>
  </si>
  <si>
    <t>Supplies the high switching currents demanded when the high-side MOSFET switches on.</t>
  </si>
  <si>
    <t>AVIN</t>
  </si>
  <si>
    <t>Input power to the controller.</t>
  </si>
  <si>
    <t>AVIN bypassed to AGND with 1µF or larger bypass capacitor placed as close as possible to the AVIN pin, through a low impedance path, to AVIN and AGND pins. Do not bypass to PGND.</t>
  </si>
  <si>
    <t>Must return to AGND because the PGND is noisy and having the capacitor sitting between AVIN and PGND will cause noise to be injected onto the AVIN pin.</t>
  </si>
  <si>
    <t>If single supply (AVIN = PVIN), AVIN tied to PVIN with 10-Ω resistor to create a 10-µs filter.  Also needed if AVIN = VDD5.</t>
  </si>
  <si>
    <t xml:space="preserve">Resistor is used to filter switching noise to limit the noise on AVIN.  </t>
  </si>
  <si>
    <t>Lout</t>
  </si>
  <si>
    <t>Output inductor</t>
  </si>
  <si>
    <t>Inductor properly rated and selected for ripple current relative to full load current between 0.1 and 0.4. The absolute minimum ripple current recommended is 5% the devices rated current.</t>
  </si>
  <si>
    <t>Cout</t>
  </si>
  <si>
    <t>Output capacitors</t>
  </si>
  <si>
    <t>Output capacitors properly rated and selected to support output voltage ripple and load transient requirements. Include derating for ceramic capacitors.</t>
  </si>
  <si>
    <t>AGND</t>
  </si>
  <si>
    <t>Analog ground return for controller.</t>
  </si>
  <si>
    <t>AGND and PGND tied together and connected directly to the thermal pad.</t>
  </si>
  <si>
    <t>This is critical to minimize noise.</t>
  </si>
  <si>
    <t>13, 14, 15, 16, 17, 18, 19, 20</t>
  </si>
  <si>
    <t>PGND</t>
  </si>
  <si>
    <t>Power stage ground return.</t>
  </si>
  <si>
    <t>On Chip Regulator</t>
  </si>
  <si>
    <t>BP1V5</t>
  </si>
  <si>
    <t>Output of the 1.5-V internal regulator.</t>
  </si>
  <si>
    <t>A 1µF or larger bypass capacitor is required between BP1V5 and DRTN.</t>
  </si>
  <si>
    <t>This is critical to stabilize LDO.</t>
  </si>
  <si>
    <t>DRTN</t>
  </si>
  <si>
    <t>Digital bypass return for bypass capacitor for BP1V5.</t>
  </si>
  <si>
    <t xml:space="preserve">DRTN must not be connected to PGND or AGND. </t>
  </si>
  <si>
    <t>Pin is internally connected. Connecting to AGND or PGND grounds externally could create a loop for current to flow and create a voltage differential.</t>
  </si>
  <si>
    <t>VDD5</t>
  </si>
  <si>
    <t>Output of the 5-V internal regulator.</t>
  </si>
  <si>
    <t>VDD5 bypassed to PGND at the thermal pad, through a low impedance path, with 4.7µF or larger bypass capacitor.</t>
  </si>
  <si>
    <t>Provides charge for the gate driver.</t>
  </si>
  <si>
    <r>
      <rPr>
        <b/>
        <sz val="11"/>
        <color theme="1"/>
        <rFont val="Calibri"/>
        <family val="2"/>
        <scheme val="minor"/>
      </rPr>
      <t>(TPS546D24 only, not required with A version)</t>
    </r>
    <r>
      <rPr>
        <sz val="11"/>
        <color theme="1"/>
        <rFont val="Calibri"/>
        <family val="2"/>
        <scheme val="minor"/>
      </rPr>
      <t xml:space="preserve"> VDD5 tied to BP1V5 with a pullup resistor of 5.1 kΩ </t>
    </r>
  </si>
  <si>
    <t>PMBus</t>
  </si>
  <si>
    <t>PMB_CLK</t>
  </si>
  <si>
    <t>PMBus CLK pin.</t>
  </si>
  <si>
    <t xml:space="preserve">Use this app note to calculate the required pullup for your design. </t>
  </si>
  <si>
    <t>PMB_DATA</t>
  </si>
  <si>
    <t>PMBus DATA pin.</t>
  </si>
  <si>
    <t>SMB_ALRT</t>
  </si>
  <si>
    <t>SMBus alert pin.</t>
  </si>
  <si>
    <t>Misc</t>
  </si>
  <si>
    <t xml:space="preserve">NC </t>
  </si>
  <si>
    <t>Not internally connected.</t>
  </si>
  <si>
    <t>Pin can be left floating or connected to PGND at the thermal pad.</t>
  </si>
  <si>
    <t>Placement or Routing?</t>
  </si>
  <si>
    <t>Remarks</t>
  </si>
  <si>
    <t>29, 30, 31, 32, 33, 34</t>
  </si>
  <si>
    <t>MSEL2, VSEL, ADRSEL, MSEL1, VOSNS, GOSNS</t>
  </si>
  <si>
    <t>Placement</t>
  </si>
  <si>
    <t>Keep signal components local to the device, and place them as close as possible to the pins to which they are connected. These components include the VOSNS and GOSNS series resistors and differential filter capacitor as well as MSEL1, MSEL2, VSEL, and ADRSEL resistors. Those components must be terminated to AGND with a minimum return loop or bypassed to the copper area of a separate low-impedance analog ground (AGND) that is isolated from fast switching voltages and current paths and has single connection to PGND on the thermal pad through the AGND pin.</t>
  </si>
  <si>
    <t>33, 34</t>
  </si>
  <si>
    <t>VOSNS, GOSNS</t>
  </si>
  <si>
    <t>Routing</t>
  </si>
  <si>
    <t>Route the VOSNS and GOSNS lines from the output capacitor bank at the load back to the device pins as a tightly coupled differential pair.  These traces must be kept away from switching or noisy areas which can add differential-mode noise.</t>
  </si>
  <si>
    <t>35, 38, 39, 40</t>
  </si>
  <si>
    <t>VSHARE, SYNC, BCX_CLK, BCX_DATA</t>
  </si>
  <si>
    <t>Use caution when routing of the SYNC, VSHARE, BCX_CLK and BCX_DATA traces for stackable configurations.  The SYNC trace carries a rail-to-rail signal and should be routed away from sensitive analog signals, including the VSHARE, FB signals. The VSHARE traces should also be kept away from fast switching voltages or currents formed by the PVIN, AVIN, SW, BOOT, VDD5 pins.</t>
  </si>
  <si>
    <t>7, 8, 9, 10, 11, 12</t>
  </si>
  <si>
    <t>BOOT, SW</t>
  </si>
  <si>
    <t>Route sensitive traces away from the SW and BOOT pins as these nets contain fast switching voltages and lend easily to capacitive coupling</t>
  </si>
  <si>
    <t>Minimize the SW copper area for best noise performance. Route sensitive traces away from the SW and BOOT pins as these nets contain fast switching voltages and lend easily to capacitive coupling.</t>
  </si>
  <si>
    <t>Snubber component placement is critical for effective ringing reduction.  These components should be on the same layer as the TPS546D24A devices and be kept as close as possible to the SW and PGND copper areas.</t>
  </si>
  <si>
    <t>SW, Cout</t>
  </si>
  <si>
    <t>The output capacitor is the second one which should be considered. Below shows an example of building a “pyramid” arrangement.
Start with some of the ceramic capacitors close to the inductor;
Then build to the bulk capacitors;
Finally, decreasing ceramic capacitors down to the smallest, lowest values close to the load.</t>
  </si>
  <si>
    <t>21, 22, 23, 24, 25, 26</t>
  </si>
  <si>
    <t>PVIN, AVIN</t>
  </si>
  <si>
    <t>The AVIN bypass capacitor should be placed close to the AVIN pin and provide a low-impedance path to PGND at the thermal pad. If AVIN is powered from PVIN for single supply operation, AVIN and PVIN should be separated with a 10-μs R-C filter to reduce PVIN switching noise on AVIN.</t>
  </si>
  <si>
    <t>7, 8, 9, 10, 11, 12, 21, 22, 23, 24, 25, 26, 28</t>
  </si>
  <si>
    <t>BOOT, SW, PVIN, AVIN, VDD5</t>
  </si>
  <si>
    <t>The PGND pin (pin 26) must be directly connected to the thermal pad of the device on the PCB, with a low noise, low-impedance path.</t>
  </si>
  <si>
    <t>13, 14, 15, 16, 17, 18, 19, 20, 37</t>
  </si>
  <si>
    <t>PGND, AGND</t>
  </si>
  <si>
    <t>AGND and PGND tied together and connected directly to the thermal pad</t>
  </si>
  <si>
    <t>4, 5</t>
  </si>
  <si>
    <t>BP1V5, DRTN</t>
  </si>
  <si>
    <t xml:space="preserve">The BP1V5 bypass capacitor should be placed close to the BP1V5 pin and provide a low-impedance path to DRTN. </t>
  </si>
  <si>
    <t>DRTN should not be connected to any other pin or node. DRTN is internally connected to AGND and by external connection to System Ground. Connecting DRTN to PGND or AGND could introduce a ground loop and errant operation.</t>
  </si>
  <si>
    <t>Output of the 5-V internal regulator</t>
  </si>
  <si>
    <t>The VDD5 bypass capacitor carries a large switching current for the gate driver. Bypassing the VDD5 pin to PGND at the thermal pad with a low-impedance path is very critical to the stable operation of the TPS546D24 devices. Place the VDD5 high-frequency bypass capacitors as close as possible to the device pins, with a minimum return loop back to the Thermal Pad.</t>
  </si>
  <si>
    <t>2, 3, 6</t>
  </si>
  <si>
    <t>PMB_DATA, PMB_CLK, SMB_ALRT</t>
  </si>
  <si>
    <t>Keep the pullup resistors close to the pin and rout these signals away from noisy areas and other noise sensitive traces.</t>
  </si>
  <si>
    <t>Vias</t>
  </si>
  <si>
    <t>There is not a specific rule for via’s size. Typically, small size is recommended as it allows vias to be placed together while maintaining connectivity to internal layers. However, it will also increase the cost since drills used for smaller via tend to break more.
The general rule is that designers can pick smallest via size with minimum plated internal diameter and annular ring diameter which do not increase PCB cost. 
A typical example is:
Drilled Hole: 13 mils
Plated Hole: 10 mils (1oz plating reduces a hole size about 3 mils)
Annular Ring: 20 mils</t>
  </si>
  <si>
    <t>Vias help reduce current loop and help thermal dissipation by providing additional copper area for heat to dissipate. Also vias help to reduce the parasitic resistance and inductance caused by long loops through which current flows.</t>
  </si>
  <si>
    <t>Via-to-via spacing</t>
  </si>
  <si>
    <t xml:space="preserve">In order to reduce parasitic parameters’ effect brought by inappropriate vias placement, it is best to space vias out wide enough to allow a minimum width line to round between them. The specific rule is shown below.
• Check minimum trace width and minimum trace to trace spacing;
• Check via’s annular ring;
• Via’s minimum center to center spacing is 1×annular ring+2×minimum trace to trace spacing+1×minimum trace width;
• Drilled Hole: 13 mils
• Plated Hole: 10 mils (1oz plating reduces a hole size about 3 mils)
• Annular Ring: 20 mils
• Minimum spacing between vias and traces: 8 mils
• Minimum line spacing: 8 mils
• Minimum Center to Center Via spacing: 2x 18mils/2 + 2x 7 mils + 7 mils = 18 + 3x 7 = 18 + 21 = 39 mils (1mm)
Its worth pointing out that in the ground under the thermal pad we generally don’t want other signals flowing and we want to maximize thermal and electrical conduction, so we typically space vias closer within the thermal pad.
</t>
  </si>
  <si>
    <t>The distance of a via to its proximate via is critical. When vias are tightly spaced, planes and pours on other layers cannot route between the vias. In this case, current cannot flow in its most direct path with the lowest inductance and resistance. In other words, it will find some ways else which have larger distance to finish the loop. This leads to undesirable parasitic parameters.</t>
  </si>
  <si>
    <t>Via placement</t>
  </si>
  <si>
    <t>Via should be placed near output capacitors to provide the shortest possible loop to minimize parasitic resistance and inductance. It is recommended to position via near terminals of capacitors. Regarding to large package capacitors, for example 0805, 1206 and 1210 packages, vias can be placed under the capacitors. This will further reduce the current loop.</t>
  </si>
  <si>
    <t>Via quantity</t>
  </si>
  <si>
    <t>Depending on via’s size and minimum center-to-center spacing, 2 to 4 vias per capacitor terminal are effective to provide direct connection to internal and bottom layers. It should be noted those vias must be paralleled to lead, as which has been shown below.</t>
  </si>
  <si>
    <t>Validation Options</t>
  </si>
  <si>
    <t>Complete</t>
  </si>
  <si>
    <t>Not Applicable</t>
  </si>
  <si>
    <t>Internal Reference Voltage (VOUT x VOUT_SCALE_LOOP - Warning or Caution - See Comment)</t>
  </si>
  <si>
    <t>User Entered Value</t>
  </si>
  <si>
    <t>Fixed IC Parameter</t>
  </si>
  <si>
    <t>Calculated Parameter</t>
  </si>
  <si>
    <t>Design Calculations</t>
  </si>
  <si>
    <t>Input</t>
  </si>
  <si>
    <t>Recommended</t>
  </si>
  <si>
    <t>Selected Value</t>
  </si>
  <si>
    <t>Calculated with Selected Value</t>
  </si>
  <si>
    <t>Description</t>
  </si>
  <si>
    <r>
      <rPr>
        <b/>
        <sz val="12"/>
        <color rgb="FF9C0006"/>
        <rFont val="Arial"/>
        <family val="2"/>
      </rPr>
      <t>IMPORTANT NOTE:</t>
    </r>
    <r>
      <rPr>
        <sz val="12"/>
        <color rgb="FF9C0006"/>
        <rFont val="Arial"/>
        <family val="2"/>
      </rPr>
      <t xml:space="preserve"> The COMPENSATION_CONFIG settings are limited when using pin strap. The design will be stable but may not be optimized.</t>
    </r>
  </si>
  <si>
    <t>Pinstrap Setting</t>
  </si>
  <si>
    <t>R_Divider</t>
  </si>
  <si>
    <t>R_Bot</t>
  </si>
  <si>
    <t>EEPROM Value</t>
  </si>
  <si>
    <t>kΩ</t>
  </si>
  <si>
    <t>MSEL1 Comp Config</t>
  </si>
  <si>
    <t>ILOOP gain mb = EEPROM; VLOOP gain mb = EEPROM, FSW = EEPROM</t>
  </si>
  <si>
    <t>ILOOP gain mb = EEPROM, VLOOP gain mb = EEPROM</t>
  </si>
  <si>
    <t>ILOOP gain mb = 2, VLOOP gain mb = 0.5</t>
  </si>
  <si>
    <t>ILOOP gain mb = 2, VLOOP gain mb = 1</t>
  </si>
  <si>
    <t>ILOOP gain mb = 2, VLOOP gain mb = 2</t>
  </si>
  <si>
    <t>ILOOP gain mb = 2, VLOOP gain mb = 4</t>
  </si>
  <si>
    <t>ILOOP gain mb = 2, VLOOP gain mb = 8</t>
  </si>
  <si>
    <t>ILOOP gain mb = 3, VLOOP gain mb = 0.5</t>
  </si>
  <si>
    <t>ILOOP gain mb = 3, VLOOP gain mb = 1</t>
  </si>
  <si>
    <t>ILOOP gain mb = 3, VLOOP gain mb = 2</t>
  </si>
  <si>
    <t>ILOOP gain mb = 3, VLOOP gain mb = 4</t>
  </si>
  <si>
    <t>ILOOP gain mb = 3, VLOOP gain mb = 8</t>
  </si>
  <si>
    <t>ILOOP gain mb = 4, VLOOP gain mb = 0.5</t>
  </si>
  <si>
    <t>ILOOP gain mb = 4, VLOOP gain mb = 1</t>
  </si>
  <si>
    <t>ILOOP gain mb = 4, VLOOP gain mb = 2</t>
  </si>
  <si>
    <t>ILOOP gain mb = 4, VLOOP gain mb = 4</t>
  </si>
  <si>
    <t>ILOOP gain mb = 4, VLOOP gain mb = 8</t>
  </si>
  <si>
    <t>ILOOP gain mb = 5, VLOOP gain mb = 0.5</t>
  </si>
  <si>
    <t>ILOOP gain mb = 5, VLOOP gain mb = 1</t>
  </si>
  <si>
    <t>ILOOP gain mb = 5, VLOOP gain mb = 2</t>
  </si>
  <si>
    <t>ILOOP gain mb = 5, VLOOP gain mb = 4</t>
  </si>
  <si>
    <t>ILOOP gain mb = 5, VLOOP gain mb = 8</t>
  </si>
  <si>
    <t>ILOOP gain mb = 6, VLOOP gain mb = 0.5</t>
  </si>
  <si>
    <t>ILOOP gain mb = 6, VLOOP gain mb = 1</t>
  </si>
  <si>
    <t>ILOOP gain mb = 6, VLOOP gain mb = 2</t>
  </si>
  <si>
    <t>ILOOP gain mb = 6, VLOOP gain mb = 4</t>
  </si>
  <si>
    <t>ILOOP gain mb = 6, VLOOP gain mb = 8</t>
  </si>
  <si>
    <t>ILOOP gain mb = 7, VLOOP gain mb = 0.5</t>
  </si>
  <si>
    <t>ILOOP gain mb = 7, VLOOP gain mb = 1</t>
  </si>
  <si>
    <t>ILOOP gain mb = 7, VLOOP gain mb = 2</t>
  </si>
  <si>
    <t>ILOOP gain mb = 7, VLOOP gain mb = 4</t>
  </si>
  <si>
    <t>ILOOP gain mb = 7, VLOOP gain mb = 8</t>
  </si>
  <si>
    <t>ILOOP gain mb = 10, VLOOP gain mb = 2</t>
  </si>
  <si>
    <t>MSEL1 Freq Switch</t>
  </si>
  <si>
    <t>MSEL2 OC FAULT/OC_WARN</t>
  </si>
  <si>
    <t>OCF = 52, OCW = 40</t>
  </si>
  <si>
    <t>OCF = 39, OCW = 30</t>
  </si>
  <si>
    <t>OCF = 26, OCW = 20</t>
  </si>
  <si>
    <t>OCF = 14, OCW = 10</t>
  </si>
  <si>
    <t>MSEL2 TON_RISE</t>
  </si>
  <si>
    <t>Number of Slaves</t>
  </si>
  <si>
    <t>None, stand alone</t>
  </si>
  <si>
    <t>1 Slave, 2 Phases</t>
  </si>
  <si>
    <t>2 Slaves, 3 Phases</t>
  </si>
  <si>
    <t>3 Slaves, 4 Phases</t>
  </si>
  <si>
    <t>VSEL V Range</t>
  </si>
  <si>
    <t>VSEL Vout Command</t>
  </si>
  <si>
    <t>VSEL Vout scale loop</t>
  </si>
  <si>
    <t>ADDRSEL PMB ADDR</t>
  </si>
  <si>
    <t>ADDRSEL Phase shift/sync/IL</t>
  </si>
  <si>
    <t>10h / 16b</t>
  </si>
  <si>
    <t>11h / 17b</t>
  </si>
  <si>
    <t>12h / 18b</t>
  </si>
  <si>
    <t>13h / 19b</t>
  </si>
  <si>
    <t>14h / 20b</t>
  </si>
  <si>
    <t>15h / 21b</t>
  </si>
  <si>
    <t>16h / 22b</t>
  </si>
  <si>
    <t>17h / 23b</t>
  </si>
  <si>
    <t>18h / 24b</t>
  </si>
  <si>
    <t>19h / 25b</t>
  </si>
  <si>
    <t>1Ah / 26b</t>
  </si>
  <si>
    <t>1Bh / 27b</t>
  </si>
  <si>
    <t>1Ch / 28b</t>
  </si>
  <si>
    <t>1Dh / 29b</t>
  </si>
  <si>
    <t>1Eh / 30b</t>
  </si>
  <si>
    <t>1Fh / 31b</t>
  </si>
  <si>
    <t>EEPROMP (24h / 36d)</t>
  </si>
  <si>
    <t>0°, Auto, 0x0020</t>
  </si>
  <si>
    <t>0°, In 0x0040</t>
  </si>
  <si>
    <t>90°, In 0x0041</t>
  </si>
  <si>
    <t>120°, In 0x0031</t>
  </si>
  <si>
    <t>180°, In 0x0042</t>
  </si>
  <si>
    <t>270°, In 0x0043</t>
  </si>
  <si>
    <t>240°, In 0x0032</t>
  </si>
  <si>
    <t>0°, Out, 0x0020</t>
  </si>
  <si>
    <t>180°, Out, 0x0042</t>
  </si>
  <si>
    <t>0.50 to 0.55</t>
  </si>
  <si>
    <t>0.60 to 0.74</t>
  </si>
  <si>
    <t>0.75 to 0.89</t>
  </si>
  <si>
    <t>0.90 to 1.04</t>
  </si>
  <si>
    <t>1.05 to 1.19</t>
  </si>
  <si>
    <t>1.20 to 1.49</t>
  </si>
  <si>
    <t>1.50 to 1.79</t>
  </si>
  <si>
    <t>1.80 to 2.09</t>
  </si>
  <si>
    <t>2.10 to 2.39</t>
  </si>
  <si>
    <t>ILOOP mb = 3, VLOOP mb = 4</t>
  </si>
  <si>
    <t>550.000 kHz</t>
  </si>
  <si>
    <t>52 / 40 A</t>
  </si>
  <si>
    <t>3 ms</t>
  </si>
  <si>
    <t>1 slave</t>
  </si>
  <si>
    <t>0.5 to 1.5 V</t>
  </si>
  <si>
    <t>0.798828125 V</t>
  </si>
  <si>
    <t>24h / 36d</t>
  </si>
  <si>
    <t>0°, Auto Detect SYNC, 0x0020</t>
  </si>
  <si>
    <t>2.40 to 2.99</t>
  </si>
  <si>
    <t>3.00 to 3.59</t>
  </si>
  <si>
    <t>3.60 to 4.19</t>
  </si>
  <si>
    <t>4.20 to 4.76</t>
  </si>
  <si>
    <t>4.80 to 5.39</t>
  </si>
  <si>
    <t>5.40 to 6.00</t>
  </si>
  <si>
    <t>Rd</t>
  </si>
  <si>
    <t>Rb</t>
  </si>
  <si>
    <t xml:space="preserve">Top Resistor: </t>
  </si>
  <si>
    <t xml:space="preserve">
Bottom Resistor: </t>
  </si>
  <si>
    <t>Ω</t>
  </si>
  <si>
    <t xml:space="preserve">Minimum: </t>
  </si>
  <si>
    <t xml:space="preserve">
Maximum: </t>
  </si>
  <si>
    <t>Choose the Output Inductor (Lout)</t>
  </si>
  <si>
    <t>The inductance is selected based on a p-p ripple current target. Smaller L reduces solution size while larger L reduces AC loss.</t>
  </si>
  <si>
    <t>Choose the Output Capacitor (Cout)</t>
  </si>
  <si>
    <t>The output capacitance is deteremind based on the output ripple, transient and stability requirements. These calculations do not support mixed type output capacitors.</t>
  </si>
  <si>
    <t>Choose the Input Capacitor (Cin)</t>
  </si>
  <si>
    <t>The input capacitance is deteremind based on the input ripple requirements. Additional bulk input capacitance may be needed for transients. 0.1µF high frequency bypass capacitors are also required.</t>
  </si>
  <si>
    <t>Current Loop and Voltage Loop Calculations</t>
  </si>
  <si>
    <t>These pins must be connected between stacked devices. If standalone, short to PGND per Table 5 in the datasheet.</t>
  </si>
  <si>
    <t>Inductor Value after derating</t>
  </si>
  <si>
    <t>Phase Position &amp; Total Number of devices in the stack (master+slaves)</t>
  </si>
  <si>
    <t>Master Resistor Selection</t>
  </si>
  <si>
    <t>Slave 1 Resistor Selection</t>
  </si>
  <si>
    <t>Slave 3 Resistor Selection</t>
  </si>
  <si>
    <t>Slave 2 Resistor Selection</t>
  </si>
  <si>
    <t>Recommended Connection</t>
  </si>
  <si>
    <t>Rbot (Ω)</t>
  </si>
  <si>
    <t>Rtop (Ω)</t>
  </si>
  <si>
    <t>180°, 2</t>
  </si>
  <si>
    <t>120°, 3</t>
  </si>
  <si>
    <t>90°, 4</t>
  </si>
  <si>
    <t>240°, 3</t>
  </si>
  <si>
    <t>180°, 4</t>
  </si>
  <si>
    <t>270°, 4</t>
  </si>
  <si>
    <t>L(target)</t>
  </si>
  <si>
    <t>Recommended target inductor value (Inductor ripple 30% of full load)</t>
  </si>
  <si>
    <t>Selected input capacitance</t>
  </si>
  <si>
    <t>Calculated input voltage ripple</t>
  </si>
  <si>
    <t>Pin Configuration when Shorted</t>
  </si>
  <si>
    <t>Pin Configuration when Floating</t>
  </si>
  <si>
    <t>Code to achieve Selected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</si>
</sst>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
    <numFmt numFmtId="165" formatCode="0.0"/>
    <numFmt numFmtId="166" formatCode="_(* #,##0_);_(* \(#,##0\);_(* &quot;-&quot;??_);_(@_)"/>
    <numFmt numFmtId="167" formatCode="0.0000"/>
  </numFmts>
  <fonts count="26" x14ac:knownFonts="1">
    <font>
      <sz val="11"/>
      <color theme="1"/>
      <name val="Calibri"/>
      <family val="2"/>
      <scheme val="minor"/>
    </font>
    <font>
      <sz val="11"/>
      <color theme="0"/>
      <name val="Calibri"/>
      <family val="2"/>
      <scheme val="minor"/>
    </font>
    <font>
      <sz val="9"/>
      <color indexed="81"/>
      <name val="Tahoma"/>
      <family val="2"/>
    </font>
    <font>
      <sz val="11"/>
      <color theme="1"/>
      <name val="Calibri"/>
      <family val="2"/>
      <scheme val="minor"/>
    </font>
    <font>
      <sz val="11"/>
      <name val="Calibri"/>
      <family val="2"/>
      <scheme val="minor"/>
    </font>
    <font>
      <sz val="11"/>
      <color rgb="FF9C0006"/>
      <name val="Calibri"/>
      <family val="2"/>
      <scheme val="minor"/>
    </font>
    <font>
      <b/>
      <sz val="11"/>
      <color theme="1"/>
      <name val="Calibri"/>
      <family val="2"/>
      <scheme val="minor"/>
    </font>
    <font>
      <u/>
      <sz val="11"/>
      <color theme="10"/>
      <name val="Calibri"/>
      <family val="2"/>
      <scheme val="minor"/>
    </font>
    <font>
      <sz val="10"/>
      <name val="Arial"/>
      <family val="2"/>
    </font>
    <font>
      <sz val="10"/>
      <color theme="1"/>
      <name val="Calibri"/>
      <family val="2"/>
      <scheme val="minor"/>
    </font>
    <font>
      <sz val="12"/>
      <color theme="1"/>
      <name val="Arial"/>
      <family val="2"/>
    </font>
    <font>
      <sz val="12"/>
      <color rgb="FFCC9900"/>
      <name val="Arial"/>
      <family val="2"/>
    </font>
    <font>
      <sz val="12"/>
      <color rgb="FFFF0000"/>
      <name val="Arial"/>
      <family val="2"/>
    </font>
    <font>
      <sz val="11"/>
      <color theme="1"/>
      <name val="Arial"/>
      <family val="2"/>
    </font>
    <font>
      <sz val="11"/>
      <color theme="0"/>
      <name val="Arial"/>
      <family val="2"/>
    </font>
    <font>
      <sz val="11"/>
      <name val="Arial"/>
      <family val="2"/>
    </font>
    <font>
      <sz val="12"/>
      <color rgb="FF9C0006"/>
      <name val="Arial"/>
      <family val="2"/>
    </font>
    <font>
      <b/>
      <sz val="12"/>
      <color rgb="FF9C0006"/>
      <name val="Arial"/>
      <family val="2"/>
    </font>
    <font>
      <b/>
      <sz val="11"/>
      <color rgb="FFFF0000"/>
      <name val="Arial"/>
      <family val="2"/>
    </font>
    <font>
      <b/>
      <sz val="12"/>
      <color rgb="FFFF0000"/>
      <name val="Arial"/>
      <family val="2"/>
    </font>
    <font>
      <sz val="10"/>
      <color theme="1"/>
      <name val="Arial"/>
      <family val="2"/>
    </font>
    <font>
      <b/>
      <sz val="12"/>
      <color theme="0"/>
      <name val="Arial"/>
      <family val="2"/>
    </font>
    <font>
      <b/>
      <sz val="11"/>
      <color theme="0"/>
      <name val="Arial"/>
      <family val="2"/>
    </font>
    <font>
      <sz val="10"/>
      <color indexed="12"/>
      <name val="Arial"/>
      <family val="2"/>
    </font>
    <font>
      <b/>
      <u/>
      <sz val="18"/>
      <color rgb="FFFF0000"/>
      <name val="Arial"/>
      <family val="2"/>
    </font>
    <font>
      <b/>
      <sz val="10"/>
      <name val="Arial"/>
      <family val="2"/>
    </font>
  </fonts>
  <fills count="2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F8F573"/>
        <bgColor indexed="64"/>
      </patternFill>
    </fill>
    <fill>
      <patternFill patternType="solid">
        <fgColor rgb="FFFFCC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C7CE"/>
      </patternFill>
    </fill>
    <fill>
      <patternFill patternType="solid">
        <fgColor theme="0"/>
        <bgColor indexed="64"/>
      </patternFill>
    </fill>
    <fill>
      <patternFill patternType="solid">
        <fgColor rgb="FFFF0000"/>
        <bgColor indexed="64"/>
      </patternFill>
    </fill>
    <fill>
      <patternFill patternType="solid">
        <fgColor theme="1"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5">
    <xf numFmtId="0" fontId="0" fillId="0" borderId="0"/>
    <xf numFmtId="43" fontId="3" fillId="0" borderId="0" applyFont="0" applyFill="0" applyBorder="0" applyAlignment="0" applyProtection="0"/>
    <xf numFmtId="0" fontId="5" fillId="16" borderId="0" applyNumberFormat="0" applyBorder="0" applyAlignment="0" applyProtection="0"/>
    <xf numFmtId="0" fontId="7" fillId="0" borderId="0" applyNumberFormat="0" applyFill="0" applyBorder="0" applyAlignment="0" applyProtection="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501">
    <xf numFmtId="0" fontId="0" fillId="0" borderId="0" xfId="0"/>
    <xf numFmtId="0" fontId="0" fillId="0" borderId="0" xfId="0" applyFill="1" applyBorder="1"/>
    <xf numFmtId="0" fontId="0" fillId="0" borderId="1" xfId="0" applyBorder="1" applyAlignment="1">
      <alignment horizontal="center"/>
    </xf>
    <xf numFmtId="0" fontId="0" fillId="0" borderId="1" xfId="0" applyBorder="1" applyAlignment="1">
      <alignment horizontal="center"/>
    </xf>
    <xf numFmtId="2" fontId="0" fillId="0" borderId="0" xfId="0" applyNumberFormat="1"/>
    <xf numFmtId="0" fontId="0" fillId="0" borderId="1" xfId="0" applyBorder="1"/>
    <xf numFmtId="0" fontId="0" fillId="0" borderId="1" xfId="0" applyBorder="1" applyAlignment="1">
      <alignment horizontal="center" vertical="center"/>
    </xf>
    <xf numFmtId="0" fontId="0" fillId="5" borderId="1" xfId="0" applyFill="1" applyBorder="1" applyProtection="1">
      <protection locked="0"/>
    </xf>
    <xf numFmtId="0" fontId="0" fillId="5" borderId="1" xfId="0" applyFill="1" applyBorder="1" applyAlignment="1">
      <alignment horizontal="center"/>
    </xf>
    <xf numFmtId="0" fontId="0" fillId="0" borderId="1" xfId="0" applyBorder="1" applyAlignment="1">
      <alignment horizontal="center"/>
    </xf>
    <xf numFmtId="49" fontId="0" fillId="0" borderId="0" xfId="0" applyNumberFormat="1"/>
    <xf numFmtId="164" fontId="0" fillId="0" borderId="0" xfId="0" applyNumberFormat="1"/>
    <xf numFmtId="0" fontId="0" fillId="0" borderId="0" xfId="0" applyNumberFormat="1"/>
    <xf numFmtId="0" fontId="1" fillId="0" borderId="0" xfId="0" applyFont="1" applyFill="1" applyBorder="1"/>
    <xf numFmtId="0" fontId="0" fillId="0" borderId="0" xfId="0" applyFont="1" applyBorder="1" applyAlignment="1" applyProtection="1">
      <alignment wrapText="1"/>
      <protection locked="0"/>
    </xf>
    <xf numFmtId="0" fontId="0" fillId="0" borderId="0" xfId="0" applyFont="1" applyBorder="1" applyProtection="1">
      <protection locked="0"/>
    </xf>
    <xf numFmtId="0" fontId="0" fillId="0" borderId="0" xfId="0" applyFont="1" applyBorder="1" applyAlignment="1" applyProtection="1">
      <alignment wrapText="1"/>
    </xf>
    <xf numFmtId="0" fontId="0" fillId="0" borderId="0" xfId="0" applyFont="1" applyBorder="1" applyProtection="1"/>
    <xf numFmtId="0" fontId="0" fillId="0" borderId="1" xfId="0" applyFont="1" applyFill="1" applyBorder="1" applyAlignment="1" applyProtection="1">
      <alignment horizontal="left" vertical="top"/>
    </xf>
    <xf numFmtId="0" fontId="0" fillId="0" borderId="1" xfId="0" applyFont="1" applyBorder="1" applyAlignment="1" applyProtection="1">
      <alignment vertical="top" wrapText="1"/>
    </xf>
    <xf numFmtId="0" fontId="0" fillId="0" borderId="1" xfId="0" applyFont="1" applyFill="1" applyBorder="1" applyAlignment="1" applyProtection="1">
      <alignment horizontal="left" vertical="top" wrapText="1"/>
    </xf>
    <xf numFmtId="0" fontId="0" fillId="0" borderId="1" xfId="0" applyFont="1" applyFill="1" applyBorder="1" applyAlignment="1" applyProtection="1">
      <alignment horizontal="center" vertical="center" wrapText="1"/>
      <protection locked="0"/>
    </xf>
    <xf numFmtId="0" fontId="0" fillId="0" borderId="0" xfId="0" applyFont="1" applyFill="1" applyBorder="1" applyProtection="1"/>
    <xf numFmtId="0" fontId="0" fillId="0" borderId="14" xfId="0" applyFont="1" applyFill="1" applyBorder="1" applyAlignment="1" applyProtection="1">
      <alignment horizontal="left" vertical="top"/>
    </xf>
    <xf numFmtId="0" fontId="0" fillId="0" borderId="1" xfId="0" applyFont="1" applyBorder="1" applyAlignment="1" applyProtection="1">
      <alignment horizontal="left" vertical="top" wrapText="1"/>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horizontal="left" vertical="top"/>
    </xf>
    <xf numFmtId="0" fontId="0" fillId="0" borderId="0" xfId="0" applyFont="1" applyFill="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xf>
    <xf numFmtId="0" fontId="0" fillId="0" borderId="0" xfId="0" applyFont="1" applyFill="1" applyBorder="1" applyAlignment="1" applyProtection="1">
      <alignment wrapText="1"/>
    </xf>
    <xf numFmtId="0" fontId="7" fillId="0" borderId="0" xfId="3" quotePrefix="1" applyFont="1" applyFill="1" applyBorder="1" applyAlignment="1" applyProtection="1">
      <alignment wrapText="1"/>
      <protection locked="0"/>
    </xf>
    <xf numFmtId="0" fontId="0" fillId="0" borderId="0" xfId="0" applyFont="1" applyAlignment="1" applyProtection="1">
      <alignment vertical="top" wrapText="1"/>
    </xf>
    <xf numFmtId="0" fontId="0" fillId="0" borderId="0" xfId="0" applyFont="1" applyFill="1" applyBorder="1" applyAlignment="1" applyProtection="1">
      <alignment horizontal="center" vertical="center" wrapText="1"/>
    </xf>
    <xf numFmtId="0" fontId="7" fillId="0" borderId="0" xfId="3" applyFont="1" applyFill="1" applyBorder="1" applyProtection="1"/>
    <xf numFmtId="0" fontId="4" fillId="0" borderId="0" xfId="0" applyFont="1" applyFill="1" applyBorder="1" applyAlignment="1" applyProtection="1">
      <alignment horizontal="center" vertical="center" wrapText="1"/>
    </xf>
    <xf numFmtId="0" fontId="0" fillId="0" borderId="1" xfId="0" applyFont="1" applyFill="1" applyBorder="1" applyProtection="1"/>
    <xf numFmtId="0" fontId="0" fillId="0" borderId="1" xfId="0" applyFont="1" applyBorder="1" applyAlignment="1" applyProtection="1">
      <alignment horizontal="left" vertical="top"/>
    </xf>
    <xf numFmtId="0" fontId="0" fillId="0" borderId="1" xfId="0" applyFont="1" applyBorder="1" applyProtection="1"/>
    <xf numFmtId="0" fontId="0" fillId="0" borderId="36" xfId="0" applyFont="1" applyBorder="1" applyAlignment="1" applyProtection="1">
      <alignment vertical="top" wrapText="1"/>
    </xf>
    <xf numFmtId="0" fontId="0" fillId="0" borderId="0" xfId="0" applyFont="1" applyBorder="1" applyAlignment="1" applyProtection="1">
      <alignment horizontal="left" vertical="top"/>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wrapText="1"/>
    </xf>
    <xf numFmtId="0" fontId="0" fillId="0" borderId="0" xfId="0" applyFont="1" applyProtection="1"/>
    <xf numFmtId="0" fontId="0" fillId="0" borderId="0" xfId="0" applyFont="1" applyAlignment="1" applyProtection="1">
      <alignment wrapText="1"/>
      <protection locked="0"/>
    </xf>
    <xf numFmtId="0" fontId="4" fillId="0" borderId="0" xfId="0" applyFont="1" applyFill="1" applyProtection="1"/>
    <xf numFmtId="0" fontId="0" fillId="0" borderId="0" xfId="0" applyFont="1" applyFill="1" applyProtection="1"/>
    <xf numFmtId="0" fontId="4"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wrapText="1"/>
    </xf>
    <xf numFmtId="0" fontId="4" fillId="0" borderId="0" xfId="0" applyFont="1" applyFill="1" applyAlignment="1" applyProtection="1">
      <alignment wrapText="1"/>
    </xf>
    <xf numFmtId="0" fontId="0" fillId="0" borderId="0" xfId="0" applyFont="1" applyFill="1" applyAlignment="1" applyProtection="1">
      <alignment horizontal="left" vertical="top"/>
    </xf>
    <xf numFmtId="0" fontId="0" fillId="0" borderId="0" xfId="0" applyFont="1" applyFill="1" applyAlignment="1" applyProtection="1">
      <alignment wrapText="1"/>
    </xf>
    <xf numFmtId="0" fontId="0" fillId="0" borderId="0" xfId="0" applyFont="1" applyAlignment="1" applyProtection="1">
      <alignment wrapText="1"/>
    </xf>
    <xf numFmtId="0" fontId="0" fillId="0" borderId="0" xfId="0" applyAlignment="1" applyProtection="1">
      <alignment horizontal="center" vertical="center"/>
    </xf>
    <xf numFmtId="0" fontId="0" fillId="0" borderId="0" xfId="0" applyFont="1" applyFill="1" applyAlignment="1" applyProtection="1">
      <alignment horizontal="left" vertical="top" wrapText="1"/>
    </xf>
    <xf numFmtId="0" fontId="0" fillId="0" borderId="0" xfId="0" applyFont="1" applyFill="1" applyAlignment="1" applyProtection="1">
      <alignment horizontal="center" vertical="center"/>
    </xf>
    <xf numFmtId="0" fontId="0" fillId="0" borderId="0" xfId="0"/>
    <xf numFmtId="0" fontId="10" fillId="5" borderId="1" xfId="0" applyFont="1" applyFill="1" applyBorder="1" applyAlignment="1" applyProtection="1">
      <alignment vertical="center"/>
    </xf>
    <xf numFmtId="0" fontId="10" fillId="9" borderId="1" xfId="0" applyFont="1" applyFill="1" applyBorder="1" applyAlignment="1" applyProtection="1">
      <alignment vertical="center"/>
    </xf>
    <xf numFmtId="0" fontId="10" fillId="4" borderId="1" xfId="0" applyFont="1" applyFill="1" applyBorder="1" applyAlignment="1" applyProtection="1">
      <alignment vertical="center"/>
    </xf>
    <xf numFmtId="0" fontId="10" fillId="13" borderId="1" xfId="0" applyFont="1" applyFill="1" applyBorder="1" applyAlignment="1" applyProtection="1">
      <alignment vertical="center"/>
    </xf>
    <xf numFmtId="0" fontId="11" fillId="6" borderId="1" xfId="0" applyFont="1" applyFill="1" applyBorder="1" applyAlignment="1" applyProtection="1">
      <alignment vertical="center"/>
    </xf>
    <xf numFmtId="0" fontId="12" fillId="7" borderId="1" xfId="0" applyFont="1" applyFill="1" applyBorder="1" applyAlignment="1" applyProtection="1">
      <alignment vertical="center"/>
    </xf>
    <xf numFmtId="0" fontId="13" fillId="0" borderId="0" xfId="0" applyFont="1"/>
    <xf numFmtId="0" fontId="13" fillId="5" borderId="1" xfId="0" applyFont="1" applyFill="1" applyBorder="1" applyAlignment="1" applyProtection="1">
      <alignment horizontal="center"/>
      <protection locked="0"/>
    </xf>
    <xf numFmtId="0" fontId="13" fillId="0" borderId="1" xfId="0" applyFont="1" applyFill="1" applyBorder="1" applyAlignment="1" applyProtection="1">
      <alignment horizontal="center"/>
      <protection locked="0"/>
    </xf>
    <xf numFmtId="0" fontId="13" fillId="0" borderId="1" xfId="0" applyFont="1" applyFill="1" applyBorder="1" applyAlignment="1">
      <alignment horizontal="center"/>
    </xf>
    <xf numFmtId="0" fontId="13" fillId="0" borderId="1" xfId="0" applyFont="1" applyBorder="1"/>
    <xf numFmtId="0" fontId="13" fillId="0" borderId="17" xfId="0" applyFont="1" applyBorder="1"/>
    <xf numFmtId="0" fontId="13" fillId="0" borderId="27" xfId="0" applyFont="1" applyBorder="1"/>
    <xf numFmtId="0" fontId="13" fillId="0" borderId="16" xfId="0" applyFont="1" applyBorder="1"/>
    <xf numFmtId="0" fontId="13" fillId="0" borderId="22" xfId="0" applyFont="1" applyBorder="1"/>
    <xf numFmtId="0" fontId="13" fillId="8" borderId="1" xfId="0" applyFont="1" applyFill="1" applyBorder="1" applyAlignment="1">
      <alignment horizontal="center"/>
    </xf>
    <xf numFmtId="0" fontId="13" fillId="0" borderId="1" xfId="0" applyFont="1" applyBorder="1" applyAlignment="1">
      <alignment horizontal="center"/>
    </xf>
    <xf numFmtId="164" fontId="13" fillId="0" borderId="1" xfId="0" applyNumberFormat="1" applyFont="1" applyFill="1" applyBorder="1" applyAlignment="1">
      <alignment horizontal="center"/>
    </xf>
    <xf numFmtId="0" fontId="13" fillId="0" borderId="17" xfId="0" applyFont="1" applyBorder="1" applyAlignment="1">
      <alignment horizontal="center"/>
    </xf>
    <xf numFmtId="0" fontId="13" fillId="0" borderId="36" xfId="0" applyFont="1" applyFill="1" applyBorder="1" applyAlignment="1" applyProtection="1">
      <alignment horizontal="center"/>
      <protection locked="0"/>
    </xf>
    <xf numFmtId="0" fontId="13" fillId="5" borderId="36" xfId="0" applyFont="1" applyFill="1" applyBorder="1" applyAlignment="1" applyProtection="1">
      <alignment horizontal="center" vertical="top"/>
      <protection locked="0"/>
    </xf>
    <xf numFmtId="2" fontId="13" fillId="0" borderId="1" xfId="0" applyNumberFormat="1" applyFont="1" applyFill="1" applyBorder="1" applyAlignment="1" applyProtection="1">
      <alignment horizontal="center"/>
      <protection locked="0"/>
    </xf>
    <xf numFmtId="2" fontId="13" fillId="5" borderId="1" xfId="0" applyNumberFormat="1" applyFont="1" applyFill="1" applyBorder="1" applyAlignment="1" applyProtection="1">
      <alignment horizontal="center"/>
      <protection locked="0"/>
    </xf>
    <xf numFmtId="0" fontId="13" fillId="0" borderId="27" xfId="0" applyFont="1" applyBorder="1" applyAlignment="1">
      <alignment horizontal="center"/>
    </xf>
    <xf numFmtId="0" fontId="15" fillId="0" borderId="0" xfId="0" applyFont="1"/>
    <xf numFmtId="0" fontId="14" fillId="10" borderId="22" xfId="0" applyFont="1" applyFill="1" applyBorder="1" applyAlignment="1">
      <alignment horizontal="center"/>
    </xf>
    <xf numFmtId="0" fontId="14" fillId="10" borderId="1" xfId="0" applyFont="1" applyFill="1" applyBorder="1" applyAlignment="1">
      <alignment horizontal="center"/>
    </xf>
    <xf numFmtId="0" fontId="14" fillId="10" borderId="23" xfId="0" applyFont="1" applyFill="1" applyBorder="1" applyAlignment="1">
      <alignment horizontal="center"/>
    </xf>
    <xf numFmtId="0" fontId="14" fillId="10" borderId="19" xfId="0" applyFont="1" applyFill="1" applyBorder="1" applyAlignment="1">
      <alignment horizontal="center"/>
    </xf>
    <xf numFmtId="0" fontId="14" fillId="10" borderId="20" xfId="0" applyFont="1" applyFill="1" applyBorder="1" applyAlignment="1">
      <alignment horizontal="center"/>
    </xf>
    <xf numFmtId="0" fontId="14" fillId="10" borderId="21" xfId="0" applyFont="1" applyFill="1" applyBorder="1" applyAlignment="1">
      <alignment horizontal="center"/>
    </xf>
    <xf numFmtId="0" fontId="15" fillId="3" borderId="22" xfId="0" applyFont="1" applyFill="1" applyBorder="1" applyAlignment="1">
      <alignment horizontal="left"/>
    </xf>
    <xf numFmtId="0" fontId="15" fillId="3" borderId="1" xfId="0" applyFont="1" applyFill="1" applyBorder="1" applyAlignment="1">
      <alignment horizontal="center"/>
    </xf>
    <xf numFmtId="0" fontId="15" fillId="3" borderId="23" xfId="0" applyFont="1" applyFill="1" applyBorder="1" applyAlignment="1">
      <alignment horizontal="center"/>
    </xf>
    <xf numFmtId="0" fontId="15" fillId="11" borderId="22" xfId="0" applyFont="1" applyFill="1" applyBorder="1" applyAlignment="1">
      <alignment horizontal="center" vertical="center"/>
    </xf>
    <xf numFmtId="166" fontId="15" fillId="11" borderId="1" xfId="1" applyNumberFormat="1" applyFont="1" applyFill="1" applyBorder="1" applyAlignment="1">
      <alignment horizontal="center" vertical="center"/>
    </xf>
    <xf numFmtId="166" fontId="15" fillId="11" borderId="23" xfId="1" applyNumberFormat="1" applyFont="1" applyFill="1" applyBorder="1" applyAlignment="1">
      <alignment horizontal="center" vertical="center"/>
    </xf>
    <xf numFmtId="0" fontId="13" fillId="15" borderId="17" xfId="0" applyFont="1" applyFill="1" applyBorder="1" applyAlignment="1">
      <alignment horizontal="center"/>
    </xf>
    <xf numFmtId="0" fontId="15" fillId="4" borderId="22" xfId="0" applyFont="1" applyFill="1" applyBorder="1"/>
    <xf numFmtId="0" fontId="15" fillId="4" borderId="23" xfId="0" applyFont="1" applyFill="1" applyBorder="1"/>
    <xf numFmtId="0" fontId="15" fillId="0" borderId="22" xfId="0" applyFont="1" applyBorder="1" applyAlignment="1">
      <alignment horizontal="center" vertical="center"/>
    </xf>
    <xf numFmtId="0" fontId="15" fillId="0" borderId="1" xfId="0" applyFont="1" applyBorder="1" applyAlignment="1">
      <alignment horizontal="center" vertical="center"/>
    </xf>
    <xf numFmtId="0" fontId="15" fillId="0" borderId="23" xfId="0" applyFont="1" applyBorder="1" applyAlignment="1">
      <alignment horizontal="center" vertical="center"/>
    </xf>
    <xf numFmtId="0" fontId="13" fillId="0" borderId="26" xfId="0" applyFont="1" applyBorder="1"/>
    <xf numFmtId="0" fontId="13" fillId="15" borderId="27" xfId="0" applyFont="1" applyFill="1" applyBorder="1" applyAlignment="1">
      <alignment horizontal="center"/>
    </xf>
    <xf numFmtId="0" fontId="15" fillId="11" borderId="1" xfId="0" applyFont="1" applyFill="1" applyBorder="1" applyAlignment="1">
      <alignment horizontal="center" vertical="center"/>
    </xf>
    <xf numFmtId="0" fontId="15" fillId="11" borderId="23" xfId="0" applyFont="1" applyFill="1" applyBorder="1" applyAlignment="1">
      <alignment horizontal="center" vertical="center"/>
    </xf>
    <xf numFmtId="0" fontId="15" fillId="3" borderId="22" xfId="0" applyFont="1" applyFill="1" applyBorder="1"/>
    <xf numFmtId="0" fontId="15" fillId="3" borderId="23" xfId="0" applyFont="1" applyFill="1" applyBorder="1"/>
    <xf numFmtId="0" fontId="13" fillId="0" borderId="31" xfId="0" applyFont="1" applyBorder="1"/>
    <xf numFmtId="0" fontId="15" fillId="3" borderId="26" xfId="0" applyFont="1" applyFill="1" applyBorder="1"/>
    <xf numFmtId="0" fontId="15" fillId="3" borderId="40" xfId="0" applyFont="1" applyFill="1" applyBorder="1"/>
    <xf numFmtId="0" fontId="13" fillId="0" borderId="35" xfId="0" applyFont="1" applyBorder="1"/>
    <xf numFmtId="0" fontId="14" fillId="10" borderId="32" xfId="0" applyFont="1" applyFill="1" applyBorder="1" applyAlignment="1">
      <alignment horizontal="center"/>
    </xf>
    <xf numFmtId="0" fontId="14" fillId="10" borderId="37" xfId="0" applyFont="1" applyFill="1" applyBorder="1" applyAlignment="1">
      <alignment horizontal="center"/>
    </xf>
    <xf numFmtId="0" fontId="14" fillId="10" borderId="16" xfId="0" applyFont="1" applyFill="1" applyBorder="1"/>
    <xf numFmtId="0" fontId="13" fillId="8" borderId="17" xfId="0" applyFont="1" applyFill="1" applyBorder="1" applyAlignment="1">
      <alignment horizontal="center"/>
    </xf>
    <xf numFmtId="0" fontId="13" fillId="8" borderId="18" xfId="0" applyFont="1" applyFill="1" applyBorder="1" applyAlignment="1">
      <alignment horizontal="center"/>
    </xf>
    <xf numFmtId="0" fontId="14" fillId="10" borderId="22" xfId="0" applyFont="1" applyFill="1" applyBorder="1"/>
    <xf numFmtId="0" fontId="13" fillId="8" borderId="23" xfId="0" applyFont="1" applyFill="1" applyBorder="1" applyAlignment="1">
      <alignment horizontal="center"/>
    </xf>
    <xf numFmtId="0" fontId="14" fillId="10" borderId="26" xfId="0" applyFont="1" applyFill="1" applyBorder="1"/>
    <xf numFmtId="0" fontId="13" fillId="8" borderId="27" xfId="0" applyFont="1" applyFill="1" applyBorder="1" applyAlignment="1">
      <alignment horizontal="center"/>
    </xf>
    <xf numFmtId="0" fontId="13" fillId="8" borderId="40" xfId="0" applyFont="1" applyFill="1" applyBorder="1" applyAlignment="1">
      <alignment horizontal="center"/>
    </xf>
    <xf numFmtId="0" fontId="14" fillId="10" borderId="42" xfId="0" applyFont="1" applyFill="1" applyBorder="1" applyAlignment="1">
      <alignment horizont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40" xfId="0" applyFont="1" applyBorder="1" applyAlignment="1">
      <alignment horizontal="center" vertical="center"/>
    </xf>
    <xf numFmtId="0" fontId="13" fillId="3" borderId="17" xfId="0" applyFont="1" applyFill="1" applyBorder="1" applyAlignment="1" applyProtection="1">
      <alignment horizontal="center"/>
      <protection locked="0"/>
    </xf>
    <xf numFmtId="0" fontId="13" fillId="3" borderId="27" xfId="0" applyFont="1" applyFill="1" applyBorder="1" applyAlignment="1" applyProtection="1">
      <alignment horizontal="center"/>
      <protection locked="0"/>
    </xf>
    <xf numFmtId="0" fontId="13" fillId="0" borderId="17" xfId="0" applyFont="1" applyBorder="1" applyAlignment="1">
      <alignment horizontal="left"/>
    </xf>
    <xf numFmtId="0" fontId="13" fillId="0" borderId="27" xfId="0" applyFont="1" applyBorder="1" applyAlignment="1">
      <alignment horizontal="left"/>
    </xf>
    <xf numFmtId="0" fontId="13" fillId="12" borderId="17" xfId="0" applyFont="1" applyFill="1" applyBorder="1" applyAlignment="1">
      <alignment horizontal="center"/>
    </xf>
    <xf numFmtId="0" fontId="13" fillId="13" borderId="17" xfId="0" applyFont="1" applyFill="1" applyBorder="1" applyAlignment="1">
      <alignment horizontal="center"/>
    </xf>
    <xf numFmtId="0" fontId="13" fillId="14" borderId="17" xfId="0" applyFont="1" applyFill="1" applyBorder="1" applyAlignment="1">
      <alignment horizontal="center"/>
    </xf>
    <xf numFmtId="0" fontId="13" fillId="12" borderId="27" xfId="0" applyFont="1" applyFill="1" applyBorder="1" applyAlignment="1">
      <alignment horizontal="center"/>
    </xf>
    <xf numFmtId="0" fontId="13" fillId="13" borderId="27" xfId="0" applyFont="1" applyFill="1" applyBorder="1" applyAlignment="1">
      <alignment horizontal="center"/>
    </xf>
    <xf numFmtId="0" fontId="13" fillId="14" borderId="27" xfId="0" applyFont="1" applyFill="1" applyBorder="1" applyAlignment="1">
      <alignment horizontal="center"/>
    </xf>
    <xf numFmtId="0" fontId="13" fillId="12" borderId="1" xfId="0" applyFont="1" applyFill="1" applyBorder="1" applyAlignment="1">
      <alignment horizontal="center"/>
    </xf>
    <xf numFmtId="165" fontId="15" fillId="4" borderId="1" xfId="0" applyNumberFormat="1" applyFont="1" applyFill="1" applyBorder="1" applyAlignment="1">
      <alignment horizontal="center"/>
    </xf>
    <xf numFmtId="0" fontId="15" fillId="3" borderId="27" xfId="0" applyFont="1" applyFill="1" applyBorder="1" applyAlignment="1">
      <alignment horizontal="center"/>
    </xf>
    <xf numFmtId="0" fontId="14" fillId="10" borderId="18" xfId="0" applyFont="1" applyFill="1" applyBorder="1" applyAlignment="1">
      <alignment horizontal="center"/>
    </xf>
    <xf numFmtId="0" fontId="14" fillId="10" borderId="27" xfId="0" applyFont="1" applyFill="1" applyBorder="1" applyAlignment="1">
      <alignment horizontal="center"/>
    </xf>
    <xf numFmtId="0" fontId="14" fillId="10" borderId="40" xfId="0" applyFont="1" applyFill="1" applyBorder="1" applyAlignment="1">
      <alignment horizontal="center"/>
    </xf>
    <xf numFmtId="0" fontId="13" fillId="0" borderId="36" xfId="0" applyFont="1" applyFill="1" applyBorder="1" applyAlignment="1">
      <alignment horizontal="left"/>
    </xf>
    <xf numFmtId="0" fontId="13" fillId="0" borderId="36" xfId="0" applyFont="1" applyFill="1" applyBorder="1" applyAlignment="1">
      <alignment horizontal="center"/>
    </xf>
    <xf numFmtId="0" fontId="13" fillId="0" borderId="27" xfId="0" applyFont="1" applyFill="1" applyBorder="1" applyAlignment="1" applyProtection="1">
      <alignment horizontal="center"/>
      <protection locked="0"/>
    </xf>
    <xf numFmtId="0" fontId="13" fillId="0" borderId="27" xfId="0" applyFont="1" applyFill="1" applyBorder="1" applyAlignment="1">
      <alignment horizontal="left"/>
    </xf>
    <xf numFmtId="0" fontId="13" fillId="0" borderId="27" xfId="0" applyFont="1" applyFill="1" applyBorder="1" applyAlignment="1">
      <alignment horizontal="center"/>
    </xf>
    <xf numFmtId="0" fontId="13" fillId="0" borderId="17" xfId="0" applyFont="1" applyFill="1" applyBorder="1" applyAlignment="1" applyProtection="1">
      <alignment horizontal="center"/>
      <protection locked="0"/>
    </xf>
    <xf numFmtId="0" fontId="13" fillId="0" borderId="17" xfId="0" applyFont="1" applyFill="1" applyBorder="1" applyAlignment="1">
      <alignment horizontal="center"/>
    </xf>
    <xf numFmtId="0" fontId="13" fillId="0" borderId="14" xfId="0" applyFont="1" applyFill="1" applyBorder="1" applyAlignment="1" applyProtection="1">
      <alignment horizontal="center"/>
      <protection locked="0"/>
    </xf>
    <xf numFmtId="0" fontId="13" fillId="0" borderId="14" xfId="0" applyFont="1" applyFill="1" applyBorder="1" applyAlignment="1">
      <alignment horizontal="center"/>
    </xf>
    <xf numFmtId="164" fontId="13" fillId="0" borderId="1" xfId="0" applyNumberFormat="1" applyFont="1" applyFill="1" applyBorder="1" applyAlignment="1" applyProtection="1">
      <alignment horizontal="center"/>
      <protection locked="0"/>
    </xf>
    <xf numFmtId="0" fontId="13" fillId="0" borderId="27" xfId="0" applyNumberFormat="1" applyFont="1" applyFill="1" applyBorder="1" applyAlignment="1" applyProtection="1">
      <alignment horizontal="center"/>
    </xf>
    <xf numFmtId="0" fontId="0" fillId="0" borderId="0" xfId="0" applyAlignment="1">
      <alignment horizontal="right"/>
    </xf>
    <xf numFmtId="165" fontId="13" fillId="0" borderId="27" xfId="0" applyNumberFormat="1" applyFont="1" applyFill="1" applyBorder="1" applyAlignment="1">
      <alignment horizontal="center"/>
    </xf>
    <xf numFmtId="1" fontId="0" fillId="0" borderId="0" xfId="0" applyNumberFormat="1" applyAlignment="1">
      <alignment horizontal="left" vertical="top"/>
    </xf>
    <xf numFmtId="1" fontId="8" fillId="0" borderId="0" xfId="14" applyNumberFormat="1" applyAlignment="1">
      <alignment horizontal="left" vertical="top"/>
    </xf>
    <xf numFmtId="0" fontId="8" fillId="0" borderId="0" xfId="14" applyAlignment="1">
      <alignment horizontal="left" vertical="top" wrapText="1"/>
    </xf>
    <xf numFmtId="0" fontId="8" fillId="0" borderId="0" xfId="14" applyAlignment="1">
      <alignment horizontal="left" vertical="top"/>
    </xf>
    <xf numFmtId="0" fontId="0" fillId="0" borderId="0" xfId="0" applyAlignment="1">
      <alignment horizontal="left" vertical="top"/>
    </xf>
    <xf numFmtId="0" fontId="8" fillId="0" borderId="0" xfId="14"/>
    <xf numFmtId="0" fontId="0" fillId="0" borderId="0" xfId="0" applyFill="1" applyAlignment="1" applyProtection="1">
      <alignment horizontal="center" vertical="center"/>
      <protection hidden="1"/>
    </xf>
    <xf numFmtId="11" fontId="0" fillId="0" borderId="0" xfId="0" applyNumberFormat="1" applyFill="1" applyAlignment="1" applyProtection="1">
      <alignment horizontal="center" vertical="center"/>
      <protection hidden="1"/>
    </xf>
    <xf numFmtId="0" fontId="23" fillId="0" borderId="0" xfId="0" applyFont="1" applyFill="1" applyAlignment="1" applyProtection="1">
      <alignment horizontal="center" vertical="center"/>
      <protection locked="0"/>
    </xf>
    <xf numFmtId="0" fontId="0" fillId="0" borderId="0" xfId="0" applyNumberFormat="1" applyFill="1" applyAlignment="1" applyProtection="1">
      <alignment horizontal="left" vertical="top"/>
      <protection hidden="1"/>
    </xf>
    <xf numFmtId="11" fontId="0" fillId="0" borderId="0" xfId="0" applyNumberFormat="1" applyFill="1" applyAlignment="1" applyProtection="1">
      <alignment horizontal="left" vertical="top"/>
      <protection hidden="1"/>
    </xf>
    <xf numFmtId="11" fontId="0" fillId="0" borderId="0" xfId="0" applyNumberFormat="1" applyFill="1" applyAlignment="1" applyProtection="1">
      <alignment horizontal="left" vertical="top"/>
      <protection hidden="1"/>
    </xf>
    <xf numFmtId="0" fontId="0" fillId="0"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2" fontId="0" fillId="0" borderId="1" xfId="0" applyNumberFormat="1" applyFont="1" applyBorder="1" applyAlignment="1" applyProtection="1">
      <alignment horizontal="center" vertical="center" wrapText="1"/>
    </xf>
    <xf numFmtId="167" fontId="0" fillId="0" borderId="1" xfId="0" applyNumberFormat="1" applyFont="1" applyBorder="1" applyAlignment="1" applyProtection="1">
      <alignment horizontal="center" vertical="center" wrapText="1"/>
    </xf>
    <xf numFmtId="0" fontId="25" fillId="0" borderId="46" xfId="0" applyFont="1" applyFill="1" applyBorder="1" applyAlignment="1" applyProtection="1">
      <alignment horizontal="left" vertical="center" wrapText="1"/>
    </xf>
    <xf numFmtId="0" fontId="25" fillId="0" borderId="46" xfId="0" applyFont="1" applyFill="1" applyBorder="1" applyAlignment="1" applyProtection="1">
      <alignment vertical="center" wrapText="1"/>
    </xf>
    <xf numFmtId="0" fontId="13" fillId="0" borderId="0" xfId="0" applyFont="1" applyProtection="1"/>
    <xf numFmtId="0" fontId="14" fillId="0" borderId="0" xfId="0" applyFont="1" applyProtection="1"/>
    <xf numFmtId="0" fontId="13" fillId="0" borderId="0" xfId="0" applyFont="1" applyAlignment="1" applyProtection="1">
      <alignment horizontal="center"/>
    </xf>
    <xf numFmtId="49" fontId="13" fillId="0" borderId="0" xfId="0" applyNumberFormat="1" applyFont="1" applyAlignment="1" applyProtection="1">
      <alignment horizontal="center"/>
    </xf>
    <xf numFmtId="0" fontId="13" fillId="0" borderId="22" xfId="0" applyFont="1" applyFill="1" applyBorder="1" applyProtection="1"/>
    <xf numFmtId="0" fontId="13" fillId="0" borderId="1" xfId="0" applyFont="1" applyFill="1" applyBorder="1" applyAlignment="1" applyProtection="1">
      <alignment horizontal="center"/>
    </xf>
    <xf numFmtId="0" fontId="13" fillId="0" borderId="1" xfId="0" applyFont="1" applyFill="1" applyBorder="1" applyAlignment="1" applyProtection="1"/>
    <xf numFmtId="0" fontId="13" fillId="0" borderId="23" xfId="0" applyFont="1" applyFill="1" applyBorder="1" applyProtection="1"/>
    <xf numFmtId="0" fontId="14" fillId="2" borderId="1" xfId="0" applyFont="1" applyFill="1" applyBorder="1" applyAlignment="1" applyProtection="1"/>
    <xf numFmtId="0" fontId="13" fillId="0" borderId="0" xfId="0" applyFont="1" applyBorder="1" applyAlignment="1" applyProtection="1">
      <alignment horizontal="center"/>
    </xf>
    <xf numFmtId="0" fontId="13" fillId="0" borderId="1" xfId="0" applyFont="1" applyBorder="1" applyAlignment="1" applyProtection="1">
      <alignment horizontal="center"/>
    </xf>
    <xf numFmtId="0" fontId="13" fillId="4" borderId="1" xfId="0" applyFont="1" applyFill="1" applyBorder="1" applyAlignment="1" applyProtection="1">
      <alignment horizontal="center"/>
    </xf>
    <xf numFmtId="0" fontId="13" fillId="13" borderId="1" xfId="0" applyFont="1" applyFill="1" applyBorder="1" applyAlignment="1" applyProtection="1">
      <alignment horizontal="center"/>
    </xf>
    <xf numFmtId="0" fontId="13" fillId="0" borderId="0" xfId="0" applyFont="1" applyBorder="1" applyAlignment="1" applyProtection="1">
      <alignment horizontal="left" vertical="center"/>
    </xf>
    <xf numFmtId="0" fontId="13" fillId="0" borderId="0" xfId="0" applyFont="1" applyBorder="1" applyAlignment="1" applyProtection="1">
      <alignment horizontal="left" vertical="center" wrapText="1"/>
    </xf>
    <xf numFmtId="164" fontId="13" fillId="13" borderId="1" xfId="0" applyNumberFormat="1" applyFont="1" applyFill="1" applyBorder="1" applyAlignment="1" applyProtection="1">
      <alignment horizontal="center"/>
    </xf>
    <xf numFmtId="164" fontId="13" fillId="0" borderId="1" xfId="0" applyNumberFormat="1" applyFont="1" applyFill="1" applyBorder="1" applyAlignment="1" applyProtection="1">
      <alignment horizontal="center"/>
    </xf>
    <xf numFmtId="2" fontId="13" fillId="13" borderId="1" xfId="0" applyNumberFormat="1" applyFont="1" applyFill="1" applyBorder="1" applyAlignment="1" applyProtection="1">
      <alignment horizontal="center"/>
    </xf>
    <xf numFmtId="2" fontId="13" fillId="0" borderId="1" xfId="0" applyNumberFormat="1" applyFont="1" applyFill="1" applyBorder="1" applyAlignment="1" applyProtection="1">
      <alignment horizontal="center"/>
    </xf>
    <xf numFmtId="1" fontId="13" fillId="13" borderId="1" xfId="0" applyNumberFormat="1" applyFont="1" applyFill="1" applyBorder="1" applyAlignment="1" applyProtection="1">
      <alignment horizontal="center"/>
    </xf>
    <xf numFmtId="1" fontId="13" fillId="0" borderId="1" xfId="0" applyNumberFormat="1" applyFont="1" applyFill="1" applyBorder="1" applyAlignment="1" applyProtection="1">
      <alignment horizontal="center"/>
    </xf>
    <xf numFmtId="2" fontId="13" fillId="0" borderId="0" xfId="0" applyNumberFormat="1" applyFont="1" applyProtection="1"/>
    <xf numFmtId="1" fontId="13" fillId="4" borderId="1" xfId="0" applyNumberFormat="1" applyFont="1" applyFill="1" applyBorder="1" applyAlignment="1" applyProtection="1">
      <alignment horizontal="center"/>
    </xf>
    <xf numFmtId="164" fontId="13" fillId="4" borderId="1" xfId="0" applyNumberFormat="1" applyFont="1" applyFill="1" applyBorder="1" applyAlignment="1" applyProtection="1">
      <alignment horizontal="center"/>
    </xf>
    <xf numFmtId="0" fontId="13" fillId="0" borderId="23" xfId="0" applyFont="1" applyFill="1" applyBorder="1" applyAlignment="1" applyProtection="1">
      <alignment wrapText="1"/>
    </xf>
    <xf numFmtId="0" fontId="13" fillId="0" borderId="22" xfId="0" applyFont="1" applyFill="1" applyBorder="1" applyAlignment="1" applyProtection="1">
      <alignment vertical="center"/>
    </xf>
    <xf numFmtId="1" fontId="13" fillId="13" borderId="1" xfId="0" applyNumberFormat="1" applyFont="1" applyFill="1" applyBorder="1" applyAlignment="1" applyProtection="1">
      <alignment horizontal="center" vertical="center"/>
    </xf>
    <xf numFmtId="2" fontId="13" fillId="4" borderId="1" xfId="0" applyNumberFormat="1" applyFont="1" applyFill="1" applyBorder="1" applyAlignment="1" applyProtection="1">
      <alignment horizontal="center"/>
    </xf>
    <xf numFmtId="2" fontId="13" fillId="0" borderId="1" xfId="0" applyNumberFormat="1" applyFont="1" applyFill="1" applyBorder="1" applyAlignment="1" applyProtection="1">
      <alignment horizontal="center" vertical="center"/>
    </xf>
    <xf numFmtId="2" fontId="13" fillId="4" borderId="1" xfId="0" applyNumberFormat="1" applyFont="1" applyFill="1" applyBorder="1" applyAlignment="1" applyProtection="1">
      <alignment horizontal="center" vertical="center"/>
    </xf>
    <xf numFmtId="0" fontId="13" fillId="0" borderId="1" xfId="0" applyFont="1" applyFill="1" applyBorder="1" applyAlignment="1" applyProtection="1">
      <alignment vertical="center"/>
    </xf>
    <xf numFmtId="0" fontId="13" fillId="0" borderId="23" xfId="0" applyFont="1" applyFill="1" applyBorder="1" applyAlignment="1" applyProtection="1">
      <alignment vertical="center" wrapText="1"/>
    </xf>
    <xf numFmtId="165" fontId="13" fillId="13" borderId="1" xfId="0" applyNumberFormat="1" applyFont="1" applyFill="1" applyBorder="1" applyAlignment="1" applyProtection="1">
      <alignment horizontal="center"/>
    </xf>
    <xf numFmtId="165" fontId="13" fillId="0" borderId="1" xfId="0" applyNumberFormat="1" applyFont="1" applyFill="1" applyBorder="1" applyAlignment="1" applyProtection="1">
      <alignment horizontal="center"/>
    </xf>
    <xf numFmtId="0" fontId="13" fillId="0" borderId="33" xfId="0" applyFont="1" applyBorder="1" applyProtection="1"/>
    <xf numFmtId="0" fontId="13" fillId="0" borderId="0" xfId="0" applyFont="1" applyBorder="1" applyProtection="1"/>
    <xf numFmtId="0" fontId="13" fillId="0" borderId="0" xfId="0" applyFont="1" applyBorder="1" applyAlignment="1" applyProtection="1"/>
    <xf numFmtId="0" fontId="13" fillId="0" borderId="39" xfId="0" applyFont="1" applyBorder="1" applyProtection="1"/>
    <xf numFmtId="0" fontId="18" fillId="0" borderId="15" xfId="0" quotePrefix="1" applyFont="1" applyFill="1" applyBorder="1" applyProtection="1"/>
    <xf numFmtId="0" fontId="13" fillId="0" borderId="35" xfId="0" applyFont="1" applyFill="1" applyBorder="1" applyProtection="1"/>
    <xf numFmtId="0" fontId="13" fillId="0" borderId="17" xfId="0" applyFont="1" applyBorder="1" applyAlignment="1" applyProtection="1">
      <alignment horizontal="center" vertical="top"/>
    </xf>
    <xf numFmtId="0" fontId="13" fillId="0" borderId="36" xfId="0" applyFont="1" applyFill="1" applyBorder="1" applyAlignment="1" applyProtection="1">
      <alignment horizontal="center" vertical="top"/>
    </xf>
    <xf numFmtId="0" fontId="13" fillId="0" borderId="36" xfId="0" applyFont="1" applyFill="1" applyBorder="1" applyAlignment="1" applyProtection="1"/>
    <xf numFmtId="0" fontId="13" fillId="0" borderId="47" xfId="0" applyFont="1" applyFill="1" applyBorder="1" applyProtection="1"/>
    <xf numFmtId="0" fontId="13" fillId="0" borderId="46" xfId="0" applyFont="1" applyBorder="1" applyAlignment="1" applyProtection="1">
      <alignment horizontal="center" vertical="center"/>
    </xf>
    <xf numFmtId="0" fontId="13" fillId="0" borderId="44"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1" xfId="0" applyFont="1" applyBorder="1" applyAlignment="1" applyProtection="1">
      <alignment horizontal="center" vertical="top"/>
    </xf>
    <xf numFmtId="0" fontId="13" fillId="0" borderId="1" xfId="0" applyFont="1" applyFill="1" applyBorder="1" applyAlignment="1" applyProtection="1">
      <alignment horizontal="center" vertical="top"/>
    </xf>
    <xf numFmtId="0" fontId="13" fillId="4" borderId="1" xfId="0" applyFont="1" applyFill="1" applyBorder="1" applyAlignment="1" applyProtection="1">
      <alignment horizontal="center" vertical="top"/>
    </xf>
    <xf numFmtId="0" fontId="13" fillId="0" borderId="55" xfId="0" applyFont="1" applyBorder="1" applyAlignment="1" applyProtection="1">
      <alignment horizontal="center"/>
    </xf>
    <xf numFmtId="0" fontId="13" fillId="0" borderId="6" xfId="0" applyFont="1" applyBorder="1" applyAlignment="1" applyProtection="1">
      <alignment horizontal="center"/>
    </xf>
    <xf numFmtId="0" fontId="13" fillId="0" borderId="51" xfId="0" applyFont="1" applyBorder="1" applyAlignment="1" applyProtection="1">
      <alignment horizontal="center"/>
    </xf>
    <xf numFmtId="0" fontId="13" fillId="0" borderId="52" xfId="0" applyFont="1" applyBorder="1" applyAlignment="1" applyProtection="1">
      <alignment horizontal="center"/>
    </xf>
    <xf numFmtId="0" fontId="13" fillId="0" borderId="4" xfId="0" applyFont="1" applyBorder="1" applyAlignment="1" applyProtection="1">
      <alignment horizontal="center"/>
    </xf>
    <xf numFmtId="165" fontId="13" fillId="0" borderId="1" xfId="0" applyNumberFormat="1" applyFont="1" applyFill="1" applyBorder="1" applyAlignment="1" applyProtection="1">
      <alignment horizontal="center" vertical="top"/>
    </xf>
    <xf numFmtId="165" fontId="13" fillId="4" borderId="1" xfId="0" applyNumberFormat="1" applyFont="1" applyFill="1" applyBorder="1" applyAlignment="1" applyProtection="1">
      <alignment horizontal="center" vertical="top"/>
    </xf>
    <xf numFmtId="2" fontId="13" fillId="0" borderId="1" xfId="0" applyNumberFormat="1" applyFont="1" applyFill="1" applyBorder="1" applyAlignment="1" applyProtection="1">
      <alignment horizontal="center" vertical="top"/>
    </xf>
    <xf numFmtId="2" fontId="13" fillId="4" borderId="1" xfId="0" applyNumberFormat="1" applyFont="1" applyFill="1" applyBorder="1" applyAlignment="1" applyProtection="1">
      <alignment horizontal="center" vertical="top"/>
    </xf>
    <xf numFmtId="164" fontId="13" fillId="0" borderId="1" xfId="0" applyNumberFormat="1" applyFont="1" applyFill="1" applyBorder="1" applyAlignment="1" applyProtection="1">
      <alignment horizontal="center" vertical="top"/>
    </xf>
    <xf numFmtId="164" fontId="13" fillId="4" borderId="1" xfId="0" applyNumberFormat="1" applyFont="1" applyFill="1" applyBorder="1" applyAlignment="1" applyProtection="1">
      <alignment horizontal="center" vertical="top"/>
    </xf>
    <xf numFmtId="0" fontId="13" fillId="17" borderId="33" xfId="0" applyFont="1" applyFill="1" applyBorder="1" applyProtection="1"/>
    <xf numFmtId="0" fontId="13" fillId="17" borderId="0" xfId="0" applyFont="1" applyFill="1" applyBorder="1" applyProtection="1"/>
    <xf numFmtId="0" fontId="13" fillId="17" borderId="0" xfId="0" applyFont="1" applyFill="1" applyBorder="1" applyAlignment="1" applyProtection="1"/>
    <xf numFmtId="0" fontId="13" fillId="17" borderId="39" xfId="0" applyFont="1" applyFill="1" applyBorder="1" applyProtection="1"/>
    <xf numFmtId="165" fontId="13" fillId="4" borderId="1" xfId="0" applyNumberFormat="1" applyFont="1" applyFill="1" applyBorder="1" applyAlignment="1" applyProtection="1">
      <alignment horizontal="center"/>
    </xf>
    <xf numFmtId="0" fontId="13" fillId="0" borderId="52" xfId="0" applyFont="1" applyFill="1" applyBorder="1" applyAlignment="1" applyProtection="1">
      <alignment horizontal="center"/>
    </xf>
    <xf numFmtId="0" fontId="13" fillId="0" borderId="4" xfId="0" applyFont="1" applyFill="1" applyBorder="1" applyAlignment="1" applyProtection="1">
      <alignment horizontal="center"/>
    </xf>
    <xf numFmtId="0" fontId="13" fillId="0" borderId="53" xfId="0" applyFont="1" applyFill="1" applyBorder="1" applyAlignment="1" applyProtection="1">
      <alignment horizontal="center"/>
    </xf>
    <xf numFmtId="0" fontId="13" fillId="0" borderId="54" xfId="0" applyFont="1" applyFill="1" applyBorder="1" applyAlignment="1" applyProtection="1">
      <alignment horizontal="center"/>
    </xf>
    <xf numFmtId="0" fontId="13" fillId="0" borderId="1"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13" fillId="0" borderId="23" xfId="0" applyFont="1" applyFill="1" applyBorder="1" applyAlignment="1" applyProtection="1">
      <alignment vertical="center"/>
    </xf>
    <xf numFmtId="0" fontId="13" fillId="0" borderId="26" xfId="0" applyFont="1" applyFill="1" applyBorder="1" applyAlignment="1" applyProtection="1">
      <alignment vertical="center"/>
    </xf>
    <xf numFmtId="0" fontId="13" fillId="0" borderId="27" xfId="0" applyFont="1" applyBorder="1" applyAlignment="1" applyProtection="1">
      <alignment horizontal="center"/>
    </xf>
    <xf numFmtId="0" fontId="13" fillId="0" borderId="27" xfId="0" applyFont="1" applyFill="1" applyBorder="1" applyAlignment="1" applyProtection="1">
      <alignment horizontal="center" vertical="center"/>
    </xf>
    <xf numFmtId="0" fontId="13" fillId="4" borderId="27" xfId="0" applyFont="1" applyFill="1" applyBorder="1" applyAlignment="1" applyProtection="1">
      <alignment horizontal="center" vertical="center"/>
    </xf>
    <xf numFmtId="0" fontId="13" fillId="0" borderId="27" xfId="0" applyFont="1" applyFill="1" applyBorder="1" applyAlignment="1" applyProtection="1">
      <alignment vertical="center"/>
    </xf>
    <xf numFmtId="0" fontId="13" fillId="0" borderId="40" xfId="0" applyFont="1" applyFill="1" applyBorder="1" applyAlignment="1" applyProtection="1">
      <alignment vertical="center"/>
    </xf>
    <xf numFmtId="0" fontId="13" fillId="0" borderId="0" xfId="0" applyFont="1" applyAlignment="1" applyProtection="1"/>
    <xf numFmtId="0" fontId="13" fillId="8" borderId="1" xfId="0" applyFont="1" applyFill="1" applyBorder="1" applyAlignment="1" applyProtection="1">
      <alignment horizontal="center"/>
      <protection locked="0"/>
    </xf>
    <xf numFmtId="0" fontId="13" fillId="0" borderId="1" xfId="0" applyFont="1" applyBorder="1" applyAlignment="1" applyProtection="1">
      <alignment horizontal="center"/>
      <protection locked="0"/>
    </xf>
    <xf numFmtId="1" fontId="13" fillId="0" borderId="1" xfId="0" applyNumberFormat="1" applyFont="1" applyFill="1" applyBorder="1" applyAlignment="1" applyProtection="1">
      <alignment horizontal="center"/>
      <protection locked="0"/>
    </xf>
    <xf numFmtId="2" fontId="13" fillId="0" borderId="1" xfId="0" applyNumberFormat="1" applyFont="1" applyFill="1" applyBorder="1" applyAlignment="1" applyProtection="1">
      <alignment horizontal="center" vertical="center"/>
      <protection locked="0"/>
    </xf>
    <xf numFmtId="165" fontId="13" fillId="0" borderId="1" xfId="0" applyNumberFormat="1" applyFont="1" applyFill="1" applyBorder="1" applyAlignment="1" applyProtection="1">
      <alignment horizontal="center"/>
      <protection locked="0"/>
    </xf>
    <xf numFmtId="0" fontId="13" fillId="0" borderId="1" xfId="0" applyFont="1" applyFill="1" applyBorder="1" applyAlignment="1" applyProtection="1">
      <alignment horizontal="center" vertical="top"/>
      <protection locked="0"/>
    </xf>
    <xf numFmtId="165" fontId="13" fillId="0" borderId="1" xfId="0" applyNumberFormat="1" applyFont="1" applyFill="1" applyBorder="1" applyAlignment="1" applyProtection="1">
      <alignment horizontal="center" vertical="top"/>
      <protection locked="0"/>
    </xf>
    <xf numFmtId="2" fontId="13" fillId="0" borderId="1" xfId="0" applyNumberFormat="1" applyFont="1" applyFill="1" applyBorder="1" applyAlignment="1" applyProtection="1">
      <alignment horizontal="center" vertical="top"/>
      <protection locked="0"/>
    </xf>
    <xf numFmtId="164" fontId="13" fillId="0" borderId="1" xfId="0" applyNumberFormat="1" applyFont="1" applyFill="1" applyBorder="1" applyAlignment="1" applyProtection="1">
      <alignment horizontal="center" vertical="top"/>
      <protection locked="0"/>
    </xf>
    <xf numFmtId="0" fontId="13" fillId="5" borderId="17" xfId="0" applyFont="1" applyFill="1" applyBorder="1" applyAlignment="1" applyProtection="1">
      <alignment horizontal="center"/>
      <protection locked="0"/>
    </xf>
    <xf numFmtId="0" fontId="13" fillId="5" borderId="27" xfId="0" applyFont="1" applyFill="1" applyBorder="1" applyAlignment="1" applyProtection="1">
      <alignment horizontal="center"/>
      <protection locked="0"/>
    </xf>
    <xf numFmtId="0" fontId="13" fillId="5" borderId="14" xfId="0" applyFont="1" applyFill="1" applyBorder="1" applyAlignment="1" applyProtection="1">
      <alignment horizontal="center"/>
      <protection locked="0"/>
    </xf>
    <xf numFmtId="164" fontId="13" fillId="5" borderId="1" xfId="0" applyNumberFormat="1" applyFont="1" applyFill="1" applyBorder="1" applyAlignment="1" applyProtection="1">
      <alignment horizontal="center"/>
      <protection locked="0"/>
    </xf>
    <xf numFmtId="0" fontId="13" fillId="5" borderId="27" xfId="0" applyNumberFormat="1" applyFont="1" applyFill="1" applyBorder="1" applyAlignment="1" applyProtection="1">
      <alignment horizontal="center"/>
    </xf>
    <xf numFmtId="0" fontId="13" fillId="5" borderId="36" xfId="0" applyFont="1" applyFill="1" applyBorder="1" applyAlignment="1" applyProtection="1">
      <alignment horizontal="center"/>
      <protection locked="0"/>
    </xf>
    <xf numFmtId="0" fontId="15" fillId="0" borderId="0" xfId="0" applyFont="1" applyProtection="1"/>
    <xf numFmtId="0" fontId="14" fillId="19" borderId="22" xfId="0" applyFont="1" applyFill="1" applyBorder="1" applyAlignment="1" applyProtection="1">
      <alignment horizontal="center"/>
    </xf>
    <xf numFmtId="0" fontId="14" fillId="19" borderId="1" xfId="0" applyFont="1" applyFill="1" applyBorder="1" applyAlignment="1" applyProtection="1">
      <alignment horizontal="center"/>
    </xf>
    <xf numFmtId="0" fontId="14" fillId="19" borderId="23" xfId="0" applyFont="1" applyFill="1" applyBorder="1" applyAlignment="1" applyProtection="1">
      <alignment horizontal="center"/>
    </xf>
    <xf numFmtId="0" fontId="14" fillId="19" borderId="19" xfId="0" applyFont="1" applyFill="1" applyBorder="1" applyAlignment="1" applyProtection="1">
      <alignment horizontal="center"/>
    </xf>
    <xf numFmtId="0" fontId="14" fillId="19" borderId="20" xfId="0" applyFont="1" applyFill="1" applyBorder="1" applyAlignment="1" applyProtection="1">
      <alignment horizontal="center"/>
    </xf>
    <xf numFmtId="0" fontId="14" fillId="19" borderId="21" xfId="0" applyFont="1" applyFill="1" applyBorder="1" applyAlignment="1" applyProtection="1">
      <alignment horizontal="center"/>
    </xf>
    <xf numFmtId="0" fontId="14" fillId="19" borderId="46" xfId="0" applyFont="1" applyFill="1" applyBorder="1" applyAlignment="1" applyProtection="1">
      <alignment horizontal="center"/>
    </xf>
    <xf numFmtId="0" fontId="15" fillId="5" borderId="22" xfId="0" applyFont="1" applyFill="1" applyBorder="1" applyAlignment="1" applyProtection="1">
      <alignment horizontal="left"/>
    </xf>
    <xf numFmtId="0" fontId="15" fillId="5" borderId="1" xfId="0" applyFont="1" applyFill="1" applyBorder="1" applyAlignment="1" applyProtection="1">
      <alignment horizontal="center"/>
    </xf>
    <xf numFmtId="0" fontId="15" fillId="5" borderId="23" xfId="0" applyFont="1" applyFill="1" applyBorder="1" applyAlignment="1" applyProtection="1">
      <alignment horizontal="center"/>
    </xf>
    <xf numFmtId="0" fontId="15" fillId="11" borderId="22" xfId="0" applyFont="1" applyFill="1" applyBorder="1" applyAlignment="1" applyProtection="1">
      <alignment horizontal="center" vertical="center"/>
    </xf>
    <xf numFmtId="166" fontId="15" fillId="11" borderId="1" xfId="1" applyNumberFormat="1" applyFont="1" applyFill="1" applyBorder="1" applyAlignment="1" applyProtection="1">
      <alignment horizontal="center" vertical="center"/>
    </xf>
    <xf numFmtId="166" fontId="15" fillId="11" borderId="23" xfId="1" applyNumberFormat="1" applyFont="1" applyFill="1" applyBorder="1" applyAlignment="1" applyProtection="1">
      <alignment horizontal="center" vertical="center"/>
    </xf>
    <xf numFmtId="0" fontId="13" fillId="0" borderId="59" xfId="0" applyFont="1" applyBorder="1" applyProtection="1"/>
    <xf numFmtId="0" fontId="13" fillId="0" borderId="17" xfId="0" applyFont="1" applyBorder="1" applyAlignment="1" applyProtection="1">
      <alignment horizontal="left"/>
    </xf>
    <xf numFmtId="0" fontId="13" fillId="4" borderId="17" xfId="0" applyFont="1" applyFill="1" applyBorder="1" applyAlignment="1" applyProtection="1">
      <alignment horizontal="center"/>
    </xf>
    <xf numFmtId="0" fontId="15" fillId="4" borderId="22" xfId="0" applyFont="1" applyFill="1" applyBorder="1" applyProtection="1"/>
    <xf numFmtId="165" fontId="15" fillId="4" borderId="1" xfId="0" applyNumberFormat="1" applyFont="1" applyFill="1" applyBorder="1" applyAlignment="1" applyProtection="1">
      <alignment horizontal="center"/>
    </xf>
    <xf numFmtId="0" fontId="15" fillId="4" borderId="23" xfId="0" applyFont="1" applyFill="1" applyBorder="1" applyProtection="1"/>
    <xf numFmtId="0" fontId="15" fillId="0" borderId="22"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3" xfId="0" applyFont="1" applyBorder="1" applyAlignment="1" applyProtection="1">
      <alignment horizontal="center" vertical="center"/>
    </xf>
    <xf numFmtId="0" fontId="13" fillId="0" borderId="58" xfId="0" applyFont="1" applyBorder="1" applyProtection="1"/>
    <xf numFmtId="0" fontId="13" fillId="0" borderId="27" xfId="0" applyFont="1" applyBorder="1" applyAlignment="1" applyProtection="1">
      <alignment horizontal="left"/>
    </xf>
    <xf numFmtId="0" fontId="13" fillId="4" borderId="27" xfId="0" applyFont="1" applyFill="1" applyBorder="1" applyAlignment="1" applyProtection="1">
      <alignment horizontal="center"/>
    </xf>
    <xf numFmtId="0" fontId="15" fillId="11" borderId="1" xfId="0" applyFont="1" applyFill="1" applyBorder="1" applyAlignment="1" applyProtection="1">
      <alignment horizontal="center" vertical="center"/>
    </xf>
    <xf numFmtId="0" fontId="15" fillId="11" borderId="23" xfId="0" applyFont="1" applyFill="1" applyBorder="1" applyAlignment="1" applyProtection="1">
      <alignment horizontal="center" vertical="center"/>
    </xf>
    <xf numFmtId="0" fontId="15" fillId="5" borderId="22" xfId="0" applyFont="1" applyFill="1" applyBorder="1" applyProtection="1"/>
    <xf numFmtId="0" fontId="15" fillId="5" borderId="23" xfId="0" applyFont="1" applyFill="1" applyBorder="1" applyProtection="1"/>
    <xf numFmtId="0" fontId="13" fillId="0" borderId="5" xfId="0" applyFont="1" applyBorder="1" applyProtection="1"/>
    <xf numFmtId="0" fontId="13" fillId="0" borderId="1" xfId="0" applyFont="1" applyBorder="1" applyAlignment="1" applyProtection="1">
      <alignment horizontal="left"/>
    </xf>
    <xf numFmtId="0" fontId="13" fillId="0" borderId="9" xfId="0" applyFont="1" applyBorder="1" applyProtection="1"/>
    <xf numFmtId="0" fontId="13" fillId="0" borderId="14" xfId="0" applyFont="1" applyBorder="1" applyAlignment="1" applyProtection="1">
      <alignment horizontal="left"/>
    </xf>
    <xf numFmtId="0" fontId="13" fillId="4" borderId="14" xfId="0" applyFont="1" applyFill="1" applyBorder="1" applyAlignment="1" applyProtection="1">
      <alignment horizontal="center"/>
    </xf>
    <xf numFmtId="164" fontId="13" fillId="4" borderId="17" xfId="0" applyNumberFormat="1" applyFont="1" applyFill="1" applyBorder="1" applyAlignment="1" applyProtection="1">
      <alignment horizontal="center"/>
    </xf>
    <xf numFmtId="164" fontId="13" fillId="4" borderId="27" xfId="0" applyNumberFormat="1" applyFont="1" applyFill="1" applyBorder="1" applyAlignment="1" applyProtection="1">
      <alignment horizontal="center"/>
    </xf>
    <xf numFmtId="0" fontId="15" fillId="5" borderId="26" xfId="0" applyFont="1" applyFill="1" applyBorder="1" applyProtection="1"/>
    <xf numFmtId="0" fontId="15" fillId="5" borderId="27" xfId="0" applyFont="1" applyFill="1" applyBorder="1" applyAlignment="1" applyProtection="1">
      <alignment horizontal="center"/>
    </xf>
    <xf numFmtId="0" fontId="15" fillId="5" borderId="40" xfId="0" applyFont="1" applyFill="1" applyBorder="1" applyProtection="1"/>
    <xf numFmtId="0" fontId="13" fillId="0" borderId="12" xfId="0" applyFont="1" applyBorder="1" applyProtection="1"/>
    <xf numFmtId="0" fontId="13" fillId="0" borderId="36" xfId="0" applyFont="1" applyBorder="1" applyAlignment="1" applyProtection="1">
      <alignment horizontal="left"/>
    </xf>
    <xf numFmtId="0" fontId="13" fillId="4" borderId="36" xfId="0" applyFont="1" applyFill="1" applyBorder="1" applyAlignment="1" applyProtection="1">
      <alignment horizontal="center"/>
    </xf>
    <xf numFmtId="0" fontId="14" fillId="19" borderId="46" xfId="0" applyFont="1" applyFill="1" applyBorder="1" applyProtection="1"/>
    <xf numFmtId="0" fontId="13" fillId="0" borderId="17" xfId="0" applyFont="1" applyBorder="1" applyAlignment="1" applyProtection="1">
      <alignment horizontal="center"/>
    </xf>
    <xf numFmtId="0" fontId="13" fillId="13" borderId="17" xfId="0" applyFont="1" applyFill="1" applyBorder="1" applyAlignment="1" applyProtection="1">
      <alignment horizontal="center"/>
    </xf>
    <xf numFmtId="0" fontId="13" fillId="13" borderId="18" xfId="0" applyFont="1" applyFill="1" applyBorder="1" applyAlignment="1" applyProtection="1">
      <alignment horizontal="center"/>
    </xf>
    <xf numFmtId="0" fontId="13" fillId="13" borderId="23" xfId="0" applyFont="1" applyFill="1" applyBorder="1" applyAlignment="1" applyProtection="1">
      <alignment horizontal="center"/>
    </xf>
    <xf numFmtId="0" fontId="13" fillId="13" borderId="27" xfId="0" applyFont="1" applyFill="1" applyBorder="1" applyAlignment="1" applyProtection="1">
      <alignment horizontal="center"/>
    </xf>
    <xf numFmtId="0" fontId="13" fillId="13" borderId="40" xfId="0" applyFont="1" applyFill="1" applyBorder="1" applyAlignment="1" applyProtection="1">
      <alignment horizontal="center"/>
    </xf>
    <xf numFmtId="0" fontId="14" fillId="0" borderId="0" xfId="0" applyFont="1" applyFill="1" applyProtection="1"/>
    <xf numFmtId="0" fontId="15" fillId="0" borderId="26" xfId="0" applyFont="1" applyBorder="1" applyAlignment="1" applyProtection="1">
      <alignment horizontal="center" vertical="center"/>
    </xf>
    <xf numFmtId="0" fontId="15" fillId="0" borderId="27" xfId="0" applyFont="1" applyBorder="1" applyAlignment="1" applyProtection="1">
      <alignment horizontal="center" vertical="center"/>
    </xf>
    <xf numFmtId="0" fontId="15" fillId="0" borderId="40" xfId="0" applyFont="1" applyBorder="1" applyAlignment="1" applyProtection="1">
      <alignment horizontal="center" vertical="center"/>
    </xf>
    <xf numFmtId="0" fontId="1" fillId="18" borderId="27" xfId="0" applyFont="1" applyFill="1" applyBorder="1" applyAlignment="1" applyProtection="1">
      <alignment horizontal="left" vertical="center" wrapText="1"/>
    </xf>
    <xf numFmtId="0" fontId="1" fillId="18" borderId="14" xfId="0" applyFont="1" applyFill="1" applyBorder="1" applyAlignment="1" applyProtection="1">
      <alignment horizontal="left" vertical="center" wrapText="1"/>
    </xf>
    <xf numFmtId="0" fontId="1" fillId="18" borderId="1" xfId="0" applyFont="1" applyFill="1" applyBorder="1" applyAlignment="1" applyProtection="1">
      <alignment horizontal="left" vertical="center" wrapText="1"/>
    </xf>
    <xf numFmtId="0" fontId="7" fillId="0" borderId="1" xfId="3" applyFill="1" applyBorder="1" applyAlignment="1" applyProtection="1">
      <alignment horizontal="left" vertical="top" wrapText="1"/>
    </xf>
    <xf numFmtId="0" fontId="0" fillId="0" borderId="0" xfId="0" applyProtection="1"/>
    <xf numFmtId="0" fontId="9" fillId="0" borderId="1" xfId="0" applyFont="1" applyFill="1" applyBorder="1" applyAlignment="1" applyProtection="1">
      <alignment horizontal="left" vertical="top" wrapText="1"/>
    </xf>
    <xf numFmtId="0" fontId="9" fillId="0" borderId="0" xfId="0" applyFont="1" applyAlignment="1" applyProtection="1">
      <alignment horizontal="left" vertical="top" wrapText="1"/>
    </xf>
    <xf numFmtId="0" fontId="0" fillId="0" borderId="0" xfId="0" applyFont="1" applyFill="1" applyProtection="1">
      <protection locked="0"/>
    </xf>
    <xf numFmtId="0" fontId="0" fillId="0" borderId="0" xfId="0" applyFont="1" applyFill="1" applyAlignment="1" applyProtection="1">
      <alignment wrapText="1"/>
      <protection locked="0"/>
    </xf>
    <xf numFmtId="0" fontId="13" fillId="0" borderId="1" xfId="0" applyFont="1" applyBorder="1" applyProtection="1"/>
    <xf numFmtId="0" fontId="13" fillId="17" borderId="1" xfId="0" applyFont="1" applyFill="1" applyBorder="1" applyAlignment="1" applyProtection="1">
      <alignment horizontal="center"/>
    </xf>
    <xf numFmtId="0" fontId="13" fillId="17" borderId="1" xfId="0" applyFont="1" applyFill="1" applyBorder="1" applyProtection="1"/>
    <xf numFmtId="2" fontId="13" fillId="17" borderId="1" xfId="0" applyNumberFormat="1" applyFont="1" applyFill="1" applyBorder="1" applyAlignment="1" applyProtection="1">
      <alignment horizontal="center"/>
    </xf>
    <xf numFmtId="0" fontId="13" fillId="0" borderId="16" xfId="0" applyFont="1" applyFill="1" applyBorder="1" applyProtection="1"/>
    <xf numFmtId="0" fontId="13" fillId="0" borderId="17" xfId="0" applyFont="1" applyBorder="1" applyAlignment="1" applyProtection="1">
      <alignment horizontal="center"/>
      <protection locked="0"/>
    </xf>
    <xf numFmtId="164" fontId="13" fillId="13" borderId="17" xfId="0" applyNumberFormat="1" applyFont="1" applyFill="1" applyBorder="1" applyAlignment="1" applyProtection="1">
      <alignment horizontal="center"/>
    </xf>
    <xf numFmtId="164" fontId="13" fillId="0" borderId="17" xfId="0" applyNumberFormat="1" applyFont="1" applyFill="1" applyBorder="1" applyAlignment="1" applyProtection="1">
      <alignment horizontal="center"/>
      <protection locked="0"/>
    </xf>
    <xf numFmtId="164" fontId="13" fillId="0" borderId="17" xfId="0" applyNumberFormat="1" applyFont="1" applyFill="1" applyBorder="1" applyAlignment="1" applyProtection="1">
      <alignment horizontal="center"/>
    </xf>
    <xf numFmtId="0" fontId="13" fillId="0" borderId="17" xfId="0" applyFont="1" applyFill="1" applyBorder="1" applyAlignment="1" applyProtection="1"/>
    <xf numFmtId="0" fontId="13" fillId="0" borderId="18" xfId="0" applyFont="1" applyFill="1" applyBorder="1" applyProtection="1"/>
    <xf numFmtId="0" fontId="13" fillId="0" borderId="26" xfId="0" applyFont="1" applyFill="1" applyBorder="1" applyProtection="1"/>
    <xf numFmtId="0" fontId="13" fillId="0" borderId="27" xfId="0" applyFont="1" applyBorder="1" applyAlignment="1" applyProtection="1">
      <alignment horizontal="center"/>
      <protection locked="0"/>
    </xf>
    <xf numFmtId="0" fontId="13" fillId="0" borderId="27" xfId="0" applyFont="1" applyBorder="1" applyProtection="1"/>
    <xf numFmtId="2" fontId="13" fillId="0" borderId="27" xfId="0" applyNumberFormat="1" applyFont="1" applyFill="1" applyBorder="1" applyAlignment="1" applyProtection="1">
      <alignment horizontal="center"/>
      <protection locked="0"/>
    </xf>
    <xf numFmtId="2" fontId="13" fillId="4" borderId="27" xfId="0" applyNumberFormat="1" applyFont="1" applyFill="1" applyBorder="1" applyAlignment="1" applyProtection="1">
      <alignment horizontal="center"/>
    </xf>
    <xf numFmtId="0" fontId="13" fillId="0" borderId="27" xfId="0" applyFont="1" applyFill="1" applyBorder="1" applyAlignment="1" applyProtection="1"/>
    <xf numFmtId="0" fontId="13" fillId="0" borderId="40" xfId="0" applyFont="1" applyFill="1" applyBorder="1" applyProtection="1"/>
    <xf numFmtId="0" fontId="21" fillId="19" borderId="42" xfId="0" applyFont="1" applyFill="1" applyBorder="1" applyAlignment="1" applyProtection="1">
      <alignment wrapText="1"/>
    </xf>
    <xf numFmtId="0" fontId="13" fillId="0" borderId="59" xfId="0" applyFont="1" applyBorder="1" applyAlignment="1" applyProtection="1">
      <alignment wrapText="1"/>
    </xf>
    <xf numFmtId="0" fontId="13" fillId="5" borderId="17" xfId="0" applyFont="1" applyFill="1" applyBorder="1" applyAlignment="1" applyProtection="1">
      <alignment horizontal="center" vertical="center"/>
      <protection locked="0"/>
    </xf>
    <xf numFmtId="0" fontId="13" fillId="12" borderId="17" xfId="0" applyFont="1" applyFill="1" applyBorder="1" applyAlignment="1" applyProtection="1">
      <alignment horizontal="center"/>
    </xf>
    <xf numFmtId="0" fontId="13" fillId="12" borderId="27" xfId="0" applyFont="1" applyFill="1" applyBorder="1" applyAlignment="1" applyProtection="1">
      <alignment horizontal="center"/>
    </xf>
    <xf numFmtId="0" fontId="13" fillId="12" borderId="1" xfId="0" applyFont="1" applyFill="1" applyBorder="1" applyAlignment="1" applyProtection="1">
      <alignment horizontal="center"/>
    </xf>
    <xf numFmtId="0" fontId="13" fillId="12" borderId="14" xfId="0" applyFont="1" applyFill="1" applyBorder="1" applyAlignment="1" applyProtection="1">
      <alignment horizontal="center"/>
    </xf>
    <xf numFmtId="0" fontId="13" fillId="12" borderId="36" xfId="0" applyFont="1" applyFill="1" applyBorder="1" applyAlignment="1" applyProtection="1">
      <alignment horizontal="center"/>
    </xf>
    <xf numFmtId="0" fontId="13" fillId="13" borderId="14" xfId="0" applyFont="1" applyFill="1" applyBorder="1" applyAlignment="1" applyProtection="1">
      <alignment horizontal="center"/>
    </xf>
    <xf numFmtId="0" fontId="13" fillId="13" borderId="36" xfId="0" applyFont="1" applyFill="1" applyBorder="1" applyAlignment="1" applyProtection="1">
      <alignment horizontal="center"/>
    </xf>
    <xf numFmtId="0" fontId="13" fillId="15" borderId="17" xfId="0" applyFont="1" applyFill="1" applyBorder="1" applyAlignment="1" applyProtection="1">
      <alignment horizontal="center"/>
    </xf>
    <xf numFmtId="0" fontId="13" fillId="15" borderId="27" xfId="0" applyFont="1" applyFill="1" applyBorder="1" applyAlignment="1" applyProtection="1">
      <alignment horizontal="center"/>
    </xf>
    <xf numFmtId="0" fontId="13" fillId="15" borderId="1" xfId="0" applyFont="1" applyFill="1" applyBorder="1" applyAlignment="1" applyProtection="1">
      <alignment horizontal="center"/>
    </xf>
    <xf numFmtId="0" fontId="13" fillId="15" borderId="14" xfId="0" applyFont="1" applyFill="1" applyBorder="1" applyAlignment="1" applyProtection="1">
      <alignment horizontal="center"/>
    </xf>
    <xf numFmtId="164" fontId="13" fillId="15" borderId="1" xfId="0" applyNumberFormat="1" applyFont="1" applyFill="1" applyBorder="1" applyAlignment="1" applyProtection="1">
      <alignment horizontal="center"/>
    </xf>
    <xf numFmtId="164" fontId="13" fillId="15" borderId="27" xfId="0" applyNumberFormat="1" applyFont="1" applyFill="1" applyBorder="1" applyAlignment="1" applyProtection="1">
      <alignment horizontal="center"/>
    </xf>
    <xf numFmtId="0" fontId="13" fillId="15" borderId="36" xfId="0" applyFont="1" applyFill="1" applyBorder="1" applyAlignment="1" applyProtection="1">
      <alignment horizontal="center"/>
    </xf>
    <xf numFmtId="0" fontId="8" fillId="0" borderId="0" xfId="0" applyFont="1" applyAlignment="1">
      <alignment horizontal="left"/>
    </xf>
    <xf numFmtId="0" fontId="14" fillId="19" borderId="46" xfId="0" applyFont="1" applyFill="1" applyBorder="1" applyAlignment="1" applyProtection="1">
      <alignment horizontal="center" wrapText="1"/>
    </xf>
    <xf numFmtId="0" fontId="24" fillId="0" borderId="13" xfId="0" applyFont="1" applyFill="1" applyBorder="1" applyAlignment="1" applyProtection="1">
      <alignment horizontal="center" vertical="center"/>
    </xf>
    <xf numFmtId="0" fontId="13" fillId="0" borderId="48" xfId="0" applyFont="1" applyBorder="1" applyAlignment="1" applyProtection="1">
      <alignment horizontal="center" vertical="center" wrapText="1"/>
    </xf>
    <xf numFmtId="0" fontId="13" fillId="0" borderId="49" xfId="0" applyFont="1" applyBorder="1" applyAlignment="1" applyProtection="1">
      <alignment horizontal="center" vertical="center" wrapText="1"/>
    </xf>
    <xf numFmtId="0" fontId="13" fillId="0" borderId="50" xfId="0" applyFont="1" applyBorder="1" applyAlignment="1" applyProtection="1">
      <alignment horizontal="center" vertical="center" wrapText="1"/>
    </xf>
    <xf numFmtId="0" fontId="18" fillId="0" borderId="32" xfId="0" applyFont="1" applyFill="1" applyBorder="1" applyAlignment="1" applyProtection="1">
      <alignment horizontal="left" wrapText="1"/>
    </xf>
    <xf numFmtId="0" fontId="18" fillId="0" borderId="45" xfId="0" applyFont="1" applyFill="1" applyBorder="1" applyAlignment="1" applyProtection="1">
      <alignment horizontal="left" wrapText="1"/>
    </xf>
    <xf numFmtId="0" fontId="18" fillId="0" borderId="38" xfId="0" applyFont="1" applyFill="1" applyBorder="1" applyAlignment="1" applyProtection="1">
      <alignment horizontal="left" wrapText="1"/>
    </xf>
    <xf numFmtId="0" fontId="18" fillId="0" borderId="33" xfId="0" applyFont="1" applyFill="1" applyBorder="1" applyAlignment="1" applyProtection="1">
      <alignment horizontal="left" wrapText="1"/>
    </xf>
    <xf numFmtId="0" fontId="18" fillId="0" borderId="0" xfId="0" applyFont="1" applyFill="1" applyBorder="1" applyAlignment="1" applyProtection="1">
      <alignment horizontal="left" wrapText="1"/>
    </xf>
    <xf numFmtId="0" fontId="18" fillId="0" borderId="39" xfId="0" applyFont="1" applyFill="1" applyBorder="1" applyAlignment="1" applyProtection="1">
      <alignment horizontal="left" wrapText="1"/>
    </xf>
    <xf numFmtId="0" fontId="18" fillId="0" borderId="34" xfId="0" applyFont="1" applyFill="1" applyBorder="1" applyAlignment="1" applyProtection="1">
      <alignment horizontal="left" wrapText="1"/>
    </xf>
    <xf numFmtId="0" fontId="18" fillId="0" borderId="13" xfId="0" applyFont="1" applyFill="1" applyBorder="1" applyAlignment="1" applyProtection="1">
      <alignment horizontal="left" wrapText="1"/>
    </xf>
    <xf numFmtId="0" fontId="18" fillId="0" borderId="41" xfId="0" applyFont="1" applyFill="1" applyBorder="1" applyAlignment="1" applyProtection="1">
      <alignment horizontal="left" wrapText="1"/>
    </xf>
    <xf numFmtId="0" fontId="13" fillId="5" borderId="7" xfId="0" applyFont="1" applyFill="1" applyBorder="1" applyAlignment="1" applyProtection="1">
      <alignment horizontal="left" vertical="top" wrapText="1"/>
    </xf>
    <xf numFmtId="0" fontId="13" fillId="5" borderId="8" xfId="0" applyFont="1" applyFill="1" applyBorder="1" applyAlignment="1" applyProtection="1">
      <alignment horizontal="left" vertical="top" wrapText="1"/>
    </xf>
    <xf numFmtId="0" fontId="13" fillId="5" borderId="9" xfId="0" applyFont="1" applyFill="1" applyBorder="1" applyAlignment="1" applyProtection="1">
      <alignment horizontal="left" vertical="top" wrapText="1"/>
    </xf>
    <xf numFmtId="0" fontId="13" fillId="5" borderId="2" xfId="0" applyFont="1" applyFill="1" applyBorder="1" applyAlignment="1" applyProtection="1">
      <alignment horizontal="left" vertical="top" wrapText="1"/>
    </xf>
    <xf numFmtId="0" fontId="13" fillId="5" borderId="0" xfId="0" applyFont="1" applyFill="1" applyBorder="1" applyAlignment="1" applyProtection="1">
      <alignment horizontal="left" vertical="top" wrapText="1"/>
    </xf>
    <xf numFmtId="0" fontId="13" fillId="5" borderId="10" xfId="0" applyFont="1" applyFill="1" applyBorder="1" applyAlignment="1" applyProtection="1">
      <alignment horizontal="left" vertical="top" wrapText="1"/>
    </xf>
    <xf numFmtId="0" fontId="18" fillId="0" borderId="15" xfId="0" applyFont="1" applyFill="1" applyBorder="1" applyAlignment="1" applyProtection="1">
      <alignment horizontal="center"/>
    </xf>
    <xf numFmtId="0" fontId="18" fillId="0" borderId="44" xfId="0" applyFont="1" applyFill="1" applyBorder="1" applyAlignment="1" applyProtection="1">
      <alignment horizontal="center"/>
    </xf>
    <xf numFmtId="0" fontId="18" fillId="0" borderId="34" xfId="0" applyFont="1" applyFill="1" applyBorder="1" applyAlignment="1" applyProtection="1">
      <alignment horizontal="left"/>
    </xf>
    <xf numFmtId="0" fontId="18" fillId="0" borderId="13" xfId="0" applyFont="1" applyFill="1" applyBorder="1" applyAlignment="1" applyProtection="1">
      <alignment horizontal="left"/>
    </xf>
    <xf numFmtId="0" fontId="18" fillId="0" borderId="32" xfId="0" applyFont="1" applyFill="1" applyBorder="1" applyAlignment="1" applyProtection="1">
      <alignment horizontal="center"/>
    </xf>
    <xf numFmtId="0" fontId="18" fillId="0" borderId="45" xfId="0" applyFont="1" applyFill="1" applyBorder="1" applyAlignment="1" applyProtection="1">
      <alignment horizontal="center"/>
    </xf>
    <xf numFmtId="0" fontId="18" fillId="0" borderId="38" xfId="0" applyFont="1" applyFill="1" applyBorder="1" applyAlignment="1" applyProtection="1">
      <alignment horizontal="center"/>
    </xf>
    <xf numFmtId="0" fontId="16" fillId="16" borderId="42" xfId="2" applyFont="1" applyBorder="1" applyAlignment="1" applyProtection="1">
      <alignment horizontal="left"/>
    </xf>
    <xf numFmtId="0" fontId="16" fillId="16" borderId="15" xfId="2" applyFont="1" applyBorder="1" applyAlignment="1" applyProtection="1">
      <alignment horizontal="left"/>
    </xf>
    <xf numFmtId="0" fontId="16" fillId="16" borderId="44" xfId="2" applyFont="1" applyBorder="1" applyAlignment="1" applyProtection="1">
      <alignment horizontal="left"/>
    </xf>
    <xf numFmtId="0" fontId="19" fillId="17" borderId="32" xfId="0" applyFont="1" applyFill="1" applyBorder="1" applyAlignment="1" applyProtection="1">
      <alignment vertical="center" wrapText="1"/>
    </xf>
    <xf numFmtId="0" fontId="19" fillId="17" borderId="45" xfId="0" applyFont="1" applyFill="1" applyBorder="1" applyAlignment="1" applyProtection="1">
      <alignment vertical="center" wrapText="1"/>
    </xf>
    <xf numFmtId="0" fontId="19" fillId="17" borderId="38" xfId="0" applyFont="1" applyFill="1" applyBorder="1" applyAlignment="1" applyProtection="1">
      <alignment vertical="center" wrapText="1"/>
    </xf>
    <xf numFmtId="0" fontId="13" fillId="17" borderId="34" xfId="0" applyFont="1" applyFill="1" applyBorder="1" applyAlignment="1" applyProtection="1">
      <alignment horizontal="left" vertical="center" wrapText="1"/>
    </xf>
    <xf numFmtId="0" fontId="13" fillId="17" borderId="13" xfId="0" applyFont="1" applyFill="1" applyBorder="1" applyAlignment="1" applyProtection="1">
      <alignment horizontal="left" vertical="center" wrapText="1"/>
    </xf>
    <xf numFmtId="0" fontId="13" fillId="17" borderId="41" xfId="0" applyFont="1" applyFill="1" applyBorder="1" applyAlignment="1" applyProtection="1">
      <alignment horizontal="left" vertical="center" wrapText="1"/>
    </xf>
    <xf numFmtId="0" fontId="19" fillId="17" borderId="33" xfId="0" applyFont="1" applyFill="1" applyBorder="1" applyAlignment="1" applyProtection="1">
      <alignment vertical="center" wrapText="1"/>
    </xf>
    <xf numFmtId="0" fontId="19" fillId="17" borderId="0" xfId="0" applyFont="1" applyFill="1" applyBorder="1" applyAlignment="1" applyProtection="1">
      <alignment vertical="center" wrapText="1"/>
    </xf>
    <xf numFmtId="0" fontId="19" fillId="17" borderId="39" xfId="0" applyFont="1" applyFill="1" applyBorder="1" applyAlignment="1" applyProtection="1">
      <alignment vertical="center" wrapText="1"/>
    </xf>
    <xf numFmtId="0" fontId="20" fillId="3" borderId="45" xfId="0" applyFont="1" applyFill="1" applyBorder="1" applyAlignment="1" applyProtection="1">
      <alignment horizontal="left" vertical="top" wrapText="1"/>
    </xf>
    <xf numFmtId="0" fontId="20" fillId="3" borderId="38" xfId="0" applyFont="1" applyFill="1" applyBorder="1" applyAlignment="1" applyProtection="1">
      <alignment horizontal="left" vertical="top" wrapText="1"/>
    </xf>
    <xf numFmtId="0" fontId="20" fillId="3" borderId="33" xfId="0" applyFont="1" applyFill="1" applyBorder="1" applyAlignment="1" applyProtection="1">
      <alignment horizontal="left" vertical="top" wrapText="1"/>
    </xf>
    <xf numFmtId="0" fontId="20" fillId="3" borderId="39" xfId="0" applyFont="1" applyFill="1" applyBorder="1" applyAlignment="1" applyProtection="1">
      <alignment horizontal="left" vertical="top" wrapText="1"/>
    </xf>
    <xf numFmtId="0" fontId="20" fillId="3" borderId="34" xfId="0" applyFont="1" applyFill="1" applyBorder="1" applyAlignment="1" applyProtection="1">
      <alignment horizontal="left" vertical="top" wrapText="1"/>
    </xf>
    <xf numFmtId="0" fontId="20" fillId="3" borderId="41" xfId="0" applyFont="1" applyFill="1" applyBorder="1" applyAlignment="1" applyProtection="1">
      <alignment horizontal="left" vertical="top" wrapText="1"/>
    </xf>
    <xf numFmtId="0" fontId="22" fillId="18" borderId="16" xfId="0" applyFont="1" applyFill="1" applyBorder="1" applyAlignment="1" applyProtection="1">
      <alignment horizontal="center" vertical="center"/>
    </xf>
    <xf numFmtId="0" fontId="22" fillId="18" borderId="17" xfId="0" applyFont="1" applyFill="1" applyBorder="1" applyAlignment="1" applyProtection="1">
      <alignment horizontal="center" vertical="center"/>
    </xf>
    <xf numFmtId="0" fontId="22" fillId="18" borderId="18" xfId="0" applyFont="1" applyFill="1" applyBorder="1" applyAlignment="1" applyProtection="1">
      <alignment horizontal="center" vertical="center"/>
    </xf>
    <xf numFmtId="0" fontId="14" fillId="19" borderId="46" xfId="0" applyFont="1" applyFill="1" applyBorder="1" applyAlignment="1" applyProtection="1">
      <alignment horizontal="center" vertical="center"/>
    </xf>
    <xf numFmtId="0" fontId="13" fillId="17" borderId="21" xfId="0" applyFont="1" applyFill="1" applyBorder="1" applyAlignment="1" applyProtection="1">
      <alignment horizontal="center" vertical="center"/>
    </xf>
    <xf numFmtId="0" fontId="13" fillId="17" borderId="28" xfId="0" applyFont="1" applyFill="1" applyBorder="1" applyAlignment="1" applyProtection="1">
      <alignment horizontal="center" vertical="center"/>
    </xf>
    <xf numFmtId="0" fontId="22" fillId="18" borderId="42" xfId="0" applyFont="1" applyFill="1" applyBorder="1" applyAlignment="1" applyProtection="1">
      <alignment horizontal="center"/>
    </xf>
    <xf numFmtId="0" fontId="22" fillId="18" borderId="15" xfId="0" applyFont="1" applyFill="1" applyBorder="1" applyAlignment="1" applyProtection="1">
      <alignment horizontal="center"/>
    </xf>
    <xf numFmtId="0" fontId="22" fillId="18" borderId="44" xfId="0" applyFont="1" applyFill="1" applyBorder="1" applyAlignment="1" applyProtection="1">
      <alignment horizontal="center"/>
    </xf>
    <xf numFmtId="0" fontId="20" fillId="3" borderId="32" xfId="0" applyFont="1" applyFill="1" applyBorder="1" applyAlignment="1" applyProtection="1">
      <alignment horizontal="left" vertical="top" wrapText="1"/>
    </xf>
    <xf numFmtId="0" fontId="13" fillId="17" borderId="30" xfId="0" applyFont="1" applyFill="1" applyBorder="1" applyAlignment="1" applyProtection="1">
      <alignment horizontal="center" vertical="center"/>
    </xf>
    <xf numFmtId="0" fontId="21" fillId="18" borderId="42" xfId="0" applyFont="1" applyFill="1" applyBorder="1" applyAlignment="1" applyProtection="1">
      <alignment horizontal="center"/>
    </xf>
    <xf numFmtId="0" fontId="21" fillId="18" borderId="15" xfId="0" applyFont="1" applyFill="1" applyBorder="1" applyAlignment="1" applyProtection="1">
      <alignment horizontal="center"/>
    </xf>
    <xf numFmtId="0" fontId="21" fillId="18" borderId="44" xfId="0" applyFont="1" applyFill="1" applyBorder="1" applyAlignment="1" applyProtection="1">
      <alignment horizontal="center"/>
    </xf>
    <xf numFmtId="0" fontId="22" fillId="18" borderId="19" xfId="0" applyFont="1" applyFill="1" applyBorder="1" applyAlignment="1" applyProtection="1">
      <alignment horizontal="center" vertical="center"/>
    </xf>
    <xf numFmtId="0" fontId="22" fillId="18" borderId="20" xfId="0" applyFont="1" applyFill="1" applyBorder="1" applyAlignment="1" applyProtection="1">
      <alignment horizontal="center" vertical="center"/>
    </xf>
    <xf numFmtId="0" fontId="22" fillId="18" borderId="21" xfId="0" applyFont="1" applyFill="1" applyBorder="1" applyAlignment="1" applyProtection="1">
      <alignment horizontal="center" vertical="center"/>
    </xf>
    <xf numFmtId="0" fontId="22" fillId="19" borderId="15" xfId="0" applyFont="1" applyFill="1" applyBorder="1" applyAlignment="1" applyProtection="1">
      <alignment horizontal="center" vertical="center"/>
    </xf>
    <xf numFmtId="0" fontId="22" fillId="19" borderId="44" xfId="0" applyFont="1" applyFill="1" applyBorder="1" applyAlignment="1" applyProtection="1">
      <alignment horizontal="center" vertical="center"/>
    </xf>
    <xf numFmtId="0" fontId="1" fillId="19" borderId="1" xfId="0" applyFont="1" applyFill="1" applyBorder="1" applyAlignment="1" applyProtection="1">
      <alignment horizontal="center" vertical="top" wrapText="1"/>
    </xf>
    <xf numFmtId="0" fontId="1" fillId="19" borderId="11" xfId="0" applyFont="1" applyFill="1" applyBorder="1" applyAlignment="1" applyProtection="1">
      <alignment horizontal="center" vertical="top" wrapText="1"/>
    </xf>
    <xf numFmtId="0" fontId="1" fillId="19" borderId="6" xfId="0" applyFont="1" applyFill="1" applyBorder="1" applyAlignment="1" applyProtection="1">
      <alignment horizontal="center" vertical="top" wrapText="1"/>
    </xf>
    <xf numFmtId="0" fontId="1" fillId="19" borderId="12" xfId="0" applyFont="1" applyFill="1" applyBorder="1" applyAlignment="1" applyProtection="1">
      <alignment horizontal="center" vertical="top" wrapText="1"/>
    </xf>
    <xf numFmtId="0" fontId="1" fillId="19" borderId="3"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32" xfId="0" applyFont="1" applyFill="1" applyBorder="1" applyAlignment="1" applyProtection="1">
      <alignment horizontal="center" vertical="center" wrapText="1"/>
    </xf>
    <xf numFmtId="0" fontId="1" fillId="19" borderId="45" xfId="0" applyFont="1" applyFill="1" applyBorder="1" applyAlignment="1" applyProtection="1">
      <alignment horizontal="center" vertical="center" wrapText="1"/>
    </xf>
    <xf numFmtId="0" fontId="1" fillId="19" borderId="38" xfId="0" applyFont="1" applyFill="1" applyBorder="1" applyAlignment="1" applyProtection="1">
      <alignment horizontal="center" vertical="center" wrapText="1"/>
    </xf>
    <xf numFmtId="0" fontId="1" fillId="19" borderId="3" xfId="0" applyFont="1" applyFill="1" applyBorder="1" applyAlignment="1" applyProtection="1">
      <alignment horizontal="center" vertical="top" wrapText="1"/>
    </xf>
    <xf numFmtId="0" fontId="1" fillId="19" borderId="4" xfId="0" applyFont="1" applyFill="1" applyBorder="1" applyAlignment="1" applyProtection="1">
      <alignment horizontal="center" vertical="top" wrapText="1"/>
    </xf>
    <xf numFmtId="0" fontId="1" fillId="19" borderId="5" xfId="0" applyFont="1" applyFill="1" applyBorder="1" applyAlignment="1" applyProtection="1">
      <alignment horizontal="center" vertical="top" wrapText="1"/>
    </xf>
    <xf numFmtId="164" fontId="13" fillId="0" borderId="20" xfId="0" applyNumberFormat="1" applyFont="1" applyFill="1" applyBorder="1" applyAlignment="1">
      <alignment horizontal="center"/>
    </xf>
    <xf numFmtId="164" fontId="13" fillId="0" borderId="43" xfId="0" applyNumberFormat="1" applyFont="1" applyFill="1" applyBorder="1" applyAlignment="1">
      <alignment horizontal="center"/>
    </xf>
    <xf numFmtId="164" fontId="13" fillId="0" borderId="57" xfId="0" applyNumberFormat="1" applyFont="1" applyFill="1" applyBorder="1" applyAlignment="1">
      <alignment horizontal="center"/>
    </xf>
    <xf numFmtId="0" fontId="14" fillId="10" borderId="56" xfId="0" applyFont="1" applyFill="1" applyBorder="1" applyAlignment="1">
      <alignment horizontal="center" vertical="center"/>
    </xf>
    <xf numFmtId="0" fontId="14" fillId="10" borderId="25" xfId="0" applyFont="1" applyFill="1" applyBorder="1" applyAlignment="1">
      <alignment horizontal="center" vertical="center"/>
    </xf>
    <xf numFmtId="0" fontId="13" fillId="0" borderId="30" xfId="0" applyFont="1" applyBorder="1" applyAlignment="1">
      <alignment horizontal="center" vertical="center"/>
    </xf>
    <xf numFmtId="0" fontId="13" fillId="0" borderId="28" xfId="0" applyFont="1" applyBorder="1" applyAlignment="1">
      <alignment horizontal="center" vertical="center"/>
    </xf>
    <xf numFmtId="0" fontId="13" fillId="0" borderId="20" xfId="0" applyFont="1" applyFill="1" applyBorder="1" applyAlignment="1">
      <alignment horizontal="center"/>
    </xf>
    <xf numFmtId="0" fontId="13" fillId="0" borderId="57" xfId="0" applyFont="1" applyFill="1" applyBorder="1" applyAlignment="1">
      <alignment horizontal="center"/>
    </xf>
    <xf numFmtId="0" fontId="19" fillId="0" borderId="42" xfId="0" applyFont="1" applyFill="1" applyBorder="1" applyAlignment="1">
      <alignment horizontal="center"/>
    </xf>
    <xf numFmtId="0" fontId="19" fillId="0" borderId="15" xfId="0" applyFont="1" applyFill="1" applyBorder="1" applyAlignment="1">
      <alignment horizontal="center"/>
    </xf>
    <xf numFmtId="0" fontId="19" fillId="0" borderId="44" xfId="0" applyFont="1" applyFill="1" applyBorder="1" applyAlignment="1">
      <alignment horizont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9" fillId="0" borderId="32" xfId="0" applyFont="1" applyFill="1" applyBorder="1" applyAlignment="1">
      <alignment horizontal="center"/>
    </xf>
    <xf numFmtId="0" fontId="19" fillId="0" borderId="38" xfId="0" applyFont="1" applyFill="1" applyBorder="1" applyAlignment="1">
      <alignment horizontal="center"/>
    </xf>
    <xf numFmtId="0" fontId="18" fillId="0" borderId="32" xfId="0" applyFont="1" applyFill="1" applyBorder="1" applyAlignment="1" applyProtection="1">
      <alignment horizontal="center"/>
      <protection locked="0"/>
    </xf>
    <xf numFmtId="0" fontId="18" fillId="0" borderId="45" xfId="0" applyFont="1" applyFill="1" applyBorder="1" applyAlignment="1" applyProtection="1">
      <alignment horizontal="center"/>
      <protection locked="0"/>
    </xf>
    <xf numFmtId="0" fontId="18" fillId="0" borderId="38" xfId="0" applyFont="1" applyFill="1" applyBorder="1" applyAlignment="1" applyProtection="1">
      <alignment horizontal="center"/>
      <protection locked="0"/>
    </xf>
    <xf numFmtId="0" fontId="13" fillId="0" borderId="21" xfId="0" applyFont="1" applyBorder="1" applyAlignment="1">
      <alignment horizontal="center" vertical="center"/>
    </xf>
    <xf numFmtId="0" fontId="13" fillId="5" borderId="32" xfId="0" applyFont="1" applyFill="1" applyBorder="1" applyAlignment="1">
      <alignment horizontal="left" vertical="top" wrapText="1"/>
    </xf>
    <xf numFmtId="0" fontId="13" fillId="5" borderId="38" xfId="0" applyFont="1" applyFill="1" applyBorder="1" applyAlignment="1">
      <alignment horizontal="left" vertical="top" wrapText="1"/>
    </xf>
    <xf numFmtId="0" fontId="13" fillId="5" borderId="33" xfId="0" applyFont="1" applyFill="1" applyBorder="1" applyAlignment="1">
      <alignment horizontal="left" vertical="top" wrapText="1"/>
    </xf>
    <xf numFmtId="0" fontId="13" fillId="5" borderId="39" xfId="0" applyFont="1" applyFill="1" applyBorder="1" applyAlignment="1">
      <alignment horizontal="left" vertical="top" wrapText="1"/>
    </xf>
    <xf numFmtId="0" fontId="13" fillId="5" borderId="34" xfId="0" applyFont="1" applyFill="1" applyBorder="1" applyAlignment="1">
      <alignment horizontal="left" vertical="top" wrapText="1"/>
    </xf>
    <xf numFmtId="0" fontId="13" fillId="5" borderId="41" xfId="0" applyFont="1" applyFill="1" applyBorder="1" applyAlignment="1">
      <alignment horizontal="left" vertical="top" wrapText="1"/>
    </xf>
    <xf numFmtId="0" fontId="18" fillId="0" borderId="42" xfId="0" applyFont="1" applyFill="1" applyBorder="1" applyAlignment="1">
      <alignment horizontal="center"/>
    </xf>
    <xf numFmtId="0" fontId="18" fillId="0" borderId="15" xfId="0" applyFont="1" applyFill="1" applyBorder="1" applyAlignment="1">
      <alignment horizontal="center"/>
    </xf>
    <xf numFmtId="0" fontId="18" fillId="0" borderId="44" xfId="0" applyFont="1" applyFill="1" applyBorder="1" applyAlignment="1">
      <alignment horizontal="center"/>
    </xf>
    <xf numFmtId="0" fontId="14" fillId="10" borderId="24" xfId="0" applyFont="1" applyFill="1" applyBorder="1" applyAlignment="1">
      <alignment horizontal="center" vertical="center"/>
    </xf>
    <xf numFmtId="0" fontId="14" fillId="10" borderId="29" xfId="0" applyFont="1" applyFill="1" applyBorder="1" applyAlignment="1">
      <alignment horizontal="center" vertical="center"/>
    </xf>
    <xf numFmtId="0" fontId="14" fillId="10" borderId="32" xfId="0" applyFont="1" applyFill="1" applyBorder="1" applyAlignment="1">
      <alignment horizontal="center" vertical="center"/>
    </xf>
    <xf numFmtId="0" fontId="14" fillId="10" borderId="33" xfId="0" applyFont="1" applyFill="1" applyBorder="1" applyAlignment="1">
      <alignment horizontal="center" vertical="center"/>
    </xf>
    <xf numFmtId="0" fontId="14" fillId="10" borderId="34" xfId="0" applyFont="1" applyFill="1" applyBorder="1" applyAlignment="1">
      <alignment horizontal="center" vertical="center"/>
    </xf>
    <xf numFmtId="0" fontId="13" fillId="0" borderId="43" xfId="0" applyFont="1" applyFill="1" applyBorder="1" applyAlignment="1">
      <alignment horizontal="center"/>
    </xf>
    <xf numFmtId="0" fontId="14" fillId="10" borderId="16" xfId="0" applyFont="1" applyFill="1" applyBorder="1" applyAlignment="1">
      <alignment horizontal="center" vertical="center"/>
    </xf>
    <xf numFmtId="0" fontId="14" fillId="10" borderId="26" xfId="0" applyFont="1" applyFill="1" applyBorder="1" applyAlignment="1">
      <alignment horizontal="center" vertical="center"/>
    </xf>
    <xf numFmtId="0" fontId="14" fillId="10" borderId="17" xfId="0" applyFont="1" applyFill="1" applyBorder="1" applyAlignment="1">
      <alignment horizontal="center" vertical="center"/>
    </xf>
    <xf numFmtId="0" fontId="14" fillId="10" borderId="27" xfId="0" applyFont="1" applyFill="1" applyBorder="1" applyAlignment="1">
      <alignment horizontal="center" vertical="center"/>
    </xf>
    <xf numFmtId="0" fontId="14" fillId="10" borderId="17" xfId="0" applyFont="1" applyFill="1" applyBorder="1" applyAlignment="1">
      <alignment horizontal="center"/>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center" wrapText="1"/>
    </xf>
    <xf numFmtId="0" fontId="0" fillId="0" borderId="1" xfId="0" applyBorder="1" applyAlignment="1">
      <alignment horizontal="center"/>
    </xf>
    <xf numFmtId="0" fontId="0" fillId="0" borderId="14" xfId="0" applyBorder="1" applyAlignment="1">
      <alignment horizontal="center" vertical="center"/>
    </xf>
    <xf numFmtId="0" fontId="0" fillId="0" borderId="36" xfId="0" applyBorder="1" applyAlignment="1">
      <alignment horizontal="center" vertical="center"/>
    </xf>
    <xf numFmtId="0" fontId="1" fillId="2" borderId="0" xfId="0" applyFont="1" applyFill="1" applyAlignment="1">
      <alignment horizontal="center"/>
    </xf>
    <xf numFmtId="0" fontId="1" fillId="2" borderId="6" xfId="0" applyFont="1" applyFill="1" applyBorder="1" applyAlignment="1">
      <alignment horizontal="center"/>
    </xf>
    <xf numFmtId="0" fontId="0" fillId="0" borderId="43" xfId="0" applyBorder="1" applyAlignment="1">
      <alignment horizontal="center" vertical="center"/>
    </xf>
    <xf numFmtId="0" fontId="1" fillId="0" borderId="0" xfId="0" applyFont="1" applyFill="1" applyBorder="1" applyAlignment="1">
      <alignment horizontal="left"/>
    </xf>
    <xf numFmtId="0" fontId="0" fillId="0" borderId="0" xfId="0" applyBorder="1" applyAlignment="1">
      <alignment horizontal="left"/>
    </xf>
  </cellXfs>
  <cellStyles count="25">
    <cellStyle name="Bad" xfId="2" builtinId="27"/>
    <cellStyle name="Comma" xfId="1" builtinId="3"/>
    <cellStyle name="Hyperlink" xfId="3" builtinId="8"/>
    <cellStyle name="Normal" xfId="0" builtinId="0"/>
    <cellStyle name="Normal 2" xfId="4"/>
    <cellStyle name="Normal 2 2" xfId="5"/>
    <cellStyle name="Normal 3" xfId="6"/>
    <cellStyle name="Normal 3 2" xfId="7"/>
    <cellStyle name="Normal 4" xfId="8"/>
    <cellStyle name="Normal 4 2" xfId="9"/>
    <cellStyle name="Normal 5" xfId="10"/>
    <cellStyle name="Normal 5 2" xfId="11"/>
    <cellStyle name="Normal 6" xfId="12"/>
    <cellStyle name="Normal 6 2" xfId="13"/>
    <cellStyle name="Normal 7" xfId="14"/>
    <cellStyle name="Normal 8" xfId="15"/>
    <cellStyle name="Percent 2" xfId="16"/>
    <cellStyle name="Percent 2 2" xfId="17"/>
    <cellStyle name="Percent 3" xfId="18"/>
    <cellStyle name="Percent 3 2" xfId="19"/>
    <cellStyle name="Percent 4" xfId="20"/>
    <cellStyle name="Percent 4 2" xfId="21"/>
    <cellStyle name="Percent 5" xfId="22"/>
    <cellStyle name="Percent 5 2" xfId="23"/>
    <cellStyle name="Percent 6" xfId="24"/>
  </cellStyles>
  <dxfs count="125">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rgb="FFFFC000"/>
        </patternFill>
      </fill>
      <border>
        <vertical/>
        <horizontal/>
      </border>
    </dxf>
    <dxf>
      <font>
        <color rgb="FF9C0006"/>
      </font>
      <fill>
        <patternFill>
          <bgColor rgb="FFFFC7CE"/>
        </patternFill>
      </fill>
    </dxf>
    <dxf>
      <font>
        <b/>
        <i val="0"/>
        <color rgb="FF00B050"/>
      </font>
      <fill>
        <patternFill>
          <bgColor rgb="FF92D050"/>
        </patternFill>
      </fill>
      <border>
        <left style="thin">
          <color rgb="FF00B050"/>
        </left>
        <right style="thin">
          <color rgb="FF00B050"/>
        </right>
        <top style="thin">
          <color rgb="FF00B050"/>
        </top>
        <bottom style="thin">
          <color rgb="FF00B050"/>
        </bottom>
        <vertical/>
        <horizontal/>
      </border>
    </dxf>
    <dxf>
      <font>
        <b/>
        <i val="0"/>
        <color rgb="FF00B050"/>
      </font>
      <fill>
        <patternFill>
          <bgColor rgb="FF92D050"/>
        </patternFill>
      </fill>
      <border>
        <left style="thin">
          <color rgb="FF00B050"/>
        </left>
        <right style="thin">
          <color rgb="FF00B050"/>
        </right>
        <top style="thin">
          <color rgb="FF00B050"/>
        </top>
        <bottom style="thin">
          <color rgb="FF00B050"/>
        </bottom>
        <vertical/>
        <horizontal/>
      </border>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ill>
        <patternFill>
          <bgColor theme="6"/>
        </patternFill>
      </fill>
    </dxf>
    <dxf>
      <fill>
        <patternFill>
          <bgColor theme="0" tint="-0.14996795556505021"/>
        </patternFill>
      </fill>
    </dxf>
    <dxf>
      <fill>
        <patternFill>
          <bgColor theme="6"/>
        </patternFill>
      </fill>
    </dxf>
    <dxf>
      <fill>
        <patternFill>
          <bgColor theme="0" tint="-0.14996795556505021"/>
        </patternFill>
      </fill>
    </dxf>
    <dxf>
      <fill>
        <patternFill>
          <bgColor theme="6"/>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rgb="FFFFC000"/>
        </patternFill>
      </fill>
      <border>
        <vertical/>
        <horizontal/>
      </border>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color rgb="FF00B050"/>
      </font>
      <fill>
        <patternFill>
          <bgColor rgb="FF92D050"/>
        </patternFill>
      </fill>
      <border>
        <left style="thin">
          <color rgb="FF00B050"/>
        </left>
        <right style="thin">
          <color rgb="FF00B050"/>
        </right>
        <top style="thin">
          <color rgb="FF00B050"/>
        </top>
        <bottom style="thin">
          <color rgb="FF00B050"/>
        </bottom>
        <vertical/>
        <horizontal/>
      </border>
    </dxf>
    <dxf>
      <font>
        <b/>
        <i val="0"/>
        <color rgb="FF00B050"/>
      </font>
      <fill>
        <patternFill>
          <bgColor rgb="FF92D050"/>
        </patternFill>
      </fill>
      <border>
        <left style="thin">
          <color rgb="FF00B050"/>
        </left>
        <right style="thin">
          <color rgb="FF00B050"/>
        </right>
        <top style="thin">
          <color rgb="FF00B050"/>
        </top>
        <bottom style="thin">
          <color rgb="FF00B050"/>
        </bottom>
        <vertical/>
        <horizontal/>
      </border>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ont>
        <color rgb="FF9C0006"/>
      </font>
      <fill>
        <patternFill>
          <bgColor rgb="FFFFC7CE"/>
        </patternFill>
      </fill>
    </dxf>
    <dxf>
      <font>
        <strike val="0"/>
      </font>
      <fill>
        <patternFill>
          <bgColor theme="7" tint="0.59996337778862885"/>
        </patternFill>
      </fill>
    </dxf>
    <dxf>
      <font>
        <strike val="0"/>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E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png"/><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141</xdr:row>
          <xdr:rowOff>12700</xdr:rowOff>
        </xdr:from>
        <xdr:to>
          <xdr:col>7</xdr:col>
          <xdr:colOff>5156200</xdr:colOff>
          <xdr:row>171</xdr:row>
          <xdr:rowOff>133350</xdr:rowOff>
        </xdr:to>
        <xdr:sp macro="" textlink="">
          <xdr:nvSpPr>
            <xdr:cNvPr id="1047" name="Object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994833</xdr:colOff>
      <xdr:row>29</xdr:row>
      <xdr:rowOff>1767416</xdr:rowOff>
    </xdr:from>
    <xdr:to>
      <xdr:col>4</xdr:col>
      <xdr:colOff>2995083</xdr:colOff>
      <xdr:row>29</xdr:row>
      <xdr:rowOff>2920999</xdr:rowOff>
    </xdr:to>
    <xdr:pic>
      <xdr:nvPicPr>
        <xdr:cNvPr id="2" name="Picture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stretch>
          <a:fillRect/>
        </a:stretch>
      </xdr:blipFill>
      <xdr:spPr>
        <a:xfrm>
          <a:off x="5433483" y="24875066"/>
          <a:ext cx="2000250" cy="1153583"/>
        </a:xfrm>
        <a:prstGeom prst="rect">
          <a:avLst/>
        </a:prstGeom>
      </xdr:spPr>
    </xdr:pic>
    <xdr:clientData/>
  </xdr:twoCellAnchor>
  <xdr:twoCellAnchor>
    <xdr:from>
      <xdr:col>4</xdr:col>
      <xdr:colOff>889000</xdr:colOff>
      <xdr:row>11</xdr:row>
      <xdr:rowOff>1493574</xdr:rowOff>
    </xdr:from>
    <xdr:to>
      <xdr:col>4</xdr:col>
      <xdr:colOff>2868930</xdr:colOff>
      <xdr:row>11</xdr:row>
      <xdr:rowOff>3647494</xdr:rowOff>
    </xdr:to>
    <xdr:pic>
      <xdr:nvPicPr>
        <xdr:cNvPr id="3" name="Picture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27650" y="8904024"/>
          <a:ext cx="1979930" cy="2153920"/>
        </a:xfrm>
        <a:prstGeom prst="rect">
          <a:avLst/>
        </a:prstGeom>
        <a:noFill/>
        <a:ln>
          <a:noFill/>
        </a:ln>
      </xdr:spPr>
    </xdr:pic>
    <xdr:clientData/>
  </xdr:twoCellAnchor>
  <xdr:twoCellAnchor>
    <xdr:from>
      <xdr:col>4</xdr:col>
      <xdr:colOff>1322916</xdr:colOff>
      <xdr:row>28</xdr:row>
      <xdr:rowOff>2529416</xdr:rowOff>
    </xdr:from>
    <xdr:to>
      <xdr:col>4</xdr:col>
      <xdr:colOff>2590376</xdr:colOff>
      <xdr:row>28</xdr:row>
      <xdr:rowOff>3841326</xdr:rowOff>
    </xdr:to>
    <xdr:pic>
      <xdr:nvPicPr>
        <xdr:cNvPr id="4" name="Picture 3">
          <a:extLst>
            <a:ext uri="{FF2B5EF4-FFF2-40B4-BE49-F238E27FC236}">
              <a16:creationId xmlns:a16="http://schemas.microsoft.com/office/drawing/2014/main" xmlns="" id="{00000000-0008-0000-0300-000004000000}"/>
            </a:ext>
          </a:extLst>
        </xdr:cNvPr>
        <xdr:cNvPicPr/>
      </xdr:nvPicPr>
      <xdr:blipFill rotWithShape="1">
        <a:blip xmlns:r="http://schemas.openxmlformats.org/officeDocument/2006/relationships" r:embed="rId3"/>
        <a:srcRect l="3114"/>
        <a:stretch/>
      </xdr:blipFill>
      <xdr:spPr bwMode="auto">
        <a:xfrm>
          <a:off x="5761566" y="21674666"/>
          <a:ext cx="1267460" cy="1311910"/>
        </a:xfrm>
        <a:prstGeom prst="rect">
          <a:avLst/>
        </a:prstGeom>
        <a:ln>
          <a:noFill/>
        </a:ln>
        <a:extLst>
          <a:ext uri="{53640926-AAD7-44D8-BBD7-CCE9431645EC}">
            <a14:shadowObscured xmlns:a14="http://schemas.microsoft.com/office/drawing/2010/main"/>
          </a:ext>
        </a:extLst>
      </xdr:spPr>
    </xdr:pic>
    <xdr:clientData/>
  </xdr:twoCellAnchor>
  <xdr:twoCellAnchor>
    <xdr:from>
      <xdr:col>4</xdr:col>
      <xdr:colOff>539750</xdr:colOff>
      <xdr:row>30</xdr:row>
      <xdr:rowOff>158750</xdr:rowOff>
    </xdr:from>
    <xdr:to>
      <xdr:col>4</xdr:col>
      <xdr:colOff>3275965</xdr:colOff>
      <xdr:row>30</xdr:row>
      <xdr:rowOff>1593215</xdr:rowOff>
    </xdr:to>
    <xdr:pic>
      <xdr:nvPicPr>
        <xdr:cNvPr id="5" name="Picture 4">
          <a:extLst>
            <a:ext uri="{FF2B5EF4-FFF2-40B4-BE49-F238E27FC236}">
              <a16:creationId xmlns:a16="http://schemas.microsoft.com/office/drawing/2014/main" xmlns="" id="{00000000-0008-0000-03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78400" y="28467050"/>
          <a:ext cx="2736215" cy="1434465"/>
        </a:xfrm>
        <a:prstGeom prst="rect">
          <a:avLst/>
        </a:prstGeom>
        <a:noFill/>
        <a:ln>
          <a:noFill/>
        </a:ln>
      </xdr:spPr>
    </xdr:pic>
    <xdr:clientData/>
  </xdr:twoCellAnchor>
  <xdr:twoCellAnchor>
    <xdr:from>
      <xdr:col>4</xdr:col>
      <xdr:colOff>931333</xdr:colOff>
      <xdr:row>31</xdr:row>
      <xdr:rowOff>846666</xdr:rowOff>
    </xdr:from>
    <xdr:to>
      <xdr:col>4</xdr:col>
      <xdr:colOff>2911263</xdr:colOff>
      <xdr:row>31</xdr:row>
      <xdr:rowOff>3000586</xdr:rowOff>
    </xdr:to>
    <xdr:pic>
      <xdr:nvPicPr>
        <xdr:cNvPr id="6" name="Picture 5">
          <a:extLst>
            <a:ext uri="{FF2B5EF4-FFF2-40B4-BE49-F238E27FC236}">
              <a16:creationId xmlns:a16="http://schemas.microsoft.com/office/drawing/2014/main" xmlns="" id="{00000000-0008-0000-03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69983" y="30869466"/>
          <a:ext cx="1979930" cy="215392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0270547\AppData\Local\Microsoft\Windows\INetCache\Content.MSO\TPS546x24A_Calculator_Check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atfish\TPS546x24A_Calculator_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Microsoft_Visio_2003-2010_Drawing1.vsd"/></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ti.com/lit/an/slva689/slva689.pdf" TargetMode="External"/><Relationship Id="rId2" Type="http://schemas.openxmlformats.org/officeDocument/2006/relationships/hyperlink" Target="http://www.ti.com/lit/an/slva689/slva689.pdf" TargetMode="External"/><Relationship Id="rId1" Type="http://schemas.openxmlformats.org/officeDocument/2006/relationships/hyperlink" Target="http://www.ti.com/lit/an/slva689/slva689.pdf"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Q140"/>
  <sheetViews>
    <sheetView zoomScale="90" zoomScaleNormal="90" workbookViewId="0">
      <pane ySplit="2" topLeftCell="A98" activePane="bottomLeft" state="frozen"/>
      <selection pane="bottomLeft" activeCell="F62" sqref="F62"/>
    </sheetView>
  </sheetViews>
  <sheetFormatPr defaultColWidth="9.1796875" defaultRowHeight="14" x14ac:dyDescent="0.3"/>
  <cols>
    <col min="1" max="1" width="2.81640625" style="172" customWidth="1"/>
    <col min="2" max="2" width="28.1796875" style="172" customWidth="1"/>
    <col min="3" max="6" width="15.7265625" style="172" customWidth="1"/>
    <col min="7" max="7" width="10.1796875" style="251" bestFit="1" customWidth="1"/>
    <col min="8" max="8" width="113.26953125" style="172" customWidth="1"/>
    <col min="9" max="9" width="13.54296875" style="172" customWidth="1"/>
    <col min="10" max="10" width="37.81640625" style="172" customWidth="1"/>
    <col min="11" max="11" width="12" style="172" customWidth="1"/>
    <col min="12" max="12" width="13.1796875" style="172" customWidth="1"/>
    <col min="13" max="16384" width="9.1796875" style="172"/>
  </cols>
  <sheetData>
    <row r="1" spans="2:17" ht="24" thickBot="1" x14ac:dyDescent="0.25">
      <c r="B1" s="367" t="s">
        <v>551</v>
      </c>
      <c r="C1" s="367"/>
      <c r="D1" s="367"/>
      <c r="E1" s="367"/>
      <c r="F1" s="367"/>
      <c r="G1" s="367"/>
      <c r="H1" s="367"/>
    </row>
    <row r="2" spans="2:17" ht="26.25" thickBot="1" x14ac:dyDescent="0.25">
      <c r="B2" s="170" t="s">
        <v>20</v>
      </c>
      <c r="C2" s="170" t="s">
        <v>552</v>
      </c>
      <c r="D2" s="170" t="s">
        <v>553</v>
      </c>
      <c r="E2" s="170" t="s">
        <v>554</v>
      </c>
      <c r="F2" s="170" t="s">
        <v>555</v>
      </c>
      <c r="G2" s="171" t="s">
        <v>211</v>
      </c>
      <c r="H2" s="170" t="s">
        <v>556</v>
      </c>
      <c r="I2" s="173">
        <f>Vout*0.98</f>
        <v>3.2535999999999996</v>
      </c>
      <c r="J2" s="173">
        <f>Vout*1.02</f>
        <v>3.3864000000000001</v>
      </c>
      <c r="L2" s="174"/>
      <c r="M2" s="174"/>
      <c r="N2" s="174"/>
      <c r="O2" s="175"/>
      <c r="P2" s="174"/>
      <c r="Q2" s="174"/>
    </row>
    <row r="3" spans="2:17" ht="14.25" x14ac:dyDescent="0.2">
      <c r="B3" s="176" t="s">
        <v>192</v>
      </c>
      <c r="C3" s="65" t="s">
        <v>194</v>
      </c>
      <c r="D3" s="177"/>
      <c r="E3" s="66"/>
      <c r="F3" s="177"/>
      <c r="G3" s="178" t="s">
        <v>199</v>
      </c>
      <c r="H3" s="179" t="s">
        <v>192</v>
      </c>
      <c r="I3" s="173"/>
      <c r="J3" s="180" t="s">
        <v>16</v>
      </c>
      <c r="L3" s="174"/>
      <c r="M3" s="174"/>
      <c r="N3" s="174"/>
      <c r="O3" s="175"/>
      <c r="P3" s="174"/>
      <c r="Q3" s="174"/>
    </row>
    <row r="4" spans="2:17" ht="15" x14ac:dyDescent="0.2">
      <c r="B4" s="176" t="s">
        <v>205</v>
      </c>
      <c r="D4" s="252">
        <f>VLOOKUP(C3,'Compensation References'!A2:C4,2,FALSE)</f>
        <v>40</v>
      </c>
      <c r="E4" s="66"/>
      <c r="F4" s="177"/>
      <c r="G4" s="178" t="s">
        <v>26</v>
      </c>
      <c r="H4" s="179" t="s">
        <v>200</v>
      </c>
      <c r="I4" s="173"/>
      <c r="J4" s="58" t="s">
        <v>548</v>
      </c>
      <c r="L4" s="174"/>
      <c r="M4" s="174"/>
      <c r="N4" s="174"/>
      <c r="O4" s="175"/>
      <c r="P4" s="174"/>
      <c r="Q4" s="174"/>
    </row>
    <row r="5" spans="2:17" ht="15" customHeight="1" x14ac:dyDescent="0.2">
      <c r="B5" s="176" t="s">
        <v>183</v>
      </c>
      <c r="C5" s="65">
        <v>12</v>
      </c>
      <c r="D5" s="177"/>
      <c r="E5" s="66"/>
      <c r="F5" s="177"/>
      <c r="G5" s="178" t="s">
        <v>22</v>
      </c>
      <c r="H5" s="179" t="s">
        <v>182</v>
      </c>
      <c r="I5" s="173">
        <f>Iout/2</f>
        <v>12.5</v>
      </c>
      <c r="J5" s="59" t="s">
        <v>549</v>
      </c>
      <c r="L5" s="174"/>
      <c r="M5" s="174"/>
      <c r="N5" s="174"/>
      <c r="O5" s="175"/>
      <c r="P5" s="174"/>
      <c r="Q5" s="174"/>
    </row>
    <row r="6" spans="2:17" ht="15" x14ac:dyDescent="0.2">
      <c r="B6" s="176" t="s">
        <v>23</v>
      </c>
      <c r="C6" s="65">
        <v>3.32</v>
      </c>
      <c r="D6" s="177"/>
      <c r="E6" s="66"/>
      <c r="F6" s="177"/>
      <c r="G6" s="178" t="s">
        <v>22</v>
      </c>
      <c r="H6" s="179" t="s">
        <v>24</v>
      </c>
      <c r="J6" s="60" t="s">
        <v>550</v>
      </c>
      <c r="L6" s="174"/>
      <c r="M6" s="174"/>
      <c r="N6" s="174"/>
      <c r="O6" s="175"/>
      <c r="P6" s="174"/>
      <c r="Q6" s="174"/>
    </row>
    <row r="7" spans="2:17" ht="15" x14ac:dyDescent="0.2">
      <c r="B7" s="176" t="s">
        <v>15</v>
      </c>
      <c r="C7" s="253"/>
      <c r="D7" s="182"/>
      <c r="E7" s="65">
        <v>0.125</v>
      </c>
      <c r="F7" s="181"/>
      <c r="G7" s="178" t="s">
        <v>22</v>
      </c>
      <c r="H7" s="179" t="s">
        <v>78</v>
      </c>
      <c r="J7" s="61" t="s">
        <v>17</v>
      </c>
      <c r="L7" s="174"/>
      <c r="M7" s="174"/>
      <c r="N7" s="174"/>
      <c r="O7" s="175"/>
      <c r="P7" s="174"/>
      <c r="Q7" s="174"/>
    </row>
    <row r="8" spans="2:17" ht="15" x14ac:dyDescent="0.2">
      <c r="B8" s="176" t="s">
        <v>171</v>
      </c>
      <c r="C8" s="66"/>
      <c r="D8" s="182"/>
      <c r="E8" s="66"/>
      <c r="F8" s="183">
        <f>VOSL*Vout</f>
        <v>0.41499999999999998</v>
      </c>
      <c r="G8" s="178" t="s">
        <v>22</v>
      </c>
      <c r="H8" s="179" t="s">
        <v>547</v>
      </c>
      <c r="J8" s="62" t="s">
        <v>18</v>
      </c>
      <c r="L8" s="174"/>
      <c r="M8" s="174"/>
      <c r="N8" s="174"/>
      <c r="O8" s="175"/>
      <c r="P8" s="174"/>
      <c r="Q8" s="174"/>
    </row>
    <row r="9" spans="2:17" ht="15" x14ac:dyDescent="0.2">
      <c r="B9" s="176" t="s">
        <v>25</v>
      </c>
      <c r="C9" s="65">
        <v>25</v>
      </c>
      <c r="D9" s="177"/>
      <c r="E9" s="66"/>
      <c r="F9" s="177"/>
      <c r="G9" s="178" t="s">
        <v>26</v>
      </c>
      <c r="H9" s="179" t="s">
        <v>137</v>
      </c>
      <c r="J9" s="63" t="s">
        <v>19</v>
      </c>
      <c r="L9" s="174"/>
      <c r="M9" s="174"/>
      <c r="N9" s="174"/>
      <c r="O9" s="175"/>
      <c r="P9" s="174"/>
      <c r="Q9" s="174"/>
    </row>
    <row r="10" spans="2:17" ht="14.25" x14ac:dyDescent="0.2">
      <c r="B10" s="176" t="s">
        <v>128</v>
      </c>
      <c r="C10" s="65">
        <v>1</v>
      </c>
      <c r="D10" s="177"/>
      <c r="E10" s="66"/>
      <c r="F10" s="177"/>
      <c r="G10" s="178" t="s">
        <v>130</v>
      </c>
      <c r="H10" s="179" t="s">
        <v>129</v>
      </c>
      <c r="K10" s="174"/>
      <c r="L10" s="174"/>
      <c r="M10" s="174"/>
      <c r="N10" s="174"/>
      <c r="O10" s="175"/>
      <c r="P10" s="174"/>
      <c r="Q10" s="174"/>
    </row>
    <row r="11" spans="2:17" ht="15" thickBot="1" x14ac:dyDescent="0.25">
      <c r="B11" s="176" t="s">
        <v>138</v>
      </c>
      <c r="C11" s="66"/>
      <c r="D11" s="184">
        <f>Iout/Phases</f>
        <v>25</v>
      </c>
      <c r="E11" s="66"/>
      <c r="F11" s="177"/>
      <c r="G11" s="178" t="s">
        <v>26</v>
      </c>
      <c r="H11" s="179" t="s">
        <v>201</v>
      </c>
      <c r="K11" s="174"/>
      <c r="L11" s="174"/>
      <c r="M11" s="174"/>
      <c r="N11" s="174"/>
      <c r="O11" s="175"/>
      <c r="P11" s="174"/>
      <c r="Q11" s="174"/>
    </row>
    <row r="12" spans="2:17" ht="15" customHeight="1" x14ac:dyDescent="0.3">
      <c r="B12" s="176" t="s">
        <v>27</v>
      </c>
      <c r="C12" s="65">
        <v>10</v>
      </c>
      <c r="D12" s="177"/>
      <c r="E12" s="66"/>
      <c r="F12" s="177"/>
      <c r="G12" s="178" t="s">
        <v>26</v>
      </c>
      <c r="H12" s="179" t="s">
        <v>28</v>
      </c>
      <c r="J12" s="368" t="s">
        <v>206</v>
      </c>
      <c r="K12" s="174"/>
      <c r="L12" s="174"/>
      <c r="M12" s="174"/>
      <c r="N12" s="174"/>
      <c r="O12" s="175"/>
      <c r="P12" s="174"/>
      <c r="Q12" s="174"/>
    </row>
    <row r="13" spans="2:17" x14ac:dyDescent="0.3">
      <c r="B13" s="176" t="s">
        <v>29</v>
      </c>
      <c r="C13" s="65">
        <f>Vout*15</f>
        <v>49.8</v>
      </c>
      <c r="D13" s="177"/>
      <c r="E13" s="66"/>
      <c r="F13" s="177"/>
      <c r="G13" s="178" t="s">
        <v>30</v>
      </c>
      <c r="H13" s="179" t="s">
        <v>31</v>
      </c>
      <c r="J13" s="369"/>
      <c r="K13" s="185"/>
      <c r="L13" s="174"/>
      <c r="M13" s="174"/>
      <c r="N13" s="174"/>
      <c r="O13" s="175"/>
      <c r="P13" s="174"/>
      <c r="Q13" s="174"/>
    </row>
    <row r="14" spans="2:17" x14ac:dyDescent="0.3">
      <c r="B14" s="176" t="s">
        <v>32</v>
      </c>
      <c r="C14" s="65">
        <f>Vout*40</f>
        <v>132.79999999999998</v>
      </c>
      <c r="D14" s="177"/>
      <c r="E14" s="66"/>
      <c r="F14" s="177"/>
      <c r="G14" s="178" t="s">
        <v>30</v>
      </c>
      <c r="H14" s="179" t="s">
        <v>33</v>
      </c>
      <c r="J14" s="369"/>
      <c r="K14" s="186"/>
      <c r="L14" s="174"/>
      <c r="M14" s="174"/>
      <c r="N14" s="174"/>
      <c r="O14" s="175"/>
      <c r="P14" s="174"/>
      <c r="Q14" s="174"/>
    </row>
    <row r="15" spans="2:17" x14ac:dyDescent="0.3">
      <c r="B15" s="176" t="s">
        <v>34</v>
      </c>
      <c r="C15" s="65">
        <f>Vout*40</f>
        <v>132.79999999999998</v>
      </c>
      <c r="D15" s="177"/>
      <c r="E15" s="66"/>
      <c r="F15" s="177"/>
      <c r="G15" s="178" t="s">
        <v>30</v>
      </c>
      <c r="H15" s="179" t="s">
        <v>35</v>
      </c>
      <c r="J15" s="369"/>
      <c r="K15" s="186"/>
      <c r="L15" s="174"/>
      <c r="M15" s="174"/>
      <c r="N15" s="174"/>
      <c r="O15" s="175"/>
      <c r="P15" s="174"/>
      <c r="Q15" s="174"/>
    </row>
    <row r="16" spans="2:17" ht="14.5" thickBot="1" x14ac:dyDescent="0.35">
      <c r="B16" s="176" t="s">
        <v>36</v>
      </c>
      <c r="C16" s="65">
        <v>325</v>
      </c>
      <c r="D16" s="177"/>
      <c r="E16" s="66"/>
      <c r="F16" s="177"/>
      <c r="G16" s="178" t="s">
        <v>11</v>
      </c>
      <c r="H16" s="179" t="s">
        <v>355</v>
      </c>
      <c r="J16" s="369"/>
      <c r="K16" s="186"/>
    </row>
    <row r="17" spans="2:11" ht="15.5" x14ac:dyDescent="0.3">
      <c r="B17" s="396" t="s">
        <v>671</v>
      </c>
      <c r="C17" s="397"/>
      <c r="D17" s="397"/>
      <c r="E17" s="397"/>
      <c r="F17" s="397"/>
      <c r="G17" s="397"/>
      <c r="H17" s="398"/>
      <c r="J17" s="369"/>
      <c r="K17" s="186"/>
    </row>
    <row r="18" spans="2:11" ht="14.5" thickBot="1" x14ac:dyDescent="0.35">
      <c r="B18" s="399" t="s">
        <v>672</v>
      </c>
      <c r="C18" s="400"/>
      <c r="D18" s="400"/>
      <c r="E18" s="400"/>
      <c r="F18" s="400"/>
      <c r="G18" s="400"/>
      <c r="H18" s="401"/>
      <c r="J18" s="369"/>
      <c r="K18" s="186"/>
    </row>
    <row r="19" spans="2:11" x14ac:dyDescent="0.3">
      <c r="B19" s="334" t="s">
        <v>44</v>
      </c>
      <c r="C19" s="335"/>
      <c r="D19" s="336">
        <f>(Pvin-Vout)*(Vout/Pvin)/(fsw*10^3)*10^6</f>
        <v>7.3891282051282046</v>
      </c>
      <c r="E19" s="337"/>
      <c r="F19" s="338"/>
      <c r="G19" s="339" t="s">
        <v>45</v>
      </c>
      <c r="H19" s="340" t="s">
        <v>46</v>
      </c>
      <c r="J19" s="369"/>
      <c r="K19" s="186"/>
    </row>
    <row r="20" spans="2:11" x14ac:dyDescent="0.3">
      <c r="B20" s="176" t="s">
        <v>47</v>
      </c>
      <c r="C20" s="253"/>
      <c r="D20" s="187">
        <f>D19/(0.1*Iout/Phases)</f>
        <v>2.9556512820512819</v>
      </c>
      <c r="E20" s="150"/>
      <c r="F20" s="188"/>
      <c r="G20" s="178" t="s">
        <v>41</v>
      </c>
      <c r="H20" s="179" t="s">
        <v>48</v>
      </c>
      <c r="J20" s="369"/>
      <c r="K20" s="186"/>
    </row>
    <row r="21" spans="2:11" x14ac:dyDescent="0.3">
      <c r="B21" s="176" t="s">
        <v>42</v>
      </c>
      <c r="C21" s="253"/>
      <c r="D21" s="187">
        <f>D19/(0.4*Iout/Phases)</f>
        <v>0.73891282051282048</v>
      </c>
      <c r="E21" s="150"/>
      <c r="F21" s="188"/>
      <c r="G21" s="178" t="s">
        <v>41</v>
      </c>
      <c r="H21" s="179" t="s">
        <v>43</v>
      </c>
      <c r="J21" s="369"/>
      <c r="K21" s="174"/>
    </row>
    <row r="22" spans="2:11" x14ac:dyDescent="0.3">
      <c r="B22" s="176" t="s">
        <v>694</v>
      </c>
      <c r="C22" s="253"/>
      <c r="D22" s="187">
        <f>D19/(0.3*Iout/Phases)</f>
        <v>0.9852170940170939</v>
      </c>
      <c r="E22" s="150"/>
      <c r="F22" s="188"/>
      <c r="G22" s="178" t="s">
        <v>41</v>
      </c>
      <c r="H22" s="179" t="s">
        <v>695</v>
      </c>
      <c r="J22" s="369"/>
      <c r="K22" s="174"/>
    </row>
    <row r="23" spans="2:11" x14ac:dyDescent="0.3">
      <c r="B23" s="176" t="s">
        <v>311</v>
      </c>
      <c r="C23" s="330"/>
      <c r="D23" s="177"/>
      <c r="E23" s="65">
        <v>2.2000000000000002</v>
      </c>
      <c r="F23" s="177"/>
      <c r="G23" s="178" t="s">
        <v>41</v>
      </c>
      <c r="H23" s="179" t="s">
        <v>312</v>
      </c>
      <c r="J23" s="369"/>
      <c r="K23" s="174"/>
    </row>
    <row r="24" spans="2:11" x14ac:dyDescent="0.3">
      <c r="B24" s="176" t="s">
        <v>313</v>
      </c>
      <c r="C24" s="330"/>
      <c r="D24" s="177"/>
      <c r="E24" s="65">
        <f>0.8*80</f>
        <v>64</v>
      </c>
      <c r="F24" s="177"/>
      <c r="G24" s="178" t="s">
        <v>168</v>
      </c>
      <c r="H24" s="179" t="s">
        <v>361</v>
      </c>
      <c r="J24" s="369"/>
      <c r="K24" s="174"/>
    </row>
    <row r="25" spans="2:11" ht="14.5" thickBot="1" x14ac:dyDescent="0.35">
      <c r="B25" s="176" t="s">
        <v>39</v>
      </c>
      <c r="C25" s="253"/>
      <c r="D25" s="330"/>
      <c r="E25" s="66"/>
      <c r="F25" s="183">
        <f>E23*E24/100</f>
        <v>1.4080000000000001</v>
      </c>
      <c r="G25" s="178" t="s">
        <v>41</v>
      </c>
      <c r="H25" s="179" t="s">
        <v>679</v>
      </c>
      <c r="J25" s="370"/>
      <c r="K25" s="174"/>
    </row>
    <row r="26" spans="2:11" ht="14.25" x14ac:dyDescent="0.2">
      <c r="B26" s="176" t="s">
        <v>49</v>
      </c>
      <c r="C26" s="253"/>
      <c r="D26" s="330"/>
      <c r="E26" s="79"/>
      <c r="F26" s="199">
        <f>D19/Lout</f>
        <v>5.2479603729603719</v>
      </c>
      <c r="G26" s="178" t="s">
        <v>26</v>
      </c>
      <c r="H26" s="179" t="s">
        <v>154</v>
      </c>
    </row>
    <row r="27" spans="2:11" ht="14.25" x14ac:dyDescent="0.2">
      <c r="B27" s="176" t="s">
        <v>151</v>
      </c>
      <c r="C27" s="253"/>
      <c r="D27" s="330"/>
      <c r="E27" s="79"/>
      <c r="F27" s="199">
        <f>1/(fsw*10^3)/(Lout*10^-6)</f>
        <v>2.185314685314685</v>
      </c>
      <c r="G27" s="178" t="s">
        <v>152</v>
      </c>
      <c r="H27" s="179" t="s">
        <v>153</v>
      </c>
    </row>
    <row r="28" spans="2:11" ht="14.25" x14ac:dyDescent="0.2">
      <c r="B28" s="176" t="s">
        <v>50</v>
      </c>
      <c r="C28" s="253"/>
      <c r="D28" s="330"/>
      <c r="E28" s="150"/>
      <c r="F28" s="195">
        <f>Iripple/Iphase</f>
        <v>0.20991841491841487</v>
      </c>
      <c r="G28" s="178" t="s">
        <v>51</v>
      </c>
      <c r="H28" s="179" t="s">
        <v>52</v>
      </c>
    </row>
    <row r="29" spans="2:11" ht="14.25" x14ac:dyDescent="0.2">
      <c r="B29" s="176" t="s">
        <v>53</v>
      </c>
      <c r="C29" s="253"/>
      <c r="D29" s="330"/>
      <c r="E29" s="79"/>
      <c r="F29" s="199">
        <f>Iphase+Iripple/2</f>
        <v>27.623980186480185</v>
      </c>
      <c r="G29" s="178" t="s">
        <v>51</v>
      </c>
      <c r="H29" s="179" t="s">
        <v>54</v>
      </c>
    </row>
    <row r="30" spans="2:11" ht="15" thickBot="1" x14ac:dyDescent="0.25">
      <c r="B30" s="341" t="s">
        <v>55</v>
      </c>
      <c r="C30" s="342"/>
      <c r="D30" s="343"/>
      <c r="E30" s="344"/>
      <c r="F30" s="345">
        <f>SQRT(Iphase^2+1/12*(Iripple)^2)</f>
        <v>25.045859751124805</v>
      </c>
      <c r="G30" s="346" t="s">
        <v>56</v>
      </c>
      <c r="H30" s="347" t="s">
        <v>57</v>
      </c>
    </row>
    <row r="31" spans="2:11" ht="15.75" x14ac:dyDescent="0.2">
      <c r="B31" s="402" t="s">
        <v>673</v>
      </c>
      <c r="C31" s="403"/>
      <c r="D31" s="403"/>
      <c r="E31" s="403"/>
      <c r="F31" s="403"/>
      <c r="G31" s="403"/>
      <c r="H31" s="404"/>
      <c r="J31" s="365"/>
    </row>
    <row r="32" spans="2:11" ht="15" thickBot="1" x14ac:dyDescent="0.25">
      <c r="B32" s="399" t="s">
        <v>674</v>
      </c>
      <c r="C32" s="400"/>
      <c r="D32" s="400"/>
      <c r="E32" s="400"/>
      <c r="F32" s="400"/>
      <c r="G32" s="400"/>
      <c r="H32" s="401"/>
    </row>
    <row r="33" spans="2:10" ht="14.25" x14ac:dyDescent="0.2">
      <c r="B33" s="176" t="s">
        <v>58</v>
      </c>
      <c r="C33" s="253"/>
      <c r="D33" s="189">
        <f>Iripple/(8*fsw*C13)*10^6</f>
        <v>40.531050146434758</v>
      </c>
      <c r="E33" s="79"/>
      <c r="F33" s="190"/>
      <c r="G33" s="178" t="s">
        <v>40</v>
      </c>
      <c r="H33" s="179" t="s">
        <v>179</v>
      </c>
    </row>
    <row r="34" spans="2:10" ht="14.25" x14ac:dyDescent="0.2">
      <c r="B34" s="176" t="s">
        <v>59</v>
      </c>
      <c r="C34" s="253"/>
      <c r="D34" s="191">
        <f>1/(2*PI()*(C14*10^-3)/(C12/Phases)*(fsw*10^3)/10)*10^6</f>
        <v>368.75566054656025</v>
      </c>
      <c r="E34" s="254"/>
      <c r="F34" s="192"/>
      <c r="G34" s="178" t="s">
        <v>40</v>
      </c>
      <c r="H34" s="179" t="s">
        <v>180</v>
      </c>
    </row>
    <row r="35" spans="2:10" ht="14.25" x14ac:dyDescent="0.2">
      <c r="B35" s="176" t="s">
        <v>60</v>
      </c>
      <c r="C35" s="253"/>
      <c r="D35" s="191">
        <f>1/(2*PI()*(C15*10^-3)/(C12/Phases)*(fsw*10^3)/10)*10^6</f>
        <v>368.75566054656025</v>
      </c>
      <c r="E35" s="254"/>
      <c r="F35" s="192"/>
      <c r="G35" s="178" t="s">
        <v>40</v>
      </c>
      <c r="H35" s="179" t="s">
        <v>181</v>
      </c>
    </row>
    <row r="36" spans="2:10" ht="14.25" x14ac:dyDescent="0.2">
      <c r="B36" s="176" t="s">
        <v>314</v>
      </c>
      <c r="C36" s="330"/>
      <c r="D36" s="177"/>
      <c r="E36" s="65">
        <v>470</v>
      </c>
      <c r="F36" s="177"/>
      <c r="G36" s="178" t="s">
        <v>40</v>
      </c>
      <c r="H36" s="179" t="s">
        <v>315</v>
      </c>
    </row>
    <row r="37" spans="2:10" ht="14.25" x14ac:dyDescent="0.2">
      <c r="B37" s="176" t="s">
        <v>366</v>
      </c>
      <c r="C37" s="330"/>
      <c r="D37" s="177"/>
      <c r="E37" s="65">
        <f>0.8*85</f>
        <v>68</v>
      </c>
      <c r="F37" s="177"/>
      <c r="G37" s="178" t="s">
        <v>168</v>
      </c>
      <c r="H37" s="179" t="s">
        <v>360</v>
      </c>
    </row>
    <row r="38" spans="2:10" ht="14.25" x14ac:dyDescent="0.2">
      <c r="B38" s="176" t="s">
        <v>61</v>
      </c>
      <c r="C38" s="253"/>
      <c r="E38" s="66"/>
      <c r="F38" s="183">
        <f>E36*E37/100</f>
        <v>319.60000000000002</v>
      </c>
      <c r="G38" s="178" t="s">
        <v>40</v>
      </c>
      <c r="H38" s="179" t="s">
        <v>64</v>
      </c>
    </row>
    <row r="39" spans="2:10" ht="14.25" x14ac:dyDescent="0.2">
      <c r="B39" s="176" t="s">
        <v>62</v>
      </c>
      <c r="C39" s="330"/>
      <c r="D39" s="177"/>
      <c r="E39" s="65">
        <v>10</v>
      </c>
      <c r="F39" s="177"/>
      <c r="G39" s="178" t="s">
        <v>116</v>
      </c>
      <c r="H39" s="179" t="s">
        <v>65</v>
      </c>
    </row>
    <row r="40" spans="2:10" ht="14.25" x14ac:dyDescent="0.2">
      <c r="B40" s="176" t="s">
        <v>63</v>
      </c>
      <c r="C40" s="330"/>
      <c r="D40" s="331"/>
      <c r="E40" s="65">
        <v>2</v>
      </c>
      <c r="F40" s="177"/>
      <c r="G40" s="178"/>
      <c r="H40" s="179" t="s">
        <v>378</v>
      </c>
    </row>
    <row r="41" spans="2:10" ht="14.25" x14ac:dyDescent="0.2">
      <c r="B41" s="176" t="s">
        <v>66</v>
      </c>
      <c r="C41" s="253"/>
      <c r="D41" s="332"/>
      <c r="E41" s="254"/>
      <c r="F41" s="194">
        <f>IF(E40=0,0.001,E40*F38)</f>
        <v>639.20000000000005</v>
      </c>
      <c r="G41" s="178" t="s">
        <v>40</v>
      </c>
      <c r="H41" s="179" t="s">
        <v>68</v>
      </c>
    </row>
    <row r="42" spans="2:10" ht="14.25" x14ac:dyDescent="0.2">
      <c r="B42" s="176" t="s">
        <v>67</v>
      </c>
      <c r="C42" s="253"/>
      <c r="D42" s="332"/>
      <c r="E42" s="66"/>
      <c r="F42" s="183">
        <f>IF(E40=0,0,E39/E40)</f>
        <v>5</v>
      </c>
      <c r="G42" s="178" t="s">
        <v>116</v>
      </c>
      <c r="H42" s="179" t="s">
        <v>69</v>
      </c>
    </row>
    <row r="43" spans="2:10" ht="14.25" x14ac:dyDescent="0.2">
      <c r="B43" s="176" t="s">
        <v>316</v>
      </c>
      <c r="C43" s="253"/>
      <c r="D43" s="331"/>
      <c r="E43" s="65">
        <v>47</v>
      </c>
      <c r="F43" s="177"/>
      <c r="G43" s="178" t="s">
        <v>40</v>
      </c>
      <c r="H43" s="179" t="s">
        <v>367</v>
      </c>
    </row>
    <row r="44" spans="2:10" ht="14.25" x14ac:dyDescent="0.2">
      <c r="B44" s="176" t="s">
        <v>317</v>
      </c>
      <c r="C44" s="253"/>
      <c r="D44" s="331"/>
      <c r="E44" s="65">
        <v>60</v>
      </c>
      <c r="F44" s="177"/>
      <c r="G44" s="178" t="s">
        <v>168</v>
      </c>
      <c r="H44" s="179" t="s">
        <v>362</v>
      </c>
    </row>
    <row r="45" spans="2:10" ht="14.25" x14ac:dyDescent="0.2">
      <c r="B45" s="176" t="s">
        <v>375</v>
      </c>
      <c r="C45" s="253"/>
      <c r="D45" s="177"/>
      <c r="E45" s="65">
        <v>3</v>
      </c>
      <c r="F45" s="177"/>
      <c r="G45" s="178" t="s">
        <v>116</v>
      </c>
      <c r="H45" s="179" t="s">
        <v>369</v>
      </c>
    </row>
    <row r="46" spans="2:10" ht="14.25" x14ac:dyDescent="0.2">
      <c r="B46" s="176" t="s">
        <v>376</v>
      </c>
      <c r="C46" s="253"/>
      <c r="D46" s="177"/>
      <c r="E46" s="65">
        <v>6</v>
      </c>
      <c r="F46" s="177"/>
      <c r="G46" s="178"/>
      <c r="H46" s="179" t="s">
        <v>377</v>
      </c>
    </row>
    <row r="47" spans="2:10" ht="14.25" x14ac:dyDescent="0.2">
      <c r="B47" s="176" t="s">
        <v>374</v>
      </c>
      <c r="C47" s="253"/>
      <c r="D47" s="177"/>
      <c r="E47" s="66"/>
      <c r="F47" s="183">
        <f>E43*E44/100</f>
        <v>28.2</v>
      </c>
      <c r="G47" s="178" t="s">
        <v>40</v>
      </c>
      <c r="H47" s="179" t="s">
        <v>368</v>
      </c>
      <c r="J47" s="193"/>
    </row>
    <row r="48" spans="2:10" ht="14.25" x14ac:dyDescent="0.2">
      <c r="B48" s="176" t="s">
        <v>370</v>
      </c>
      <c r="C48" s="253"/>
      <c r="D48" s="192"/>
      <c r="E48" s="254"/>
      <c r="F48" s="194">
        <f>IF(E46=0,0.001,E46*F47)</f>
        <v>169.2</v>
      </c>
      <c r="G48" s="178" t="s">
        <v>40</v>
      </c>
      <c r="H48" s="179" t="s">
        <v>371</v>
      </c>
    </row>
    <row r="49" spans="2:8" ht="14.25" x14ac:dyDescent="0.2">
      <c r="B49" s="176" t="s">
        <v>372</v>
      </c>
      <c r="C49" s="253"/>
      <c r="D49" s="188"/>
      <c r="E49" s="150"/>
      <c r="F49" s="195">
        <f>IF(E46=0,0,E45/E46)</f>
        <v>0.5</v>
      </c>
      <c r="G49" s="178" t="s">
        <v>116</v>
      </c>
      <c r="H49" s="179" t="s">
        <v>373</v>
      </c>
    </row>
    <row r="50" spans="2:8" ht="14.25" x14ac:dyDescent="0.2">
      <c r="B50" s="176" t="s">
        <v>121</v>
      </c>
      <c r="C50" s="253"/>
      <c r="D50" s="330"/>
      <c r="E50" s="254"/>
      <c r="F50" s="194">
        <f>Cout_bulk+Cout_cer</f>
        <v>808.40000000000009</v>
      </c>
      <c r="G50" s="178" t="s">
        <v>40</v>
      </c>
      <c r="H50" s="179" t="s">
        <v>122</v>
      </c>
    </row>
    <row r="51" spans="2:8" ht="15" customHeight="1" x14ac:dyDescent="0.2">
      <c r="B51" s="176" t="s">
        <v>365</v>
      </c>
      <c r="C51" s="65">
        <v>2500</v>
      </c>
      <c r="D51" s="182"/>
      <c r="E51" s="66"/>
      <c r="F51" s="177"/>
      <c r="G51" s="178" t="s">
        <v>40</v>
      </c>
      <c r="H51" s="196" t="s">
        <v>381</v>
      </c>
    </row>
    <row r="52" spans="2:8" ht="28.5" x14ac:dyDescent="0.2">
      <c r="B52" s="197" t="s">
        <v>95</v>
      </c>
      <c r="C52" s="253"/>
      <c r="D52" s="198">
        <f>MAX(C51,Cout_cer+Cout_bulk,E36*E40+E43*E46)</f>
        <v>2500</v>
      </c>
      <c r="E52" s="254"/>
      <c r="F52" s="192"/>
      <c r="G52" s="178" t="s">
        <v>40</v>
      </c>
      <c r="H52" s="196" t="s">
        <v>364</v>
      </c>
    </row>
    <row r="53" spans="2:8" ht="14.25" x14ac:dyDescent="0.2">
      <c r="B53" s="176" t="s">
        <v>120</v>
      </c>
      <c r="C53" s="253"/>
      <c r="D53" s="187">
        <f>IF(Cout_total&lt;Cout_max,1/(2*PI()*(Cout_max*10^-6)/GM_PS),1/(2*PI()*(Cout_total*10^-6)/GM_PS))/1000</f>
        <v>10.343131963729995</v>
      </c>
      <c r="E53" s="150"/>
      <c r="F53" s="188"/>
      <c r="G53" s="178" t="s">
        <v>11</v>
      </c>
      <c r="H53" s="179" t="s">
        <v>382</v>
      </c>
    </row>
    <row r="54" spans="2:8" ht="14.25" x14ac:dyDescent="0.2">
      <c r="B54" s="176" t="s">
        <v>70</v>
      </c>
      <c r="C54" s="253"/>
      <c r="D54" s="187">
        <f>1/(1/(SQRT((ESR_bulk*10^-3)^2+1/(2*PI()*fsw*10^3*Cout_bulk*10^-6)^2))+1/(SQRT((ESR_cer*10^-3)^2+1/(2*PI()*fsw*10^3*Cout_cer*10^-6)^2)))*1000</f>
        <v>1.8581769918239674</v>
      </c>
      <c r="E54" s="150"/>
      <c r="F54" s="188"/>
      <c r="G54" s="178" t="s">
        <v>116</v>
      </c>
      <c r="H54" s="179" t="s">
        <v>114</v>
      </c>
    </row>
    <row r="55" spans="2:8" ht="14.25" x14ac:dyDescent="0.2">
      <c r="B55" s="176" t="s">
        <v>177</v>
      </c>
      <c r="C55" s="253"/>
      <c r="D55" s="187">
        <f>D54*Iripple</f>
        <v>9.751639219038891</v>
      </c>
      <c r="E55" s="150"/>
      <c r="F55" s="188"/>
      <c r="G55" s="178" t="s">
        <v>30</v>
      </c>
      <c r="H55" s="179" t="s">
        <v>178</v>
      </c>
    </row>
    <row r="56" spans="2:8" ht="15" thickBot="1" x14ac:dyDescent="0.25">
      <c r="B56" s="176" t="s">
        <v>71</v>
      </c>
      <c r="C56" s="253"/>
      <c r="D56" s="189">
        <f>1/(1/(SQRT((ESR_bulk*10^-3)^2+1/(2*PI()*fsw*10^2*Cout_bulk*10^-6)^2))+1/(SQRT((ESR_cer*10^-3)^2+1/(2*PI()*fsw*10^2*Cout_cer*10^-6)^2)))*1000</f>
        <v>6.9515046096910051</v>
      </c>
      <c r="E56" s="79"/>
      <c r="F56" s="190"/>
      <c r="G56" s="178" t="s">
        <v>116</v>
      </c>
      <c r="H56" s="179" t="s">
        <v>115</v>
      </c>
    </row>
    <row r="57" spans="2:8" ht="15.75" x14ac:dyDescent="0.2">
      <c r="B57" s="396" t="s">
        <v>675</v>
      </c>
      <c r="C57" s="397"/>
      <c r="D57" s="397"/>
      <c r="E57" s="397"/>
      <c r="F57" s="397"/>
      <c r="G57" s="397"/>
      <c r="H57" s="398"/>
    </row>
    <row r="58" spans="2:8" ht="14.5" thickBot="1" x14ac:dyDescent="0.35">
      <c r="B58" s="399" t="s">
        <v>676</v>
      </c>
      <c r="C58" s="400"/>
      <c r="D58" s="400"/>
      <c r="E58" s="400"/>
      <c r="F58" s="400"/>
      <c r="G58" s="400"/>
      <c r="H58" s="401"/>
    </row>
    <row r="59" spans="2:8" ht="14.25" x14ac:dyDescent="0.2">
      <c r="B59" s="176" t="s">
        <v>72</v>
      </c>
      <c r="C59" s="182"/>
      <c r="D59" s="184">
        <f>Iout*(Vout/Pvin*1/(fsw*10^3))*10^6</f>
        <v>21.282051282051281</v>
      </c>
      <c r="E59" s="66"/>
      <c r="F59" s="177"/>
      <c r="G59" s="178" t="s">
        <v>73</v>
      </c>
      <c r="H59" s="179" t="s">
        <v>74</v>
      </c>
    </row>
    <row r="60" spans="2:8" ht="14.25" x14ac:dyDescent="0.2">
      <c r="B60" s="176" t="s">
        <v>75</v>
      </c>
      <c r="C60" s="182"/>
      <c r="D60" s="184">
        <f>D59*4</f>
        <v>85.128205128205124</v>
      </c>
      <c r="E60" s="66"/>
      <c r="F60" s="177"/>
      <c r="G60" s="178" t="s">
        <v>40</v>
      </c>
      <c r="H60" s="179" t="s">
        <v>172</v>
      </c>
    </row>
    <row r="61" spans="2:8" ht="14.25" x14ac:dyDescent="0.2">
      <c r="B61" s="176" t="s">
        <v>76</v>
      </c>
      <c r="C61" s="182"/>
      <c r="D61" s="177"/>
      <c r="E61" s="65">
        <f>5*22*(1-12/25)</f>
        <v>57.2</v>
      </c>
      <c r="F61" s="177"/>
      <c r="G61" s="178" t="s">
        <v>40</v>
      </c>
      <c r="H61" s="179" t="s">
        <v>696</v>
      </c>
    </row>
    <row r="62" spans="2:8" ht="14.25" x14ac:dyDescent="0.2">
      <c r="B62" s="176" t="s">
        <v>77</v>
      </c>
      <c r="C62" s="182"/>
      <c r="D62" s="190"/>
      <c r="E62" s="79"/>
      <c r="F62" s="199">
        <f>D59/Cin_cer*1000</f>
        <v>372.06383360229512</v>
      </c>
      <c r="G62" s="178" t="s">
        <v>30</v>
      </c>
      <c r="H62" s="179" t="s">
        <v>697</v>
      </c>
    </row>
    <row r="63" spans="2:8" ht="29.25" thickBot="1" x14ac:dyDescent="0.25">
      <c r="B63" s="197" t="s">
        <v>190</v>
      </c>
      <c r="C63" s="182"/>
      <c r="D63" s="200"/>
      <c r="E63" s="255"/>
      <c r="F63" s="201">
        <f>(Iout-(Iout*Vout/Pvin))*SQRT(Vout/Pvin)+Iout*(Vout/Pvin)*SQRT(1-(Vout/Pvin))</f>
        <v>15.394229109276782</v>
      </c>
      <c r="G63" s="202" t="s">
        <v>26</v>
      </c>
      <c r="H63" s="203" t="s">
        <v>191</v>
      </c>
    </row>
    <row r="64" spans="2:8" ht="15.75" x14ac:dyDescent="0.2">
      <c r="B64" s="396" t="s">
        <v>675</v>
      </c>
      <c r="C64" s="397"/>
      <c r="D64" s="397"/>
      <c r="E64" s="397"/>
      <c r="F64" s="397"/>
      <c r="G64" s="397"/>
      <c r="H64" s="398"/>
    </row>
    <row r="65" spans="2:13" ht="14.5" thickBot="1" x14ac:dyDescent="0.35">
      <c r="B65" s="399" t="s">
        <v>676</v>
      </c>
      <c r="C65" s="400"/>
      <c r="D65" s="400"/>
      <c r="E65" s="400"/>
      <c r="F65" s="400"/>
      <c r="G65" s="400"/>
      <c r="H65" s="401"/>
    </row>
    <row r="66" spans="2:13" ht="14.25" x14ac:dyDescent="0.2">
      <c r="B66" s="176" t="s">
        <v>79</v>
      </c>
      <c r="C66" s="182"/>
      <c r="D66" s="184">
        <v>5.5</v>
      </c>
      <c r="E66" s="66"/>
      <c r="F66" s="177"/>
      <c r="G66" s="178"/>
      <c r="H66" s="179" t="s">
        <v>126</v>
      </c>
    </row>
    <row r="67" spans="2:13" ht="14.25" x14ac:dyDescent="0.2">
      <c r="B67" s="176" t="s">
        <v>80</v>
      </c>
      <c r="C67" s="182"/>
      <c r="D67" s="184">
        <f>VLOOKUP(C3,'Compensation References'!A2:C4,3,FALSE)</f>
        <v>6.1550000000000002</v>
      </c>
      <c r="E67" s="66"/>
      <c r="F67" s="177"/>
      <c r="G67" s="178" t="s">
        <v>12</v>
      </c>
      <c r="H67" s="179" t="s">
        <v>133</v>
      </c>
    </row>
    <row r="68" spans="2:13" ht="14.25" x14ac:dyDescent="0.2">
      <c r="B68" s="176" t="s">
        <v>134</v>
      </c>
      <c r="C68" s="182"/>
      <c r="D68" s="204">
        <f>Phases/CSA*1000</f>
        <v>162.46953696181964</v>
      </c>
      <c r="E68" s="256"/>
      <c r="F68" s="205"/>
      <c r="G68" s="178" t="s">
        <v>135</v>
      </c>
      <c r="H68" s="179" t="s">
        <v>132</v>
      </c>
    </row>
    <row r="69" spans="2:13" ht="14.25" x14ac:dyDescent="0.2">
      <c r="B69" s="176" t="s">
        <v>82</v>
      </c>
      <c r="C69" s="182"/>
      <c r="D69" s="177"/>
      <c r="E69" s="65">
        <v>4</v>
      </c>
      <c r="F69" s="177"/>
      <c r="G69" s="178"/>
      <c r="H69" s="179" t="s">
        <v>118</v>
      </c>
    </row>
    <row r="70" spans="2:13" ht="14.25" x14ac:dyDescent="0.2">
      <c r="B70" s="176" t="s">
        <v>83</v>
      </c>
      <c r="C70" s="182"/>
      <c r="D70" s="190"/>
      <c r="E70" s="79"/>
      <c r="F70" s="199">
        <f>fsw/E69</f>
        <v>81.25</v>
      </c>
      <c r="G70" s="178" t="s">
        <v>11</v>
      </c>
      <c r="H70" s="179" t="s">
        <v>84</v>
      </c>
    </row>
    <row r="71" spans="2:13" x14ac:dyDescent="0.3">
      <c r="B71" s="176" t="s">
        <v>125</v>
      </c>
      <c r="C71" s="182"/>
      <c r="D71" s="190"/>
      <c r="E71" s="79"/>
      <c r="F71" s="199">
        <f>Mod_ratio/(fcoi_trgt*10^3*Lout*10^-6)</f>
        <v>48.076923076923073</v>
      </c>
      <c r="G71" s="178" t="s">
        <v>81</v>
      </c>
      <c r="H71" s="179" t="s">
        <v>125</v>
      </c>
      <c r="J71" s="380" t="s">
        <v>173</v>
      </c>
      <c r="K71" s="381"/>
      <c r="L71" s="382"/>
    </row>
    <row r="72" spans="2:13" x14ac:dyDescent="0.3">
      <c r="B72" s="176" t="s">
        <v>96</v>
      </c>
      <c r="C72" s="182"/>
      <c r="D72" s="177"/>
      <c r="E72" s="65">
        <v>10</v>
      </c>
      <c r="F72" s="177"/>
      <c r="G72" s="178"/>
      <c r="H72" s="179" t="s">
        <v>119</v>
      </c>
      <c r="J72" s="383"/>
      <c r="K72" s="384"/>
      <c r="L72" s="385"/>
    </row>
    <row r="73" spans="2:13" x14ac:dyDescent="0.3">
      <c r="B73" s="176" t="s">
        <v>97</v>
      </c>
      <c r="C73" s="182"/>
      <c r="D73" s="177"/>
      <c r="E73" s="66"/>
      <c r="F73" s="183">
        <f>fsw/E72</f>
        <v>32.5</v>
      </c>
      <c r="G73" s="178" t="s">
        <v>11</v>
      </c>
      <c r="H73" s="179" t="s">
        <v>98</v>
      </c>
      <c r="J73" s="383"/>
      <c r="K73" s="384"/>
      <c r="L73" s="385"/>
    </row>
    <row r="74" spans="2:13" ht="15" customHeight="1" x14ac:dyDescent="0.3">
      <c r="B74" s="176" t="s">
        <v>109</v>
      </c>
      <c r="C74" s="182"/>
      <c r="D74" s="190"/>
      <c r="E74" s="79"/>
      <c r="F74" s="199">
        <f>1/(1/(SQRT((ESR_bulk*10^-3)^2+1/(2*PI()*fcov_trgt*10^3*Cout_bulk*10^-6)^2))+1/(SQRT((ESR_cer*10^-3)^2+1/(2*PI()*fcov_trgt*10^3*Cout_cer*10^-6)^2)))*1000</f>
        <v>6.9515046096910051</v>
      </c>
      <c r="G74" s="178" t="s">
        <v>116</v>
      </c>
      <c r="H74" s="179" t="s">
        <v>110</v>
      </c>
      <c r="J74" s="383"/>
      <c r="K74" s="384"/>
      <c r="L74" s="385"/>
    </row>
    <row r="75" spans="2:13" ht="14.5" thickBot="1" x14ac:dyDescent="0.35">
      <c r="B75" s="206"/>
      <c r="C75" s="207"/>
      <c r="D75" s="207"/>
      <c r="E75" s="207"/>
      <c r="F75" s="207"/>
      <c r="G75" s="208"/>
      <c r="H75" s="209"/>
      <c r="J75" s="383"/>
      <c r="K75" s="384"/>
      <c r="L75" s="385"/>
    </row>
    <row r="76" spans="2:13" ht="15" customHeight="1" thickBot="1" x14ac:dyDescent="0.35">
      <c r="B76" s="390" t="s">
        <v>202</v>
      </c>
      <c r="C76" s="391"/>
      <c r="D76" s="391"/>
      <c r="E76" s="391"/>
      <c r="F76" s="391"/>
      <c r="G76" s="391"/>
      <c r="H76" s="392"/>
      <c r="J76" s="383"/>
      <c r="K76" s="384"/>
      <c r="L76" s="385"/>
    </row>
    <row r="77" spans="2:13" ht="15.75" thickBot="1" x14ac:dyDescent="0.3">
      <c r="B77" s="388" t="s">
        <v>380</v>
      </c>
      <c r="C77" s="389"/>
      <c r="D77" s="389"/>
      <c r="E77" s="389"/>
      <c r="F77" s="389"/>
      <c r="G77" s="389"/>
      <c r="H77" s="389"/>
      <c r="I77" s="210" t="s">
        <v>203</v>
      </c>
      <c r="J77" s="386" t="s">
        <v>159</v>
      </c>
      <c r="K77" s="386"/>
      <c r="L77" s="387"/>
    </row>
    <row r="78" spans="2:13" ht="15" thickBot="1" x14ac:dyDescent="0.25">
      <c r="B78" s="211" t="s">
        <v>352</v>
      </c>
      <c r="C78" s="212"/>
      <c r="D78" s="213"/>
      <c r="E78" s="78">
        <v>6</v>
      </c>
      <c r="F78" s="213"/>
      <c r="G78" s="214"/>
      <c r="H78" s="215" t="s">
        <v>363</v>
      </c>
      <c r="J78" s="216" t="s">
        <v>156</v>
      </c>
      <c r="K78" s="217" t="s">
        <v>157</v>
      </c>
      <c r="L78" s="218" t="s">
        <v>158</v>
      </c>
    </row>
    <row r="79" spans="2:13" ht="14.25" x14ac:dyDescent="0.2">
      <c r="B79" s="176" t="s">
        <v>330</v>
      </c>
      <c r="C79" s="219"/>
      <c r="D79" s="220"/>
      <c r="E79" s="257"/>
      <c r="F79" s="221">
        <f>VLOOKUP(Comp_Code,J79:L110,2)</f>
        <v>3</v>
      </c>
      <c r="G79" s="178"/>
      <c r="H79" s="179" t="s">
        <v>357</v>
      </c>
      <c r="J79" s="222">
        <v>0</v>
      </c>
      <c r="K79" s="223" t="s">
        <v>38</v>
      </c>
      <c r="L79" s="224" t="s">
        <v>38</v>
      </c>
    </row>
    <row r="80" spans="2:13" ht="14.25" x14ac:dyDescent="0.2">
      <c r="B80" s="176" t="s">
        <v>343</v>
      </c>
      <c r="C80" s="219"/>
      <c r="D80" s="220"/>
      <c r="E80" s="257"/>
      <c r="F80" s="221">
        <f>VLOOKUP(Comp_Code,J79:L110,3)</f>
        <v>0.5</v>
      </c>
      <c r="G80" s="178"/>
      <c r="H80" s="179" t="s">
        <v>356</v>
      </c>
      <c r="J80" s="225">
        <v>1</v>
      </c>
      <c r="K80" s="226">
        <v>2</v>
      </c>
      <c r="L80" s="225">
        <v>0.5</v>
      </c>
      <c r="M80" s="173">
        <f t="shared" ref="M80:M95" si="0">MIN(K80*D$111/D$93,VLOOP_trgt)</f>
        <v>0.7849376360677891</v>
      </c>
    </row>
    <row r="81" spans="2:13" ht="14.25" x14ac:dyDescent="0.2">
      <c r="B81" s="176" t="s">
        <v>160</v>
      </c>
      <c r="C81" s="219"/>
      <c r="D81" s="227"/>
      <c r="E81" s="258"/>
      <c r="F81" s="228">
        <f>fcoi_trgt/ILOOP_trgt*F79</f>
        <v>13.505496434705183</v>
      </c>
      <c r="G81" s="178" t="s">
        <v>11</v>
      </c>
      <c r="H81" s="179" t="s">
        <v>358</v>
      </c>
      <c r="J81" s="225">
        <v>2</v>
      </c>
      <c r="K81" s="226">
        <v>2</v>
      </c>
      <c r="L81" s="225">
        <v>1</v>
      </c>
      <c r="M81" s="173">
        <f t="shared" si="0"/>
        <v>0.7849376360677891</v>
      </c>
    </row>
    <row r="82" spans="2:13" ht="14.25" x14ac:dyDescent="0.2">
      <c r="B82" s="176" t="s">
        <v>161</v>
      </c>
      <c r="C82" s="219"/>
      <c r="D82" s="227"/>
      <c r="E82" s="258"/>
      <c r="F82" s="228">
        <f>fcov_trgt/VLOOP_trgt*F80</f>
        <v>2.2941094619715439</v>
      </c>
      <c r="G82" s="178" t="s">
        <v>11</v>
      </c>
      <c r="H82" s="179" t="s">
        <v>359</v>
      </c>
      <c r="J82" s="225">
        <v>3</v>
      </c>
      <c r="K82" s="226">
        <v>2</v>
      </c>
      <c r="L82" s="225">
        <v>2</v>
      </c>
      <c r="M82" s="173">
        <f t="shared" si="0"/>
        <v>0.7849376360677891</v>
      </c>
    </row>
    <row r="83" spans="2:13" ht="14.25" x14ac:dyDescent="0.2">
      <c r="B83" s="176" t="s">
        <v>162</v>
      </c>
      <c r="C83" s="219"/>
      <c r="D83" s="229"/>
      <c r="E83" s="259"/>
      <c r="F83" s="230">
        <f>F81/F82</f>
        <v>5.8870322705084179</v>
      </c>
      <c r="G83" s="178"/>
      <c r="H83" s="179" t="s">
        <v>174</v>
      </c>
      <c r="J83" s="225">
        <v>4</v>
      </c>
      <c r="K83" s="226">
        <v>2</v>
      </c>
      <c r="L83" s="225">
        <v>4</v>
      </c>
      <c r="M83" s="173">
        <f t="shared" si="0"/>
        <v>0.7849376360677891</v>
      </c>
    </row>
    <row r="84" spans="2:13" ht="14.25" x14ac:dyDescent="0.2">
      <c r="B84" s="176" t="s">
        <v>164</v>
      </c>
      <c r="C84" s="219"/>
      <c r="D84" s="231"/>
      <c r="E84" s="260"/>
      <c r="F84" s="232">
        <f>1/(1/(SQRT((ESR_bulk*10^-3)^2+1/(2*PI()*F82*10^3*Cout_bulk*10^-6)^2))+1/(SQRT((ESR_cer*10^-3)^2+1/(2*PI()*F82*10^3*Cout_cer*10^-6)^2)))*1000</f>
        <v>85.890221292681602</v>
      </c>
      <c r="G84" s="178" t="s">
        <v>116</v>
      </c>
      <c r="H84" s="179" t="s">
        <v>165</v>
      </c>
      <c r="J84" s="225">
        <v>5</v>
      </c>
      <c r="K84" s="226">
        <v>2</v>
      </c>
      <c r="L84" s="225">
        <v>8</v>
      </c>
      <c r="M84" s="173">
        <f t="shared" si="0"/>
        <v>0.7849376360677891</v>
      </c>
    </row>
    <row r="85" spans="2:13" ht="14.25" x14ac:dyDescent="0.2">
      <c r="B85" s="176" t="s">
        <v>166</v>
      </c>
      <c r="C85" s="219"/>
      <c r="D85" s="227"/>
      <c r="E85" s="258"/>
      <c r="F85" s="228">
        <f>F84*C12</f>
        <v>858.90221292681599</v>
      </c>
      <c r="G85" s="178" t="s">
        <v>30</v>
      </c>
      <c r="H85" s="179" t="s">
        <v>169</v>
      </c>
      <c r="J85" s="225">
        <v>6</v>
      </c>
      <c r="K85" s="226">
        <v>3</v>
      </c>
      <c r="L85" s="225">
        <v>0.5</v>
      </c>
      <c r="M85" s="173">
        <f t="shared" si="0"/>
        <v>1.1774064541016835</v>
      </c>
    </row>
    <row r="86" spans="2:13" ht="14.25" x14ac:dyDescent="0.2">
      <c r="B86" s="176" t="s">
        <v>167</v>
      </c>
      <c r="C86" s="219"/>
      <c r="D86" s="229"/>
      <c r="E86" s="259"/>
      <c r="F86" s="230">
        <f>F85/Vout/10</f>
        <v>25.870548582133011</v>
      </c>
      <c r="G86" s="178" t="s">
        <v>168</v>
      </c>
      <c r="H86" s="179" t="s">
        <v>170</v>
      </c>
      <c r="J86" s="225">
        <v>7</v>
      </c>
      <c r="K86" s="226">
        <v>3</v>
      </c>
      <c r="L86" s="225">
        <v>1</v>
      </c>
      <c r="M86" s="173">
        <f t="shared" si="0"/>
        <v>1.1774064541016835</v>
      </c>
    </row>
    <row r="87" spans="2:13" ht="15" thickBot="1" x14ac:dyDescent="0.25">
      <c r="B87" s="233"/>
      <c r="C87" s="234"/>
      <c r="D87" s="234"/>
      <c r="E87" s="234"/>
      <c r="F87" s="234"/>
      <c r="G87" s="235"/>
      <c r="H87" s="236"/>
      <c r="J87" s="225">
        <v>8</v>
      </c>
      <c r="K87" s="226">
        <v>3</v>
      </c>
      <c r="L87" s="225">
        <v>2</v>
      </c>
      <c r="M87" s="173">
        <f t="shared" si="0"/>
        <v>1.1774064541016835</v>
      </c>
    </row>
    <row r="88" spans="2:13" ht="16.5" thickBot="1" x14ac:dyDescent="0.3">
      <c r="B88" s="393" t="s">
        <v>557</v>
      </c>
      <c r="C88" s="394"/>
      <c r="D88" s="394"/>
      <c r="E88" s="394"/>
      <c r="F88" s="394"/>
      <c r="G88" s="394"/>
      <c r="H88" s="395"/>
      <c r="J88" s="225">
        <v>9</v>
      </c>
      <c r="K88" s="226">
        <v>3</v>
      </c>
      <c r="L88" s="225">
        <v>4</v>
      </c>
      <c r="M88" s="173">
        <f t="shared" si="0"/>
        <v>1.1774064541016835</v>
      </c>
    </row>
    <row r="89" spans="2:13" x14ac:dyDescent="0.3">
      <c r="B89" s="371" t="s">
        <v>379</v>
      </c>
      <c r="C89" s="372"/>
      <c r="D89" s="372"/>
      <c r="E89" s="372"/>
      <c r="F89" s="372"/>
      <c r="G89" s="372"/>
      <c r="H89" s="373"/>
      <c r="J89" s="225">
        <v>10</v>
      </c>
      <c r="K89" s="226">
        <v>3</v>
      </c>
      <c r="L89" s="225">
        <v>8</v>
      </c>
      <c r="M89" s="173">
        <f t="shared" si="0"/>
        <v>1.1774064541016835</v>
      </c>
    </row>
    <row r="90" spans="2:13" x14ac:dyDescent="0.3">
      <c r="B90" s="374"/>
      <c r="C90" s="375"/>
      <c r="D90" s="375"/>
      <c r="E90" s="375"/>
      <c r="F90" s="375"/>
      <c r="G90" s="375"/>
      <c r="H90" s="376"/>
      <c r="J90" s="225">
        <v>11</v>
      </c>
      <c r="K90" s="226">
        <v>4</v>
      </c>
      <c r="L90" s="225">
        <v>0.5</v>
      </c>
      <c r="M90" s="173">
        <f t="shared" si="0"/>
        <v>1.5698752721355782</v>
      </c>
    </row>
    <row r="91" spans="2:13" ht="14.5" thickBot="1" x14ac:dyDescent="0.35">
      <c r="B91" s="377"/>
      <c r="C91" s="378"/>
      <c r="D91" s="378"/>
      <c r="E91" s="378"/>
      <c r="F91" s="378"/>
      <c r="G91" s="378"/>
      <c r="H91" s="379"/>
      <c r="J91" s="225">
        <v>12</v>
      </c>
      <c r="K91" s="226">
        <v>4</v>
      </c>
      <c r="L91" s="225">
        <v>1</v>
      </c>
      <c r="M91" s="173">
        <f t="shared" si="0"/>
        <v>1.5698752721355782</v>
      </c>
    </row>
    <row r="92" spans="2:13" x14ac:dyDescent="0.3">
      <c r="B92" s="233"/>
      <c r="C92" s="234"/>
      <c r="D92" s="234"/>
      <c r="E92" s="234"/>
      <c r="F92" s="234"/>
      <c r="G92" s="235"/>
      <c r="H92" s="236"/>
      <c r="J92" s="225">
        <v>13</v>
      </c>
      <c r="K92" s="226">
        <v>4</v>
      </c>
      <c r="L92" s="225">
        <v>2</v>
      </c>
      <c r="M92" s="173">
        <f t="shared" si="0"/>
        <v>1.5698752721355782</v>
      </c>
    </row>
    <row r="93" spans="2:13" x14ac:dyDescent="0.3">
      <c r="B93" s="176" t="s">
        <v>346</v>
      </c>
      <c r="C93" s="182"/>
      <c r="D93" s="189">
        <f>1.7/(F71*CSA/1000)*PI()</f>
        <v>18.048207348649079</v>
      </c>
      <c r="E93" s="190"/>
      <c r="F93" s="190"/>
      <c r="G93" s="178"/>
      <c r="H93" s="179" t="s">
        <v>87</v>
      </c>
      <c r="J93" s="225">
        <v>14</v>
      </c>
      <c r="K93" s="226">
        <v>4</v>
      </c>
      <c r="L93" s="225">
        <v>4</v>
      </c>
      <c r="M93" s="173">
        <f t="shared" si="0"/>
        <v>1.5698752721355782</v>
      </c>
    </row>
    <row r="94" spans="2:13" x14ac:dyDescent="0.3">
      <c r="B94" s="176" t="s">
        <v>88</v>
      </c>
      <c r="C94" s="182"/>
      <c r="D94" s="187">
        <f>fsw/12</f>
        <v>27.083333333333332</v>
      </c>
      <c r="E94" s="188"/>
      <c r="F94" s="188"/>
      <c r="G94" s="178" t="s">
        <v>11</v>
      </c>
      <c r="H94" s="179" t="s">
        <v>89</v>
      </c>
      <c r="J94" s="225">
        <v>15</v>
      </c>
      <c r="K94" s="226">
        <v>4</v>
      </c>
      <c r="L94" s="225">
        <v>8</v>
      </c>
      <c r="M94" s="173">
        <f t="shared" si="0"/>
        <v>1.5698752721355782</v>
      </c>
    </row>
    <row r="95" spans="2:13" ht="14.5" thickBot="1" x14ac:dyDescent="0.35">
      <c r="B95" s="176" t="s">
        <v>90</v>
      </c>
      <c r="C95" s="182"/>
      <c r="D95" s="184">
        <f>fsw</f>
        <v>325</v>
      </c>
      <c r="E95" s="177"/>
      <c r="F95" s="177"/>
      <c r="G95" s="178" t="s">
        <v>11</v>
      </c>
      <c r="H95" s="179" t="s">
        <v>91</v>
      </c>
      <c r="J95" s="225">
        <v>16</v>
      </c>
      <c r="K95" s="226">
        <v>5</v>
      </c>
      <c r="L95" s="225">
        <v>0.5</v>
      </c>
      <c r="M95" s="173">
        <f t="shared" si="0"/>
        <v>1.9623440901694729</v>
      </c>
    </row>
    <row r="96" spans="2:13" ht="15.5" x14ac:dyDescent="0.3">
      <c r="B96" s="396" t="s">
        <v>677</v>
      </c>
      <c r="C96" s="397"/>
      <c r="D96" s="397"/>
      <c r="E96" s="397"/>
      <c r="F96" s="397"/>
      <c r="G96" s="397"/>
      <c r="H96" s="398"/>
      <c r="J96" s="225">
        <v>17</v>
      </c>
      <c r="K96" s="226">
        <v>5</v>
      </c>
      <c r="L96" s="225">
        <v>1</v>
      </c>
      <c r="M96" s="173"/>
    </row>
    <row r="97" spans="2:13" ht="14.5" thickBot="1" x14ac:dyDescent="0.35">
      <c r="B97" s="399"/>
      <c r="C97" s="400"/>
      <c r="D97" s="400"/>
      <c r="E97" s="400"/>
      <c r="F97" s="400"/>
      <c r="G97" s="400"/>
      <c r="H97" s="401"/>
      <c r="J97" s="225">
        <v>18</v>
      </c>
      <c r="K97" s="226">
        <v>5</v>
      </c>
      <c r="L97" s="225">
        <v>2</v>
      </c>
      <c r="M97" s="173">
        <f t="shared" ref="M97:M109" si="1">MIN(K96*D$111/D$93,VLOOP_trgt)</f>
        <v>1.9623440901694729</v>
      </c>
    </row>
    <row r="98" spans="2:13" x14ac:dyDescent="0.3">
      <c r="B98" s="176" t="s">
        <v>1</v>
      </c>
      <c r="C98" s="182"/>
      <c r="D98" s="177"/>
      <c r="E98" s="65">
        <v>100</v>
      </c>
      <c r="F98" s="177"/>
      <c r="G98" s="178" t="s">
        <v>9</v>
      </c>
      <c r="H98" s="179" t="s">
        <v>93</v>
      </c>
      <c r="J98" s="225">
        <v>19</v>
      </c>
      <c r="K98" s="226">
        <v>5</v>
      </c>
      <c r="L98" s="225">
        <v>4</v>
      </c>
      <c r="M98" s="173">
        <f t="shared" si="1"/>
        <v>1.9623440901694729</v>
      </c>
    </row>
    <row r="99" spans="2:13" x14ac:dyDescent="0.3">
      <c r="B99" s="176" t="s">
        <v>326</v>
      </c>
      <c r="C99" s="182"/>
      <c r="D99" s="189">
        <f>ILOOP_trgt/(E98*10^-6)/1000</f>
        <v>180.4820734864908</v>
      </c>
      <c r="E99" s="79"/>
      <c r="F99" s="333"/>
      <c r="G99" s="178" t="s">
        <v>94</v>
      </c>
      <c r="H99" s="179" t="s">
        <v>92</v>
      </c>
      <c r="J99" s="225">
        <v>20</v>
      </c>
      <c r="K99" s="226">
        <v>5</v>
      </c>
      <c r="L99" s="225">
        <v>8</v>
      </c>
      <c r="M99" s="173">
        <f t="shared" si="1"/>
        <v>1.9623440901694729</v>
      </c>
    </row>
    <row r="100" spans="2:13" x14ac:dyDescent="0.3">
      <c r="B100" s="176" t="s">
        <v>5</v>
      </c>
      <c r="C100" s="182"/>
      <c r="D100" s="177"/>
      <c r="E100" s="65">
        <v>20</v>
      </c>
      <c r="F100" s="331"/>
      <c r="G100" s="178" t="s">
        <v>94</v>
      </c>
      <c r="H100" s="179" t="s">
        <v>318</v>
      </c>
      <c r="J100" s="225">
        <v>21</v>
      </c>
      <c r="K100" s="226">
        <v>6</v>
      </c>
      <c r="L100" s="225">
        <v>0.5</v>
      </c>
      <c r="M100" s="173">
        <f t="shared" si="1"/>
        <v>1.9623440901694729</v>
      </c>
    </row>
    <row r="101" spans="2:13" x14ac:dyDescent="0.3">
      <c r="B101" s="176" t="s">
        <v>327</v>
      </c>
      <c r="C101" s="182"/>
      <c r="D101" s="189">
        <f>1/(2*PI()*E100*10^3*fzi_trgt*10^3)*10^12</f>
        <v>293.82451032349911</v>
      </c>
      <c r="E101" s="79"/>
      <c r="F101" s="333"/>
      <c r="G101" s="178" t="s">
        <v>10</v>
      </c>
      <c r="H101" s="179" t="s">
        <v>86</v>
      </c>
      <c r="J101" s="225">
        <v>22</v>
      </c>
      <c r="K101" s="226">
        <v>6</v>
      </c>
      <c r="L101" s="225">
        <v>1</v>
      </c>
      <c r="M101" s="173">
        <f t="shared" si="1"/>
        <v>2.3548129082033671</v>
      </c>
    </row>
    <row r="102" spans="2:13" x14ac:dyDescent="0.3">
      <c r="B102" s="176" t="s">
        <v>329</v>
      </c>
      <c r="C102" s="182"/>
      <c r="D102" s="190"/>
      <c r="E102" s="80">
        <v>80</v>
      </c>
      <c r="F102" s="333"/>
      <c r="G102" s="178"/>
      <c r="H102" s="179" t="s">
        <v>351</v>
      </c>
      <c r="J102" s="225">
        <v>23</v>
      </c>
      <c r="K102" s="226">
        <v>6</v>
      </c>
      <c r="L102" s="225">
        <v>2</v>
      </c>
      <c r="M102" s="173">
        <f t="shared" si="1"/>
        <v>2.3548129082033671</v>
      </c>
    </row>
    <row r="103" spans="2:13" x14ac:dyDescent="0.3">
      <c r="B103" s="176" t="s">
        <v>85</v>
      </c>
      <c r="C103" s="182"/>
      <c r="D103" s="177"/>
      <c r="E103" s="65">
        <v>106.56</v>
      </c>
      <c r="F103" s="331"/>
      <c r="G103" s="178" t="s">
        <v>10</v>
      </c>
      <c r="H103" s="179" t="s">
        <v>319</v>
      </c>
      <c r="J103" s="225">
        <v>24</v>
      </c>
      <c r="K103" s="226">
        <v>6</v>
      </c>
      <c r="L103" s="225">
        <v>4</v>
      </c>
      <c r="M103" s="173">
        <f t="shared" si="1"/>
        <v>2.3548129082033671</v>
      </c>
    </row>
    <row r="104" spans="2:13" x14ac:dyDescent="0.3">
      <c r="B104" s="176" t="s">
        <v>328</v>
      </c>
      <c r="C104" s="182"/>
      <c r="D104" s="189">
        <f>1/(2*PI()*E100*10^3*fpi_trgt*10^3)*10^12</f>
        <v>24.48537586029159</v>
      </c>
      <c r="E104" s="79"/>
      <c r="F104" s="333"/>
      <c r="G104" s="178" t="s">
        <v>10</v>
      </c>
      <c r="H104" s="179" t="s">
        <v>108</v>
      </c>
      <c r="J104" s="225">
        <v>25</v>
      </c>
      <c r="K104" s="226">
        <v>6</v>
      </c>
      <c r="L104" s="225">
        <v>8</v>
      </c>
      <c r="M104" s="173">
        <f t="shared" si="1"/>
        <v>2.3548129082033671</v>
      </c>
    </row>
    <row r="105" spans="2:13" x14ac:dyDescent="0.3">
      <c r="B105" s="176" t="s">
        <v>7</v>
      </c>
      <c r="C105" s="182"/>
      <c r="D105" s="177"/>
      <c r="E105" s="65">
        <v>9.6000000000000014</v>
      </c>
      <c r="F105" s="177"/>
      <c r="G105" s="178" t="s">
        <v>10</v>
      </c>
      <c r="H105" s="179" t="s">
        <v>320</v>
      </c>
      <c r="J105" s="225">
        <v>26</v>
      </c>
      <c r="K105" s="226">
        <v>7</v>
      </c>
      <c r="L105" s="225">
        <v>0.5</v>
      </c>
      <c r="M105" s="173">
        <f t="shared" si="1"/>
        <v>2.3548129082033671</v>
      </c>
    </row>
    <row r="106" spans="2:13" x14ac:dyDescent="0.3">
      <c r="B106" s="176" t="s">
        <v>330</v>
      </c>
      <c r="C106" s="182"/>
      <c r="D106" s="177"/>
      <c r="E106" s="66"/>
      <c r="F106" s="183">
        <f>E100*E98/1000</f>
        <v>2</v>
      </c>
      <c r="G106" s="178"/>
      <c r="H106" s="179" t="s">
        <v>333</v>
      </c>
      <c r="J106" s="225">
        <v>27</v>
      </c>
      <c r="K106" s="226">
        <v>7</v>
      </c>
      <c r="L106" s="225">
        <v>1</v>
      </c>
      <c r="M106" s="173">
        <f t="shared" si="1"/>
        <v>2.7472817262372615</v>
      </c>
    </row>
    <row r="107" spans="2:13" x14ac:dyDescent="0.3">
      <c r="B107" s="176" t="s">
        <v>331</v>
      </c>
      <c r="C107" s="182"/>
      <c r="D107" s="205"/>
      <c r="E107" s="256"/>
      <c r="F107" s="237">
        <f>1/(2*PI()*E103*E100*10^-6)</f>
        <v>74.678558132458406</v>
      </c>
      <c r="G107" s="178" t="s">
        <v>11</v>
      </c>
      <c r="H107" s="179" t="s">
        <v>334</v>
      </c>
      <c r="J107" s="225">
        <v>28</v>
      </c>
      <c r="K107" s="226">
        <v>7</v>
      </c>
      <c r="L107" s="225">
        <v>2</v>
      </c>
      <c r="M107" s="173">
        <f t="shared" si="1"/>
        <v>2.7472817262372615</v>
      </c>
    </row>
    <row r="108" spans="2:13" x14ac:dyDescent="0.3">
      <c r="B108" s="176" t="s">
        <v>332</v>
      </c>
      <c r="C108" s="182"/>
      <c r="D108" s="205"/>
      <c r="E108" s="256"/>
      <c r="F108" s="237">
        <f>1/(2*PI()*E100*E105*10^-6)</f>
        <v>828.9319952702881</v>
      </c>
      <c r="G108" s="178" t="s">
        <v>11</v>
      </c>
      <c r="H108" s="179" t="s">
        <v>335</v>
      </c>
      <c r="J108" s="225">
        <v>29</v>
      </c>
      <c r="K108" s="226">
        <v>7</v>
      </c>
      <c r="L108" s="225">
        <v>4</v>
      </c>
      <c r="M108" s="173">
        <f t="shared" si="1"/>
        <v>2.7472817262372615</v>
      </c>
    </row>
    <row r="109" spans="2:13" x14ac:dyDescent="0.3">
      <c r="B109" s="176" t="s">
        <v>160</v>
      </c>
      <c r="C109" s="182"/>
      <c r="D109" s="205"/>
      <c r="E109" s="256"/>
      <c r="F109" s="237">
        <f>fcoi_trgt/ILOOP_trgt*ILOOP</f>
        <v>9.0036642898034547</v>
      </c>
      <c r="G109" s="178" t="s">
        <v>11</v>
      </c>
      <c r="H109" s="179" t="s">
        <v>339</v>
      </c>
      <c r="J109" s="238">
        <v>30</v>
      </c>
      <c r="K109" s="239">
        <v>7</v>
      </c>
      <c r="L109" s="238">
        <v>8</v>
      </c>
      <c r="M109" s="173">
        <f t="shared" si="1"/>
        <v>2.7472817262372615</v>
      </c>
    </row>
    <row r="110" spans="2:13" ht="14.5" thickBot="1" x14ac:dyDescent="0.35">
      <c r="B110" s="176" t="s">
        <v>136</v>
      </c>
      <c r="C110" s="182"/>
      <c r="D110" s="190"/>
      <c r="E110" s="79"/>
      <c r="F110" s="199">
        <f>Zout_fco_trgt*GM_PS/1000</f>
        <v>1.1294077351244523</v>
      </c>
      <c r="G110" s="178"/>
      <c r="H110" s="179" t="s">
        <v>204</v>
      </c>
      <c r="J110" s="240">
        <v>31</v>
      </c>
      <c r="K110" s="241">
        <v>10</v>
      </c>
      <c r="L110" s="240">
        <v>2</v>
      </c>
      <c r="M110" s="173">
        <f>MIN(K110*D$111/D$93,VLOOP_trgt)</f>
        <v>3.9246881803389457</v>
      </c>
    </row>
    <row r="111" spans="2:13" x14ac:dyDescent="0.3">
      <c r="B111" s="176" t="s">
        <v>347</v>
      </c>
      <c r="C111" s="182"/>
      <c r="D111" s="189">
        <f>1/(F110*VOSL)</f>
        <v>7.0833586057549534</v>
      </c>
      <c r="E111" s="79"/>
      <c r="F111" s="330"/>
      <c r="G111" s="178"/>
      <c r="H111" s="179" t="s">
        <v>101</v>
      </c>
    </row>
    <row r="112" spans="2:13" x14ac:dyDescent="0.3">
      <c r="B112" s="176" t="s">
        <v>99</v>
      </c>
      <c r="C112" s="182"/>
      <c r="D112" s="189">
        <f>IF(D53*F110&lt;fcov_trgt/3,D53*F110,fcov_trgt/3)</f>
        <v>10.833333333333334</v>
      </c>
      <c r="E112" s="79"/>
      <c r="F112" s="330"/>
      <c r="G112" s="178" t="s">
        <v>11</v>
      </c>
      <c r="H112" s="179" t="s">
        <v>102</v>
      </c>
    </row>
    <row r="113" spans="2:8" x14ac:dyDescent="0.3">
      <c r="B113" s="176" t="s">
        <v>100</v>
      </c>
      <c r="C113" s="182"/>
      <c r="D113" s="184">
        <f>fsw/2</f>
        <v>162.5</v>
      </c>
      <c r="E113" s="66"/>
      <c r="F113" s="330"/>
      <c r="G113" s="178" t="s">
        <v>11</v>
      </c>
      <c r="H113" s="179" t="s">
        <v>103</v>
      </c>
    </row>
    <row r="114" spans="2:8" x14ac:dyDescent="0.3">
      <c r="B114" s="176" t="s">
        <v>0</v>
      </c>
      <c r="C114" s="182"/>
      <c r="D114" s="331"/>
      <c r="E114" s="65">
        <v>50</v>
      </c>
      <c r="F114" s="177"/>
      <c r="G114" s="178" t="s">
        <v>9</v>
      </c>
      <c r="H114" s="179" t="s">
        <v>104</v>
      </c>
    </row>
    <row r="115" spans="2:8" x14ac:dyDescent="0.3">
      <c r="B115" s="176" t="s">
        <v>336</v>
      </c>
      <c r="C115" s="182"/>
      <c r="D115" s="189">
        <f>VLOOP_trgt/E114*1000</f>
        <v>141.66717211509908</v>
      </c>
      <c r="E115" s="79"/>
      <c r="F115" s="330"/>
      <c r="G115" s="178" t="s">
        <v>94</v>
      </c>
      <c r="H115" s="179" t="s">
        <v>105</v>
      </c>
    </row>
    <row r="116" spans="2:8" x14ac:dyDescent="0.3">
      <c r="B116" s="176" t="s">
        <v>2</v>
      </c>
      <c r="C116" s="182"/>
      <c r="D116" s="177"/>
      <c r="E116" s="65">
        <v>165</v>
      </c>
      <c r="F116" s="177"/>
      <c r="G116" s="178" t="s">
        <v>94</v>
      </c>
      <c r="H116" s="179" t="s">
        <v>321</v>
      </c>
    </row>
    <row r="117" spans="2:8" x14ac:dyDescent="0.3">
      <c r="B117" s="176" t="s">
        <v>337</v>
      </c>
      <c r="C117" s="182"/>
      <c r="D117" s="189">
        <f>1/(2*PI()*E116*10^3*D112*10^3)*10^12</f>
        <v>89.037730401060315</v>
      </c>
      <c r="E117" s="79"/>
      <c r="F117" s="330"/>
      <c r="G117" s="178" t="s">
        <v>10</v>
      </c>
      <c r="H117" s="179" t="s">
        <v>106</v>
      </c>
    </row>
    <row r="118" spans="2:8" x14ac:dyDescent="0.3">
      <c r="B118" s="176" t="s">
        <v>111</v>
      </c>
      <c r="C118" s="182"/>
      <c r="D118" s="177"/>
      <c r="E118" s="65">
        <v>250</v>
      </c>
      <c r="F118" s="177"/>
      <c r="G118" s="178" t="s">
        <v>10</v>
      </c>
      <c r="H118" s="179" t="s">
        <v>322</v>
      </c>
    </row>
    <row r="119" spans="2:8" x14ac:dyDescent="0.3">
      <c r="B119" s="176" t="s">
        <v>338</v>
      </c>
      <c r="C119" s="182"/>
      <c r="D119" s="189">
        <f>1/(2*PI()*E116*10^3*D113*10^3)*10^12</f>
        <v>5.9358486934040231</v>
      </c>
      <c r="E119" s="79"/>
      <c r="F119" s="330"/>
      <c r="G119" s="178" t="s">
        <v>10</v>
      </c>
      <c r="H119" s="179" t="s">
        <v>107</v>
      </c>
    </row>
    <row r="120" spans="2:8" x14ac:dyDescent="0.3">
      <c r="B120" s="176" t="s">
        <v>4</v>
      </c>
      <c r="C120" s="182"/>
      <c r="D120" s="177"/>
      <c r="E120" s="65">
        <v>6.25</v>
      </c>
      <c r="F120" s="177"/>
      <c r="G120" s="178" t="s">
        <v>10</v>
      </c>
      <c r="H120" s="179" t="s">
        <v>323</v>
      </c>
    </row>
    <row r="121" spans="2:8" x14ac:dyDescent="0.3">
      <c r="B121" s="176" t="s">
        <v>343</v>
      </c>
      <c r="C121" s="182"/>
      <c r="D121" s="177"/>
      <c r="E121" s="66"/>
      <c r="F121" s="183">
        <f>E116*E114/1000</f>
        <v>8.25</v>
      </c>
      <c r="G121" s="178"/>
      <c r="H121" s="179" t="s">
        <v>342</v>
      </c>
    </row>
    <row r="122" spans="2:8" x14ac:dyDescent="0.3">
      <c r="B122" s="176" t="s">
        <v>344</v>
      </c>
      <c r="C122" s="182"/>
      <c r="D122" s="205"/>
      <c r="E122" s="256"/>
      <c r="F122" s="237">
        <f>1/(2*PI()*E118*E116*10^-6)</f>
        <v>3.8583016507126149</v>
      </c>
      <c r="G122" s="178" t="s">
        <v>11</v>
      </c>
      <c r="H122" s="179" t="s">
        <v>341</v>
      </c>
    </row>
    <row r="123" spans="2:8" x14ac:dyDescent="0.3">
      <c r="B123" s="176" t="s">
        <v>345</v>
      </c>
      <c r="C123" s="182"/>
      <c r="D123" s="205"/>
      <c r="E123" s="256"/>
      <c r="F123" s="237">
        <f>1/(2*PI()*E116*E120*10^-6)</f>
        <v>154.33206602850458</v>
      </c>
      <c r="G123" s="178" t="s">
        <v>11</v>
      </c>
      <c r="H123" s="179" t="s">
        <v>340</v>
      </c>
    </row>
    <row r="124" spans="2:8" x14ac:dyDescent="0.3">
      <c r="B124" s="176" t="s">
        <v>161</v>
      </c>
      <c r="C124" s="182"/>
      <c r="D124" s="205"/>
      <c r="E124" s="256"/>
      <c r="F124" s="237">
        <f>fcov_trgt/VLOOP_trgt*VLOOP</f>
        <v>37.852806122530474</v>
      </c>
      <c r="G124" s="178" t="s">
        <v>11</v>
      </c>
      <c r="H124" s="179" t="s">
        <v>163</v>
      </c>
    </row>
    <row r="125" spans="2:8" x14ac:dyDescent="0.3">
      <c r="B125" s="176" t="s">
        <v>162</v>
      </c>
      <c r="C125" s="182"/>
      <c r="D125" s="190"/>
      <c r="E125" s="79"/>
      <c r="F125" s="199">
        <f>F109/F124</f>
        <v>0.23785988971751182</v>
      </c>
      <c r="G125" s="178"/>
      <c r="H125" s="179" t="s">
        <v>174</v>
      </c>
    </row>
    <row r="126" spans="2:8" x14ac:dyDescent="0.3">
      <c r="B126" s="176" t="s">
        <v>164</v>
      </c>
      <c r="C126" s="182"/>
      <c r="D126" s="190"/>
      <c r="E126" s="79"/>
      <c r="F126" s="199">
        <f>1/(1/(SQRT((ESR_bulk*10^-3)^2+1/(2*PI()*F124*10^3*Cout_bulk*10^-6)^2))+1/(SQRT((ESR_cer*10^-3)^2+1/(2*PI()*F124*10^3*Cout_cer*10^-6)^2)))*1000</f>
        <v>6.2010521011623698</v>
      </c>
      <c r="G126" s="178" t="s">
        <v>116</v>
      </c>
      <c r="H126" s="179" t="s">
        <v>165</v>
      </c>
    </row>
    <row r="127" spans="2:8" x14ac:dyDescent="0.3">
      <c r="B127" s="176" t="s">
        <v>166</v>
      </c>
      <c r="C127" s="182"/>
      <c r="D127" s="205"/>
      <c r="E127" s="256"/>
      <c r="F127" s="237">
        <f>F126*C12</f>
        <v>62.010521011623695</v>
      </c>
      <c r="G127" s="178" t="s">
        <v>30</v>
      </c>
      <c r="H127" s="179" t="s">
        <v>169</v>
      </c>
    </row>
    <row r="128" spans="2:8" ht="14.5" thickBot="1" x14ac:dyDescent="0.35">
      <c r="B128" s="176" t="s">
        <v>167</v>
      </c>
      <c r="C128" s="182"/>
      <c r="D128" s="190"/>
      <c r="E128" s="79"/>
      <c r="F128" s="199">
        <f>F127/Vout/10</f>
        <v>1.867786777458545</v>
      </c>
      <c r="G128" s="178" t="s">
        <v>168</v>
      </c>
      <c r="H128" s="179" t="s">
        <v>170</v>
      </c>
    </row>
    <row r="129" spans="2:8" ht="15.5" x14ac:dyDescent="0.3">
      <c r="B129" s="396"/>
      <c r="C129" s="397"/>
      <c r="D129" s="397"/>
      <c r="E129" s="397"/>
      <c r="F129" s="397"/>
      <c r="G129" s="397"/>
      <c r="H129" s="398"/>
    </row>
    <row r="130" spans="2:8" ht="14.5" thickBot="1" x14ac:dyDescent="0.35">
      <c r="B130" s="399"/>
      <c r="C130" s="400"/>
      <c r="D130" s="400"/>
      <c r="E130" s="400"/>
      <c r="F130" s="400"/>
      <c r="G130" s="400"/>
      <c r="H130" s="401"/>
    </row>
    <row r="131" spans="2:8" x14ac:dyDescent="0.3">
      <c r="B131" s="197" t="s">
        <v>123</v>
      </c>
      <c r="C131" s="182"/>
      <c r="D131" s="242"/>
      <c r="E131" s="242"/>
      <c r="F131" s="243" t="str">
        <f>DEC2HEX(F134+2*F136+2^6*F135+2^10*F133+2^17*F140+2^22*F139+2^26*F138+2^32*F132+2^36*F137,10)</f>
        <v>1284421106</v>
      </c>
      <c r="G131" s="202" t="s">
        <v>124</v>
      </c>
      <c r="H131" s="244"/>
    </row>
    <row r="132" spans="2:8" x14ac:dyDescent="0.3">
      <c r="B132" s="197" t="str">
        <f>"GMI = " &amp; REPT(" ",15) &amp; E98 &amp; " µS"</f>
        <v>GMI =                100 µS</v>
      </c>
      <c r="C132" s="182"/>
      <c r="D132" s="242"/>
      <c r="E132" s="242"/>
      <c r="F132" s="243">
        <f>VLOOKUP(E98,'Compensation References'!E1:P9,12,FALSE)</f>
        <v>2</v>
      </c>
      <c r="G132" s="202" t="s">
        <v>14</v>
      </c>
      <c r="H132" s="244"/>
    </row>
    <row r="133" spans="2:8" x14ac:dyDescent="0.3">
      <c r="B133" s="197" t="str">
        <f>"RVI = " &amp; REPT(" ",16) &amp; E100 &amp; " kΩ"</f>
        <v>RVI =                 20 kΩ</v>
      </c>
      <c r="C133" s="182"/>
      <c r="D133" s="242"/>
      <c r="E133" s="242"/>
      <c r="F133" s="243">
        <f>VLOOKUP(E100,'Compensation References'!I2:P65,8,FALSE)</f>
        <v>4</v>
      </c>
      <c r="G133" s="202" t="s">
        <v>14</v>
      </c>
      <c r="H133" s="244"/>
    </row>
    <row r="134" spans="2:8" ht="28" x14ac:dyDescent="0.3">
      <c r="B134" s="197" t="str">
        <f>"CZI_MULT = " &amp; REPT(" ",3) &amp; E102</f>
        <v>CZI_MULT =    80</v>
      </c>
      <c r="C134" s="182"/>
      <c r="D134" s="242"/>
      <c r="E134" s="242"/>
      <c r="F134" s="243">
        <f>VLOOKUP(E102,'Compensation References'!M2:P3,4,FALSE)</f>
        <v>0</v>
      </c>
      <c r="G134" s="202" t="s">
        <v>14</v>
      </c>
      <c r="H134" s="203" t="s">
        <v>350</v>
      </c>
    </row>
    <row r="135" spans="2:8" x14ac:dyDescent="0.3">
      <c r="B135" s="197" t="str">
        <f>"CZI = " &amp; REPT(" ",16) &amp; E103 &amp; " pF"</f>
        <v>CZI =                 106.56 pF</v>
      </c>
      <c r="C135" s="182"/>
      <c r="D135" s="242"/>
      <c r="E135" s="242"/>
      <c r="F135" s="243">
        <f>VLOOKUP(E103,'Compensation References'!N2:P17,3,FALSE)</f>
        <v>4</v>
      </c>
      <c r="G135" s="202" t="s">
        <v>14</v>
      </c>
      <c r="H135" s="244" t="s">
        <v>175</v>
      </c>
    </row>
    <row r="136" spans="2:8" x14ac:dyDescent="0.3">
      <c r="B136" s="197" t="str">
        <f>"CPI = " &amp; REPT(" ",16) &amp; E105 &amp; " pF"</f>
        <v>CPI =                 9.6 pF</v>
      </c>
      <c r="C136" s="182"/>
      <c r="D136" s="242"/>
      <c r="E136" s="242"/>
      <c r="F136" s="243">
        <f>VLOOKUP(E105,'Compensation References'!K2:P33,6,FALSE)</f>
        <v>3</v>
      </c>
      <c r="G136" s="202" t="s">
        <v>14</v>
      </c>
      <c r="H136" s="244"/>
    </row>
    <row r="137" spans="2:8" x14ac:dyDescent="0.3">
      <c r="B137" s="197" t="str">
        <f>"GMV = " &amp; REPT(" ",13) &amp; E114 &amp; " µS"</f>
        <v>GMV =              50 µS</v>
      </c>
      <c r="C137" s="182"/>
      <c r="D137" s="242"/>
      <c r="E137" s="242"/>
      <c r="F137" s="243">
        <f>VLOOKUP(E114,'Compensation References'!D1:P9,13,FALSE)</f>
        <v>1</v>
      </c>
      <c r="G137" s="202" t="s">
        <v>14</v>
      </c>
      <c r="H137" s="244"/>
    </row>
    <row r="138" spans="2:8" x14ac:dyDescent="0.3">
      <c r="B138" s="197" t="str">
        <f>"RVV = " &amp; REPT(" ",14) &amp; E116 &amp; " kΩ"</f>
        <v>RVV =               165 kΩ</v>
      </c>
      <c r="C138" s="182"/>
      <c r="D138" s="242"/>
      <c r="E138" s="242"/>
      <c r="F138" s="243">
        <f>VLOOKUP(E116,'Compensation References'!F2:P65,11,FALSE)</f>
        <v>33</v>
      </c>
      <c r="G138" s="202" t="s">
        <v>14</v>
      </c>
      <c r="H138" s="244"/>
    </row>
    <row r="139" spans="2:8" x14ac:dyDescent="0.3">
      <c r="B139" s="197" t="str">
        <f>"CZV = " &amp; REPT(" ",15) &amp; E118 &amp; " pF"</f>
        <v>CZV =                250 pF</v>
      </c>
      <c r="C139" s="182"/>
      <c r="D139" s="242"/>
      <c r="E139" s="242"/>
      <c r="F139" s="243">
        <f>VLOOKUP(E118,'Compensation References'!O2:P17,2,FALSE)</f>
        <v>1</v>
      </c>
      <c r="G139" s="202" t="s">
        <v>14</v>
      </c>
      <c r="H139" s="244" t="s">
        <v>176</v>
      </c>
    </row>
    <row r="140" spans="2:8" ht="14.5" thickBot="1" x14ac:dyDescent="0.35">
      <c r="B140" s="245" t="str">
        <f>"CPV = " &amp; REPT(" ",14) &amp; E120 &amp; " pF"</f>
        <v>CPV =               6.25 pF</v>
      </c>
      <c r="C140" s="246"/>
      <c r="D140" s="247"/>
      <c r="E140" s="247"/>
      <c r="F140" s="248">
        <f>VLOOKUP(E120,'Compensation References'!H2:P33,9,FALSE)</f>
        <v>1</v>
      </c>
      <c r="G140" s="249" t="s">
        <v>14</v>
      </c>
      <c r="H140" s="250"/>
    </row>
  </sheetData>
  <mergeCells count="20">
    <mergeCell ref="B97:H97"/>
    <mergeCell ref="B96:H96"/>
    <mergeCell ref="B130:H130"/>
    <mergeCell ref="B129:H129"/>
    <mergeCell ref="B65:H65"/>
    <mergeCell ref="B1:H1"/>
    <mergeCell ref="J12:J25"/>
    <mergeCell ref="B89:H91"/>
    <mergeCell ref="J71:L76"/>
    <mergeCell ref="J77:L77"/>
    <mergeCell ref="B77:H77"/>
    <mergeCell ref="B76:H76"/>
    <mergeCell ref="B88:H88"/>
    <mergeCell ref="B17:H17"/>
    <mergeCell ref="B18:H18"/>
    <mergeCell ref="B31:H31"/>
    <mergeCell ref="B32:H32"/>
    <mergeCell ref="B58:H58"/>
    <mergeCell ref="B57:H57"/>
    <mergeCell ref="B64:H64"/>
  </mergeCells>
  <conditionalFormatting sqref="F81">
    <cfRule type="cellIs" dxfId="124" priority="33" operator="greaterThan">
      <formula>$C$16/3</formula>
    </cfRule>
  </conditionalFormatting>
  <conditionalFormatting sqref="L80:L95">
    <cfRule type="cellIs" dxfId="123" priority="60" operator="greaterThan">
      <formula>M80</formula>
    </cfRule>
    <cfRule type="cellIs" dxfId="122" priority="61" operator="lessThan">
      <formula>M80</formula>
    </cfRule>
  </conditionalFormatting>
  <conditionalFormatting sqref="K80:K110">
    <cfRule type="cellIs" dxfId="121" priority="73" operator="lessThan">
      <formula>$D$93</formula>
    </cfRule>
    <cfRule type="cellIs" dxfId="120" priority="74" operator="greaterThan">
      <formula>$D$93</formula>
    </cfRule>
  </conditionalFormatting>
  <conditionalFormatting sqref="D106:F106">
    <cfRule type="cellIs" dxfId="119" priority="75" operator="greaterThan">
      <formula>$D$93</formula>
    </cfRule>
  </conditionalFormatting>
  <conditionalFormatting sqref="E100">
    <cfRule type="cellIs" dxfId="118" priority="76" operator="greaterThan">
      <formula>$D$99</formula>
    </cfRule>
  </conditionalFormatting>
  <conditionalFormatting sqref="C5">
    <cfRule type="cellIs" dxfId="117" priority="15" operator="between">
      <formula>1.8</formula>
      <formula>4</formula>
    </cfRule>
    <cfRule type="cellIs" dxfId="116" priority="16" operator="greaterThan">
      <formula>16</formula>
    </cfRule>
    <cfRule type="cellIs" dxfId="115" priority="20" operator="lessThan">
      <formula>1.8</formula>
    </cfRule>
  </conditionalFormatting>
  <conditionalFormatting sqref="F8">
    <cfRule type="cellIs" dxfId="114" priority="17" operator="greaterThan">
      <formula>0.7</formula>
    </cfRule>
    <cfRule type="cellIs" dxfId="113" priority="18" operator="lessThan">
      <formula>0.25</formula>
    </cfRule>
  </conditionalFormatting>
  <conditionalFormatting sqref="C6">
    <cfRule type="cellIs" dxfId="112" priority="13" operator="greaterThan">
      <formula>5.5</formula>
    </cfRule>
    <cfRule type="cellIs" dxfId="111" priority="14" operator="lessThan">
      <formula>0.6</formula>
    </cfRule>
  </conditionalFormatting>
  <conditionalFormatting sqref="D55">
    <cfRule type="cellIs" dxfId="110" priority="11" operator="greaterThan">
      <formula>$C$13</formula>
    </cfRule>
  </conditionalFormatting>
  <conditionalFormatting sqref="F83">
    <cfRule type="cellIs" dxfId="109" priority="9" operator="lessThan">
      <formula>2</formula>
    </cfRule>
  </conditionalFormatting>
  <conditionalFormatting sqref="F85">
    <cfRule type="cellIs" dxfId="108" priority="42" operator="greaterThan">
      <formula>$C$15</formula>
    </cfRule>
    <cfRule type="cellIs" dxfId="107" priority="43" operator="greaterThan">
      <formula>$C$14</formula>
    </cfRule>
  </conditionalFormatting>
  <conditionalFormatting sqref="F109">
    <cfRule type="cellIs" dxfId="106" priority="6" operator="greaterThan">
      <formula>$C$16/3</formula>
    </cfRule>
  </conditionalFormatting>
  <conditionalFormatting sqref="F106">
    <cfRule type="cellIs" dxfId="105" priority="5" operator="greaterThan">
      <formula>$D$93</formula>
    </cfRule>
  </conditionalFormatting>
  <conditionalFormatting sqref="F125">
    <cfRule type="cellIs" dxfId="104" priority="4" operator="lessThan">
      <formula>2</formula>
    </cfRule>
  </conditionalFormatting>
  <conditionalFormatting sqref="F127">
    <cfRule type="cellIs" dxfId="103" priority="2" operator="greaterThan">
      <formula>$C$15</formula>
    </cfRule>
    <cfRule type="cellIs" dxfId="102" priority="3" operator="greaterThan">
      <formula>$C$14</formula>
    </cfRule>
  </conditionalFormatting>
  <conditionalFormatting sqref="L110">
    <cfRule type="cellIs" dxfId="101" priority="80" operator="greaterThan">
      <formula>M110</formula>
    </cfRule>
    <cfRule type="cellIs" dxfId="100" priority="81" operator="lessThan">
      <formula>M110</formula>
    </cfRule>
  </conditionalFormatting>
  <conditionalFormatting sqref="L109">
    <cfRule type="cellIs" dxfId="99" priority="84" operator="greaterThan">
      <formula>#REF!</formula>
    </cfRule>
    <cfRule type="cellIs" dxfId="98" priority="85" operator="lessThan">
      <formula>#REF!</formula>
    </cfRule>
  </conditionalFormatting>
  <conditionalFormatting sqref="L96:L108">
    <cfRule type="cellIs" dxfId="97" priority="94" operator="greaterThan">
      <formula>M97</formula>
    </cfRule>
    <cfRule type="cellIs" dxfId="96" priority="95" operator="lessThan">
      <formula>M97</formula>
    </cfRule>
  </conditionalFormatting>
  <conditionalFormatting sqref="E116">
    <cfRule type="cellIs" dxfId="95" priority="118" operator="greaterThan">
      <formula>$D$115</formula>
    </cfRule>
  </conditionalFormatting>
  <conditionalFormatting sqref="E72">
    <cfRule type="cellIs" dxfId="94" priority="1" operator="lessThan">
      <formula>$E$69*2</formula>
    </cfRule>
  </conditionalFormatting>
  <conditionalFormatting sqref="D11">
    <cfRule type="cellIs" dxfId="93" priority="119" operator="greaterThan">
      <formula>$D$4</formula>
    </cfRule>
  </conditionalFormatting>
  <conditionalFormatting sqref="F26">
    <cfRule type="cellIs" dxfId="92" priority="120" operator="lessThan">
      <formula>$D$4*0.05</formula>
    </cfRule>
  </conditionalFormatting>
  <dataValidations count="1">
    <dataValidation type="list" allowBlank="1" showInputMessage="1" showErrorMessage="1" sqref="E78">
      <formula1>$J$80:$J$110</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1047" r:id="rId4">
          <objectPr defaultSize="0" autoPict="0" r:id="rId5">
            <anchor moveWithCells="1">
              <from>
                <xdr:col>2</xdr:col>
                <xdr:colOff>0</xdr:colOff>
                <xdr:row>141</xdr:row>
                <xdr:rowOff>12700</xdr:rowOff>
              </from>
              <to>
                <xdr:col>7</xdr:col>
                <xdr:colOff>5156200</xdr:colOff>
                <xdr:row>171</xdr:row>
                <xdr:rowOff>133350</xdr:rowOff>
              </to>
            </anchor>
          </objectPr>
        </oleObject>
      </mc:Choice>
      <mc:Fallback>
        <oleObject progId="Visio.Drawing.11" shapeId="1047" r:id="rId4"/>
      </mc:Fallback>
    </mc:AlternateContent>
  </oleObjects>
  <extLst>
    <ext xmlns:x14="http://schemas.microsoft.com/office/spreadsheetml/2009/9/main" uri="{78C0D931-6437-407d-A8EE-F0AAD7539E65}">
      <x14:conditionalFormattings>
        <x14:conditionalFormatting xmlns:xm="http://schemas.microsoft.com/office/excel/2006/main">
          <x14:cfRule type="cellIs" priority="7" operator="greaterThan" id="{F8388281-D9AC-4009-B657-0FFF0AB56577}">
            <xm:f>'Compensation References'!$M$2</xm:f>
            <x14:dxf>
              <font>
                <color rgb="FF9C0006"/>
              </font>
              <fill>
                <patternFill>
                  <bgColor rgb="FFFFC7CE"/>
                </patternFill>
              </fill>
            </x14:dxf>
          </x14:cfRule>
          <x14:cfRule type="cellIs" priority="8" operator="lessThan" id="{BC1B7E67-7631-4540-87D5-FEB3526BE421}">
            <xm:f>'Compensation References'!$M$2</xm:f>
            <x14:dxf>
              <font>
                <color rgb="FF9C0006"/>
              </font>
              <fill>
                <patternFill>
                  <bgColor rgb="FFFFC7CE"/>
                </patternFill>
              </fill>
            </x14:dxf>
          </x14:cfRule>
          <xm:sqref>E102</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'Compensation References'!$R$2:$R$13</xm:f>
          </x14:formula1>
          <xm:sqref>C16:C17 D17:F17</xm:sqref>
        </x14:dataValidation>
        <x14:dataValidation type="list" allowBlank="1" showInputMessage="1" showErrorMessage="1">
          <x14:formula1>
            <xm:f>'Compensation References'!$E$2:$E$5</xm:f>
          </x14:formula1>
          <xm:sqref>E98</xm:sqref>
        </x14:dataValidation>
        <x14:dataValidation type="list" allowBlank="1" showInputMessage="1" showErrorMessage="1">
          <x14:formula1>
            <xm:f>'Compensation References'!$I$2:$I$65</xm:f>
          </x14:formula1>
          <xm:sqref>E100</xm:sqref>
        </x14:dataValidation>
        <x14:dataValidation type="list" allowBlank="1" showInputMessage="1" showErrorMessage="1">
          <x14:formula1>
            <xm:f>'Compensation References'!$K$2:$K$33</xm:f>
          </x14:formula1>
          <xm:sqref>E105</xm:sqref>
        </x14:dataValidation>
        <x14:dataValidation type="list" allowBlank="1" showInputMessage="1" showErrorMessage="1">
          <x14:formula1>
            <xm:f>'Compensation References'!$N$2:$N$17</xm:f>
          </x14:formula1>
          <xm:sqref>E103</xm:sqref>
        </x14:dataValidation>
        <x14:dataValidation type="list" allowBlank="1" showInputMessage="1" showErrorMessage="1">
          <x14:formula1>
            <xm:f>'Compensation References'!$D$2:$D$5</xm:f>
          </x14:formula1>
          <xm:sqref>E114</xm:sqref>
        </x14:dataValidation>
        <x14:dataValidation type="list" allowBlank="1" showInputMessage="1" showErrorMessage="1">
          <x14:formula1>
            <xm:f>'Compensation References'!$F$2:$F$65</xm:f>
          </x14:formula1>
          <xm:sqref>E116</xm:sqref>
        </x14:dataValidation>
        <x14:dataValidation type="list" allowBlank="1" showInputMessage="1" showErrorMessage="1">
          <x14:formula1>
            <xm:f>'Compensation References'!$O$2:$O$17</xm:f>
          </x14:formula1>
          <xm:sqref>E118</xm:sqref>
        </x14:dataValidation>
        <x14:dataValidation type="list" allowBlank="1" showInputMessage="1" showErrorMessage="1">
          <x14:formula1>
            <xm:f>'Compensation References'!$H$2:$H$33</xm:f>
          </x14:formula1>
          <xm:sqref>E120</xm:sqref>
        </x14:dataValidation>
        <x14:dataValidation type="list" allowBlank="1" showInputMessage="1" showErrorMessage="1">
          <x14:formula1>
            <xm:f>'Compensation References'!$M$2:$M$3</xm:f>
          </x14:formula1>
          <xm:sqref>E102</xm:sqref>
        </x14:dataValidation>
        <x14:dataValidation type="list" allowBlank="1" showInputMessage="1" showErrorMessage="1">
          <x14:formula1>
            <xm:f>'Compensation References'!$Q$2:$Q$5</xm:f>
          </x14:formula1>
          <xm:sqref>C10</xm:sqref>
        </x14:dataValidation>
        <x14:dataValidation type="list" allowBlank="1" showInputMessage="1" showErrorMessage="1">
          <x14:formula1>
            <xm:f>'Compensation References'!$T$2:$T$5</xm:f>
          </x14:formula1>
          <xm:sqref>E7</xm:sqref>
        </x14:dataValidation>
        <x14:dataValidation type="list" allowBlank="1" showInputMessage="1" showErrorMessage="1">
          <x14:formula1>
            <xm:f>'Compensation References'!$A$2:$A$4</xm:f>
          </x14:formula1>
          <xm:sqref>C3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66"/>
  <sheetViews>
    <sheetView topLeftCell="U1" workbookViewId="0">
      <selection activeCell="Y16" sqref="Y16"/>
    </sheetView>
  </sheetViews>
  <sheetFormatPr defaultRowHeight="14.5" x14ac:dyDescent="0.35"/>
  <cols>
    <col min="1" max="1" width="11.7265625" bestFit="1" customWidth="1"/>
    <col min="2" max="5" width="11.7265625" customWidth="1"/>
    <col min="7" max="7" width="18.453125" bestFit="1" customWidth="1"/>
    <col min="8" max="10" width="18.453125" customWidth="1"/>
    <col min="11" max="11" width="19.54296875" bestFit="1" customWidth="1"/>
    <col min="12" max="12" width="19.54296875" customWidth="1"/>
    <col min="13" max="13" width="9.54296875" bestFit="1" customWidth="1"/>
    <col min="14" max="14" width="9.54296875" customWidth="1"/>
    <col min="15" max="15" width="14.7265625" bestFit="1" customWidth="1"/>
    <col min="16" max="16" width="14.7265625" customWidth="1"/>
    <col min="17" max="17" width="11.54296875" bestFit="1" customWidth="1"/>
    <col min="18" max="18" width="11.54296875" customWidth="1"/>
    <col min="19" max="19" width="18.453125" bestFit="1" customWidth="1"/>
    <col min="20" max="23" width="18.453125" customWidth="1"/>
    <col min="24" max="25" width="18.26953125" bestFit="1" customWidth="1"/>
    <col min="26" max="26" width="16.453125" bestFit="1" customWidth="1"/>
    <col min="27" max="27" width="16.453125" customWidth="1"/>
    <col min="28" max="28" width="15.1796875" bestFit="1" customWidth="1"/>
    <col min="32" max="32" width="11.1796875" bestFit="1" customWidth="1"/>
    <col min="34" max="34" width="10.81640625" customWidth="1"/>
    <col min="41" max="41" width="14" bestFit="1" customWidth="1"/>
  </cols>
  <sheetData>
    <row r="1" spans="1:41" ht="15" x14ac:dyDescent="0.25">
      <c r="A1" t="s">
        <v>255</v>
      </c>
      <c r="B1" t="s">
        <v>256</v>
      </c>
      <c r="C1" t="s">
        <v>257</v>
      </c>
      <c r="D1" t="s">
        <v>258</v>
      </c>
      <c r="E1" t="s">
        <v>259</v>
      </c>
      <c r="G1" t="s">
        <v>260</v>
      </c>
      <c r="I1" t="s">
        <v>260</v>
      </c>
      <c r="K1" t="s">
        <v>37</v>
      </c>
      <c r="M1" t="s">
        <v>218</v>
      </c>
      <c r="O1" t="s">
        <v>261</v>
      </c>
      <c r="Q1" t="s">
        <v>262</v>
      </c>
      <c r="S1" t="s">
        <v>225</v>
      </c>
      <c r="U1" t="s">
        <v>263</v>
      </c>
      <c r="V1" t="s">
        <v>264</v>
      </c>
      <c r="W1" t="s">
        <v>265</v>
      </c>
      <c r="X1" t="s">
        <v>266</v>
      </c>
      <c r="Z1" t="s">
        <v>267</v>
      </c>
      <c r="AB1" t="s">
        <v>268</v>
      </c>
      <c r="AD1" t="s">
        <v>269</v>
      </c>
      <c r="AL1" t="s">
        <v>15</v>
      </c>
      <c r="AM1" t="s">
        <v>222</v>
      </c>
      <c r="AN1" t="s">
        <v>14</v>
      </c>
      <c r="AO1" t="s">
        <v>270</v>
      </c>
    </row>
    <row r="2" spans="1:41" x14ac:dyDescent="0.35">
      <c r="A2" t="s">
        <v>194</v>
      </c>
      <c r="B2" s="10" t="s">
        <v>221</v>
      </c>
      <c r="C2" s="10" t="s">
        <v>246</v>
      </c>
      <c r="D2" s="10" t="s">
        <v>271</v>
      </c>
      <c r="E2" s="10" t="s">
        <v>272</v>
      </c>
      <c r="F2" t="s">
        <v>273</v>
      </c>
      <c r="G2" t="s">
        <v>38</v>
      </c>
      <c r="H2">
        <v>0</v>
      </c>
      <c r="I2">
        <v>7</v>
      </c>
      <c r="J2">
        <v>0</v>
      </c>
      <c r="K2" t="s">
        <v>38</v>
      </c>
      <c r="S2" t="s">
        <v>38</v>
      </c>
      <c r="T2" t="s">
        <v>212</v>
      </c>
      <c r="U2">
        <v>0.5</v>
      </c>
      <c r="V2" t="s">
        <v>222</v>
      </c>
      <c r="W2" t="s">
        <v>222</v>
      </c>
      <c r="X2" t="s">
        <v>38</v>
      </c>
      <c r="Y2" t="s">
        <v>212</v>
      </c>
      <c r="Z2" t="s">
        <v>38</v>
      </c>
      <c r="AA2" t="s">
        <v>213</v>
      </c>
      <c r="AD2" t="s">
        <v>688</v>
      </c>
      <c r="AE2" t="str">
        <f>IF('Pin Detect Programming'!$D$9=2,'Resistor References'!AD2,"N/A")</f>
        <v>N/A</v>
      </c>
      <c r="AF2" t="s">
        <v>688</v>
      </c>
      <c r="AG2" t="s">
        <v>212</v>
      </c>
      <c r="AH2" t="s">
        <v>38</v>
      </c>
      <c r="AI2" t="s">
        <v>212</v>
      </c>
      <c r="AJ2" t="s">
        <v>38</v>
      </c>
      <c r="AK2" t="s">
        <v>212</v>
      </c>
      <c r="AL2">
        <f>IF('Pin Detect Programming'!D10='Resistor References'!AH2,0.5,IF('Pin Detect Programming'!D10='Resistor References'!AH3,0.5,IF('Pin Detect Programming'!D10='Resistor References'!AH4,0.5,IF('Pin Detect Programming'!D10='Resistor References'!AH5,0.5,IF('Pin Detect Programming'!D10='Resistor References'!AH6,0.25,IF('Pin Detect Programming'!D10='Resistor References'!AH7,0.25,IF('Pin Detect Programming'!D10='Resistor References'!AH8,0.125,IF('Pin Detect Programming'!D10='Resistor References'!AH9,0.125,IF('Pin Detect Programming'!D10='Resistor References'!AH10,0.125,IF('Pin Detect Programming'!D10='Resistor References'!AH11,0.125,))))))))))</f>
        <v>0</v>
      </c>
      <c r="AN2" t="s">
        <v>212</v>
      </c>
      <c r="AO2" t="s">
        <v>274</v>
      </c>
    </row>
    <row r="3" spans="1:41" x14ac:dyDescent="0.35">
      <c r="A3" t="s">
        <v>195</v>
      </c>
      <c r="B3" s="10" t="s">
        <v>271</v>
      </c>
      <c r="C3" s="10" t="s">
        <v>275</v>
      </c>
      <c r="D3" s="10" t="s">
        <v>272</v>
      </c>
      <c r="E3" s="10" t="s">
        <v>276</v>
      </c>
      <c r="F3">
        <f>0</f>
        <v>0</v>
      </c>
      <c r="G3" t="s">
        <v>212</v>
      </c>
      <c r="H3">
        <v>0</v>
      </c>
      <c r="I3">
        <v>8</v>
      </c>
      <c r="J3">
        <f>J2+1</f>
        <v>1</v>
      </c>
      <c r="K3">
        <f>IF('Pin Detect Programming'!D5='Resistor References'!G2,'Resistor References'!G2,IF('Pin Detect Programming'!D5='Resistor References'!G3,550,275))</f>
        <v>275</v>
      </c>
      <c r="L3">
        <f>0</f>
        <v>0</v>
      </c>
      <c r="M3">
        <v>0.5</v>
      </c>
      <c r="N3">
        <f>0</f>
        <v>0</v>
      </c>
      <c r="O3" t="str">
        <f>VLOOKUP('Pin Detect Programming'!C2,'Resistor References'!A2:E4,2,FALSE)</f>
        <v>40/52</v>
      </c>
      <c r="P3">
        <f>0</f>
        <v>0</v>
      </c>
      <c r="Q3">
        <v>1</v>
      </c>
      <c r="R3">
        <f>0</f>
        <v>0</v>
      </c>
      <c r="S3" t="s">
        <v>226</v>
      </c>
      <c r="T3" t="s">
        <v>213</v>
      </c>
      <c r="U3">
        <v>0.5</v>
      </c>
      <c r="V3">
        <v>0.5</v>
      </c>
      <c r="W3">
        <v>0.05</v>
      </c>
      <c r="X3" s="11">
        <f>IF('Pin Detect Programming'!D$10='Resistor References'!S$2,'Resistor References'!S$2,VLOOKUP('Pin Detect Programming'!D$10,'Resistor References'!S$3:W$17,4,FALSE)+Y3*VLOOKUP('Pin Detect Programming'!D$10,'Resistor References'!S$3:W$17,5,FALSE))</f>
        <v>3</v>
      </c>
      <c r="Y3">
        <f>0</f>
        <v>0</v>
      </c>
      <c r="Z3">
        <f>AA3+16</f>
        <v>16</v>
      </c>
      <c r="AA3">
        <f>0</f>
        <v>0</v>
      </c>
      <c r="AB3" t="str">
        <f>IF('Pin Detect Programming'!D13&gt;31.5,"N/A",IF('Pin Detect Programming'!D13='Resistor References'!Z2,"Auto-Detect",IF('Pin Detect Programming'!D9=1,"0, Auto", "Auto-Detect")))</f>
        <v>Auto-Detect</v>
      </c>
      <c r="AC3" t="s">
        <v>249</v>
      </c>
      <c r="AD3" t="s">
        <v>689</v>
      </c>
      <c r="AE3" t="str">
        <f>IF('Pin Detect Programming'!$D$9=3,'Resistor References'!AD3,"N/A")</f>
        <v>N/A</v>
      </c>
      <c r="AF3" t="s">
        <v>688</v>
      </c>
      <c r="AG3" t="s">
        <v>213</v>
      </c>
      <c r="AH3" t="s">
        <v>277</v>
      </c>
      <c r="AI3" t="s">
        <v>213</v>
      </c>
      <c r="AJ3" s="11">
        <f>IF('Pin Detect Programming'!D$10='Resistor References'!AH$3,(3277+41*'Resistor References'!G4)*2^-12,IF('Pin Detect Programming'!D$10='Resistor References'!AH$4,(2456+41*G4)*2^-12,IF('Pin Detect Programming'!D$10='Resistor References'!AH$5,(3686+41*G4)*2^-12,IF('Pin Detect Programming'!D$10='Resistor References'!AH$6,(4921+82*G4)*2^-12,IF('Pin Detect Programming'!D$10='Resistor References'!AH$7,(7372+82*G4)*2^-12,IF('Pin Detect Programming'!D$10='Resistor References'!AH$8,(9906+164*G4)*2^-12,IF('Pin Detect Programming'!D$10='Resistor References'!AH$9,(14826+164*G4)*2^-12,IF('Pin Detect Programming'!D$10='Resistor References'!AH$10,(14941+164*G4)*2^-12,IF('Pin Detect Programming'!D$10='Resistor References'!AH$11,(19861+164*G4)*2^-12,0)))))))))</f>
        <v>0</v>
      </c>
      <c r="AK3">
        <v>0</v>
      </c>
      <c r="AN3" t="s">
        <v>213</v>
      </c>
      <c r="AO3" t="s">
        <v>38</v>
      </c>
    </row>
    <row r="4" spans="1:41" x14ac:dyDescent="0.35">
      <c r="A4" t="s">
        <v>196</v>
      </c>
      <c r="B4" s="10" t="s">
        <v>272</v>
      </c>
      <c r="C4" s="10" t="s">
        <v>278</v>
      </c>
      <c r="D4" s="10" t="s">
        <v>276</v>
      </c>
      <c r="E4" s="10" t="s">
        <v>279</v>
      </c>
      <c r="F4">
        <f>F3+1</f>
        <v>1</v>
      </c>
      <c r="G4" s="12">
        <v>0</v>
      </c>
      <c r="H4">
        <f>0</f>
        <v>0</v>
      </c>
      <c r="I4">
        <v>9</v>
      </c>
      <c r="J4">
        <f t="shared" ref="J4:J17" si="0">J3+1</f>
        <v>2</v>
      </c>
      <c r="K4">
        <f>IF('Pin Detect Programming'!D5='Resistor References'!G2,'Resistor References'!G2,IF('Pin Detect Programming'!D5='Resistor References'!G3,550,325))</f>
        <v>325</v>
      </c>
      <c r="L4">
        <f>L3+1</f>
        <v>1</v>
      </c>
      <c r="M4">
        <v>1</v>
      </c>
      <c r="N4">
        <f>N3+1</f>
        <v>1</v>
      </c>
      <c r="O4" t="str">
        <f>VLOOKUP('Pin Detect Programming'!C2,'Resistor References'!A2:E4,3,FALSE)</f>
        <v>30/39</v>
      </c>
      <c r="P4">
        <f>P3+1</f>
        <v>1</v>
      </c>
      <c r="Q4">
        <v>2</v>
      </c>
      <c r="R4">
        <f>R3+1</f>
        <v>1</v>
      </c>
      <c r="S4" t="s">
        <v>280</v>
      </c>
      <c r="T4">
        <v>0</v>
      </c>
      <c r="U4">
        <v>0.5</v>
      </c>
      <c r="V4">
        <v>0.6</v>
      </c>
      <c r="W4">
        <v>0.01</v>
      </c>
      <c r="X4" s="11">
        <f>IF('Pin Detect Programming'!D$10='Resistor References'!S$2,'Resistor References'!S$2,VLOOKUP('Pin Detect Programming'!D$10,'Resistor References'!S$3:W$17,4,FALSE)+Y4*VLOOKUP('Pin Detect Programming'!D$10,'Resistor References'!S$3:W$17,5,FALSE))</f>
        <v>3.04</v>
      </c>
      <c r="Y4">
        <f>Y3+1</f>
        <v>1</v>
      </c>
      <c r="Z4">
        <f t="shared" ref="Z4:Z32" si="1">AA4+16</f>
        <v>17</v>
      </c>
      <c r="AA4">
        <f>AA3+1</f>
        <v>1</v>
      </c>
      <c r="AB4" t="str">
        <f>IF('Pin Detect Programming'!D13='Resistor References'!Z2,"Auto-Detect",IF('Pin Detect Programming'!D9=1,"0, In","SYNC In"))</f>
        <v>SYNC In</v>
      </c>
      <c r="AC4">
        <v>0</v>
      </c>
      <c r="AD4" t="s">
        <v>690</v>
      </c>
      <c r="AE4" t="str">
        <f>IF('Pin Detect Programming'!$D$9=4,'Resistor References'!AD4,"N/A")</f>
        <v>90°, 4</v>
      </c>
      <c r="AF4" t="s">
        <v>222</v>
      </c>
      <c r="AG4" t="s">
        <v>222</v>
      </c>
      <c r="AH4" t="s">
        <v>281</v>
      </c>
      <c r="AI4">
        <v>0</v>
      </c>
      <c r="AJ4" s="11">
        <f>IF('Pin Detect Programming'!D$10='Resistor References'!AH$3,(3277+41*'Resistor References'!G5)*2^-12,IF('Pin Detect Programming'!D$10='Resistor References'!AH$4,(2456+41*G5)*2^-12,IF('Pin Detect Programming'!D$10='Resistor References'!AH$5,(3686+41*G5)*2^-12,IF('Pin Detect Programming'!D$10='Resistor References'!AH$6,(4921+82*G5)*2^-12,IF('Pin Detect Programming'!D$10='Resistor References'!AH$7,(7372+82*G5)*2^-12,IF('Pin Detect Programming'!D$10='Resistor References'!AH$8,(9906+164*G5)*2^-12,IF('Pin Detect Programming'!D$10='Resistor References'!AH$9,(14826+164*G5)*2^-12,IF('Pin Detect Programming'!D$10='Resistor References'!AH$10,(14941+164*G5)*2^-12,IF('Pin Detect Programming'!D$10='Resistor References'!AH$11,(19861+164*G5)*2^-12,0)))))))))</f>
        <v>0</v>
      </c>
      <c r="AK4">
        <f>AK3+1</f>
        <v>1</v>
      </c>
      <c r="AN4">
        <v>0</v>
      </c>
      <c r="AO4">
        <f>I2</f>
        <v>7</v>
      </c>
    </row>
    <row r="5" spans="1:41" x14ac:dyDescent="0.35">
      <c r="F5">
        <f t="shared" ref="F5:P20" si="2">F4+1</f>
        <v>2</v>
      </c>
      <c r="G5">
        <f>G4+1</f>
        <v>1</v>
      </c>
      <c r="H5">
        <f>H4+1</f>
        <v>1</v>
      </c>
      <c r="I5">
        <v>10</v>
      </c>
      <c r="J5">
        <f t="shared" si="0"/>
        <v>3</v>
      </c>
      <c r="K5">
        <f>IF('Pin Detect Programming'!D5='Resistor References'!G2,'Resistor References'!G2,IF('Pin Detect Programming'!D5='Resistor References'!G3,550,450))</f>
        <v>450</v>
      </c>
      <c r="L5">
        <f t="shared" si="2"/>
        <v>2</v>
      </c>
      <c r="M5">
        <v>3</v>
      </c>
      <c r="N5">
        <f t="shared" si="2"/>
        <v>2</v>
      </c>
      <c r="O5" t="str">
        <f>VLOOKUP('Pin Detect Programming'!C2,'Resistor References'!A2:E4,4,FALSE)</f>
        <v>20/26</v>
      </c>
      <c r="P5">
        <f t="shared" si="2"/>
        <v>2</v>
      </c>
      <c r="Q5">
        <v>3</v>
      </c>
      <c r="R5">
        <f t="shared" ref="R5:R6" si="3">R4+1</f>
        <v>2</v>
      </c>
      <c r="S5" t="s">
        <v>282</v>
      </c>
      <c r="T5">
        <f t="shared" ref="T5:T14" si="4">T4+1</f>
        <v>1</v>
      </c>
      <c r="U5">
        <v>0.5</v>
      </c>
      <c r="V5">
        <v>0.75</v>
      </c>
      <c r="W5">
        <v>0.01</v>
      </c>
      <c r="X5" s="11">
        <f>IF('Pin Detect Programming'!D$10='Resistor References'!S$2,'Resistor References'!S$2,VLOOKUP('Pin Detect Programming'!D$10,'Resistor References'!S$3:W$17,4,FALSE)+Y5*VLOOKUP('Pin Detect Programming'!D$10,'Resistor References'!S$3:W$17,5,FALSE))</f>
        <v>3.08</v>
      </c>
      <c r="Y5">
        <f t="shared" ref="Y5:Y18" si="5">Y4+1</f>
        <v>2</v>
      </c>
      <c r="Z5">
        <f t="shared" si="1"/>
        <v>18</v>
      </c>
      <c r="AA5">
        <f t="shared" ref="AA5:AA32" si="6">AA4+1</f>
        <v>2</v>
      </c>
      <c r="AB5" t="str">
        <f>IF('Pin Detect Programming'!D13='Resistor References'!Z2,"Auto-Detect",IF('Pin Detect Programming'!D9=1,"90, In","SYNC In"))</f>
        <v>SYNC In</v>
      </c>
      <c r="AC5">
        <f t="shared" ref="AC5:AC11" si="7">AC4+1</f>
        <v>1</v>
      </c>
      <c r="AD5" t="s">
        <v>691</v>
      </c>
      <c r="AE5" t="str">
        <f>IF('Pin Detect Programming'!$D$9=3,'Resistor References'!AD5,"N/A")</f>
        <v>N/A</v>
      </c>
      <c r="AF5" t="s">
        <v>690</v>
      </c>
      <c r="AG5">
        <v>1</v>
      </c>
      <c r="AH5" t="s">
        <v>283</v>
      </c>
      <c r="AI5">
        <v>1</v>
      </c>
      <c r="AJ5" s="11">
        <f>IF('Pin Detect Programming'!D$10='Resistor References'!AH$3,(3277+41*'Resistor References'!G6)*2^-12,IF('Pin Detect Programming'!D$10='Resistor References'!AH$4,(2456+41*G6)*2^-12,IF('Pin Detect Programming'!D$10='Resistor References'!AH$5,(3686+41*G6)*2^-12,IF('Pin Detect Programming'!D$10='Resistor References'!AH$6,(4921+82*G6)*2^-12,IF('Pin Detect Programming'!D$10='Resistor References'!AH$7,(7372+82*G6)*2^-12,IF('Pin Detect Programming'!D$10='Resistor References'!AH$8,(9906+164*G6)*2^-12,IF('Pin Detect Programming'!D$10='Resistor References'!AH$9,(14826+164*G6)*2^-12,IF('Pin Detect Programming'!D$10='Resistor References'!AH$10,(14941+164*G6)*2^-12,IF('Pin Detect Programming'!D$10='Resistor References'!AH$11,(19861+164*G6)*2^-12,0)))))))))</f>
        <v>0</v>
      </c>
      <c r="AK5">
        <f t="shared" ref="AK5:AK32" si="8">AK4+1</f>
        <v>2</v>
      </c>
      <c r="AN5">
        <f>AN4+1</f>
        <v>1</v>
      </c>
      <c r="AO5">
        <f t="shared" ref="AO5:AO19" si="9">I3</f>
        <v>8</v>
      </c>
    </row>
    <row r="6" spans="1:41" x14ac:dyDescent="0.35">
      <c r="F6">
        <f t="shared" si="2"/>
        <v>3</v>
      </c>
      <c r="G6">
        <f t="shared" si="2"/>
        <v>2</v>
      </c>
      <c r="H6">
        <f t="shared" si="2"/>
        <v>2</v>
      </c>
      <c r="I6">
        <f>I2+5</f>
        <v>12</v>
      </c>
      <c r="J6">
        <f t="shared" si="0"/>
        <v>4</v>
      </c>
      <c r="K6">
        <f>IF('Pin Detect Programming'!D5='Resistor References'!G2,'Resistor References'!G2,IF('Pin Detect Programming'!D5='Resistor References'!G3,550,550))</f>
        <v>550</v>
      </c>
      <c r="L6">
        <f t="shared" si="2"/>
        <v>3</v>
      </c>
      <c r="M6">
        <v>5</v>
      </c>
      <c r="N6">
        <f t="shared" si="2"/>
        <v>3</v>
      </c>
      <c r="O6" s="12" t="str">
        <f>VLOOKUP('Pin Detect Programming'!C2,'Resistor References'!A2:E4,5,FALSE)</f>
        <v>10/14</v>
      </c>
      <c r="P6">
        <f t="shared" si="2"/>
        <v>3</v>
      </c>
      <c r="Q6">
        <v>4</v>
      </c>
      <c r="R6">
        <f t="shared" si="3"/>
        <v>3</v>
      </c>
      <c r="S6" t="s">
        <v>284</v>
      </c>
      <c r="T6">
        <f t="shared" si="4"/>
        <v>2</v>
      </c>
      <c r="U6">
        <v>0.5</v>
      </c>
      <c r="V6">
        <v>0.9</v>
      </c>
      <c r="W6">
        <v>0.01</v>
      </c>
      <c r="X6" s="11">
        <f>IF('Pin Detect Programming'!D$10='Resistor References'!S$2,'Resistor References'!S$2,VLOOKUP('Pin Detect Programming'!D$10,'Resistor References'!S$3:W$17,4,FALSE)+Y6*VLOOKUP('Pin Detect Programming'!D$10,'Resistor References'!S$3:W$17,5,FALSE))</f>
        <v>3.12</v>
      </c>
      <c r="Y6">
        <f t="shared" si="5"/>
        <v>3</v>
      </c>
      <c r="Z6">
        <f t="shared" si="1"/>
        <v>19</v>
      </c>
      <c r="AA6">
        <f t="shared" si="6"/>
        <v>3</v>
      </c>
      <c r="AB6" t="str">
        <f>IF('Pin Detect Programming'!D13='Resistor References'!Z2,"Auto-Detect",IF('Pin Detect Programming'!D9=1,"120, In","SYNC In"))</f>
        <v>SYNC In</v>
      </c>
      <c r="AC6">
        <f t="shared" si="7"/>
        <v>2</v>
      </c>
      <c r="AD6" t="s">
        <v>692</v>
      </c>
      <c r="AE6" t="str">
        <f>IF('Pin Detect Programming'!$D$9=4,'Resistor References'!AD6,"N/A")</f>
        <v>180°, 4</v>
      </c>
      <c r="AF6" t="s">
        <v>689</v>
      </c>
      <c r="AG6">
        <v>2</v>
      </c>
      <c r="AH6" t="s">
        <v>285</v>
      </c>
      <c r="AI6">
        <v>2</v>
      </c>
      <c r="AJ6" s="11">
        <f>IF('Pin Detect Programming'!D$10='Resistor References'!AH$3,(3277+41*'Resistor References'!G7)*2^-12,IF('Pin Detect Programming'!D$10='Resistor References'!AH$4,(2456+41*G7)*2^-12,IF('Pin Detect Programming'!D$10='Resistor References'!AH$5,(3686+41*G7)*2^-12,IF('Pin Detect Programming'!D$10='Resistor References'!AH$6,(4921+82*G7)*2^-12,IF('Pin Detect Programming'!D$10='Resistor References'!AH$7,(7372+82*G7)*2^-12,IF('Pin Detect Programming'!D$10='Resistor References'!AH$8,(9906+164*G7)*2^-12,IF('Pin Detect Programming'!D$10='Resistor References'!AH$9,(14826+164*G7)*2^-12,IF('Pin Detect Programming'!D$10='Resistor References'!AH$10,(14941+164*G7)*2^-12,IF('Pin Detect Programming'!D$10='Resistor References'!AH$11,(19861+164*G7)*2^-12,0)))))))))</f>
        <v>0</v>
      </c>
      <c r="AK6">
        <f t="shared" si="8"/>
        <v>3</v>
      </c>
      <c r="AN6">
        <f t="shared" ref="AN6:AN19" si="10">AN5+1</f>
        <v>2</v>
      </c>
      <c r="AO6">
        <f t="shared" si="9"/>
        <v>9</v>
      </c>
    </row>
    <row r="7" spans="1:41" x14ac:dyDescent="0.35">
      <c r="F7">
        <f t="shared" si="2"/>
        <v>4</v>
      </c>
      <c r="G7">
        <f t="shared" si="2"/>
        <v>3</v>
      </c>
      <c r="H7">
        <f t="shared" si="2"/>
        <v>3</v>
      </c>
      <c r="I7">
        <f t="shared" ref="I7:I17" si="11">I3+5</f>
        <v>13</v>
      </c>
      <c r="J7">
        <f t="shared" si="0"/>
        <v>5</v>
      </c>
      <c r="K7">
        <f>IF('Pin Detect Programming'!D5='Resistor References'!G2,'Resistor References'!G2,IF('Pin Detect Programming'!D5='Resistor References'!G3,550,650))</f>
        <v>650</v>
      </c>
      <c r="L7">
        <f t="shared" si="2"/>
        <v>4</v>
      </c>
      <c r="M7">
        <v>7</v>
      </c>
      <c r="N7">
        <f t="shared" si="2"/>
        <v>4</v>
      </c>
      <c r="S7" t="s">
        <v>286</v>
      </c>
      <c r="T7">
        <f t="shared" si="4"/>
        <v>3</v>
      </c>
      <c r="U7">
        <v>0.5</v>
      </c>
      <c r="V7">
        <v>1.05</v>
      </c>
      <c r="W7">
        <v>0.01</v>
      </c>
      <c r="X7" s="11">
        <f>IF('Pin Detect Programming'!D$10='Resistor References'!S$2,'Resistor References'!S$2,VLOOKUP('Pin Detect Programming'!D$10,'Resistor References'!S$3:W$17,4,FALSE)+Y7*VLOOKUP('Pin Detect Programming'!D$10,'Resistor References'!S$3:W$17,5,FALSE))</f>
        <v>3.16</v>
      </c>
      <c r="Y7">
        <f t="shared" si="5"/>
        <v>4</v>
      </c>
      <c r="Z7">
        <f t="shared" si="1"/>
        <v>20</v>
      </c>
      <c r="AA7">
        <f t="shared" si="6"/>
        <v>4</v>
      </c>
      <c r="AB7" t="str">
        <f>IF('Pin Detect Programming'!D13='Resistor References'!Z2,"Auto-Detect",IF('Pin Detect Programming'!D9=1,"180, In","SYNC In"))</f>
        <v>SYNC In</v>
      </c>
      <c r="AC7">
        <f t="shared" si="7"/>
        <v>3</v>
      </c>
      <c r="AD7" t="s">
        <v>693</v>
      </c>
      <c r="AE7" t="str">
        <f>IF('Pin Detect Programming'!$D$9=4,'Resistor References'!AD7,"N/A")</f>
        <v>270°, 4</v>
      </c>
      <c r="AF7" t="s">
        <v>688</v>
      </c>
      <c r="AG7">
        <v>3</v>
      </c>
      <c r="AH7" t="s">
        <v>287</v>
      </c>
      <c r="AI7">
        <v>3</v>
      </c>
      <c r="AJ7" s="11">
        <f>IF('Pin Detect Programming'!D$10='Resistor References'!AH$3,(3277+41*'Resistor References'!G8)*2^-12,IF('Pin Detect Programming'!D$10='Resistor References'!AH$4,(2456+41*G8)*2^-12,IF('Pin Detect Programming'!D$10='Resistor References'!AH$5,(3686+41*G8)*2^-12,IF('Pin Detect Programming'!D$10='Resistor References'!AH$6,(4921+82*G8)*2^-12,IF('Pin Detect Programming'!D$10='Resistor References'!AH$7,(7372+82*G8)*2^-12,IF('Pin Detect Programming'!D$10='Resistor References'!AH$8,(9906+164*G8)*2^-12,IF('Pin Detect Programming'!D$10='Resistor References'!AH$9,(14826+164*G8)*2^-12,IF('Pin Detect Programming'!D$10='Resistor References'!AH$10,(14941+164*G8)*2^-12,IF('Pin Detect Programming'!D$10='Resistor References'!AH$11,(19861+164*G8)*2^-12,0)))))))))</f>
        <v>0</v>
      </c>
      <c r="AK7">
        <f t="shared" si="8"/>
        <v>4</v>
      </c>
      <c r="AN7">
        <f t="shared" si="10"/>
        <v>3</v>
      </c>
      <c r="AO7">
        <f t="shared" si="9"/>
        <v>10</v>
      </c>
    </row>
    <row r="8" spans="1:41" x14ac:dyDescent="0.35">
      <c r="F8">
        <f t="shared" si="2"/>
        <v>5</v>
      </c>
      <c r="G8">
        <f t="shared" si="2"/>
        <v>4</v>
      </c>
      <c r="H8">
        <f t="shared" si="2"/>
        <v>4</v>
      </c>
      <c r="I8">
        <f t="shared" si="11"/>
        <v>14</v>
      </c>
      <c r="J8">
        <f t="shared" si="0"/>
        <v>6</v>
      </c>
      <c r="K8">
        <f>IF('Pin Detect Programming'!D5='Resistor References'!G2,'Resistor References'!G2,IF('Pin Detect Programming'!D5='Resistor References'!G3,550,900))</f>
        <v>900</v>
      </c>
      <c r="L8">
        <f t="shared" si="2"/>
        <v>5</v>
      </c>
      <c r="M8">
        <v>10</v>
      </c>
      <c r="N8">
        <f t="shared" si="2"/>
        <v>5</v>
      </c>
      <c r="S8" t="s">
        <v>288</v>
      </c>
      <c r="T8">
        <f t="shared" si="4"/>
        <v>4</v>
      </c>
      <c r="U8">
        <v>0.25</v>
      </c>
      <c r="V8">
        <v>1.2</v>
      </c>
      <c r="W8">
        <v>0.02</v>
      </c>
      <c r="X8" s="11">
        <f>IF('Pin Detect Programming'!D$10='Resistor References'!S$2,'Resistor References'!S$2,VLOOKUP('Pin Detect Programming'!D$10,'Resistor References'!S$3:W$17,4,FALSE)+Y8*VLOOKUP('Pin Detect Programming'!D$10,'Resistor References'!S$3:W$17,5,FALSE))</f>
        <v>3.2</v>
      </c>
      <c r="Y8">
        <f t="shared" si="5"/>
        <v>5</v>
      </c>
      <c r="Z8">
        <f t="shared" si="1"/>
        <v>21</v>
      </c>
      <c r="AA8">
        <f t="shared" si="6"/>
        <v>5</v>
      </c>
      <c r="AB8" t="str">
        <f>IF('Pin Detect Programming'!D13='Resistor References'!Z2,"Auto-Detect",IF('Pin Detect Programming'!D9=1,"240, In","SYNC In"))</f>
        <v>SYNC In</v>
      </c>
      <c r="AC8">
        <f t="shared" si="7"/>
        <v>4</v>
      </c>
      <c r="AF8" t="s">
        <v>691</v>
      </c>
      <c r="AG8">
        <v>4</v>
      </c>
      <c r="AH8" t="s">
        <v>289</v>
      </c>
      <c r="AI8">
        <v>4</v>
      </c>
      <c r="AJ8" s="11">
        <f>IF('Pin Detect Programming'!D$10='Resistor References'!AH$3,(3277+41*'Resistor References'!G9)*2^-12,IF('Pin Detect Programming'!D$10='Resistor References'!AH$4,(2456+41*G9)*2^-12,IF('Pin Detect Programming'!D$10='Resistor References'!AH$5,(3686+41*G9)*2^-12,IF('Pin Detect Programming'!D$10='Resistor References'!AH$6,(4921+82*G9)*2^-12,IF('Pin Detect Programming'!D$10='Resistor References'!AH$7,(7372+82*G9)*2^-12,IF('Pin Detect Programming'!D$10='Resistor References'!AH$8,(9906+164*G9)*2^-12,IF('Pin Detect Programming'!D$10='Resistor References'!AH$9,(14826+164*G9)*2^-12,IF('Pin Detect Programming'!D$10='Resistor References'!AH$10,(14941+164*G9)*2^-12,IF('Pin Detect Programming'!D$10='Resistor References'!AH$11,(19861+164*G9)*2^-12,0)))))))))</f>
        <v>0</v>
      </c>
      <c r="AK8">
        <f t="shared" si="8"/>
        <v>5</v>
      </c>
      <c r="AN8">
        <f t="shared" si="10"/>
        <v>4</v>
      </c>
      <c r="AO8">
        <f t="shared" si="9"/>
        <v>12</v>
      </c>
    </row>
    <row r="9" spans="1:41" x14ac:dyDescent="0.35">
      <c r="F9">
        <f t="shared" si="2"/>
        <v>6</v>
      </c>
      <c r="G9">
        <f t="shared" si="2"/>
        <v>5</v>
      </c>
      <c r="H9">
        <f t="shared" si="2"/>
        <v>5</v>
      </c>
      <c r="I9">
        <f t="shared" si="11"/>
        <v>15</v>
      </c>
      <c r="J9">
        <f t="shared" si="0"/>
        <v>7</v>
      </c>
      <c r="K9">
        <f>IF('Pin Detect Programming'!D5='Resistor References'!G2,'Resistor References'!G2,IF('Pin Detect Programming'!D5='Resistor References'!G3,550,1100))</f>
        <v>1100</v>
      </c>
      <c r="L9">
        <f t="shared" si="2"/>
        <v>6</v>
      </c>
      <c r="M9">
        <v>20</v>
      </c>
      <c r="N9">
        <f t="shared" si="2"/>
        <v>6</v>
      </c>
      <c r="S9" t="s">
        <v>290</v>
      </c>
      <c r="T9">
        <f t="shared" si="4"/>
        <v>5</v>
      </c>
      <c r="U9">
        <v>0.25</v>
      </c>
      <c r="V9">
        <v>1.5</v>
      </c>
      <c r="W9">
        <v>0.02</v>
      </c>
      <c r="X9" s="11">
        <f>IF('Pin Detect Programming'!D$10='Resistor References'!S$2,'Resistor References'!S$2,VLOOKUP('Pin Detect Programming'!D$10,'Resistor References'!S$3:W$17,4,FALSE)+Y9*VLOOKUP('Pin Detect Programming'!D$10,'Resistor References'!S$3:W$17,5,FALSE))</f>
        <v>3.24</v>
      </c>
      <c r="Y9">
        <f t="shared" si="5"/>
        <v>6</v>
      </c>
      <c r="Z9">
        <f t="shared" si="1"/>
        <v>22</v>
      </c>
      <c r="AA9">
        <f t="shared" si="6"/>
        <v>6</v>
      </c>
      <c r="AB9" t="str">
        <f>IF('Pin Detect Programming'!D13='Resistor References'!Z2,"Auto-Detect",IF('Pin Detect Programming'!D9=1,"270, In","SYNC In"))</f>
        <v>SYNC In</v>
      </c>
      <c r="AC9">
        <f t="shared" si="7"/>
        <v>5</v>
      </c>
      <c r="AF9" t="s">
        <v>693</v>
      </c>
      <c r="AG9">
        <v>5</v>
      </c>
      <c r="AH9" t="s">
        <v>291</v>
      </c>
      <c r="AI9">
        <v>5</v>
      </c>
      <c r="AJ9" s="11">
        <f>IF('Pin Detect Programming'!D$10='Resistor References'!AH$3,(3277+41*'Resistor References'!G10)*2^-12,IF('Pin Detect Programming'!D$10='Resistor References'!AH$4,(2456+41*G10)*2^-12,IF('Pin Detect Programming'!D$10='Resistor References'!AH$5,(3686+41*G10)*2^-12,IF('Pin Detect Programming'!D$10='Resistor References'!AH$6,(4921+82*G10)*2^-12,IF('Pin Detect Programming'!D$10='Resistor References'!AH$7,(7372+82*G10)*2^-12,IF('Pin Detect Programming'!D$10='Resistor References'!AH$8,(9906+164*G10)*2^-12,IF('Pin Detect Programming'!D$10='Resistor References'!AH$9,(14826+164*G10)*2^-12,IF('Pin Detect Programming'!D$10='Resistor References'!AH$10,(14941+164*G10)*2^-12,IF('Pin Detect Programming'!D$10='Resistor References'!AH$11,(19861+164*G10)*2^-12,0)))))))))</f>
        <v>0</v>
      </c>
      <c r="AK9">
        <f t="shared" si="8"/>
        <v>6</v>
      </c>
      <c r="AN9">
        <f t="shared" si="10"/>
        <v>5</v>
      </c>
      <c r="AO9">
        <f t="shared" si="9"/>
        <v>13</v>
      </c>
    </row>
    <row r="10" spans="1:41" ht="15" x14ac:dyDescent="0.25">
      <c r="F10">
        <f t="shared" si="2"/>
        <v>7</v>
      </c>
      <c r="G10">
        <f t="shared" si="2"/>
        <v>6</v>
      </c>
      <c r="H10">
        <f t="shared" si="2"/>
        <v>6</v>
      </c>
      <c r="I10">
        <f t="shared" si="11"/>
        <v>17</v>
      </c>
      <c r="J10">
        <f t="shared" si="0"/>
        <v>8</v>
      </c>
      <c r="K10">
        <f>IF('Pin Detect Programming'!D5='Resistor References'!G2,'Resistor References'!G2,IF('Pin Detect Programming'!D5='Resistor References'!G3,550,1500))</f>
        <v>1500</v>
      </c>
      <c r="L10">
        <f t="shared" si="2"/>
        <v>7</v>
      </c>
      <c r="M10">
        <v>31.75</v>
      </c>
      <c r="N10">
        <f t="shared" si="2"/>
        <v>7</v>
      </c>
      <c r="S10" t="s">
        <v>292</v>
      </c>
      <c r="T10">
        <f t="shared" si="4"/>
        <v>6</v>
      </c>
      <c r="U10">
        <v>0.25</v>
      </c>
      <c r="V10">
        <v>1.8</v>
      </c>
      <c r="W10">
        <v>0.02</v>
      </c>
      <c r="X10" s="11">
        <f>IF('Pin Detect Programming'!D$10='Resistor References'!S$2,'Resistor References'!S$2,VLOOKUP('Pin Detect Programming'!D$10,'Resistor References'!S$3:W$17,4,FALSE)+Y10*VLOOKUP('Pin Detect Programming'!D$10,'Resistor References'!S$3:W$17,5,FALSE))</f>
        <v>3.2800000000000002</v>
      </c>
      <c r="Y10">
        <f t="shared" si="5"/>
        <v>7</v>
      </c>
      <c r="Z10">
        <f t="shared" si="1"/>
        <v>23</v>
      </c>
      <c r="AA10">
        <f t="shared" si="6"/>
        <v>7</v>
      </c>
      <c r="AB10" t="str">
        <f>IF('Pin Detect Programming'!D13='Resistor References'!Z2,"Auto-Detect",IF('Pin Detect Programming'!D9=1,"0, Out","SYNC Out"))</f>
        <v>SYNC Out</v>
      </c>
      <c r="AC10">
        <f t="shared" si="7"/>
        <v>6</v>
      </c>
      <c r="AF10" t="s">
        <v>222</v>
      </c>
      <c r="AG10" t="s">
        <v>222</v>
      </c>
      <c r="AH10" t="s">
        <v>293</v>
      </c>
      <c r="AI10">
        <v>6</v>
      </c>
      <c r="AJ10" s="11">
        <f>IF('Pin Detect Programming'!D$10='Resistor References'!AH$3,(3277+41*'Resistor References'!G11)*2^-12,IF('Pin Detect Programming'!D$10='Resistor References'!AH$4,(2456+41*G11)*2^-12,IF('Pin Detect Programming'!D$10='Resistor References'!AH$5,(3686+41*G11)*2^-12,IF('Pin Detect Programming'!D$10='Resistor References'!AH$6,(4921+82*G11)*2^-12,IF('Pin Detect Programming'!D$10='Resistor References'!AH$7,(7372+82*G11)*2^-12,IF('Pin Detect Programming'!D$10='Resistor References'!AH$8,(9906+164*G11)*2^-12,IF('Pin Detect Programming'!D$10='Resistor References'!AH$9,(14826+164*G11)*2^-12,IF('Pin Detect Programming'!D$10='Resistor References'!AH$10,(14941+164*G11)*2^-12,IF('Pin Detect Programming'!D$10='Resistor References'!AH$11,(19861+164*G11)*2^-12,0)))))))))</f>
        <v>0</v>
      </c>
      <c r="AK10">
        <f t="shared" si="8"/>
        <v>7</v>
      </c>
      <c r="AN10">
        <f t="shared" si="10"/>
        <v>6</v>
      </c>
      <c r="AO10">
        <f t="shared" si="9"/>
        <v>14</v>
      </c>
    </row>
    <row r="11" spans="1:41" x14ac:dyDescent="0.35">
      <c r="F11">
        <f t="shared" si="2"/>
        <v>8</v>
      </c>
      <c r="G11">
        <f t="shared" si="2"/>
        <v>7</v>
      </c>
      <c r="H11">
        <f t="shared" si="2"/>
        <v>7</v>
      </c>
      <c r="I11">
        <f t="shared" si="11"/>
        <v>18</v>
      </c>
      <c r="J11">
        <f t="shared" si="0"/>
        <v>9</v>
      </c>
      <c r="S11" t="s">
        <v>294</v>
      </c>
      <c r="T11">
        <f t="shared" si="4"/>
        <v>7</v>
      </c>
      <c r="U11">
        <v>0.25</v>
      </c>
      <c r="V11">
        <v>2.1</v>
      </c>
      <c r="W11">
        <v>0.02</v>
      </c>
      <c r="X11" s="11">
        <f>IF('Pin Detect Programming'!D$10='Resistor References'!S$2,'Resistor References'!S$2,VLOOKUP('Pin Detect Programming'!D$10,'Resistor References'!S$3:W$17,4,FALSE)+Y11*VLOOKUP('Pin Detect Programming'!D$10,'Resistor References'!S$3:W$17,5,FALSE))</f>
        <v>3.32</v>
      </c>
      <c r="Y11">
        <f t="shared" si="5"/>
        <v>8</v>
      </c>
      <c r="Z11">
        <f t="shared" si="1"/>
        <v>24</v>
      </c>
      <c r="AA11">
        <f t="shared" si="6"/>
        <v>8</v>
      </c>
      <c r="AB11" t="str">
        <f>IF('Pin Detect Programming'!D13='Resistor References'!Z2,"Auto-Detect",IF('Pin Detect Programming'!D9=1,"180, Out","SYNC Out"))</f>
        <v>SYNC Out</v>
      </c>
      <c r="AC11">
        <f t="shared" si="7"/>
        <v>7</v>
      </c>
      <c r="AF11" t="s">
        <v>692</v>
      </c>
      <c r="AG11">
        <v>7</v>
      </c>
      <c r="AH11" t="s">
        <v>295</v>
      </c>
      <c r="AI11">
        <v>7</v>
      </c>
      <c r="AJ11" s="11">
        <f>IF('Pin Detect Programming'!D$10='Resistor References'!AH$3,(3277+41*'Resistor References'!G12)*2^-12,IF('Pin Detect Programming'!D$10='Resistor References'!AH$4,(2456+41*G12)*2^-12,IF('Pin Detect Programming'!D$10='Resistor References'!AH$5,(3686+41*G12)*2^-12,IF('Pin Detect Programming'!D$10='Resistor References'!AH$6,(4921+82*G12)*2^-12,IF('Pin Detect Programming'!D$10='Resistor References'!AH$7,(7372+82*G12)*2^-12,IF('Pin Detect Programming'!D$10='Resistor References'!AH$8,(9906+164*G12)*2^-12,IF('Pin Detect Programming'!D$10='Resistor References'!AH$9,(14826+164*G12)*2^-12,IF('Pin Detect Programming'!D$10='Resistor References'!AH$10,(14941+164*G12)*2^-12,IF('Pin Detect Programming'!D$10='Resistor References'!AH$11,(19861+164*G12)*2^-12,0)))))))))</f>
        <v>0</v>
      </c>
      <c r="AK11">
        <f t="shared" si="8"/>
        <v>8</v>
      </c>
      <c r="AN11">
        <f t="shared" si="10"/>
        <v>7</v>
      </c>
      <c r="AO11">
        <f t="shared" si="9"/>
        <v>15</v>
      </c>
    </row>
    <row r="12" spans="1:41" ht="15" x14ac:dyDescent="0.25">
      <c r="F12">
        <f t="shared" si="2"/>
        <v>9</v>
      </c>
      <c r="G12">
        <f t="shared" si="2"/>
        <v>8</v>
      </c>
      <c r="H12">
        <f t="shared" si="2"/>
        <v>8</v>
      </c>
      <c r="I12">
        <f t="shared" si="11"/>
        <v>19</v>
      </c>
      <c r="J12">
        <f t="shared" si="0"/>
        <v>10</v>
      </c>
      <c r="S12" t="s">
        <v>296</v>
      </c>
      <c r="T12">
        <f t="shared" si="4"/>
        <v>8</v>
      </c>
      <c r="U12">
        <v>0.125</v>
      </c>
      <c r="V12">
        <v>2.4</v>
      </c>
      <c r="W12">
        <v>0.04</v>
      </c>
      <c r="X12" s="11">
        <f>IF('Pin Detect Programming'!D$10='Resistor References'!S$2,'Resistor References'!S$2,VLOOKUP('Pin Detect Programming'!D$10,'Resistor References'!S$3:W$17,4,FALSE)+Y12*VLOOKUP('Pin Detect Programming'!D$10,'Resistor References'!S$3:W$17,5,FALSE))</f>
        <v>3.36</v>
      </c>
      <c r="Y12">
        <f t="shared" si="5"/>
        <v>9</v>
      </c>
      <c r="Z12">
        <f t="shared" si="1"/>
        <v>25</v>
      </c>
      <c r="AA12">
        <f t="shared" si="6"/>
        <v>9</v>
      </c>
      <c r="AJ12" s="11">
        <f>IF('Pin Detect Programming'!D$10='Resistor References'!AH$3,(3277+41*'Resistor References'!G13)*2^-12,IF('Pin Detect Programming'!D$10='Resistor References'!AH$4,(2456+41*G13)*2^-12,IF('Pin Detect Programming'!D$10='Resistor References'!AH$5,(3686+41*G13)*2^-12,IF('Pin Detect Programming'!D$10='Resistor References'!AH$6,(4921+82*G13)*2^-12,IF('Pin Detect Programming'!D$10='Resistor References'!AH$7,(7372+82*G13)*2^-12,IF('Pin Detect Programming'!D$10='Resistor References'!AH$8,(9906+164*G13)*2^-12,IF('Pin Detect Programming'!D$10='Resistor References'!AH$9,(14826+164*G13)*2^-12,IF('Pin Detect Programming'!D$10='Resistor References'!AH$10,(14941+164*G13)*2^-12,IF('Pin Detect Programming'!D$10='Resistor References'!AH$11,(19861+164*G13)*2^-12,0)))))))))</f>
        <v>0</v>
      </c>
      <c r="AK12">
        <f t="shared" si="8"/>
        <v>9</v>
      </c>
      <c r="AN12">
        <f t="shared" si="10"/>
        <v>8</v>
      </c>
      <c r="AO12">
        <f t="shared" si="9"/>
        <v>17</v>
      </c>
    </row>
    <row r="13" spans="1:41" ht="15" x14ac:dyDescent="0.25">
      <c r="F13">
        <f t="shared" si="2"/>
        <v>10</v>
      </c>
      <c r="G13">
        <f t="shared" si="2"/>
        <v>9</v>
      </c>
      <c r="H13">
        <f t="shared" si="2"/>
        <v>9</v>
      </c>
      <c r="I13">
        <f t="shared" si="11"/>
        <v>20</v>
      </c>
      <c r="J13">
        <f t="shared" si="0"/>
        <v>11</v>
      </c>
      <c r="S13" t="s">
        <v>297</v>
      </c>
      <c r="T13">
        <f t="shared" si="4"/>
        <v>9</v>
      </c>
      <c r="U13">
        <v>0.125</v>
      </c>
      <c r="V13">
        <v>3</v>
      </c>
      <c r="W13">
        <v>0.04</v>
      </c>
      <c r="X13" s="11">
        <f>IF('Pin Detect Programming'!D$10='Resistor References'!S$2,'Resistor References'!S$2,VLOOKUP('Pin Detect Programming'!D$10,'Resistor References'!S$3:W$17,4,FALSE)+Y13*VLOOKUP('Pin Detect Programming'!D$10,'Resistor References'!S$3:W$17,5,FALSE))</f>
        <v>3.4</v>
      </c>
      <c r="Y13">
        <f t="shared" si="5"/>
        <v>10</v>
      </c>
      <c r="Z13">
        <f t="shared" si="1"/>
        <v>26</v>
      </c>
      <c r="AA13">
        <f t="shared" si="6"/>
        <v>10</v>
      </c>
      <c r="AJ13" s="11">
        <f>IF('Pin Detect Programming'!D$10='Resistor References'!AH$3,(3277+41*'Resistor References'!G14)*2^-12,IF('Pin Detect Programming'!D$10='Resistor References'!AH$4,(2456+41*G14)*2^-12,IF('Pin Detect Programming'!D$10='Resistor References'!AH$5,(3686+41*G14)*2^-12,IF('Pin Detect Programming'!D$10='Resistor References'!AH$6,(4921+82*G14)*2^-12,IF('Pin Detect Programming'!D$10='Resistor References'!AH$7,(7372+82*G14)*2^-12,IF('Pin Detect Programming'!D$10='Resistor References'!AH$8,(9906+164*G14)*2^-12,IF('Pin Detect Programming'!D$10='Resistor References'!AH$9,(14826+164*G14)*2^-12,IF('Pin Detect Programming'!D$10='Resistor References'!AH$10,(14941+164*G14)*2^-12,IF('Pin Detect Programming'!D$10='Resistor References'!AH$11,(19861+164*G14)*2^-12,0)))))))))</f>
        <v>0</v>
      </c>
      <c r="AK13">
        <f t="shared" si="8"/>
        <v>10</v>
      </c>
      <c r="AN13">
        <f t="shared" si="10"/>
        <v>9</v>
      </c>
      <c r="AO13">
        <f t="shared" si="9"/>
        <v>18</v>
      </c>
    </row>
    <row r="14" spans="1:41" ht="15" x14ac:dyDescent="0.25">
      <c r="F14">
        <f t="shared" si="2"/>
        <v>11</v>
      </c>
      <c r="G14">
        <f t="shared" si="2"/>
        <v>10</v>
      </c>
      <c r="H14">
        <f t="shared" si="2"/>
        <v>10</v>
      </c>
      <c r="I14">
        <f t="shared" si="11"/>
        <v>22</v>
      </c>
      <c r="J14">
        <f t="shared" si="0"/>
        <v>12</v>
      </c>
      <c r="S14" t="s">
        <v>298</v>
      </c>
      <c r="T14">
        <f t="shared" si="4"/>
        <v>10</v>
      </c>
      <c r="U14">
        <v>0.125</v>
      </c>
      <c r="V14">
        <v>3.6</v>
      </c>
      <c r="W14">
        <v>0.04</v>
      </c>
      <c r="X14" s="11">
        <f>IF('Pin Detect Programming'!D$10='Resistor References'!S$2,'Resistor References'!S$2,VLOOKUP('Pin Detect Programming'!D$10,'Resistor References'!S$3:W$17,4,FALSE)+Y14*VLOOKUP('Pin Detect Programming'!D$10,'Resistor References'!S$3:W$17,5,FALSE))</f>
        <v>3.44</v>
      </c>
      <c r="Y14">
        <f t="shared" si="5"/>
        <v>11</v>
      </c>
      <c r="Z14">
        <f t="shared" si="1"/>
        <v>27</v>
      </c>
      <c r="AA14">
        <f t="shared" si="6"/>
        <v>11</v>
      </c>
      <c r="AJ14" s="11">
        <f>IF('Pin Detect Programming'!D$10='Resistor References'!AH$3,(3277+41*'Resistor References'!G15)*2^-12,IF('Pin Detect Programming'!D$10='Resistor References'!AH$4,(2456+41*G15)*2^-12,IF('Pin Detect Programming'!D$10='Resistor References'!AH$5,(3686+41*G15)*2^-12,IF('Pin Detect Programming'!D$10='Resistor References'!AH$6,(4921+82*G15)*2^-12,IF('Pin Detect Programming'!D$10='Resistor References'!AH$7,(7372+82*G15)*2^-12,IF('Pin Detect Programming'!D$10='Resistor References'!AH$8,(9906+164*G15)*2^-12,IF('Pin Detect Programming'!D$10='Resistor References'!AH$9,(14826+164*G15)*2^-12,IF('Pin Detect Programming'!D$10='Resistor References'!AH$10,(14941+164*G15)*2^-12,IF('Pin Detect Programming'!D$10='Resistor References'!AH$11,(19861+164*G15)*2^-12,0)))))))))</f>
        <v>0</v>
      </c>
      <c r="AK14">
        <f t="shared" si="8"/>
        <v>11</v>
      </c>
      <c r="AN14">
        <f t="shared" si="10"/>
        <v>10</v>
      </c>
      <c r="AO14">
        <f t="shared" si="9"/>
        <v>19</v>
      </c>
    </row>
    <row r="15" spans="1:41" ht="15" x14ac:dyDescent="0.25">
      <c r="F15">
        <f t="shared" si="2"/>
        <v>12</v>
      </c>
      <c r="G15">
        <f t="shared" si="2"/>
        <v>11</v>
      </c>
      <c r="H15">
        <f t="shared" si="2"/>
        <v>11</v>
      </c>
      <c r="I15">
        <f t="shared" si="11"/>
        <v>23</v>
      </c>
      <c r="J15">
        <f t="shared" si="0"/>
        <v>13</v>
      </c>
      <c r="S15" t="s">
        <v>299</v>
      </c>
      <c r="T15">
        <v>11</v>
      </c>
      <c r="U15">
        <v>0.125</v>
      </c>
      <c r="V15">
        <v>4.2</v>
      </c>
      <c r="W15">
        <v>0.04</v>
      </c>
      <c r="X15" s="11">
        <f>IF('Pin Detect Programming'!D$10='Resistor References'!S$2,'Resistor References'!S$2,VLOOKUP('Pin Detect Programming'!D$10,'Resistor References'!S$3:W$17,4,FALSE)+Y15*VLOOKUP('Pin Detect Programming'!D$10,'Resistor References'!S$3:W$17,5,FALSE))</f>
        <v>3.48</v>
      </c>
      <c r="Y15">
        <f t="shared" si="5"/>
        <v>12</v>
      </c>
      <c r="Z15">
        <f t="shared" si="1"/>
        <v>28</v>
      </c>
      <c r="AA15">
        <f t="shared" si="6"/>
        <v>12</v>
      </c>
      <c r="AJ15" s="11">
        <f>IF('Pin Detect Programming'!D$10='Resistor References'!AH$3,(3277+41*'Resistor References'!G16)*2^-12,IF('Pin Detect Programming'!D$10='Resistor References'!AH$4,(2456+41*G16)*2^-12,IF('Pin Detect Programming'!D$10='Resistor References'!AH$5,(3686+41*G16)*2^-12,IF('Pin Detect Programming'!D$10='Resistor References'!AH$6,(4921+82*G16)*2^-12,IF('Pin Detect Programming'!D$10='Resistor References'!AH$7,(7372+82*G16)*2^-12,IF('Pin Detect Programming'!D$10='Resistor References'!AH$8,(9906+164*G16)*2^-12,IF('Pin Detect Programming'!D$10='Resistor References'!AH$9,(14826+164*G16)*2^-12,IF('Pin Detect Programming'!D$10='Resistor References'!AH$10,(14941+164*G16)*2^-12,IF('Pin Detect Programming'!D$10='Resistor References'!AH$11,(19861+164*G16)*2^-12,0)))))))))</f>
        <v>0</v>
      </c>
      <c r="AK15">
        <f t="shared" si="8"/>
        <v>12</v>
      </c>
      <c r="AN15">
        <f t="shared" si="10"/>
        <v>11</v>
      </c>
      <c r="AO15">
        <f t="shared" si="9"/>
        <v>20</v>
      </c>
    </row>
    <row r="16" spans="1:41" ht="15" x14ac:dyDescent="0.25">
      <c r="F16">
        <f t="shared" si="2"/>
        <v>13</v>
      </c>
      <c r="G16">
        <f t="shared" si="2"/>
        <v>12</v>
      </c>
      <c r="H16">
        <f t="shared" si="2"/>
        <v>12</v>
      </c>
      <c r="I16">
        <f t="shared" si="11"/>
        <v>24</v>
      </c>
      <c r="J16">
        <f t="shared" si="0"/>
        <v>14</v>
      </c>
      <c r="S16" t="s">
        <v>300</v>
      </c>
      <c r="T16">
        <v>14</v>
      </c>
      <c r="U16">
        <v>0.125</v>
      </c>
      <c r="V16">
        <v>4.8</v>
      </c>
      <c r="W16">
        <v>0.04</v>
      </c>
      <c r="X16" s="11">
        <f>IF('Pin Detect Programming'!D$10='Resistor References'!S$2,'Resistor References'!S$2,VLOOKUP('Pin Detect Programming'!D$10,'Resistor References'!S$3:W$17,4,FALSE)+Y16*VLOOKUP('Pin Detect Programming'!D$10,'Resistor References'!S$3:W$17,5,FALSE))</f>
        <v>3.52</v>
      </c>
      <c r="Y16">
        <f t="shared" si="5"/>
        <v>13</v>
      </c>
      <c r="Z16">
        <f t="shared" si="1"/>
        <v>29</v>
      </c>
      <c r="AA16">
        <f t="shared" si="6"/>
        <v>13</v>
      </c>
      <c r="AJ16" s="11">
        <f>IF('Pin Detect Programming'!D$10='Resistor References'!AH$3,(3277+41*'Resistor References'!G17)*2^-12,IF('Pin Detect Programming'!D$10='Resistor References'!AH$4,(2456+41*G17)*2^-12,IF('Pin Detect Programming'!D$10='Resistor References'!AH$5,(3686+41*G17)*2^-12,IF('Pin Detect Programming'!D$10='Resistor References'!AH$6,(4921+82*G17)*2^-12,IF('Pin Detect Programming'!D$10='Resistor References'!AH$7,(7372+82*G17)*2^-12,IF('Pin Detect Programming'!D$10='Resistor References'!AH$8,(9906+164*G17)*2^-12,IF('Pin Detect Programming'!D$10='Resistor References'!AH$9,(14826+164*G17)*2^-12,IF('Pin Detect Programming'!D$10='Resistor References'!AH$10,(14941+164*G17)*2^-12,IF('Pin Detect Programming'!D$10='Resistor References'!AH$11,(19861+164*G17)*2^-12,0)))))))))</f>
        <v>0</v>
      </c>
      <c r="AK16">
        <f t="shared" si="8"/>
        <v>13</v>
      </c>
      <c r="AN16">
        <f t="shared" si="10"/>
        <v>12</v>
      </c>
      <c r="AO16">
        <f t="shared" si="9"/>
        <v>22</v>
      </c>
    </row>
    <row r="17" spans="6:41" ht="15" x14ac:dyDescent="0.25">
      <c r="F17">
        <f t="shared" si="2"/>
        <v>14</v>
      </c>
      <c r="G17">
        <f t="shared" si="2"/>
        <v>13</v>
      </c>
      <c r="H17">
        <f t="shared" si="2"/>
        <v>13</v>
      </c>
      <c r="I17">
        <f t="shared" si="11"/>
        <v>25</v>
      </c>
      <c r="J17">
        <f t="shared" si="0"/>
        <v>15</v>
      </c>
      <c r="S17" t="s">
        <v>301</v>
      </c>
      <c r="T17">
        <v>15</v>
      </c>
      <c r="U17">
        <v>0.125</v>
      </c>
      <c r="V17">
        <v>5.4</v>
      </c>
      <c r="W17">
        <v>0.04</v>
      </c>
      <c r="X17" s="11">
        <f>IF('Pin Detect Programming'!D$10='Resistor References'!S$2,'Resistor References'!S$2,VLOOKUP('Pin Detect Programming'!D$10,'Resistor References'!S$3:W$17,4,FALSE)+Y17*VLOOKUP('Pin Detect Programming'!D$10,'Resistor References'!S$3:W$17,5,FALSE))</f>
        <v>3.56</v>
      </c>
      <c r="Y17">
        <f t="shared" si="5"/>
        <v>14</v>
      </c>
      <c r="Z17">
        <f t="shared" si="1"/>
        <v>30</v>
      </c>
      <c r="AA17">
        <f t="shared" si="6"/>
        <v>14</v>
      </c>
      <c r="AJ17" s="11">
        <f>IF('Pin Detect Programming'!D$10='Resistor References'!AH$3,(3277+41*'Resistor References'!G18)*2^-12,IF('Pin Detect Programming'!D$10='Resistor References'!AH$4,(2456+41*G18)*2^-12,IF('Pin Detect Programming'!D$10='Resistor References'!AH$5,(3686+41*G18)*2^-12,IF('Pin Detect Programming'!D$10='Resistor References'!AH$6,(4921+82*G18)*2^-12,IF('Pin Detect Programming'!D$10='Resistor References'!AH$7,(7372+82*G18)*2^-12,IF('Pin Detect Programming'!D$10='Resistor References'!AH$8,(9906+164*G18)*2^-12,IF('Pin Detect Programming'!D$10='Resistor References'!AH$9,(14826+164*G18)*2^-12,IF('Pin Detect Programming'!D$10='Resistor References'!AH$10,(14941+164*G18)*2^-12,IF('Pin Detect Programming'!D$10='Resistor References'!AH$11,(19861+164*G18)*2^-12,0)))))))))</f>
        <v>0</v>
      </c>
      <c r="AK17">
        <f t="shared" si="8"/>
        <v>14</v>
      </c>
      <c r="AN17">
        <f t="shared" si="10"/>
        <v>13</v>
      </c>
      <c r="AO17">
        <f t="shared" si="9"/>
        <v>23</v>
      </c>
    </row>
    <row r="18" spans="6:41" ht="15" x14ac:dyDescent="0.25">
      <c r="F18">
        <f t="shared" si="2"/>
        <v>15</v>
      </c>
      <c r="G18">
        <f t="shared" si="2"/>
        <v>14</v>
      </c>
      <c r="H18">
        <f t="shared" si="2"/>
        <v>14</v>
      </c>
      <c r="X18" s="11">
        <f>IF('Pin Detect Programming'!D$10='Resistor References'!S$2,'Resistor References'!S$2,VLOOKUP('Pin Detect Programming'!D$10,'Resistor References'!S$3:W$17,4,FALSE)+Y18*VLOOKUP('Pin Detect Programming'!D$10,'Resistor References'!S$3:W$17,5,FALSE))</f>
        <v>3.6</v>
      </c>
      <c r="Y18">
        <f t="shared" si="5"/>
        <v>15</v>
      </c>
      <c r="Z18">
        <f t="shared" si="1"/>
        <v>31</v>
      </c>
      <c r="AA18">
        <f t="shared" si="6"/>
        <v>15</v>
      </c>
      <c r="AJ18" s="11">
        <f>IF('Pin Detect Programming'!D$10='Resistor References'!AH$3,(3277+41*'Resistor References'!G19)*2^-12,IF('Pin Detect Programming'!D$10='Resistor References'!AH$4,(2456+41*G19)*2^-12,IF('Pin Detect Programming'!D$10='Resistor References'!AH$5,(3686+41*G19)*2^-12,IF('Pin Detect Programming'!D$10='Resistor References'!AH$6,(4921+82*G19)*2^-12,IF('Pin Detect Programming'!D$10='Resistor References'!AH$7,(7372+82*G19)*2^-12,IF('Pin Detect Programming'!D$10='Resistor References'!AH$8,(9906+164*G19)*2^-12,IF('Pin Detect Programming'!D$10='Resistor References'!AH$9,(14826+164*G19)*2^-12,IF('Pin Detect Programming'!D$10='Resistor References'!AH$10,(14941+164*G19)*2^-12,IF('Pin Detect Programming'!D$10='Resistor References'!AH$11,(19861+164*G19)*2^-12,0)))))))))</f>
        <v>0</v>
      </c>
      <c r="AK18">
        <f t="shared" si="8"/>
        <v>15</v>
      </c>
      <c r="AN18">
        <f t="shared" si="10"/>
        <v>14</v>
      </c>
      <c r="AO18">
        <f t="shared" si="9"/>
        <v>24</v>
      </c>
    </row>
    <row r="19" spans="6:41" ht="15" x14ac:dyDescent="0.25">
      <c r="F19">
        <f t="shared" si="2"/>
        <v>16</v>
      </c>
      <c r="G19">
        <f t="shared" si="2"/>
        <v>15</v>
      </c>
      <c r="H19">
        <f t="shared" si="2"/>
        <v>15</v>
      </c>
      <c r="X19" s="11"/>
      <c r="Z19">
        <f t="shared" si="1"/>
        <v>32</v>
      </c>
      <c r="AA19">
        <f t="shared" si="6"/>
        <v>16</v>
      </c>
      <c r="AJ19" s="11">
        <f>IF('Pin Detect Programming'!D$10='Resistor References'!AH$3,(3277+41*'Resistor References'!G20)*2^-12,IF('Pin Detect Programming'!D$10='Resistor References'!AH$4,(2456+41*G20)*2^-12,IF('Pin Detect Programming'!D$10='Resistor References'!AH$5,(3686+41*G20)*2^-12,IF('Pin Detect Programming'!D$10='Resistor References'!AH$6,(4921+82*G20)*2^-12,IF('Pin Detect Programming'!D$10='Resistor References'!AH$7,(7372+82*G20)*2^-12,IF('Pin Detect Programming'!D$10='Resistor References'!AH$8,(9906+164*G20)*2^-12,IF('Pin Detect Programming'!D$10='Resistor References'!AH$9,(14826+164*G20)*2^-12,IF('Pin Detect Programming'!D$10='Resistor References'!AH$10,(14941+164*G20)*2^-12,IF('Pin Detect Programming'!D$10='Resistor References'!AH$11,(19861+164*G20)*2^-12,0)))))))))</f>
        <v>0</v>
      </c>
      <c r="AK19">
        <f t="shared" si="8"/>
        <v>16</v>
      </c>
      <c r="AN19">
        <f t="shared" si="10"/>
        <v>15</v>
      </c>
      <c r="AO19">
        <f t="shared" si="9"/>
        <v>25</v>
      </c>
    </row>
    <row r="20" spans="6:41" ht="15" x14ac:dyDescent="0.25">
      <c r="F20">
        <f t="shared" si="2"/>
        <v>17</v>
      </c>
      <c r="G20">
        <f t="shared" si="2"/>
        <v>16</v>
      </c>
      <c r="H20">
        <f t="shared" si="2"/>
        <v>16</v>
      </c>
      <c r="X20" s="11"/>
      <c r="Z20">
        <f t="shared" si="1"/>
        <v>33</v>
      </c>
      <c r="AA20">
        <f t="shared" si="6"/>
        <v>17</v>
      </c>
      <c r="AJ20" s="11">
        <f>IF('Pin Detect Programming'!D$10='Resistor References'!AH$3,(3277+41*'Resistor References'!G21)*2^-12,IF('Pin Detect Programming'!D$10='Resistor References'!AH$4,(2456+41*G21)*2^-12,IF('Pin Detect Programming'!D$10='Resistor References'!AH$5,(3686+41*G21)*2^-12,IF('Pin Detect Programming'!D$10='Resistor References'!AH$6,(4921+82*G21)*2^-12,IF('Pin Detect Programming'!D$10='Resistor References'!AH$7,(7372+82*G21)*2^-12,IF('Pin Detect Programming'!D$10='Resistor References'!AH$8,(9906+164*G21)*2^-12,IF('Pin Detect Programming'!D$10='Resistor References'!AH$9,(14826+164*G21)*2^-12,IF('Pin Detect Programming'!D$10='Resistor References'!AH$10,(14941+164*G21)*2^-12,IF('Pin Detect Programming'!D$10='Resistor References'!AH$11,(19861+164*G21)*2^-12,0)))))))))</f>
        <v>0</v>
      </c>
      <c r="AK20">
        <f t="shared" si="8"/>
        <v>17</v>
      </c>
    </row>
    <row r="21" spans="6:41" ht="15" x14ac:dyDescent="0.25">
      <c r="F21">
        <f t="shared" ref="F21:H35" si="12">F20+1</f>
        <v>18</v>
      </c>
      <c r="G21">
        <f t="shared" si="12"/>
        <v>17</v>
      </c>
      <c r="H21">
        <f t="shared" si="12"/>
        <v>17</v>
      </c>
      <c r="X21" s="11"/>
      <c r="Z21">
        <f t="shared" si="1"/>
        <v>34</v>
      </c>
      <c r="AA21">
        <f t="shared" si="6"/>
        <v>18</v>
      </c>
      <c r="AJ21" s="11">
        <f>IF('Pin Detect Programming'!D$10='Resistor References'!AH$3,(3277+41*'Resistor References'!G22)*2^-12,IF('Pin Detect Programming'!D$10='Resistor References'!AH$4,(2456+41*G22)*2^-12,IF('Pin Detect Programming'!D$10='Resistor References'!AH$5,(3686+41*G22)*2^-12,IF('Pin Detect Programming'!D$10='Resistor References'!AH$6,(4921+82*G22)*2^-12,IF('Pin Detect Programming'!D$10='Resistor References'!AH$7,(7372+82*G22)*2^-12,IF('Pin Detect Programming'!D$10='Resistor References'!AH$8,(9906+164*G22)*2^-12,IF('Pin Detect Programming'!D$10='Resistor References'!AH$9,(14826+164*G22)*2^-12,IF('Pin Detect Programming'!D$10='Resistor References'!AH$10,(14941+164*G22)*2^-12,IF('Pin Detect Programming'!D$10='Resistor References'!AH$11,(19861+164*G22)*2^-12,0)))))))))</f>
        <v>0</v>
      </c>
      <c r="AK21">
        <f t="shared" si="8"/>
        <v>18</v>
      </c>
    </row>
    <row r="22" spans="6:41" ht="15" x14ac:dyDescent="0.25">
      <c r="F22">
        <f t="shared" si="12"/>
        <v>19</v>
      </c>
      <c r="G22">
        <f t="shared" si="12"/>
        <v>18</v>
      </c>
      <c r="H22">
        <f t="shared" si="12"/>
        <v>18</v>
      </c>
      <c r="X22" s="11"/>
      <c r="Z22">
        <f t="shared" si="1"/>
        <v>35</v>
      </c>
      <c r="AA22">
        <f t="shared" si="6"/>
        <v>19</v>
      </c>
      <c r="AJ22" s="11">
        <f>IF('Pin Detect Programming'!D$10='Resistor References'!AH$3,(3277+41*'Resistor References'!G23)*2^-12,IF('Pin Detect Programming'!D$10='Resistor References'!AH$4,(2456+41*G23)*2^-12,IF('Pin Detect Programming'!D$10='Resistor References'!AH$5,(3686+41*G23)*2^-12,IF('Pin Detect Programming'!D$10='Resistor References'!AH$6,(4921+82*G23)*2^-12,IF('Pin Detect Programming'!D$10='Resistor References'!AH$7,(7372+82*G23)*2^-12,IF('Pin Detect Programming'!D$10='Resistor References'!AH$8,(9906+164*G23)*2^-12,IF('Pin Detect Programming'!D$10='Resistor References'!AH$9,(14826+164*G23)*2^-12,IF('Pin Detect Programming'!D$10='Resistor References'!AH$10,(14941+164*G23)*2^-12,IF('Pin Detect Programming'!D$10='Resistor References'!AH$11,(19861+164*G23)*2^-12,0)))))))))</f>
        <v>0</v>
      </c>
      <c r="AK22">
        <f t="shared" si="8"/>
        <v>19</v>
      </c>
    </row>
    <row r="23" spans="6:41" ht="15" x14ac:dyDescent="0.25">
      <c r="F23">
        <f t="shared" si="12"/>
        <v>20</v>
      </c>
      <c r="G23">
        <f t="shared" si="12"/>
        <v>19</v>
      </c>
      <c r="H23">
        <f t="shared" si="12"/>
        <v>19</v>
      </c>
      <c r="X23" s="11"/>
      <c r="Z23">
        <f t="shared" si="1"/>
        <v>36</v>
      </c>
      <c r="AA23">
        <f t="shared" si="6"/>
        <v>20</v>
      </c>
      <c r="AJ23" s="11">
        <f>IF('Pin Detect Programming'!D$10='Resistor References'!AH$3,(3277+41*'Resistor References'!G24)*2^-12,IF('Pin Detect Programming'!D$10='Resistor References'!AH$4,(2456+41*G24)*2^-12,IF('Pin Detect Programming'!D$10='Resistor References'!AH$5,(3686+41*G24)*2^-12,IF('Pin Detect Programming'!D$10='Resistor References'!AH$6,(4921+82*G24)*2^-12,IF('Pin Detect Programming'!D$10='Resistor References'!AH$7,(7372+82*G24)*2^-12,IF('Pin Detect Programming'!D$10='Resistor References'!AH$8,(9906+164*G24)*2^-12,IF('Pin Detect Programming'!D$10='Resistor References'!AH$9,(14826+164*G24)*2^-12,IF('Pin Detect Programming'!D$10='Resistor References'!AH$10,(14941+164*G24)*2^-12,IF('Pin Detect Programming'!D$10='Resistor References'!AH$11,(19861+164*G24)*2^-12,0)))))))))</f>
        <v>0</v>
      </c>
      <c r="AK23">
        <f t="shared" si="8"/>
        <v>20</v>
      </c>
    </row>
    <row r="24" spans="6:41" ht="15" x14ac:dyDescent="0.25">
      <c r="F24">
        <f t="shared" si="12"/>
        <v>21</v>
      </c>
      <c r="G24">
        <f t="shared" si="12"/>
        <v>20</v>
      </c>
      <c r="H24">
        <f t="shared" si="12"/>
        <v>20</v>
      </c>
      <c r="X24" s="11"/>
      <c r="Z24">
        <f t="shared" si="1"/>
        <v>37</v>
      </c>
      <c r="AA24">
        <f t="shared" si="6"/>
        <v>21</v>
      </c>
      <c r="AJ24" s="11">
        <f>IF('Pin Detect Programming'!D$10='Resistor References'!AH$3,(3277+41*'Resistor References'!G25)*2^-12,IF('Pin Detect Programming'!D$10='Resistor References'!AH$4,(2456+41*G25)*2^-12,IF('Pin Detect Programming'!D$10='Resistor References'!AH$5,(3686+41*G25)*2^-12,IF('Pin Detect Programming'!D$10='Resistor References'!AH$6,(4921+82*G25)*2^-12,IF('Pin Detect Programming'!D$10='Resistor References'!AH$7,(7372+82*G25)*2^-12,IF('Pin Detect Programming'!D$10='Resistor References'!AH$8,(9906+164*G25)*2^-12,IF('Pin Detect Programming'!D$10='Resistor References'!AH$9,(14826+164*G25)*2^-12,IF('Pin Detect Programming'!D$10='Resistor References'!AH$10,(14941+164*G25)*2^-12,IF('Pin Detect Programming'!D$10='Resistor References'!AH$11,(19861+164*G25)*2^-12,0)))))))))</f>
        <v>0</v>
      </c>
      <c r="AK24">
        <f t="shared" si="8"/>
        <v>21</v>
      </c>
    </row>
    <row r="25" spans="6:41" ht="15" x14ac:dyDescent="0.25">
      <c r="F25">
        <f t="shared" si="12"/>
        <v>22</v>
      </c>
      <c r="G25">
        <f t="shared" si="12"/>
        <v>21</v>
      </c>
      <c r="H25">
        <f t="shared" si="12"/>
        <v>21</v>
      </c>
      <c r="X25" s="11"/>
      <c r="Z25">
        <f t="shared" si="1"/>
        <v>38</v>
      </c>
      <c r="AA25">
        <f t="shared" si="6"/>
        <v>22</v>
      </c>
      <c r="AJ25" s="11">
        <f>IF('Pin Detect Programming'!D$10='Resistor References'!AH$3,(3277+41*'Resistor References'!G26)*2^-12,IF('Pin Detect Programming'!D$10='Resistor References'!AH$4,(2456+41*G26)*2^-12,IF('Pin Detect Programming'!D$10='Resistor References'!AH$5,(3686+41*G26)*2^-12,IF('Pin Detect Programming'!D$10='Resistor References'!AH$6,(4921+82*G26)*2^-12,IF('Pin Detect Programming'!D$10='Resistor References'!AH$7,(7372+82*G26)*2^-12,IF('Pin Detect Programming'!D$10='Resistor References'!AH$8,(9906+164*G26)*2^-12,IF('Pin Detect Programming'!D$10='Resistor References'!AH$9,(14826+164*G26)*2^-12,IF('Pin Detect Programming'!D$10='Resistor References'!AH$10,(14941+164*G26)*2^-12,IF('Pin Detect Programming'!D$10='Resistor References'!AH$11,(19861+164*G26)*2^-12,0)))))))))</f>
        <v>0</v>
      </c>
      <c r="AK25">
        <f t="shared" si="8"/>
        <v>22</v>
      </c>
    </row>
    <row r="26" spans="6:41" ht="15" x14ac:dyDescent="0.25">
      <c r="F26">
        <f t="shared" si="12"/>
        <v>23</v>
      </c>
      <c r="G26">
        <f t="shared" si="12"/>
        <v>22</v>
      </c>
      <c r="H26">
        <f t="shared" si="12"/>
        <v>22</v>
      </c>
      <c r="X26" s="11"/>
      <c r="Z26">
        <f t="shared" si="1"/>
        <v>39</v>
      </c>
      <c r="AA26">
        <f t="shared" si="6"/>
        <v>23</v>
      </c>
      <c r="AJ26" s="11">
        <f>IF('Pin Detect Programming'!D$10='Resistor References'!AH$3,(3277+41*'Resistor References'!G27)*2^-12,IF('Pin Detect Programming'!D$10='Resistor References'!AH$4,(2456+41*G27)*2^-12,IF('Pin Detect Programming'!D$10='Resistor References'!AH$5,(3686+41*G27)*2^-12,IF('Pin Detect Programming'!D$10='Resistor References'!AH$6,(4921+82*G27)*2^-12,IF('Pin Detect Programming'!D$10='Resistor References'!AH$7,(7372+82*G27)*2^-12,IF('Pin Detect Programming'!D$10='Resistor References'!AH$8,(9906+164*G27)*2^-12,IF('Pin Detect Programming'!D$10='Resistor References'!AH$9,(14826+164*G27)*2^-12,IF('Pin Detect Programming'!D$10='Resistor References'!AH$10,(14941+164*G27)*2^-12,IF('Pin Detect Programming'!D$10='Resistor References'!AH$11,(19861+164*G27)*2^-12,0)))))))))</f>
        <v>0</v>
      </c>
      <c r="AK26">
        <f t="shared" si="8"/>
        <v>23</v>
      </c>
    </row>
    <row r="27" spans="6:41" ht="15" x14ac:dyDescent="0.25">
      <c r="F27">
        <f t="shared" si="12"/>
        <v>24</v>
      </c>
      <c r="G27">
        <f t="shared" si="12"/>
        <v>23</v>
      </c>
      <c r="H27">
        <f t="shared" si="12"/>
        <v>23</v>
      </c>
      <c r="X27" s="11"/>
      <c r="Z27">
        <f>BIN2DEC(1001000)</f>
        <v>72</v>
      </c>
      <c r="AA27">
        <f t="shared" si="6"/>
        <v>24</v>
      </c>
      <c r="AJ27" s="11">
        <f>IF('Pin Detect Programming'!D$10='Resistor References'!AH$3,(3277+41*'Resistor References'!G28)*2^-12,IF('Pin Detect Programming'!D$10='Resistor References'!AH$4,(2456+41*G28)*2^-12,IF('Pin Detect Programming'!D$10='Resistor References'!AH$5,(3686+41*G28)*2^-12,IF('Pin Detect Programming'!D$10='Resistor References'!AH$6,(4921+82*G28)*2^-12,IF('Pin Detect Programming'!D$10='Resistor References'!AH$7,(7372+82*G28)*2^-12,IF('Pin Detect Programming'!D$10='Resistor References'!AH$8,(9906+164*G28)*2^-12,IF('Pin Detect Programming'!D$10='Resistor References'!AH$9,(14826+164*G28)*2^-12,IF('Pin Detect Programming'!D$10='Resistor References'!AH$10,(14941+164*G28)*2^-12,IF('Pin Detect Programming'!D$10='Resistor References'!AH$11,(19861+164*G28)*2^-12,0)))))))))</f>
        <v>0</v>
      </c>
      <c r="AK27">
        <f t="shared" si="8"/>
        <v>24</v>
      </c>
    </row>
    <row r="28" spans="6:41" ht="15" x14ac:dyDescent="0.25">
      <c r="F28">
        <f t="shared" si="12"/>
        <v>25</v>
      </c>
      <c r="G28">
        <f t="shared" si="12"/>
        <v>24</v>
      </c>
      <c r="H28">
        <f t="shared" si="12"/>
        <v>24</v>
      </c>
      <c r="X28" s="11"/>
      <c r="Z28">
        <f t="shared" si="1"/>
        <v>41</v>
      </c>
      <c r="AA28">
        <f t="shared" si="6"/>
        <v>25</v>
      </c>
      <c r="AJ28" s="11">
        <f>IF('Pin Detect Programming'!D$10='Resistor References'!AH$3,(3277+41*'Resistor References'!G29)*2^-12,IF('Pin Detect Programming'!D$10='Resistor References'!AH$4,(2456+41*G29)*2^-12,IF('Pin Detect Programming'!D$10='Resistor References'!AH$5,(3686+41*G29)*2^-12,IF('Pin Detect Programming'!D$10='Resistor References'!AH$6,(4921+82*G29)*2^-12,IF('Pin Detect Programming'!D$10='Resistor References'!AH$7,(7372+82*G29)*2^-12,IF('Pin Detect Programming'!D$10='Resistor References'!AH$8,(9906+164*G29)*2^-12,IF('Pin Detect Programming'!D$10='Resistor References'!AH$9,(14826+164*G29)*2^-12,IF('Pin Detect Programming'!D$10='Resistor References'!AH$10,(14941+164*G29)*2^-12,IF('Pin Detect Programming'!D$10='Resistor References'!AH$11,(19861+164*G29)*2^-12,0)))))))))</f>
        <v>0</v>
      </c>
      <c r="AK28">
        <f t="shared" si="8"/>
        <v>25</v>
      </c>
    </row>
    <row r="29" spans="6:41" ht="15" x14ac:dyDescent="0.25">
      <c r="F29">
        <f t="shared" si="12"/>
        <v>26</v>
      </c>
      <c r="G29">
        <f t="shared" si="12"/>
        <v>25</v>
      </c>
      <c r="H29">
        <f t="shared" si="12"/>
        <v>25</v>
      </c>
      <c r="X29" s="11"/>
      <c r="Z29">
        <f t="shared" si="1"/>
        <v>42</v>
      </c>
      <c r="AA29">
        <f t="shared" si="6"/>
        <v>26</v>
      </c>
      <c r="AJ29" s="11">
        <f>IF('Pin Detect Programming'!D$10='Resistor References'!AH$3,(3277+41*'Resistor References'!G30)*2^-12,IF('Pin Detect Programming'!D$10='Resistor References'!AH$4,(2456+41*G30)*2^-12,IF('Pin Detect Programming'!D$10='Resistor References'!AH$5,(3686+41*G30)*2^-12,IF('Pin Detect Programming'!D$10='Resistor References'!AH$6,(4921+82*G30)*2^-12,IF('Pin Detect Programming'!D$10='Resistor References'!AH$7,(7372+82*G30)*2^-12,IF('Pin Detect Programming'!D$10='Resistor References'!AH$8,(9906+164*G30)*2^-12,IF('Pin Detect Programming'!D$10='Resistor References'!AH$9,(14826+164*G30)*2^-12,IF('Pin Detect Programming'!D$10='Resistor References'!AH$10,(14941+164*G30)*2^-12,IF('Pin Detect Programming'!D$10='Resistor References'!AH$11,(19861+164*G30)*2^-12,0)))))))))</f>
        <v>0</v>
      </c>
      <c r="AK29">
        <f t="shared" si="8"/>
        <v>26</v>
      </c>
    </row>
    <row r="30" spans="6:41" ht="15" x14ac:dyDescent="0.25">
      <c r="F30">
        <f t="shared" si="12"/>
        <v>27</v>
      </c>
      <c r="G30">
        <f t="shared" si="12"/>
        <v>26</v>
      </c>
      <c r="H30">
        <f t="shared" si="12"/>
        <v>26</v>
      </c>
      <c r="X30" s="11"/>
      <c r="Z30">
        <f t="shared" si="1"/>
        <v>43</v>
      </c>
      <c r="AA30">
        <f t="shared" si="6"/>
        <v>27</v>
      </c>
      <c r="AJ30" s="11">
        <f>IF('Pin Detect Programming'!D$10='Resistor References'!AH$3,(3277+41*'Resistor References'!G31)*2^-12,IF('Pin Detect Programming'!D$10='Resistor References'!AH$4,(2456+41*G31)*2^-12,IF('Pin Detect Programming'!D$10='Resistor References'!AH$5,(3686+41*G31)*2^-12,IF('Pin Detect Programming'!D$10='Resistor References'!AH$6,(4921+82*G31)*2^-12,IF('Pin Detect Programming'!D$10='Resistor References'!AH$7,(7372+82*G31)*2^-12,IF('Pin Detect Programming'!D$10='Resistor References'!AH$8,(9906+164*G31)*2^-12,IF('Pin Detect Programming'!D$10='Resistor References'!AH$9,(14826+164*G31)*2^-12,IF('Pin Detect Programming'!D$10='Resistor References'!AH$10,(14941+164*G31)*2^-12,IF('Pin Detect Programming'!D$10='Resistor References'!AH$11,(19861+164*G31)*2^-12,0)))))))))</f>
        <v>0</v>
      </c>
      <c r="AK30">
        <f t="shared" si="8"/>
        <v>27</v>
      </c>
    </row>
    <row r="31" spans="6:41" ht="15" x14ac:dyDescent="0.25">
      <c r="F31">
        <f t="shared" si="12"/>
        <v>28</v>
      </c>
      <c r="G31">
        <f t="shared" si="12"/>
        <v>27</v>
      </c>
      <c r="H31">
        <f t="shared" si="12"/>
        <v>27</v>
      </c>
      <c r="X31" s="11"/>
      <c r="Z31">
        <f t="shared" si="1"/>
        <v>44</v>
      </c>
      <c r="AA31">
        <f t="shared" si="6"/>
        <v>28</v>
      </c>
      <c r="AJ31" s="11">
        <f>IF('Pin Detect Programming'!D$10='Resistor References'!AH$3,(3277+41*'Resistor References'!G32)*2^-12,IF('Pin Detect Programming'!D$10='Resistor References'!AH$4,(2456+41*G32)*2^-12,IF('Pin Detect Programming'!D$10='Resistor References'!AH$5,(3686+41*G32)*2^-12,IF('Pin Detect Programming'!D$10='Resistor References'!AH$6,(4921+82*G32)*2^-12,IF('Pin Detect Programming'!D$10='Resistor References'!AH$7,(7372+82*G32)*2^-12,IF('Pin Detect Programming'!D$10='Resistor References'!AH$8,(9906+164*G32)*2^-12,IF('Pin Detect Programming'!D$10='Resistor References'!AH$9,(14826+164*G32)*2^-12,IF('Pin Detect Programming'!D$10='Resistor References'!AH$10,(14941+164*G32)*2^-12,IF('Pin Detect Programming'!D$10='Resistor References'!AH$11,(19861+164*G32)*2^-12,0)))))))))</f>
        <v>0</v>
      </c>
      <c r="AK31">
        <f t="shared" si="8"/>
        <v>28</v>
      </c>
    </row>
    <row r="32" spans="6:41" ht="15" x14ac:dyDescent="0.25">
      <c r="F32">
        <f t="shared" si="12"/>
        <v>29</v>
      </c>
      <c r="G32">
        <f t="shared" si="12"/>
        <v>28</v>
      </c>
      <c r="H32">
        <f t="shared" si="12"/>
        <v>28</v>
      </c>
      <c r="X32" s="11"/>
      <c r="Z32">
        <f t="shared" si="1"/>
        <v>45</v>
      </c>
      <c r="AA32">
        <f t="shared" si="6"/>
        <v>29</v>
      </c>
      <c r="AJ32" s="11">
        <f>IF('Pin Detect Programming'!D$10='Resistor References'!AH$3,(3277+41*'Resistor References'!G33)*2^-12,IF('Pin Detect Programming'!D$10='Resistor References'!AH$4,(2456+41*G33)*2^-12,IF('Pin Detect Programming'!D$10='Resistor References'!AH$5,(3686+41*G33)*2^-12,IF('Pin Detect Programming'!D$10='Resistor References'!AH$6,(4921+82*G33)*2^-12,IF('Pin Detect Programming'!D$10='Resistor References'!AH$7,(7372+82*G33)*2^-12,IF('Pin Detect Programming'!D$10='Resistor References'!AH$8,(9906+164*G33)*2^-12,IF('Pin Detect Programming'!D$10='Resistor References'!AH$9,(14826+164*G33)*2^-12,IF('Pin Detect Programming'!D$10='Resistor References'!AH$10,(14941+164*G33)*2^-12,IF('Pin Detect Programming'!D$10='Resistor References'!AH$11,(19861+164*G33)*2^-12,0)))))))))</f>
        <v>0</v>
      </c>
      <c r="AK32">
        <f t="shared" si="8"/>
        <v>29</v>
      </c>
    </row>
    <row r="33" spans="6:24" ht="15" x14ac:dyDescent="0.25">
      <c r="F33">
        <f t="shared" si="12"/>
        <v>30</v>
      </c>
      <c r="G33">
        <f t="shared" si="12"/>
        <v>29</v>
      </c>
      <c r="H33">
        <f t="shared" si="12"/>
        <v>29</v>
      </c>
      <c r="X33" s="11"/>
    </row>
    <row r="34" spans="6:24" ht="15" x14ac:dyDescent="0.25">
      <c r="G34">
        <f t="shared" si="12"/>
        <v>30</v>
      </c>
      <c r="H34">
        <f t="shared" si="12"/>
        <v>30</v>
      </c>
      <c r="X34" s="11"/>
    </row>
    <row r="35" spans="6:24" ht="15" x14ac:dyDescent="0.25">
      <c r="G35">
        <f t="shared" si="12"/>
        <v>31</v>
      </c>
      <c r="H35">
        <f t="shared" si="12"/>
        <v>31</v>
      </c>
      <c r="X35" s="11"/>
    </row>
    <row r="36" spans="6:24" x14ac:dyDescent="0.35">
      <c r="X36" s="11"/>
    </row>
    <row r="37" spans="6:24" x14ac:dyDescent="0.35">
      <c r="X37" s="11"/>
    </row>
    <row r="38" spans="6:24" x14ac:dyDescent="0.35">
      <c r="X38" s="11"/>
    </row>
    <row r="39" spans="6:24" x14ac:dyDescent="0.35">
      <c r="X39" s="11"/>
    </row>
    <row r="40" spans="6:24" x14ac:dyDescent="0.35">
      <c r="X40" s="11"/>
    </row>
    <row r="41" spans="6:24" x14ac:dyDescent="0.35">
      <c r="X41" s="11"/>
    </row>
    <row r="42" spans="6:24" x14ac:dyDescent="0.35">
      <c r="X42" s="11"/>
    </row>
    <row r="43" spans="6:24" x14ac:dyDescent="0.35">
      <c r="X43" s="11"/>
    </row>
    <row r="44" spans="6:24" x14ac:dyDescent="0.35">
      <c r="X44" s="11"/>
    </row>
    <row r="45" spans="6:24" x14ac:dyDescent="0.35">
      <c r="X45" s="11"/>
    </row>
    <row r="46" spans="6:24" x14ac:dyDescent="0.35">
      <c r="X46" s="11"/>
    </row>
    <row r="47" spans="6:24" x14ac:dyDescent="0.35">
      <c r="X47" s="11"/>
    </row>
    <row r="48" spans="6:24" x14ac:dyDescent="0.35">
      <c r="X48" s="11"/>
    </row>
    <row r="49" spans="24:24" x14ac:dyDescent="0.35">
      <c r="X49" s="11"/>
    </row>
    <row r="50" spans="24:24" x14ac:dyDescent="0.35">
      <c r="X50" s="11"/>
    </row>
    <row r="51" spans="24:24" x14ac:dyDescent="0.35">
      <c r="X51" s="11"/>
    </row>
    <row r="52" spans="24:24" x14ac:dyDescent="0.35">
      <c r="X52" s="11"/>
    </row>
    <row r="53" spans="24:24" x14ac:dyDescent="0.35">
      <c r="X53" s="11"/>
    </row>
    <row r="54" spans="24:24" x14ac:dyDescent="0.35">
      <c r="X54" s="11"/>
    </row>
    <row r="55" spans="24:24" x14ac:dyDescent="0.35">
      <c r="X55" s="11"/>
    </row>
    <row r="56" spans="24:24" x14ac:dyDescent="0.35">
      <c r="X56" s="11"/>
    </row>
    <row r="57" spans="24:24" x14ac:dyDescent="0.35">
      <c r="X57" s="11"/>
    </row>
    <row r="58" spans="24:24" x14ac:dyDescent="0.35">
      <c r="X58" s="11"/>
    </row>
    <row r="59" spans="24:24" x14ac:dyDescent="0.35">
      <c r="X59" s="11"/>
    </row>
    <row r="60" spans="24:24" x14ac:dyDescent="0.35">
      <c r="X60" s="11"/>
    </row>
    <row r="61" spans="24:24" x14ac:dyDescent="0.35">
      <c r="X61" s="11"/>
    </row>
    <row r="62" spans="24:24" x14ac:dyDescent="0.35">
      <c r="X62" s="11"/>
    </row>
    <row r="63" spans="24:24" x14ac:dyDescent="0.35">
      <c r="X63" s="11"/>
    </row>
    <row r="64" spans="24:24" x14ac:dyDescent="0.35">
      <c r="X64" s="11"/>
    </row>
    <row r="65" spans="20:24" x14ac:dyDescent="0.35">
      <c r="X65" s="11"/>
    </row>
    <row r="66" spans="20:24" x14ac:dyDescent="0.35">
      <c r="T66">
        <v>1.18</v>
      </c>
      <c r="X66" s="1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Q36"/>
  <sheetViews>
    <sheetView workbookViewId="0">
      <selection activeCell="C16" sqref="C16"/>
    </sheetView>
  </sheetViews>
  <sheetFormatPr defaultRowHeight="14.5" x14ac:dyDescent="0.35"/>
  <sheetData>
    <row r="1" spans="1:43" ht="15" x14ac:dyDescent="0.25">
      <c r="A1" s="13"/>
      <c r="B1" s="499" t="s">
        <v>324</v>
      </c>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row>
    <row r="2" spans="1:43" ht="15" x14ac:dyDescent="0.25">
      <c r="A2" s="13"/>
      <c r="B2" s="13" t="s">
        <v>253</v>
      </c>
      <c r="C2" s="13">
        <v>0</v>
      </c>
      <c r="D2" s="13">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3">
        <v>30</v>
      </c>
      <c r="AH2" s="13">
        <v>31</v>
      </c>
      <c r="AM2" t="s">
        <v>216</v>
      </c>
      <c r="AN2" t="s">
        <v>217</v>
      </c>
      <c r="AO2" t="s">
        <v>224</v>
      </c>
      <c r="AP2" t="s">
        <v>230</v>
      </c>
      <c r="AQ2" t="s">
        <v>14</v>
      </c>
    </row>
    <row r="3" spans="1:43" ht="15" x14ac:dyDescent="0.25">
      <c r="A3" s="13"/>
      <c r="B3" s="13" t="s">
        <v>14</v>
      </c>
      <c r="C3" s="13">
        <v>4420</v>
      </c>
      <c r="D3" s="13">
        <v>4870</v>
      </c>
      <c r="E3" s="13">
        <v>5360</v>
      </c>
      <c r="F3" s="13">
        <v>5900</v>
      </c>
      <c r="G3" s="13">
        <v>6490</v>
      </c>
      <c r="H3" s="13">
        <v>7150</v>
      </c>
      <c r="I3" s="13">
        <v>7870</v>
      </c>
      <c r="J3" s="13">
        <v>8660</v>
      </c>
      <c r="K3" s="13">
        <v>9530</v>
      </c>
      <c r="L3" s="13">
        <v>10500</v>
      </c>
      <c r="M3" s="13">
        <v>11500</v>
      </c>
      <c r="N3" s="13">
        <v>12700</v>
      </c>
      <c r="O3" s="13">
        <v>14000</v>
      </c>
      <c r="P3" s="13">
        <v>15400</v>
      </c>
      <c r="Q3" s="13">
        <v>16900</v>
      </c>
      <c r="R3" s="13">
        <v>18700</v>
      </c>
      <c r="S3" s="13">
        <v>20500</v>
      </c>
      <c r="T3" s="13">
        <v>22600</v>
      </c>
      <c r="U3" s="13">
        <v>24900</v>
      </c>
      <c r="V3" s="13">
        <v>27400</v>
      </c>
      <c r="W3" s="13">
        <v>30100</v>
      </c>
      <c r="X3" s="13">
        <v>33200</v>
      </c>
      <c r="Y3" s="13">
        <v>36500</v>
      </c>
      <c r="Z3" s="13">
        <v>40200</v>
      </c>
      <c r="AA3" s="13">
        <v>44200</v>
      </c>
      <c r="AB3" s="13">
        <v>48700</v>
      </c>
      <c r="AC3" s="13">
        <v>53600</v>
      </c>
      <c r="AD3" s="13">
        <v>59000</v>
      </c>
      <c r="AE3" s="13">
        <v>64900</v>
      </c>
      <c r="AF3" s="13">
        <v>71500</v>
      </c>
      <c r="AG3" s="13">
        <v>78700</v>
      </c>
      <c r="AH3" s="13">
        <v>86600</v>
      </c>
      <c r="AJ3" t="s">
        <v>212</v>
      </c>
      <c r="AL3">
        <v>0</v>
      </c>
      <c r="AM3" t="s">
        <v>249</v>
      </c>
      <c r="AN3" t="s">
        <v>249</v>
      </c>
      <c r="AO3" t="s">
        <v>249</v>
      </c>
      <c r="AP3" t="s">
        <v>249</v>
      </c>
      <c r="AQ3" t="str">
        <f>AJ3</f>
        <v>SHORT</v>
      </c>
    </row>
    <row r="4" spans="1:43" ht="15" x14ac:dyDescent="0.25">
      <c r="A4" s="13" t="s">
        <v>254</v>
      </c>
      <c r="B4" s="13">
        <v>0</v>
      </c>
      <c r="C4" s="13">
        <v>18700</v>
      </c>
      <c r="D4" s="13">
        <v>20500</v>
      </c>
      <c r="E4" s="13">
        <v>22600</v>
      </c>
      <c r="F4" s="13">
        <v>24900</v>
      </c>
      <c r="G4" s="13">
        <v>27400</v>
      </c>
      <c r="H4" s="13">
        <v>30100</v>
      </c>
      <c r="I4" s="13">
        <v>33200</v>
      </c>
      <c r="J4" s="13">
        <v>36500</v>
      </c>
      <c r="K4" s="13">
        <v>40200</v>
      </c>
      <c r="L4" s="13">
        <v>44200</v>
      </c>
      <c r="M4" s="13">
        <v>48700</v>
      </c>
      <c r="N4" s="13">
        <v>53600</v>
      </c>
      <c r="O4" s="13">
        <v>59000</v>
      </c>
      <c r="P4" s="13">
        <v>64900</v>
      </c>
      <c r="Q4" s="13">
        <v>71500</v>
      </c>
      <c r="R4" s="13">
        <v>78700</v>
      </c>
      <c r="S4" s="13">
        <v>86600</v>
      </c>
      <c r="T4" s="13">
        <v>95300</v>
      </c>
      <c r="U4" s="13">
        <v>105000</v>
      </c>
      <c r="V4" s="13">
        <v>115000</v>
      </c>
      <c r="W4" s="13">
        <v>127000</v>
      </c>
      <c r="X4" s="13">
        <v>140000</v>
      </c>
      <c r="Y4" s="13">
        <v>154000</v>
      </c>
      <c r="Z4" s="13">
        <v>169000</v>
      </c>
      <c r="AA4" s="13">
        <v>187000</v>
      </c>
      <c r="AB4" s="13">
        <v>205000</v>
      </c>
      <c r="AC4" s="13">
        <v>226000</v>
      </c>
      <c r="AD4" s="13">
        <v>249000</v>
      </c>
      <c r="AE4" s="13">
        <v>274000</v>
      </c>
      <c r="AF4" s="13">
        <v>301000</v>
      </c>
      <c r="AG4" s="13">
        <v>332000</v>
      </c>
      <c r="AH4" s="13">
        <v>365000</v>
      </c>
      <c r="AJ4" t="s">
        <v>213</v>
      </c>
      <c r="AL4" t="s">
        <v>249</v>
      </c>
      <c r="AM4" t="s">
        <v>249</v>
      </c>
      <c r="AN4" t="s">
        <v>249</v>
      </c>
      <c r="AO4" t="s">
        <v>249</v>
      </c>
      <c r="AP4" t="s">
        <v>249</v>
      </c>
      <c r="AQ4" t="str">
        <f t="shared" ref="AQ4:AQ36" si="0">AJ4</f>
        <v>FLOAT</v>
      </c>
    </row>
    <row r="5" spans="1:43" ht="15" x14ac:dyDescent="0.25">
      <c r="A5" s="13"/>
      <c r="B5" s="13">
        <v>1</v>
      </c>
      <c r="C5" s="13">
        <v>9530</v>
      </c>
      <c r="D5" s="13">
        <v>10500</v>
      </c>
      <c r="E5" s="13">
        <v>11500</v>
      </c>
      <c r="F5" s="13">
        <v>12700</v>
      </c>
      <c r="G5" s="13">
        <v>14000</v>
      </c>
      <c r="H5" s="13">
        <v>15400</v>
      </c>
      <c r="I5" s="13">
        <v>16900</v>
      </c>
      <c r="J5" s="13">
        <v>18700</v>
      </c>
      <c r="K5" s="13">
        <v>20500</v>
      </c>
      <c r="L5" s="13">
        <v>22600</v>
      </c>
      <c r="M5" s="13">
        <v>24900</v>
      </c>
      <c r="N5" s="13">
        <v>27400</v>
      </c>
      <c r="O5" s="13">
        <v>30100</v>
      </c>
      <c r="P5" s="13">
        <v>33200</v>
      </c>
      <c r="Q5" s="13">
        <v>36500</v>
      </c>
      <c r="R5" s="13">
        <v>40200</v>
      </c>
      <c r="S5" s="13">
        <v>44200</v>
      </c>
      <c r="T5" s="13">
        <v>48700</v>
      </c>
      <c r="U5" s="13">
        <v>53600</v>
      </c>
      <c r="V5" s="13">
        <v>59000</v>
      </c>
      <c r="W5" s="13">
        <v>64900</v>
      </c>
      <c r="X5" s="13">
        <v>71500</v>
      </c>
      <c r="Y5" s="13">
        <v>78700</v>
      </c>
      <c r="Z5" s="13">
        <v>86600</v>
      </c>
      <c r="AA5" s="13">
        <v>95300</v>
      </c>
      <c r="AB5" s="13">
        <v>105000</v>
      </c>
      <c r="AC5" s="13">
        <v>115000</v>
      </c>
      <c r="AD5" s="13">
        <v>127000</v>
      </c>
      <c r="AE5" s="13">
        <v>140000</v>
      </c>
      <c r="AF5" s="13">
        <v>154000</v>
      </c>
      <c r="AG5" s="13">
        <v>169000</v>
      </c>
      <c r="AH5" s="13">
        <v>187000</v>
      </c>
      <c r="AJ5">
        <v>0</v>
      </c>
      <c r="AK5">
        <f>HLOOKUP(AJ5,C$2:AH$11,2,FALSE)</f>
        <v>4420</v>
      </c>
      <c r="AL5">
        <f>HLOOKUP(AJ5,C$13:R$14,2,FALSE)</f>
        <v>4640</v>
      </c>
      <c r="AM5" t="str">
        <f>IF(OR('Pinstrap Reverse Lookup'!C$3=AL$3,'Pinstrap Reverse Lookup'!C$3='Resistor Selection'!AL$4),'Resistor Selection'!$AL$4,VLOOKUP('Resistor Selection'!AJ5,'Resistor Selection'!B$15:R$30,'Pinstrap Reverse Lookup'!E$3+2,FALSE))</f>
        <v>Open</v>
      </c>
      <c r="AN5">
        <f>IF(OR('Pinstrap Reverse Lookup'!C$4=AL$3,'Pinstrap Reverse Lookup'!C$4='Resistor Selection'!AL$4),'Resistor Selection'!$AL$4,VLOOKUP('Resistor Selection'!AJ5,'Resistor Selection'!B$15:R$30,'Pinstrap Reverse Lookup'!E$4+2,FALSE))</f>
        <v>56200</v>
      </c>
      <c r="AO5">
        <f>IF(OR('Pinstrap Reverse Lookup'!C$5=AL$3,'Pinstrap Reverse Lookup'!C$5='Resistor Selection'!AL$4),'Resistor Selection'!$AL$4,VLOOKUP('Resistor Selection'!AJ5,'Resistor Selection'!B$15:R$30,'Pinstrap Reverse Lookup'!E$5+2,FALSE))</f>
        <v>21500</v>
      </c>
      <c r="AP5">
        <f>IF(OR('Pinstrap Reverse Lookup'!C$6=AL$3,'Pinstrap Reverse Lookup'!C$6='Resistor Selection'!AL$4),'Resistor Selection'!$AL$4,VLOOKUP('Resistor Selection'!AJ5,'Resistor Selection'!B$15:R$30,'Pinstrap Reverse Lookup'!E$6+2,FALSE))</f>
        <v>26100</v>
      </c>
      <c r="AQ5">
        <f t="shared" si="0"/>
        <v>0</v>
      </c>
    </row>
    <row r="6" spans="1:43" ht="15" x14ac:dyDescent="0.25">
      <c r="A6" s="13"/>
      <c r="B6" s="13">
        <v>2</v>
      </c>
      <c r="C6" s="13">
        <v>6190</v>
      </c>
      <c r="D6" s="13">
        <v>6810</v>
      </c>
      <c r="E6" s="13">
        <v>7500</v>
      </c>
      <c r="F6" s="13">
        <v>8250</v>
      </c>
      <c r="G6" s="13">
        <v>9090</v>
      </c>
      <c r="H6" s="13">
        <v>10000</v>
      </c>
      <c r="I6" s="13">
        <v>11000</v>
      </c>
      <c r="J6" s="13">
        <v>12100</v>
      </c>
      <c r="K6" s="13">
        <v>13300</v>
      </c>
      <c r="L6" s="13">
        <v>14700</v>
      </c>
      <c r="M6" s="13">
        <v>15400</v>
      </c>
      <c r="N6" s="13">
        <v>17800</v>
      </c>
      <c r="O6" s="13">
        <v>19600</v>
      </c>
      <c r="P6" s="13">
        <v>21500</v>
      </c>
      <c r="Q6" s="13">
        <v>22600</v>
      </c>
      <c r="R6" s="13">
        <v>26100</v>
      </c>
      <c r="S6" s="13">
        <v>28700</v>
      </c>
      <c r="T6" s="13">
        <v>31600</v>
      </c>
      <c r="U6" s="13">
        <v>34800</v>
      </c>
      <c r="V6" s="13">
        <v>38300</v>
      </c>
      <c r="W6" s="13">
        <v>42200</v>
      </c>
      <c r="X6" s="13">
        <v>46400</v>
      </c>
      <c r="Y6" s="13">
        <v>51100</v>
      </c>
      <c r="Z6" s="13">
        <v>56200</v>
      </c>
      <c r="AA6" s="13">
        <v>61900</v>
      </c>
      <c r="AB6" s="13">
        <v>68100</v>
      </c>
      <c r="AC6" s="13">
        <v>75000</v>
      </c>
      <c r="AD6" s="13">
        <v>82500</v>
      </c>
      <c r="AE6" s="13">
        <v>90900</v>
      </c>
      <c r="AF6" s="13">
        <v>100000</v>
      </c>
      <c r="AG6" s="13">
        <v>110000</v>
      </c>
      <c r="AH6" s="13">
        <v>121000</v>
      </c>
      <c r="AJ6">
        <f>AJ5+1</f>
        <v>1</v>
      </c>
      <c r="AK6">
        <f t="shared" ref="AK6:AK36" si="1">HLOOKUP(AJ6,C$2:AH$11,2,FALSE)</f>
        <v>4870</v>
      </c>
      <c r="AL6">
        <f t="shared" ref="AL6:AL20" si="2">HLOOKUP(AJ6,C$13:R$14,2,FALSE)</f>
        <v>5620</v>
      </c>
      <c r="AM6" t="str">
        <f>IF(OR('Pinstrap Reverse Lookup'!C$3=AL$3,'Pinstrap Reverse Lookup'!C$3='Resistor Selection'!AL$4),'Resistor Selection'!$AL$4,VLOOKUP('Resistor Selection'!AJ6,'Resistor Selection'!B$15:R$30,'Pinstrap Reverse Lookup'!E$3+2,FALSE))</f>
        <v>Open</v>
      </c>
      <c r="AN6">
        <f>IF(OR('Pinstrap Reverse Lookup'!C$4=AL$3,'Pinstrap Reverse Lookup'!C$4='Resistor Selection'!AL$4),'Resistor Selection'!$AL$4,VLOOKUP('Resistor Selection'!AJ6,'Resistor Selection'!B$15:R$30,'Pinstrap Reverse Lookup'!E$4+2,FALSE))</f>
        <v>40200</v>
      </c>
      <c r="AO6">
        <f>IF(OR('Pinstrap Reverse Lookup'!C$5=AL$3,'Pinstrap Reverse Lookup'!C$5='Resistor Selection'!AL$4),'Resistor Selection'!$AL$4,VLOOKUP('Resistor Selection'!AJ6,'Resistor Selection'!B$15:R$30,'Pinstrap Reverse Lookup'!E$5+2,FALSE))</f>
        <v>15400</v>
      </c>
      <c r="AP6">
        <f>IF(OR('Pinstrap Reverse Lookup'!C$6=AL$3,'Pinstrap Reverse Lookup'!C$6='Resistor Selection'!AL$4),'Resistor Selection'!$AL$4,VLOOKUP('Resistor Selection'!AJ6,'Resistor Selection'!B$15:R$30,'Pinstrap Reverse Lookup'!E$6+2,FALSE))</f>
        <v>18700</v>
      </c>
      <c r="AQ6">
        <f t="shared" si="0"/>
        <v>1</v>
      </c>
    </row>
    <row r="7" spans="1:43" ht="15" x14ac:dyDescent="0.25">
      <c r="A7" s="13"/>
      <c r="B7" s="13">
        <v>3</v>
      </c>
      <c r="C7" s="13">
        <v>4020</v>
      </c>
      <c r="D7" s="13">
        <v>4420</v>
      </c>
      <c r="E7" s="13">
        <v>4870</v>
      </c>
      <c r="F7" s="13">
        <v>5360</v>
      </c>
      <c r="G7" s="13">
        <v>5900</v>
      </c>
      <c r="H7" s="13">
        <v>6490</v>
      </c>
      <c r="I7" s="13">
        <v>7150</v>
      </c>
      <c r="J7" s="13">
        <v>7870</v>
      </c>
      <c r="K7" s="13">
        <v>8660</v>
      </c>
      <c r="L7" s="13">
        <v>9530</v>
      </c>
      <c r="M7" s="13">
        <v>10500</v>
      </c>
      <c r="N7" s="13">
        <v>11500</v>
      </c>
      <c r="O7" s="13">
        <v>12700</v>
      </c>
      <c r="P7" s="13">
        <v>14000</v>
      </c>
      <c r="Q7" s="13">
        <v>15400</v>
      </c>
      <c r="R7" s="13">
        <v>16900</v>
      </c>
      <c r="S7" s="13">
        <v>18700</v>
      </c>
      <c r="T7" s="13">
        <v>20500</v>
      </c>
      <c r="U7" s="13">
        <v>22600</v>
      </c>
      <c r="V7" s="13">
        <v>24900</v>
      </c>
      <c r="W7" s="13">
        <v>27400</v>
      </c>
      <c r="X7" s="13">
        <v>30100</v>
      </c>
      <c r="Y7" s="13">
        <v>33200</v>
      </c>
      <c r="Z7" s="13">
        <v>36500</v>
      </c>
      <c r="AA7" s="13">
        <v>40200</v>
      </c>
      <c r="AB7" s="13">
        <v>44200</v>
      </c>
      <c r="AC7" s="13">
        <v>48700</v>
      </c>
      <c r="AD7" s="13">
        <v>53600</v>
      </c>
      <c r="AE7" s="13">
        <v>59000</v>
      </c>
      <c r="AF7" s="13">
        <v>64900</v>
      </c>
      <c r="AG7" s="13">
        <v>71500</v>
      </c>
      <c r="AH7" s="13">
        <v>78700</v>
      </c>
      <c r="AJ7">
        <f t="shared" ref="AJ7:AJ36" si="3">AJ6+1</f>
        <v>2</v>
      </c>
      <c r="AK7">
        <f t="shared" si="1"/>
        <v>5360</v>
      </c>
      <c r="AL7">
        <f t="shared" si="2"/>
        <v>6810</v>
      </c>
      <c r="AM7" t="str">
        <f>IF(OR('Pinstrap Reverse Lookup'!C$3=AL$3,'Pinstrap Reverse Lookup'!C$3='Resistor Selection'!AL$4),'Resistor Selection'!$AL$4,VLOOKUP('Resistor Selection'!AJ7,'Resistor Selection'!B$15:R$30,'Pinstrap Reverse Lookup'!E$3+2,FALSE))</f>
        <v>Open</v>
      </c>
      <c r="AN7">
        <f>IF(OR('Pinstrap Reverse Lookup'!C$4=AL$3,'Pinstrap Reverse Lookup'!C$4='Resistor Selection'!AL$4),'Resistor Selection'!$AL$4,VLOOKUP('Resistor Selection'!AJ7,'Resistor Selection'!B$15:R$30,'Pinstrap Reverse Lookup'!E$4+2,FALSE))</f>
        <v>30100</v>
      </c>
      <c r="AO7">
        <f>IF(OR('Pinstrap Reverse Lookup'!C$5=AL$3,'Pinstrap Reverse Lookup'!C$5='Resistor Selection'!AL$4),'Resistor Selection'!$AL$4,VLOOKUP('Resistor Selection'!AJ7,'Resistor Selection'!B$15:R$30,'Pinstrap Reverse Lookup'!E$5+2,FALSE))</f>
        <v>11500</v>
      </c>
      <c r="AP7">
        <f>IF(OR('Pinstrap Reverse Lookup'!C$6=AL$3,'Pinstrap Reverse Lookup'!C$6='Resistor Selection'!AL$4),'Resistor Selection'!$AL$4,VLOOKUP('Resistor Selection'!AJ7,'Resistor Selection'!B$15:R$30,'Pinstrap Reverse Lookup'!E$6+2,FALSE))</f>
        <v>14000</v>
      </c>
      <c r="AQ7">
        <f t="shared" si="0"/>
        <v>2</v>
      </c>
    </row>
    <row r="8" spans="1:43" ht="15" x14ac:dyDescent="0.25">
      <c r="A8" s="13"/>
      <c r="B8" s="13">
        <v>4</v>
      </c>
      <c r="C8" s="13">
        <v>2740</v>
      </c>
      <c r="D8" s="13">
        <v>3010</v>
      </c>
      <c r="E8" s="13">
        <v>3320</v>
      </c>
      <c r="F8" s="13">
        <v>3650</v>
      </c>
      <c r="G8" s="13">
        <v>4020</v>
      </c>
      <c r="H8" s="13">
        <v>4420</v>
      </c>
      <c r="I8" s="13">
        <v>4870</v>
      </c>
      <c r="J8" s="13">
        <v>5360</v>
      </c>
      <c r="K8" s="13">
        <v>5900</v>
      </c>
      <c r="L8" s="13">
        <v>6490</v>
      </c>
      <c r="M8" s="13">
        <v>7150</v>
      </c>
      <c r="N8" s="13">
        <v>7870</v>
      </c>
      <c r="O8" s="13">
        <v>8660</v>
      </c>
      <c r="P8" s="13">
        <v>9530</v>
      </c>
      <c r="Q8" s="13">
        <v>10500</v>
      </c>
      <c r="R8" s="13">
        <v>11500</v>
      </c>
      <c r="S8" s="13">
        <v>12700</v>
      </c>
      <c r="T8" s="13">
        <v>14000</v>
      </c>
      <c r="U8" s="13">
        <v>15400</v>
      </c>
      <c r="V8" s="13">
        <v>16900</v>
      </c>
      <c r="W8" s="13">
        <v>18700</v>
      </c>
      <c r="X8" s="13">
        <v>20500</v>
      </c>
      <c r="Y8" s="13">
        <v>22600</v>
      </c>
      <c r="Z8" s="13">
        <v>24900</v>
      </c>
      <c r="AA8" s="13">
        <v>27400</v>
      </c>
      <c r="AB8" s="13">
        <v>30100</v>
      </c>
      <c r="AC8" s="13">
        <v>33200</v>
      </c>
      <c r="AD8" s="13">
        <v>36500</v>
      </c>
      <c r="AE8" s="13">
        <v>40200</v>
      </c>
      <c r="AF8" s="13">
        <v>44200</v>
      </c>
      <c r="AG8" s="13">
        <v>48700</v>
      </c>
      <c r="AH8" s="13">
        <v>53600</v>
      </c>
      <c r="AJ8">
        <f t="shared" si="3"/>
        <v>3</v>
      </c>
      <c r="AK8">
        <f t="shared" si="1"/>
        <v>5900</v>
      </c>
      <c r="AL8">
        <f t="shared" si="2"/>
        <v>8250</v>
      </c>
      <c r="AM8" t="str">
        <f>IF(OR('Pinstrap Reverse Lookup'!C$3=AL$3,'Pinstrap Reverse Lookup'!C$3='Resistor Selection'!AL$4),'Resistor Selection'!$AL$4,VLOOKUP('Resistor Selection'!AJ8,'Resistor Selection'!B$15:R$30,'Pinstrap Reverse Lookup'!E$3+2,FALSE))</f>
        <v>Open</v>
      </c>
      <c r="AN8">
        <f>IF(OR('Pinstrap Reverse Lookup'!C$4=AL$3,'Pinstrap Reverse Lookup'!C$4='Resistor Selection'!AL$4),'Resistor Selection'!$AL$4,VLOOKUP('Resistor Selection'!AJ8,'Resistor Selection'!B$15:R$30,'Pinstrap Reverse Lookup'!E$4+2,FALSE))</f>
        <v>23700</v>
      </c>
      <c r="AO8">
        <f>IF(OR('Pinstrap Reverse Lookup'!C$5=AL$3,'Pinstrap Reverse Lookup'!C$5='Resistor Selection'!AL$4),'Resistor Selection'!$AL$4,VLOOKUP('Resistor Selection'!AJ8,'Resistor Selection'!B$15:R$30,'Pinstrap Reverse Lookup'!E$5+2,FALSE))</f>
        <v>9090</v>
      </c>
      <c r="AP8">
        <f>IF(OR('Pinstrap Reverse Lookup'!C$6=AL$3,'Pinstrap Reverse Lookup'!C$6='Resistor Selection'!AL$4),'Resistor Selection'!$AL$4,VLOOKUP('Resistor Selection'!AJ8,'Resistor Selection'!B$15:R$30,'Pinstrap Reverse Lookup'!E$6+2,FALSE))</f>
        <v>11000</v>
      </c>
      <c r="AQ8">
        <f t="shared" si="0"/>
        <v>3</v>
      </c>
    </row>
    <row r="9" spans="1:43" ht="15" x14ac:dyDescent="0.25">
      <c r="A9" s="13"/>
      <c r="B9" s="13">
        <v>5</v>
      </c>
      <c r="C9" s="13">
        <v>1780</v>
      </c>
      <c r="D9" s="13">
        <v>1960</v>
      </c>
      <c r="E9" s="13">
        <v>2150</v>
      </c>
      <c r="F9" s="13">
        <v>2370</v>
      </c>
      <c r="G9" s="13">
        <v>2610</v>
      </c>
      <c r="H9" s="13">
        <v>2870</v>
      </c>
      <c r="I9" s="13">
        <v>3160</v>
      </c>
      <c r="J9" s="13">
        <v>3480</v>
      </c>
      <c r="K9" s="13">
        <v>3830</v>
      </c>
      <c r="L9" s="13">
        <v>4220</v>
      </c>
      <c r="M9" s="13">
        <v>4640</v>
      </c>
      <c r="N9" s="13">
        <v>5110</v>
      </c>
      <c r="O9" s="13">
        <v>5620</v>
      </c>
      <c r="P9" s="13">
        <v>6190</v>
      </c>
      <c r="Q9" s="13">
        <v>6810</v>
      </c>
      <c r="R9" s="13">
        <v>7500</v>
      </c>
      <c r="S9" s="13">
        <v>8250</v>
      </c>
      <c r="T9" s="13">
        <v>9090</v>
      </c>
      <c r="U9" s="13">
        <v>10000</v>
      </c>
      <c r="V9" s="13">
        <v>11000</v>
      </c>
      <c r="W9" s="13">
        <v>12100</v>
      </c>
      <c r="X9" s="13">
        <v>13300</v>
      </c>
      <c r="Y9" s="13">
        <v>14700</v>
      </c>
      <c r="Z9" s="13">
        <v>16200</v>
      </c>
      <c r="AA9" s="13">
        <v>17800</v>
      </c>
      <c r="AB9" s="13">
        <v>19600</v>
      </c>
      <c r="AC9" s="13">
        <v>21500</v>
      </c>
      <c r="AD9" s="13">
        <v>23700</v>
      </c>
      <c r="AE9" s="13">
        <v>26100</v>
      </c>
      <c r="AF9" s="13">
        <v>28700</v>
      </c>
      <c r="AG9" s="13">
        <v>31600</v>
      </c>
      <c r="AH9" s="13">
        <v>34800</v>
      </c>
      <c r="AJ9">
        <f t="shared" si="3"/>
        <v>4</v>
      </c>
      <c r="AK9">
        <f t="shared" si="1"/>
        <v>6490</v>
      </c>
      <c r="AL9">
        <f t="shared" si="2"/>
        <v>10000</v>
      </c>
      <c r="AM9" t="str">
        <f>IF(OR('Pinstrap Reverse Lookup'!C$3=AL$3,'Pinstrap Reverse Lookup'!C$3='Resistor Selection'!AL$4),'Resistor Selection'!$AL$4,VLOOKUP('Resistor Selection'!AJ9,'Resistor Selection'!B$15:R$30,'Pinstrap Reverse Lookup'!E$3+2,FALSE))</f>
        <v>Open</v>
      </c>
      <c r="AN9">
        <f>IF(OR('Pinstrap Reverse Lookup'!C$4=AL$3,'Pinstrap Reverse Lookup'!C$4='Resistor Selection'!AL$4),'Resistor Selection'!$AL$4,VLOOKUP('Resistor Selection'!AJ9,'Resistor Selection'!B$15:R$30,'Pinstrap Reverse Lookup'!E$4+2,FALSE))</f>
        <v>18700</v>
      </c>
      <c r="AO9">
        <f>IF(OR('Pinstrap Reverse Lookup'!C$5=AL$3,'Pinstrap Reverse Lookup'!C$5='Resistor Selection'!AL$4),'Resistor Selection'!$AL$4,VLOOKUP('Resistor Selection'!AJ9,'Resistor Selection'!B$15:R$30,'Pinstrap Reverse Lookup'!E$5+2,FALSE))</f>
        <v>7150</v>
      </c>
      <c r="AP9">
        <f>IF(OR('Pinstrap Reverse Lookup'!C$6=AL$3,'Pinstrap Reverse Lookup'!C$6='Resistor Selection'!AL$4),'Resistor Selection'!$AL$4,VLOOKUP('Resistor Selection'!AJ9,'Resistor Selection'!B$15:R$30,'Pinstrap Reverse Lookup'!E$6+2,FALSE))</f>
        <v>8660</v>
      </c>
      <c r="AQ9">
        <f t="shared" si="0"/>
        <v>4</v>
      </c>
    </row>
    <row r="10" spans="1:43" ht="15" x14ac:dyDescent="0.25">
      <c r="A10" s="13"/>
      <c r="B10" s="13">
        <v>6</v>
      </c>
      <c r="C10" s="13">
        <v>1050</v>
      </c>
      <c r="D10" s="13">
        <v>1150</v>
      </c>
      <c r="E10" s="13">
        <v>1270</v>
      </c>
      <c r="F10" s="13">
        <v>1400</v>
      </c>
      <c r="G10" s="13">
        <v>1540</v>
      </c>
      <c r="H10" s="13">
        <v>1690</v>
      </c>
      <c r="I10" s="13">
        <v>1870</v>
      </c>
      <c r="J10" s="13">
        <v>2050</v>
      </c>
      <c r="K10" s="13">
        <v>2260</v>
      </c>
      <c r="L10" s="13">
        <v>2490</v>
      </c>
      <c r="M10" s="13">
        <v>2740</v>
      </c>
      <c r="N10" s="13">
        <v>3010</v>
      </c>
      <c r="O10" s="13">
        <v>3320</v>
      </c>
      <c r="P10" s="13">
        <v>3650</v>
      </c>
      <c r="Q10" s="13">
        <v>4020</v>
      </c>
      <c r="R10" s="13">
        <v>4420</v>
      </c>
      <c r="S10" s="13">
        <v>4870</v>
      </c>
      <c r="T10" s="13">
        <v>5360</v>
      </c>
      <c r="U10" s="13">
        <v>5900</v>
      </c>
      <c r="V10" s="13">
        <v>6490</v>
      </c>
      <c r="W10" s="13">
        <v>7150</v>
      </c>
      <c r="X10" s="13">
        <v>7870</v>
      </c>
      <c r="Y10" s="13">
        <v>8660</v>
      </c>
      <c r="Z10" s="13">
        <v>9530</v>
      </c>
      <c r="AA10" s="13">
        <v>10500</v>
      </c>
      <c r="AB10" s="13">
        <v>11500</v>
      </c>
      <c r="AC10" s="13">
        <v>12700</v>
      </c>
      <c r="AD10" s="13">
        <v>14000</v>
      </c>
      <c r="AE10" s="13">
        <v>15400</v>
      </c>
      <c r="AF10" s="13">
        <v>16900</v>
      </c>
      <c r="AG10" s="13">
        <v>18700</v>
      </c>
      <c r="AH10" s="13">
        <v>20500</v>
      </c>
      <c r="AJ10">
        <f t="shared" si="3"/>
        <v>5</v>
      </c>
      <c r="AK10">
        <f t="shared" si="1"/>
        <v>7150</v>
      </c>
      <c r="AL10">
        <f t="shared" si="2"/>
        <v>12100</v>
      </c>
      <c r="AM10" t="str">
        <f>IF(OR('Pinstrap Reverse Lookup'!C$3=AL$3,'Pinstrap Reverse Lookup'!C$3='Resistor Selection'!AL$4),'Resistor Selection'!$AL$4,VLOOKUP('Resistor Selection'!AJ10,'Resistor Selection'!B$15:R$30,'Pinstrap Reverse Lookup'!E$3+2,FALSE))</f>
        <v>Open</v>
      </c>
      <c r="AN10">
        <f>IF(OR('Pinstrap Reverse Lookup'!C$4=AL$3,'Pinstrap Reverse Lookup'!C$4='Resistor Selection'!AL$4),'Resistor Selection'!$AL$4,VLOOKUP('Resistor Selection'!AJ10,'Resistor Selection'!B$15:R$30,'Pinstrap Reverse Lookup'!E$4+2,FALSE))</f>
        <v>14700</v>
      </c>
      <c r="AO10">
        <f>IF(OR('Pinstrap Reverse Lookup'!C$5=AL$3,'Pinstrap Reverse Lookup'!C$5='Resistor Selection'!AL$4),'Resistor Selection'!$AL$4,VLOOKUP('Resistor Selection'!AJ10,'Resistor Selection'!B$15:R$30,'Pinstrap Reverse Lookup'!E$5+2,FALSE))</f>
        <v>5620</v>
      </c>
      <c r="AP10">
        <f>IF(OR('Pinstrap Reverse Lookup'!C$6=AL$3,'Pinstrap Reverse Lookup'!C$6='Resistor Selection'!AL$4),'Resistor Selection'!$AL$4,VLOOKUP('Resistor Selection'!AJ10,'Resistor Selection'!B$15:R$30,'Pinstrap Reverse Lookup'!E$6+2,FALSE))</f>
        <v>6810</v>
      </c>
      <c r="AQ10">
        <f t="shared" si="0"/>
        <v>5</v>
      </c>
    </row>
    <row r="11" spans="1:43" ht="15" x14ac:dyDescent="0.25">
      <c r="A11" s="13"/>
      <c r="B11" s="13">
        <v>7</v>
      </c>
      <c r="C11" s="13">
        <v>487</v>
      </c>
      <c r="D11" s="13">
        <v>536</v>
      </c>
      <c r="E11" s="13">
        <v>590</v>
      </c>
      <c r="F11" s="13">
        <v>649</v>
      </c>
      <c r="G11" s="13">
        <v>715</v>
      </c>
      <c r="H11" s="13">
        <v>787</v>
      </c>
      <c r="I11" s="13">
        <v>866</v>
      </c>
      <c r="J11" s="13">
        <v>953</v>
      </c>
      <c r="K11" s="13">
        <v>1050</v>
      </c>
      <c r="L11" s="13">
        <v>1150</v>
      </c>
      <c r="M11" s="13">
        <v>1270</v>
      </c>
      <c r="N11" s="13">
        <v>1400</v>
      </c>
      <c r="O11" s="13">
        <v>1540</v>
      </c>
      <c r="P11" s="13">
        <v>1690</v>
      </c>
      <c r="Q11" s="13">
        <v>1870</v>
      </c>
      <c r="R11" s="13">
        <v>2050</v>
      </c>
      <c r="S11" s="13">
        <v>2260</v>
      </c>
      <c r="T11" s="13">
        <v>2490</v>
      </c>
      <c r="U11" s="13">
        <v>2740</v>
      </c>
      <c r="V11" s="13">
        <v>3010</v>
      </c>
      <c r="W11" s="13">
        <v>3320</v>
      </c>
      <c r="X11" s="13">
        <v>3650</v>
      </c>
      <c r="Y11" s="13">
        <v>4020</v>
      </c>
      <c r="Z11" s="13">
        <v>4420</v>
      </c>
      <c r="AA11" s="13">
        <v>4870</v>
      </c>
      <c r="AB11" s="13">
        <v>5360</v>
      </c>
      <c r="AC11" s="13">
        <v>5900</v>
      </c>
      <c r="AD11" s="13">
        <v>6490</v>
      </c>
      <c r="AE11" s="13">
        <v>7150</v>
      </c>
      <c r="AF11" s="13">
        <v>7870</v>
      </c>
      <c r="AG11" s="13">
        <v>8660</v>
      </c>
      <c r="AH11" s="13">
        <v>9530</v>
      </c>
      <c r="AJ11">
        <f t="shared" si="3"/>
        <v>6</v>
      </c>
      <c r="AK11">
        <f t="shared" si="1"/>
        <v>7870</v>
      </c>
      <c r="AL11">
        <f t="shared" si="2"/>
        <v>14700</v>
      </c>
      <c r="AM11" t="str">
        <f>IF(OR('Pinstrap Reverse Lookup'!C$3=AL$3,'Pinstrap Reverse Lookup'!C$3='Resistor Selection'!AL$4),'Resistor Selection'!$AL$4,VLOOKUP('Resistor Selection'!AJ11,'Resistor Selection'!B$15:R$30,'Pinstrap Reverse Lookup'!E$3+2,FALSE))</f>
        <v>Open</v>
      </c>
      <c r="AN11">
        <f>IF(OR('Pinstrap Reverse Lookup'!C$4=AL$3,'Pinstrap Reverse Lookup'!C$4='Resistor Selection'!AL$4),'Resistor Selection'!$AL$4,VLOOKUP('Resistor Selection'!AJ11,'Resistor Selection'!B$15:R$30,'Pinstrap Reverse Lookup'!E$4+2,FALSE))</f>
        <v>12100</v>
      </c>
      <c r="AO11">
        <f>IF(OR('Pinstrap Reverse Lookup'!C$5=AL$3,'Pinstrap Reverse Lookup'!C$5='Resistor Selection'!AL$4),'Resistor Selection'!$AL$4,VLOOKUP('Resistor Selection'!AJ11,'Resistor Selection'!B$15:R$30,'Pinstrap Reverse Lookup'!E$5+2,FALSE))</f>
        <v>4640</v>
      </c>
      <c r="AP11">
        <f>IF(OR('Pinstrap Reverse Lookup'!C$6=AL$3,'Pinstrap Reverse Lookup'!C$6='Resistor Selection'!AL$4),'Resistor Selection'!$AL$4,VLOOKUP('Resistor Selection'!AJ11,'Resistor Selection'!B$15:R$30,'Pinstrap Reverse Lookup'!E$6+2,FALSE))</f>
        <v>5620</v>
      </c>
      <c r="AQ11">
        <f t="shared" si="0"/>
        <v>6</v>
      </c>
    </row>
    <row r="12" spans="1:43" ht="15" x14ac:dyDescent="0.25">
      <c r="B12" s="500" t="s">
        <v>325</v>
      </c>
      <c r="C12" s="500"/>
      <c r="D12" s="500"/>
      <c r="E12" s="500"/>
      <c r="F12" s="500"/>
      <c r="G12" s="500"/>
      <c r="H12" s="500"/>
      <c r="I12" s="500"/>
      <c r="J12" s="500"/>
      <c r="K12" s="500"/>
      <c r="L12" s="500"/>
      <c r="M12" s="500"/>
      <c r="N12" s="500"/>
      <c r="O12" s="500"/>
      <c r="P12" s="500"/>
      <c r="Q12" s="500"/>
      <c r="R12" s="500"/>
      <c r="AJ12">
        <f t="shared" si="3"/>
        <v>7</v>
      </c>
      <c r="AK12">
        <f t="shared" si="1"/>
        <v>8660</v>
      </c>
      <c r="AL12">
        <f t="shared" si="2"/>
        <v>17800</v>
      </c>
      <c r="AM12" t="str">
        <f>IF(OR('Pinstrap Reverse Lookup'!C$3=AL$3,'Pinstrap Reverse Lookup'!C$3='Resistor Selection'!AL$4),'Resistor Selection'!$AL$4,VLOOKUP('Resistor Selection'!AJ12,'Resistor Selection'!B$15:R$30,'Pinstrap Reverse Lookup'!E$3+2,FALSE))</f>
        <v>Open</v>
      </c>
      <c r="AN12">
        <f>IF(OR('Pinstrap Reverse Lookup'!C$4=AL$3,'Pinstrap Reverse Lookup'!C$4='Resistor Selection'!AL$4),'Resistor Selection'!$AL$4,VLOOKUP('Resistor Selection'!AJ12,'Resistor Selection'!B$15:R$30,'Pinstrap Reverse Lookup'!E$4+2,FALSE))</f>
        <v>10000</v>
      </c>
      <c r="AO12">
        <f>IF(OR('Pinstrap Reverse Lookup'!C$5=AL$3,'Pinstrap Reverse Lookup'!C$5='Resistor Selection'!AL$4),'Resistor Selection'!$AL$4,VLOOKUP('Resistor Selection'!AJ12,'Resistor Selection'!B$15:R$30,'Pinstrap Reverse Lookup'!E$5+2,FALSE))</f>
        <v>3830</v>
      </c>
      <c r="AP12">
        <f>IF(OR('Pinstrap Reverse Lookup'!C$6=AL$3,'Pinstrap Reverse Lookup'!C$6='Resistor Selection'!AL$4),'Resistor Selection'!$AL$4,VLOOKUP('Resistor Selection'!AJ12,'Resistor Selection'!B$15:R$30,'Pinstrap Reverse Lookup'!E$6+2,FALSE))</f>
        <v>4640</v>
      </c>
      <c r="AQ12">
        <f t="shared" si="0"/>
        <v>7</v>
      </c>
    </row>
    <row r="13" spans="1:43" ht="15" x14ac:dyDescent="0.25">
      <c r="B13" t="s">
        <v>253</v>
      </c>
      <c r="C13" s="9">
        <v>0</v>
      </c>
      <c r="D13" s="9">
        <f>C13+1</f>
        <v>1</v>
      </c>
      <c r="E13" s="9">
        <f t="shared" ref="E13:R13" si="4">D13+1</f>
        <v>2</v>
      </c>
      <c r="F13" s="9">
        <f t="shared" si="4"/>
        <v>3</v>
      </c>
      <c r="G13" s="9">
        <f t="shared" si="4"/>
        <v>4</v>
      </c>
      <c r="H13" s="9">
        <f t="shared" si="4"/>
        <v>5</v>
      </c>
      <c r="I13" s="9">
        <f t="shared" si="4"/>
        <v>6</v>
      </c>
      <c r="J13" s="9">
        <f t="shared" si="4"/>
        <v>7</v>
      </c>
      <c r="K13" s="9">
        <f t="shared" si="4"/>
        <v>8</v>
      </c>
      <c r="L13" s="9">
        <f t="shared" si="4"/>
        <v>9</v>
      </c>
      <c r="M13" s="9">
        <f t="shared" si="4"/>
        <v>10</v>
      </c>
      <c r="N13" s="9">
        <f t="shared" si="4"/>
        <v>11</v>
      </c>
      <c r="O13" s="9">
        <f t="shared" si="4"/>
        <v>12</v>
      </c>
      <c r="P13" s="9">
        <f t="shared" si="4"/>
        <v>13</v>
      </c>
      <c r="Q13" s="9">
        <f t="shared" si="4"/>
        <v>14</v>
      </c>
      <c r="R13" s="9">
        <f t="shared" si="4"/>
        <v>15</v>
      </c>
      <c r="S13" s="1"/>
      <c r="T13" s="1"/>
      <c r="U13" s="1"/>
      <c r="V13" s="1"/>
      <c r="W13" s="1"/>
      <c r="X13" s="1"/>
      <c r="Y13" s="1"/>
      <c r="Z13" s="1"/>
      <c r="AA13" s="1"/>
      <c r="AB13" s="1"/>
      <c r="AC13" s="1"/>
      <c r="AD13" s="1"/>
      <c r="AE13" s="1"/>
      <c r="AF13" s="1"/>
      <c r="AG13" s="1"/>
      <c r="AH13" s="1"/>
      <c r="AJ13">
        <f t="shared" si="3"/>
        <v>8</v>
      </c>
      <c r="AK13">
        <f t="shared" si="1"/>
        <v>9530</v>
      </c>
      <c r="AL13">
        <f t="shared" si="2"/>
        <v>21500</v>
      </c>
      <c r="AM13" t="str">
        <f>IF(OR('Pinstrap Reverse Lookup'!C$3=AL$3,'Pinstrap Reverse Lookup'!C$3='Resistor Selection'!AL$4),'Resistor Selection'!$AL$4,VLOOKUP('Resistor Selection'!AJ13,'Resistor Selection'!B$15:R$30,'Pinstrap Reverse Lookup'!E$3+2,FALSE))</f>
        <v>Open</v>
      </c>
      <c r="AN13">
        <f>IF(OR('Pinstrap Reverse Lookup'!C$4=AL$3,'Pinstrap Reverse Lookup'!C$4='Resistor Selection'!AL$4),'Resistor Selection'!$AL$4,VLOOKUP('Resistor Selection'!AJ13,'Resistor Selection'!B$15:R$30,'Pinstrap Reverse Lookup'!E$4+2,FALSE))</f>
        <v>8250</v>
      </c>
      <c r="AO13">
        <f>IF(OR('Pinstrap Reverse Lookup'!C$5=AL$3,'Pinstrap Reverse Lookup'!C$5='Resistor Selection'!AL$4),'Resistor Selection'!$AL$4,VLOOKUP('Resistor Selection'!AJ13,'Resistor Selection'!B$15:R$30,'Pinstrap Reverse Lookup'!E$5+2,FALSE))</f>
        <v>3160</v>
      </c>
      <c r="AP13">
        <f>IF(OR('Pinstrap Reverse Lookup'!C$6=AL$3,'Pinstrap Reverse Lookup'!C$6='Resistor Selection'!AL$4),'Resistor Selection'!$AL$4,VLOOKUP('Resistor Selection'!AJ13,'Resistor Selection'!B$15:R$30,'Pinstrap Reverse Lookup'!E$6+2,FALSE))</f>
        <v>3830</v>
      </c>
      <c r="AQ13">
        <f t="shared" si="0"/>
        <v>8</v>
      </c>
    </row>
    <row r="14" spans="1:43" ht="15" x14ac:dyDescent="0.25">
      <c r="B14" s="5" t="s">
        <v>14</v>
      </c>
      <c r="C14" s="8">
        <v>4640</v>
      </c>
      <c r="D14" s="8">
        <v>5620</v>
      </c>
      <c r="E14" s="8">
        <v>6810</v>
      </c>
      <c r="F14" s="8">
        <v>8250</v>
      </c>
      <c r="G14" s="8">
        <v>10000</v>
      </c>
      <c r="H14" s="8">
        <v>12100</v>
      </c>
      <c r="I14" s="8">
        <v>14700</v>
      </c>
      <c r="J14" s="8">
        <v>17800</v>
      </c>
      <c r="K14" s="8">
        <v>21500</v>
      </c>
      <c r="L14" s="8">
        <v>26100</v>
      </c>
      <c r="M14" s="8">
        <v>31600</v>
      </c>
      <c r="N14" s="8">
        <v>38300</v>
      </c>
      <c r="O14" s="8">
        <v>46400</v>
      </c>
      <c r="P14" s="8">
        <v>56200</v>
      </c>
      <c r="Q14" s="8">
        <v>68100</v>
      </c>
      <c r="R14" s="8">
        <v>82500</v>
      </c>
      <c r="S14" s="1"/>
      <c r="T14" s="1"/>
      <c r="U14" s="1"/>
      <c r="V14" s="1"/>
      <c r="W14" s="1"/>
      <c r="X14" s="1"/>
      <c r="Y14" s="1"/>
      <c r="Z14" s="1"/>
      <c r="AA14" s="1"/>
      <c r="AB14" s="1"/>
      <c r="AC14" s="1"/>
      <c r="AD14" s="1"/>
      <c r="AE14" s="1"/>
      <c r="AF14" s="1"/>
      <c r="AG14" s="1"/>
      <c r="AH14" s="1"/>
      <c r="AJ14">
        <f t="shared" si="3"/>
        <v>9</v>
      </c>
      <c r="AK14">
        <f t="shared" si="1"/>
        <v>10500</v>
      </c>
      <c r="AL14">
        <f t="shared" si="2"/>
        <v>26100</v>
      </c>
      <c r="AM14" t="str">
        <f>IF(OR('Pinstrap Reverse Lookup'!C$3=AL$3,'Pinstrap Reverse Lookup'!C$3='Resistor Selection'!AL$4),'Resistor Selection'!$AL$4,VLOOKUP('Resistor Selection'!AJ14,'Resistor Selection'!B$15:R$30,'Pinstrap Reverse Lookup'!E$3+2,FALSE))</f>
        <v>Open</v>
      </c>
      <c r="AN14">
        <f>IF(OR('Pinstrap Reverse Lookup'!C$4=AL$3,'Pinstrap Reverse Lookup'!C$4='Resistor Selection'!AL$4),'Resistor Selection'!$AL$4,VLOOKUP('Resistor Selection'!AJ14,'Resistor Selection'!B$15:R$30,'Pinstrap Reverse Lookup'!E$4+2,FALSE))</f>
        <v>6810</v>
      </c>
      <c r="AO14">
        <f>IF(OR('Pinstrap Reverse Lookup'!C$5=AL$3,'Pinstrap Reverse Lookup'!C$5='Resistor Selection'!AL$4),'Resistor Selection'!$AL$4,VLOOKUP('Resistor Selection'!AJ14,'Resistor Selection'!B$15:R$30,'Pinstrap Reverse Lookup'!E$5+2,FALSE))</f>
        <v>2610</v>
      </c>
      <c r="AP14">
        <f>IF(OR('Pinstrap Reverse Lookup'!C$6=AL$3,'Pinstrap Reverse Lookup'!C$6='Resistor Selection'!AL$4),'Resistor Selection'!$AL$4,VLOOKUP('Resistor Selection'!AJ14,'Resistor Selection'!B$15:R$30,'Pinstrap Reverse Lookup'!E$6+2,FALSE))</f>
        <v>3160</v>
      </c>
      <c r="AQ14">
        <f t="shared" si="0"/>
        <v>9</v>
      </c>
    </row>
    <row r="15" spans="1:43" ht="15" x14ac:dyDescent="0.25">
      <c r="A15" t="s">
        <v>254</v>
      </c>
      <c r="B15" s="5">
        <v>0</v>
      </c>
      <c r="C15" s="9">
        <v>21500</v>
      </c>
      <c r="D15" s="9">
        <v>26100</v>
      </c>
      <c r="E15" s="9">
        <v>31600</v>
      </c>
      <c r="F15" s="9">
        <v>38300</v>
      </c>
      <c r="G15" s="9">
        <v>46400</v>
      </c>
      <c r="H15" s="9">
        <v>56200</v>
      </c>
      <c r="I15" s="9">
        <v>68100</v>
      </c>
      <c r="J15" s="9">
        <v>82500</v>
      </c>
      <c r="K15" s="9">
        <v>100000</v>
      </c>
      <c r="L15" s="9">
        <v>121000</v>
      </c>
      <c r="M15" s="9">
        <v>147000</v>
      </c>
      <c r="N15" s="9">
        <v>178000</v>
      </c>
      <c r="O15" s="9">
        <v>215000</v>
      </c>
      <c r="P15" s="9">
        <v>261000</v>
      </c>
      <c r="Q15" s="9">
        <v>316000</v>
      </c>
      <c r="R15" s="9">
        <v>402000</v>
      </c>
      <c r="S15" s="1"/>
      <c r="T15" s="1"/>
      <c r="U15" s="1"/>
      <c r="V15" s="1"/>
      <c r="W15" s="1"/>
      <c r="X15" s="1"/>
      <c r="Y15" s="1"/>
      <c r="Z15" s="1"/>
      <c r="AA15" s="1"/>
      <c r="AB15" s="1"/>
      <c r="AC15" s="1"/>
      <c r="AD15" s="1"/>
      <c r="AE15" s="1"/>
      <c r="AF15" s="1"/>
      <c r="AG15" s="1"/>
      <c r="AH15" s="1"/>
      <c r="AJ15">
        <f t="shared" si="3"/>
        <v>10</v>
      </c>
      <c r="AK15">
        <f t="shared" si="1"/>
        <v>11500</v>
      </c>
      <c r="AL15">
        <f t="shared" si="2"/>
        <v>31600</v>
      </c>
      <c r="AM15" t="str">
        <f>IF(OR('Pinstrap Reverse Lookup'!C$3=AL$3,'Pinstrap Reverse Lookup'!C$3='Resistor Selection'!AL$4),'Resistor Selection'!$AL$4,VLOOKUP('Resistor Selection'!AJ15,'Resistor Selection'!B$15:R$30,'Pinstrap Reverse Lookup'!E$3+2,FALSE))</f>
        <v>Open</v>
      </c>
      <c r="AN15">
        <f>IF(OR('Pinstrap Reverse Lookup'!C$4=AL$3,'Pinstrap Reverse Lookup'!C$4='Resistor Selection'!AL$4),'Resistor Selection'!$AL$4,VLOOKUP('Resistor Selection'!AJ15,'Resistor Selection'!B$15:R$30,'Pinstrap Reverse Lookup'!E$4+2,FALSE))</f>
        <v>5360</v>
      </c>
      <c r="AO15">
        <f>IF(OR('Pinstrap Reverse Lookup'!C$5=AL$3,'Pinstrap Reverse Lookup'!C$5='Resistor Selection'!AL$4),'Resistor Selection'!$AL$4,VLOOKUP('Resistor Selection'!AJ15,'Resistor Selection'!B$15:R$30,'Pinstrap Reverse Lookup'!E$5+2,FALSE))</f>
        <v>2050</v>
      </c>
      <c r="AP15">
        <f>IF(OR('Pinstrap Reverse Lookup'!C$6=AL$3,'Pinstrap Reverse Lookup'!C$6='Resistor Selection'!AL$4),'Resistor Selection'!$AL$4,VLOOKUP('Resistor Selection'!AJ15,'Resistor Selection'!B$15:R$30,'Pinstrap Reverse Lookup'!E$6+2,FALSE))</f>
        <v>2490</v>
      </c>
      <c r="AQ15">
        <f t="shared" si="0"/>
        <v>10</v>
      </c>
    </row>
    <row r="16" spans="1:43" ht="15" x14ac:dyDescent="0.25">
      <c r="B16" s="5">
        <v>1</v>
      </c>
      <c r="C16" s="9">
        <v>15400</v>
      </c>
      <c r="D16" s="9">
        <v>18700</v>
      </c>
      <c r="E16" s="9">
        <v>22600</v>
      </c>
      <c r="F16" s="9">
        <v>27400</v>
      </c>
      <c r="G16" s="9">
        <v>33200</v>
      </c>
      <c r="H16" s="9">
        <v>40200</v>
      </c>
      <c r="I16" s="9">
        <v>48700</v>
      </c>
      <c r="J16" s="9">
        <v>59000</v>
      </c>
      <c r="K16" s="9">
        <v>71500</v>
      </c>
      <c r="L16" s="9">
        <v>86600</v>
      </c>
      <c r="M16" s="9">
        <v>105000</v>
      </c>
      <c r="N16" s="9">
        <v>127000</v>
      </c>
      <c r="O16" s="9">
        <v>154000</v>
      </c>
      <c r="P16" s="9">
        <v>187000</v>
      </c>
      <c r="Q16" s="9">
        <v>226000</v>
      </c>
      <c r="R16" s="9">
        <v>274000</v>
      </c>
      <c r="S16" s="1"/>
      <c r="T16" s="1"/>
      <c r="U16" s="1"/>
      <c r="V16" s="1"/>
      <c r="W16" s="1"/>
      <c r="X16" s="1"/>
      <c r="Y16" s="1"/>
      <c r="Z16" s="1"/>
      <c r="AA16" s="1"/>
      <c r="AB16" s="1"/>
      <c r="AC16" s="1"/>
      <c r="AD16" s="1"/>
      <c r="AE16" s="1"/>
      <c r="AF16" s="1"/>
      <c r="AG16" s="1"/>
      <c r="AH16" s="1"/>
      <c r="AJ16">
        <f t="shared" si="3"/>
        <v>11</v>
      </c>
      <c r="AK16">
        <f t="shared" si="1"/>
        <v>12700</v>
      </c>
      <c r="AL16">
        <f t="shared" si="2"/>
        <v>38300</v>
      </c>
      <c r="AM16" t="str">
        <f>IF(OR('Pinstrap Reverse Lookup'!C$3=AL$3,'Pinstrap Reverse Lookup'!C$3='Resistor Selection'!AL$4),'Resistor Selection'!$AL$4,VLOOKUP('Resistor Selection'!AJ16,'Resistor Selection'!B$15:R$30,'Pinstrap Reverse Lookup'!E$3+2,FALSE))</f>
        <v>Open</v>
      </c>
      <c r="AN16">
        <f>IF(OR('Pinstrap Reverse Lookup'!C$4=AL$3,'Pinstrap Reverse Lookup'!C$4='Resistor Selection'!AL$4),'Resistor Selection'!$AL$4,VLOOKUP('Resistor Selection'!AJ16,'Resistor Selection'!B$15:R$30,'Pinstrap Reverse Lookup'!E$4+2,FALSE))</f>
        <v>4220</v>
      </c>
      <c r="AO16">
        <f>IF(OR('Pinstrap Reverse Lookup'!C$5=AL$3,'Pinstrap Reverse Lookup'!C$5='Resistor Selection'!AL$4),'Resistor Selection'!$AL$4,VLOOKUP('Resistor Selection'!AJ16,'Resistor Selection'!B$15:R$30,'Pinstrap Reverse Lookup'!E$5+2,FALSE))</f>
        <v>1620</v>
      </c>
      <c r="AP16">
        <f>IF(OR('Pinstrap Reverse Lookup'!C$6=AL$3,'Pinstrap Reverse Lookup'!C$6='Resistor Selection'!AL$4),'Resistor Selection'!$AL$4,VLOOKUP('Resistor Selection'!AJ16,'Resistor Selection'!B$15:R$30,'Pinstrap Reverse Lookup'!E$6+2,FALSE))</f>
        <v>1960</v>
      </c>
      <c r="AQ16">
        <f t="shared" si="0"/>
        <v>11</v>
      </c>
    </row>
    <row r="17" spans="2:43" ht="15" x14ac:dyDescent="0.25">
      <c r="B17" s="5">
        <v>2</v>
      </c>
      <c r="C17" s="9">
        <v>11500</v>
      </c>
      <c r="D17" s="9">
        <v>14000</v>
      </c>
      <c r="E17" s="9">
        <v>16900</v>
      </c>
      <c r="F17" s="9">
        <v>20500</v>
      </c>
      <c r="G17" s="9">
        <v>24900</v>
      </c>
      <c r="H17" s="9">
        <v>30100</v>
      </c>
      <c r="I17" s="9">
        <v>36500</v>
      </c>
      <c r="J17" s="9">
        <v>44200</v>
      </c>
      <c r="K17" s="9">
        <v>53600</v>
      </c>
      <c r="L17" s="9">
        <v>64900</v>
      </c>
      <c r="M17" s="9">
        <v>78700</v>
      </c>
      <c r="N17" s="9">
        <v>95300</v>
      </c>
      <c r="O17" s="9">
        <v>115000</v>
      </c>
      <c r="P17" s="9">
        <v>140000</v>
      </c>
      <c r="Q17" s="9">
        <v>169000</v>
      </c>
      <c r="R17" s="9">
        <v>205000</v>
      </c>
      <c r="S17" s="1"/>
      <c r="T17" s="1"/>
      <c r="U17" s="1"/>
      <c r="V17" s="1"/>
      <c r="W17" s="1"/>
      <c r="X17" s="1"/>
      <c r="Y17" s="1"/>
      <c r="Z17" s="1"/>
      <c r="AA17" s="1"/>
      <c r="AB17" s="1"/>
      <c r="AC17" s="1"/>
      <c r="AD17" s="1"/>
      <c r="AE17" s="1"/>
      <c r="AF17" s="1"/>
      <c r="AG17" s="1"/>
      <c r="AH17" s="1"/>
      <c r="AJ17">
        <f t="shared" si="3"/>
        <v>12</v>
      </c>
      <c r="AK17">
        <f t="shared" si="1"/>
        <v>14000</v>
      </c>
      <c r="AL17">
        <f t="shared" si="2"/>
        <v>46400</v>
      </c>
      <c r="AM17" t="str">
        <f>IF(OR('Pinstrap Reverse Lookup'!C$3=AL$3,'Pinstrap Reverse Lookup'!C$3='Resistor Selection'!AL$4),'Resistor Selection'!$AL$4,VLOOKUP('Resistor Selection'!AJ17,'Resistor Selection'!B$15:R$30,'Pinstrap Reverse Lookup'!E$3+2,FALSE))</f>
        <v>Open</v>
      </c>
      <c r="AN17">
        <f>IF(OR('Pinstrap Reverse Lookup'!C$4=AL$3,'Pinstrap Reverse Lookup'!C$4='Resistor Selection'!AL$4),'Resistor Selection'!$AL$4,VLOOKUP('Resistor Selection'!AJ17,'Resistor Selection'!B$15:R$30,'Pinstrap Reverse Lookup'!E$4+2,FALSE))</f>
        <v>3320</v>
      </c>
      <c r="AO17">
        <f>IF(OR('Pinstrap Reverse Lookup'!C$5=AL$3,'Pinstrap Reverse Lookup'!C$5='Resistor Selection'!AL$4),'Resistor Selection'!$AL$4,VLOOKUP('Resistor Selection'!AJ17,'Resistor Selection'!B$15:R$30,'Pinstrap Reverse Lookup'!E$5+2,FALSE))</f>
        <v>1270</v>
      </c>
      <c r="AP17">
        <f>IF(OR('Pinstrap Reverse Lookup'!C$6=AL$3,'Pinstrap Reverse Lookup'!C$6='Resistor Selection'!AL$4),'Resistor Selection'!$AL$4,VLOOKUP('Resistor Selection'!AJ17,'Resistor Selection'!B$15:R$30,'Pinstrap Reverse Lookup'!E$6+2,FALSE))</f>
        <v>1540</v>
      </c>
      <c r="AQ17">
        <f t="shared" si="0"/>
        <v>12</v>
      </c>
    </row>
    <row r="18" spans="2:43" ht="15" x14ac:dyDescent="0.25">
      <c r="B18" s="5">
        <v>3</v>
      </c>
      <c r="C18" s="9">
        <v>9090</v>
      </c>
      <c r="D18" s="9">
        <v>11000</v>
      </c>
      <c r="E18" s="9">
        <v>13300</v>
      </c>
      <c r="F18" s="9">
        <v>16200</v>
      </c>
      <c r="G18" s="9">
        <v>19600</v>
      </c>
      <c r="H18" s="9">
        <v>23700</v>
      </c>
      <c r="I18" s="9">
        <v>28700</v>
      </c>
      <c r="J18" s="9">
        <v>34800</v>
      </c>
      <c r="K18" s="9">
        <v>42200</v>
      </c>
      <c r="L18" s="9">
        <v>51100</v>
      </c>
      <c r="M18" s="9">
        <v>61900</v>
      </c>
      <c r="N18" s="9">
        <v>75000</v>
      </c>
      <c r="O18" s="9">
        <v>90900</v>
      </c>
      <c r="P18" s="9">
        <v>110000</v>
      </c>
      <c r="Q18" s="9">
        <v>133000</v>
      </c>
      <c r="R18" s="9">
        <v>162000</v>
      </c>
      <c r="S18" s="1"/>
      <c r="T18" s="1"/>
      <c r="U18" s="1"/>
      <c r="V18" s="1"/>
      <c r="W18" s="1"/>
      <c r="X18" s="1"/>
      <c r="Y18" s="1"/>
      <c r="Z18" s="1"/>
      <c r="AA18" s="1"/>
      <c r="AB18" s="1"/>
      <c r="AC18" s="1"/>
      <c r="AD18" s="1"/>
      <c r="AE18" s="1"/>
      <c r="AF18" s="1"/>
      <c r="AG18" s="1"/>
      <c r="AH18" s="1"/>
      <c r="AJ18">
        <f t="shared" si="3"/>
        <v>13</v>
      </c>
      <c r="AK18">
        <f t="shared" si="1"/>
        <v>15400</v>
      </c>
      <c r="AL18">
        <f t="shared" si="2"/>
        <v>56200</v>
      </c>
      <c r="AM18" t="str">
        <f>IF(OR('Pinstrap Reverse Lookup'!C$3=AL$3,'Pinstrap Reverse Lookup'!C$3='Resistor Selection'!AL$4),'Resistor Selection'!$AL$4,VLOOKUP('Resistor Selection'!AJ18,'Resistor Selection'!B$15:R$30,'Pinstrap Reverse Lookup'!E$3+2,FALSE))</f>
        <v>Open</v>
      </c>
      <c r="AN18">
        <f>IF(OR('Pinstrap Reverse Lookup'!C$4=AL$3,'Pinstrap Reverse Lookup'!C$4='Resistor Selection'!AL$4),'Resistor Selection'!$AL$4,VLOOKUP('Resistor Selection'!AJ18,'Resistor Selection'!B$15:R$30,'Pinstrap Reverse Lookup'!E$4+2,FALSE))</f>
        <v>2490</v>
      </c>
      <c r="AO18">
        <f>IF(OR('Pinstrap Reverse Lookup'!C$5=AL$3,'Pinstrap Reverse Lookup'!C$5='Resistor Selection'!AL$4),'Resistor Selection'!$AL$4,VLOOKUP('Resistor Selection'!AJ18,'Resistor Selection'!B$15:R$30,'Pinstrap Reverse Lookup'!E$5+2,FALSE))</f>
        <v>953</v>
      </c>
      <c r="AP18">
        <f>IF(OR('Pinstrap Reverse Lookup'!C$6=AL$3,'Pinstrap Reverse Lookup'!C$6='Resistor Selection'!AL$4),'Resistor Selection'!$AL$4,VLOOKUP('Resistor Selection'!AJ18,'Resistor Selection'!B$15:R$30,'Pinstrap Reverse Lookup'!E$6+2,FALSE))</f>
        <v>1150</v>
      </c>
      <c r="AQ18">
        <f t="shared" si="0"/>
        <v>13</v>
      </c>
    </row>
    <row r="19" spans="2:43" ht="15" x14ac:dyDescent="0.25">
      <c r="B19" s="5">
        <v>4</v>
      </c>
      <c r="C19" s="9">
        <v>7150</v>
      </c>
      <c r="D19" s="9">
        <v>8660</v>
      </c>
      <c r="E19" s="9">
        <v>10500</v>
      </c>
      <c r="F19" s="9">
        <v>12700</v>
      </c>
      <c r="G19" s="9">
        <v>15400</v>
      </c>
      <c r="H19" s="9">
        <v>18700</v>
      </c>
      <c r="I19" s="9">
        <v>22600</v>
      </c>
      <c r="J19" s="9">
        <v>27400</v>
      </c>
      <c r="K19" s="9">
        <v>33200</v>
      </c>
      <c r="L19" s="9">
        <v>40200</v>
      </c>
      <c r="M19" s="9">
        <v>48700</v>
      </c>
      <c r="N19" s="9">
        <v>59000</v>
      </c>
      <c r="O19" s="9">
        <v>71500</v>
      </c>
      <c r="P19" s="9">
        <v>86600</v>
      </c>
      <c r="Q19" s="9">
        <v>105000</v>
      </c>
      <c r="R19" s="9">
        <v>127000</v>
      </c>
      <c r="S19" s="1"/>
      <c r="T19" s="1"/>
      <c r="U19" s="1"/>
      <c r="V19" s="1"/>
      <c r="W19" s="1"/>
      <c r="X19" s="1"/>
      <c r="Y19" s="1"/>
      <c r="Z19" s="1"/>
      <c r="AA19" s="1"/>
      <c r="AB19" s="1"/>
      <c r="AC19" s="1"/>
      <c r="AD19" s="1"/>
      <c r="AE19" s="1"/>
      <c r="AF19" s="1"/>
      <c r="AG19" s="1"/>
      <c r="AH19" s="1"/>
      <c r="AJ19">
        <f t="shared" si="3"/>
        <v>14</v>
      </c>
      <c r="AK19">
        <f t="shared" si="1"/>
        <v>16900</v>
      </c>
      <c r="AL19">
        <f t="shared" si="2"/>
        <v>68100</v>
      </c>
      <c r="AM19" t="str">
        <f>IF(OR('Pinstrap Reverse Lookup'!C$3=AL$3,'Pinstrap Reverse Lookup'!C$3='Resistor Selection'!AL$4),'Resistor Selection'!$AL$4,VLOOKUP('Resistor Selection'!AJ19,'Resistor Selection'!B$15:R$30,'Pinstrap Reverse Lookup'!E$3+2,FALSE))</f>
        <v>Open</v>
      </c>
      <c r="AN19">
        <f>IF(OR('Pinstrap Reverse Lookup'!C$4=AL$3,'Pinstrap Reverse Lookup'!C$4='Resistor Selection'!AL$4),'Resistor Selection'!$AL$4,VLOOKUP('Resistor Selection'!AJ19,'Resistor Selection'!B$15:R$30,'Pinstrap Reverse Lookup'!E$4+2,FALSE))</f>
        <v>1870</v>
      </c>
      <c r="AO19">
        <f>IF(OR('Pinstrap Reverse Lookup'!C$5=AL$3,'Pinstrap Reverse Lookup'!C$5='Resistor Selection'!AL$4),'Resistor Selection'!$AL$4,VLOOKUP('Resistor Selection'!AJ19,'Resistor Selection'!B$15:R$30,'Pinstrap Reverse Lookup'!E$5+2,FALSE))</f>
        <v>715</v>
      </c>
      <c r="AP19">
        <f>IF(OR('Pinstrap Reverse Lookup'!C$6=AL$3,'Pinstrap Reverse Lookup'!C$6='Resistor Selection'!AL$4),'Resistor Selection'!$AL$4,VLOOKUP('Resistor Selection'!AJ19,'Resistor Selection'!B$15:R$30,'Pinstrap Reverse Lookup'!E$6+2,FALSE))</f>
        <v>866</v>
      </c>
      <c r="AQ19">
        <f t="shared" si="0"/>
        <v>14</v>
      </c>
    </row>
    <row r="20" spans="2:43" ht="15" x14ac:dyDescent="0.25">
      <c r="B20" s="5">
        <v>5</v>
      </c>
      <c r="C20" s="9">
        <v>5620</v>
      </c>
      <c r="D20" s="9">
        <v>6810</v>
      </c>
      <c r="E20" s="9">
        <v>8250</v>
      </c>
      <c r="F20" s="9">
        <v>10000</v>
      </c>
      <c r="G20" s="9">
        <v>12100</v>
      </c>
      <c r="H20" s="9">
        <v>14700</v>
      </c>
      <c r="I20" s="9">
        <v>17800</v>
      </c>
      <c r="J20" s="9">
        <v>21500</v>
      </c>
      <c r="K20" s="9">
        <v>26100</v>
      </c>
      <c r="L20" s="9">
        <v>31600</v>
      </c>
      <c r="M20" s="9">
        <v>38300</v>
      </c>
      <c r="N20" s="9">
        <v>46400</v>
      </c>
      <c r="O20" s="9">
        <v>56200</v>
      </c>
      <c r="P20" s="9">
        <v>68100</v>
      </c>
      <c r="Q20" s="9">
        <v>82500</v>
      </c>
      <c r="R20" s="9">
        <v>100000</v>
      </c>
      <c r="S20" s="1"/>
      <c r="T20" s="1"/>
      <c r="U20" s="1"/>
      <c r="V20" s="1"/>
      <c r="W20" s="1"/>
      <c r="X20" s="1"/>
      <c r="Y20" s="1"/>
      <c r="Z20" s="1"/>
      <c r="AA20" s="1"/>
      <c r="AB20" s="1"/>
      <c r="AC20" s="1"/>
      <c r="AD20" s="1"/>
      <c r="AE20" s="1"/>
      <c r="AF20" s="1"/>
      <c r="AG20" s="1"/>
      <c r="AH20" s="1"/>
      <c r="AJ20">
        <f t="shared" si="3"/>
        <v>15</v>
      </c>
      <c r="AK20">
        <f t="shared" si="1"/>
        <v>18700</v>
      </c>
      <c r="AL20">
        <f t="shared" si="2"/>
        <v>82500</v>
      </c>
      <c r="AM20" t="str">
        <f>IF(OR('Pinstrap Reverse Lookup'!C$3=AL$3,'Pinstrap Reverse Lookup'!C$3='Resistor Selection'!AL$4),'Resistor Selection'!$AL$4,VLOOKUP('Resistor Selection'!AJ20,'Resistor Selection'!B$15:R$30,'Pinstrap Reverse Lookup'!E$3+2,FALSE))</f>
        <v>Open</v>
      </c>
      <c r="AN20">
        <f>IF(OR('Pinstrap Reverse Lookup'!C$4=AL$3,'Pinstrap Reverse Lookup'!C$4='Resistor Selection'!AL$4),'Resistor Selection'!$AL$4,VLOOKUP('Resistor Selection'!AJ20,'Resistor Selection'!B$15:R$30,'Pinstrap Reverse Lookup'!E$4+2,FALSE))</f>
        <v>1330</v>
      </c>
      <c r="AO20">
        <f>IF(OR('Pinstrap Reverse Lookup'!C$5=AL$3,'Pinstrap Reverse Lookup'!C$5='Resistor Selection'!AL$4),'Resistor Selection'!$AL$4,VLOOKUP('Resistor Selection'!AJ20,'Resistor Selection'!B$15:R$30,'Pinstrap Reverse Lookup'!E$5+2,FALSE))</f>
        <v>511</v>
      </c>
      <c r="AP20">
        <f>IF(OR('Pinstrap Reverse Lookup'!C$6=AL$3,'Pinstrap Reverse Lookup'!C$6='Resistor Selection'!AL$4),'Resistor Selection'!$AL$4,VLOOKUP('Resistor Selection'!AJ20,'Resistor Selection'!B$15:R$30,'Pinstrap Reverse Lookup'!E$6+2,FALSE))</f>
        <v>619</v>
      </c>
      <c r="AQ20">
        <f t="shared" si="0"/>
        <v>15</v>
      </c>
    </row>
    <row r="21" spans="2:43" ht="15" x14ac:dyDescent="0.25">
      <c r="B21" s="5">
        <v>6</v>
      </c>
      <c r="C21" s="9">
        <v>4640</v>
      </c>
      <c r="D21" s="9">
        <v>5620</v>
      </c>
      <c r="E21" s="9">
        <v>6810</v>
      </c>
      <c r="F21" s="9">
        <v>8250</v>
      </c>
      <c r="G21" s="9">
        <v>10000</v>
      </c>
      <c r="H21" s="9">
        <v>12100</v>
      </c>
      <c r="I21" s="9">
        <v>14700</v>
      </c>
      <c r="J21" s="9">
        <v>17800</v>
      </c>
      <c r="K21" s="9">
        <v>21500</v>
      </c>
      <c r="L21" s="9">
        <v>26100</v>
      </c>
      <c r="M21" s="9">
        <v>31600</v>
      </c>
      <c r="N21" s="9">
        <v>38300</v>
      </c>
      <c r="O21" s="9">
        <v>46400</v>
      </c>
      <c r="P21" s="9">
        <v>56200</v>
      </c>
      <c r="Q21" s="9">
        <v>68100</v>
      </c>
      <c r="R21" s="9">
        <v>82500</v>
      </c>
      <c r="S21" s="1"/>
      <c r="T21" s="1"/>
      <c r="U21" s="1"/>
      <c r="V21" s="1"/>
      <c r="W21" s="1"/>
      <c r="X21" s="1"/>
      <c r="Y21" s="1"/>
      <c r="Z21" s="1"/>
      <c r="AA21" s="1"/>
      <c r="AB21" s="1"/>
      <c r="AC21" s="1"/>
      <c r="AD21" s="1"/>
      <c r="AE21" s="1"/>
      <c r="AF21" s="1"/>
      <c r="AG21" s="1"/>
      <c r="AH21" s="1"/>
      <c r="AJ21">
        <f t="shared" si="3"/>
        <v>16</v>
      </c>
      <c r="AK21">
        <f t="shared" si="1"/>
        <v>20500</v>
      </c>
      <c r="AQ21">
        <f t="shared" si="0"/>
        <v>16</v>
      </c>
    </row>
    <row r="22" spans="2:43" ht="15" x14ac:dyDescent="0.25">
      <c r="B22" s="5">
        <v>7</v>
      </c>
      <c r="C22" s="9">
        <v>3830</v>
      </c>
      <c r="D22" s="9">
        <v>4640</v>
      </c>
      <c r="E22" s="9">
        <v>5620</v>
      </c>
      <c r="F22" s="9">
        <v>6810</v>
      </c>
      <c r="G22" s="9">
        <v>8250</v>
      </c>
      <c r="H22" s="9">
        <v>10000</v>
      </c>
      <c r="I22" s="9">
        <v>12100</v>
      </c>
      <c r="J22" s="9">
        <v>14700</v>
      </c>
      <c r="K22" s="9">
        <v>17800</v>
      </c>
      <c r="L22" s="9">
        <v>21500</v>
      </c>
      <c r="M22" s="9">
        <v>26100</v>
      </c>
      <c r="N22" s="9">
        <v>31600</v>
      </c>
      <c r="O22" s="9">
        <v>38300</v>
      </c>
      <c r="P22" s="9">
        <v>46400</v>
      </c>
      <c r="Q22" s="9">
        <v>56200</v>
      </c>
      <c r="R22" s="9">
        <v>68100</v>
      </c>
      <c r="S22" s="1"/>
      <c r="T22" s="1"/>
      <c r="U22" s="1"/>
      <c r="V22" s="1"/>
      <c r="W22" s="1"/>
      <c r="X22" s="1"/>
      <c r="Y22" s="1"/>
      <c r="Z22" s="1"/>
      <c r="AA22" s="1"/>
      <c r="AB22" s="1"/>
      <c r="AC22" s="1"/>
      <c r="AD22" s="1"/>
      <c r="AE22" s="1"/>
      <c r="AF22" s="1"/>
      <c r="AG22" s="1"/>
      <c r="AH22" s="1"/>
      <c r="AJ22">
        <f t="shared" si="3"/>
        <v>17</v>
      </c>
      <c r="AK22">
        <f t="shared" si="1"/>
        <v>22600</v>
      </c>
      <c r="AQ22">
        <f t="shared" si="0"/>
        <v>17</v>
      </c>
    </row>
    <row r="23" spans="2:43" ht="15" x14ac:dyDescent="0.25">
      <c r="B23" s="5">
        <v>8</v>
      </c>
      <c r="C23" s="9">
        <v>3160</v>
      </c>
      <c r="D23" s="9">
        <v>3830</v>
      </c>
      <c r="E23" s="9">
        <v>4640</v>
      </c>
      <c r="F23" s="9">
        <v>5620</v>
      </c>
      <c r="G23" s="9">
        <v>6810</v>
      </c>
      <c r="H23" s="9">
        <v>8250</v>
      </c>
      <c r="I23" s="9">
        <v>10000</v>
      </c>
      <c r="J23" s="9">
        <v>12100</v>
      </c>
      <c r="K23" s="9">
        <v>14700</v>
      </c>
      <c r="L23" s="9">
        <v>17800</v>
      </c>
      <c r="M23" s="9">
        <v>21500</v>
      </c>
      <c r="N23" s="9">
        <v>26100</v>
      </c>
      <c r="O23" s="9">
        <v>31600</v>
      </c>
      <c r="P23" s="9">
        <v>38300</v>
      </c>
      <c r="Q23" s="9">
        <v>46400</v>
      </c>
      <c r="R23" s="9">
        <v>56200</v>
      </c>
      <c r="S23" s="1"/>
      <c r="T23" s="1"/>
      <c r="U23" s="1"/>
      <c r="V23" s="1"/>
      <c r="W23" s="1"/>
      <c r="X23" s="1"/>
      <c r="Y23" s="1"/>
      <c r="Z23" s="1"/>
      <c r="AA23" s="1"/>
      <c r="AB23" s="1"/>
      <c r="AC23" s="1"/>
      <c r="AD23" s="1"/>
      <c r="AE23" s="1"/>
      <c r="AF23" s="1"/>
      <c r="AG23" s="1"/>
      <c r="AH23" s="1"/>
      <c r="AJ23">
        <f t="shared" si="3"/>
        <v>18</v>
      </c>
      <c r="AK23">
        <f t="shared" si="1"/>
        <v>24900</v>
      </c>
      <c r="AQ23">
        <f t="shared" si="0"/>
        <v>18</v>
      </c>
    </row>
    <row r="24" spans="2:43" ht="15" x14ac:dyDescent="0.25">
      <c r="B24" s="5">
        <v>9</v>
      </c>
      <c r="C24" s="9">
        <v>2610</v>
      </c>
      <c r="D24" s="9">
        <v>3160</v>
      </c>
      <c r="E24" s="9">
        <v>3830</v>
      </c>
      <c r="F24" s="9">
        <v>4640</v>
      </c>
      <c r="G24" s="9">
        <v>5620</v>
      </c>
      <c r="H24" s="9">
        <v>6810</v>
      </c>
      <c r="I24" s="9">
        <v>8250</v>
      </c>
      <c r="J24" s="9">
        <v>10000</v>
      </c>
      <c r="K24" s="9">
        <v>12100</v>
      </c>
      <c r="L24" s="9">
        <v>14700</v>
      </c>
      <c r="M24" s="9">
        <v>17800</v>
      </c>
      <c r="N24" s="9">
        <v>21500</v>
      </c>
      <c r="O24" s="9">
        <v>26100</v>
      </c>
      <c r="P24" s="9">
        <v>31600</v>
      </c>
      <c r="Q24" s="9">
        <v>38300</v>
      </c>
      <c r="R24" s="9">
        <v>46400</v>
      </c>
      <c r="S24" s="1"/>
      <c r="T24" s="1"/>
      <c r="U24" s="1"/>
      <c r="V24" s="1"/>
      <c r="W24" s="1"/>
      <c r="X24" s="1"/>
      <c r="Y24" s="1"/>
      <c r="Z24" s="1"/>
      <c r="AA24" s="1"/>
      <c r="AB24" s="1"/>
      <c r="AC24" s="1"/>
      <c r="AD24" s="1"/>
      <c r="AE24" s="1"/>
      <c r="AF24" s="1"/>
      <c r="AG24" s="1"/>
      <c r="AH24" s="1"/>
      <c r="AJ24">
        <f t="shared" si="3"/>
        <v>19</v>
      </c>
      <c r="AK24">
        <f t="shared" si="1"/>
        <v>27400</v>
      </c>
      <c r="AQ24">
        <f t="shared" si="0"/>
        <v>19</v>
      </c>
    </row>
    <row r="25" spans="2:43" ht="15" x14ac:dyDescent="0.25">
      <c r="B25" s="5">
        <v>10</v>
      </c>
      <c r="C25" s="9">
        <v>2050</v>
      </c>
      <c r="D25" s="9">
        <v>2490</v>
      </c>
      <c r="E25" s="9">
        <v>3010</v>
      </c>
      <c r="F25" s="9">
        <v>3650</v>
      </c>
      <c r="G25" s="9">
        <v>4420</v>
      </c>
      <c r="H25" s="9">
        <v>5360</v>
      </c>
      <c r="I25" s="9">
        <v>6490</v>
      </c>
      <c r="J25" s="9">
        <v>7870</v>
      </c>
      <c r="K25" s="9">
        <v>9530</v>
      </c>
      <c r="L25" s="9">
        <v>11500</v>
      </c>
      <c r="M25" s="9">
        <v>14000</v>
      </c>
      <c r="N25" s="9">
        <v>16900</v>
      </c>
      <c r="O25" s="9">
        <v>20500</v>
      </c>
      <c r="P25" s="9">
        <v>24900</v>
      </c>
      <c r="Q25" s="9">
        <v>30100</v>
      </c>
      <c r="R25" s="9">
        <v>36500</v>
      </c>
      <c r="S25" s="1"/>
      <c r="T25" s="1"/>
      <c r="U25" s="1"/>
      <c r="V25" s="1"/>
      <c r="W25" s="1"/>
      <c r="X25" s="1"/>
      <c r="Y25" s="1"/>
      <c r="Z25" s="1"/>
      <c r="AA25" s="1"/>
      <c r="AB25" s="1"/>
      <c r="AC25" s="1"/>
      <c r="AD25" s="1"/>
      <c r="AE25" s="1"/>
      <c r="AF25" s="1"/>
      <c r="AG25" s="1"/>
      <c r="AH25" s="1"/>
      <c r="AJ25">
        <f t="shared" si="3"/>
        <v>20</v>
      </c>
      <c r="AK25">
        <f t="shared" si="1"/>
        <v>30100</v>
      </c>
      <c r="AQ25">
        <f t="shared" si="0"/>
        <v>20</v>
      </c>
    </row>
    <row r="26" spans="2:43" ht="15" x14ac:dyDescent="0.25">
      <c r="B26" s="5">
        <v>11</v>
      </c>
      <c r="C26" s="9">
        <v>1620</v>
      </c>
      <c r="D26" s="9">
        <v>1960</v>
      </c>
      <c r="E26" s="9">
        <v>2370</v>
      </c>
      <c r="F26" s="9">
        <v>2870</v>
      </c>
      <c r="G26" s="9">
        <v>3480</v>
      </c>
      <c r="H26" s="9">
        <v>4220</v>
      </c>
      <c r="I26" s="9">
        <v>5110</v>
      </c>
      <c r="J26" s="9">
        <v>6190</v>
      </c>
      <c r="K26" s="9">
        <v>7500</v>
      </c>
      <c r="L26" s="9">
        <v>9090</v>
      </c>
      <c r="M26" s="9">
        <v>11000</v>
      </c>
      <c r="N26" s="9">
        <v>13300</v>
      </c>
      <c r="O26" s="9">
        <v>16200</v>
      </c>
      <c r="P26" s="9">
        <v>19600</v>
      </c>
      <c r="Q26" s="9">
        <v>23700</v>
      </c>
      <c r="R26" s="9">
        <v>28700</v>
      </c>
      <c r="S26" s="1"/>
      <c r="T26" s="1"/>
      <c r="U26" s="1"/>
      <c r="V26" s="1"/>
      <c r="W26" s="1"/>
      <c r="X26" s="1"/>
      <c r="Y26" s="1"/>
      <c r="Z26" s="1"/>
      <c r="AA26" s="1"/>
      <c r="AB26" s="1"/>
      <c r="AC26" s="1"/>
      <c r="AD26" s="1"/>
      <c r="AE26" s="1"/>
      <c r="AF26" s="1"/>
      <c r="AG26" s="1"/>
      <c r="AH26" s="1"/>
      <c r="AJ26">
        <f t="shared" si="3"/>
        <v>21</v>
      </c>
      <c r="AK26">
        <f t="shared" si="1"/>
        <v>33200</v>
      </c>
      <c r="AQ26">
        <f t="shared" si="0"/>
        <v>21</v>
      </c>
    </row>
    <row r="27" spans="2:43" ht="15" x14ac:dyDescent="0.25">
      <c r="B27" s="5">
        <v>12</v>
      </c>
      <c r="C27" s="9">
        <v>1270</v>
      </c>
      <c r="D27" s="9">
        <v>1540</v>
      </c>
      <c r="E27" s="9">
        <v>1870</v>
      </c>
      <c r="F27" s="9">
        <v>2260</v>
      </c>
      <c r="G27" s="9">
        <v>2740</v>
      </c>
      <c r="H27" s="9">
        <v>3320</v>
      </c>
      <c r="I27" s="9">
        <v>4020</v>
      </c>
      <c r="J27" s="9">
        <v>4870</v>
      </c>
      <c r="K27" s="9">
        <v>5900</v>
      </c>
      <c r="L27" s="9">
        <v>7150</v>
      </c>
      <c r="M27" s="9">
        <v>8660</v>
      </c>
      <c r="N27" s="9">
        <v>10500</v>
      </c>
      <c r="O27" s="9">
        <v>12700</v>
      </c>
      <c r="P27" s="9">
        <v>15400</v>
      </c>
      <c r="Q27" s="9">
        <v>18700</v>
      </c>
      <c r="R27" s="9">
        <v>22600</v>
      </c>
      <c r="S27" s="1"/>
      <c r="T27" s="1"/>
      <c r="U27" s="1"/>
      <c r="V27" s="1"/>
      <c r="W27" s="1"/>
      <c r="X27" s="1"/>
      <c r="Y27" s="1"/>
      <c r="Z27" s="1"/>
      <c r="AA27" s="1"/>
      <c r="AB27" s="1"/>
      <c r="AC27" s="1"/>
      <c r="AD27" s="1"/>
      <c r="AE27" s="1"/>
      <c r="AF27" s="1"/>
      <c r="AG27" s="1"/>
      <c r="AH27" s="1"/>
      <c r="AJ27">
        <f t="shared" si="3"/>
        <v>22</v>
      </c>
      <c r="AK27">
        <f t="shared" si="1"/>
        <v>36500</v>
      </c>
      <c r="AQ27">
        <f t="shared" si="0"/>
        <v>22</v>
      </c>
    </row>
    <row r="28" spans="2:43" ht="15" x14ac:dyDescent="0.25">
      <c r="B28" s="5">
        <v>13</v>
      </c>
      <c r="C28" s="9">
        <v>953</v>
      </c>
      <c r="D28" s="9">
        <v>1150</v>
      </c>
      <c r="E28" s="9">
        <v>1400</v>
      </c>
      <c r="F28" s="9">
        <v>1690</v>
      </c>
      <c r="G28" s="9">
        <v>2050</v>
      </c>
      <c r="H28" s="9">
        <v>2490</v>
      </c>
      <c r="I28" s="9">
        <v>3010</v>
      </c>
      <c r="J28" s="9">
        <v>3650</v>
      </c>
      <c r="K28" s="9">
        <v>4420</v>
      </c>
      <c r="L28" s="9">
        <v>5360</v>
      </c>
      <c r="M28" s="9">
        <v>6490</v>
      </c>
      <c r="N28" s="9">
        <v>7870</v>
      </c>
      <c r="O28" s="9">
        <v>9530</v>
      </c>
      <c r="P28" s="9">
        <v>11500</v>
      </c>
      <c r="Q28" s="9">
        <v>14000</v>
      </c>
      <c r="R28" s="9">
        <v>16900</v>
      </c>
      <c r="S28" s="1"/>
      <c r="T28" s="1"/>
      <c r="U28" s="1"/>
      <c r="V28" s="1"/>
      <c r="W28" s="1"/>
      <c r="X28" s="1"/>
      <c r="Y28" s="1"/>
      <c r="Z28" s="1"/>
      <c r="AA28" s="1"/>
      <c r="AB28" s="1"/>
      <c r="AC28" s="1"/>
      <c r="AD28" s="1"/>
      <c r="AE28" s="1"/>
      <c r="AF28" s="1"/>
      <c r="AG28" s="1"/>
      <c r="AH28" s="1"/>
      <c r="AJ28">
        <f t="shared" si="3"/>
        <v>23</v>
      </c>
      <c r="AK28">
        <f t="shared" si="1"/>
        <v>40200</v>
      </c>
      <c r="AQ28">
        <f t="shared" si="0"/>
        <v>23</v>
      </c>
    </row>
    <row r="29" spans="2:43" ht="15" x14ac:dyDescent="0.25">
      <c r="B29" s="5">
        <v>14</v>
      </c>
      <c r="C29" s="9">
        <v>715</v>
      </c>
      <c r="D29" s="9">
        <v>866</v>
      </c>
      <c r="E29" s="9">
        <v>1050</v>
      </c>
      <c r="F29" s="9">
        <v>1270</v>
      </c>
      <c r="G29" s="9">
        <v>1540</v>
      </c>
      <c r="H29" s="9">
        <v>1870</v>
      </c>
      <c r="I29" s="9">
        <v>2260</v>
      </c>
      <c r="J29" s="9">
        <v>2740</v>
      </c>
      <c r="K29" s="9">
        <v>3320</v>
      </c>
      <c r="L29" s="9">
        <v>4020</v>
      </c>
      <c r="M29" s="9">
        <v>4870</v>
      </c>
      <c r="N29" s="9">
        <v>5900</v>
      </c>
      <c r="O29" s="9">
        <v>7150</v>
      </c>
      <c r="P29" s="9">
        <v>8660</v>
      </c>
      <c r="Q29" s="9">
        <v>10500</v>
      </c>
      <c r="R29" s="9">
        <v>12700</v>
      </c>
      <c r="S29" s="1"/>
      <c r="T29" s="1"/>
      <c r="U29" s="1"/>
      <c r="V29" s="1"/>
      <c r="W29" s="1"/>
      <c r="X29" s="1"/>
      <c r="Y29" s="1"/>
      <c r="Z29" s="1"/>
      <c r="AA29" s="1"/>
      <c r="AB29" s="1"/>
      <c r="AC29" s="1"/>
      <c r="AD29" s="1"/>
      <c r="AE29" s="1"/>
      <c r="AF29" s="1"/>
      <c r="AG29" s="1"/>
      <c r="AH29" s="1"/>
      <c r="AJ29">
        <f t="shared" si="3"/>
        <v>24</v>
      </c>
      <c r="AK29">
        <f t="shared" si="1"/>
        <v>44200</v>
      </c>
      <c r="AQ29">
        <f t="shared" si="0"/>
        <v>24</v>
      </c>
    </row>
    <row r="30" spans="2:43" ht="15" x14ac:dyDescent="0.25">
      <c r="B30" s="5">
        <v>15</v>
      </c>
      <c r="C30" s="9">
        <v>511</v>
      </c>
      <c r="D30" s="9">
        <v>619</v>
      </c>
      <c r="E30" s="9">
        <v>750</v>
      </c>
      <c r="F30" s="9">
        <v>909</v>
      </c>
      <c r="G30" s="9">
        <v>1100</v>
      </c>
      <c r="H30" s="9">
        <v>1330</v>
      </c>
      <c r="I30" s="9">
        <v>1620</v>
      </c>
      <c r="J30" s="9">
        <v>1960</v>
      </c>
      <c r="K30" s="9">
        <v>2370</v>
      </c>
      <c r="L30" s="9">
        <v>2870</v>
      </c>
      <c r="M30" s="9">
        <v>3480</v>
      </c>
      <c r="N30" s="9">
        <v>4220</v>
      </c>
      <c r="O30" s="9">
        <v>5110</v>
      </c>
      <c r="P30" s="9">
        <v>6190</v>
      </c>
      <c r="Q30" s="9">
        <v>7500</v>
      </c>
      <c r="R30" s="9">
        <v>9090</v>
      </c>
      <c r="S30" s="1"/>
      <c r="T30" s="1"/>
      <c r="U30" s="1"/>
      <c r="V30" s="1"/>
      <c r="W30" s="1"/>
      <c r="X30" s="1"/>
      <c r="Y30" s="1"/>
      <c r="Z30" s="1"/>
      <c r="AA30" s="1"/>
      <c r="AB30" s="1"/>
      <c r="AC30" s="1"/>
      <c r="AD30" s="1"/>
      <c r="AE30" s="1"/>
      <c r="AF30" s="1"/>
      <c r="AG30" s="1"/>
      <c r="AH30" s="1"/>
      <c r="AJ30">
        <f t="shared" si="3"/>
        <v>25</v>
      </c>
      <c r="AK30">
        <f t="shared" si="1"/>
        <v>48700</v>
      </c>
      <c r="AQ30">
        <f t="shared" si="0"/>
        <v>25</v>
      </c>
    </row>
    <row r="31" spans="2:43" ht="15" x14ac:dyDescent="0.25">
      <c r="S31" s="1"/>
      <c r="T31" s="1"/>
      <c r="U31" s="1"/>
      <c r="V31" s="1"/>
      <c r="W31" s="1"/>
      <c r="X31" s="1"/>
      <c r="Y31" s="1"/>
      <c r="Z31" s="1"/>
      <c r="AA31" s="1"/>
      <c r="AB31" s="1"/>
      <c r="AC31" s="1"/>
      <c r="AD31" s="1"/>
      <c r="AE31" s="1"/>
      <c r="AF31" s="1"/>
      <c r="AG31" s="1"/>
      <c r="AH31" s="1"/>
      <c r="AJ31">
        <f t="shared" si="3"/>
        <v>26</v>
      </c>
      <c r="AK31">
        <f t="shared" si="1"/>
        <v>53600</v>
      </c>
      <c r="AQ31">
        <f t="shared" si="0"/>
        <v>26</v>
      </c>
    </row>
    <row r="32" spans="2:43" ht="15" x14ac:dyDescent="0.25">
      <c r="AJ32">
        <f t="shared" si="3"/>
        <v>27</v>
      </c>
      <c r="AK32">
        <f t="shared" si="1"/>
        <v>59000</v>
      </c>
      <c r="AQ32">
        <f t="shared" si="0"/>
        <v>27</v>
      </c>
    </row>
    <row r="33" spans="36:43" ht="15" x14ac:dyDescent="0.25">
      <c r="AJ33">
        <f t="shared" si="3"/>
        <v>28</v>
      </c>
      <c r="AK33">
        <f t="shared" si="1"/>
        <v>64900</v>
      </c>
      <c r="AQ33">
        <f t="shared" si="0"/>
        <v>28</v>
      </c>
    </row>
    <row r="34" spans="36:43" ht="15" x14ac:dyDescent="0.25">
      <c r="AJ34">
        <f t="shared" si="3"/>
        <v>29</v>
      </c>
      <c r="AK34">
        <f t="shared" si="1"/>
        <v>71500</v>
      </c>
      <c r="AQ34">
        <f t="shared" si="0"/>
        <v>29</v>
      </c>
    </row>
    <row r="35" spans="36:43" ht="15" x14ac:dyDescent="0.25">
      <c r="AJ35">
        <f t="shared" si="3"/>
        <v>30</v>
      </c>
      <c r="AK35">
        <f t="shared" si="1"/>
        <v>78700</v>
      </c>
      <c r="AQ35">
        <f t="shared" si="0"/>
        <v>30</v>
      </c>
    </row>
    <row r="36" spans="36:43" x14ac:dyDescent="0.35">
      <c r="AJ36">
        <f t="shared" si="3"/>
        <v>31</v>
      </c>
      <c r="AK36">
        <f t="shared" si="1"/>
        <v>86600</v>
      </c>
      <c r="AQ36">
        <f t="shared" si="0"/>
        <v>31</v>
      </c>
    </row>
  </sheetData>
  <sheetProtection sheet="1" objects="1" scenarios="1" selectLockedCells="1"/>
  <mergeCells count="2">
    <mergeCell ref="B1:AH1"/>
    <mergeCell ref="B12:R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C4:AN1048576"/>
  <sheetViews>
    <sheetView workbookViewId="0">
      <selection activeCell="F76" sqref="F76"/>
    </sheetView>
  </sheetViews>
  <sheetFormatPr defaultRowHeight="14.5" x14ac:dyDescent="0.35"/>
  <cols>
    <col min="3" max="3" width="67.1796875" bestFit="1" customWidth="1"/>
    <col min="23" max="23" width="12.7265625" bestFit="1" customWidth="1"/>
    <col min="26" max="27" width="9.1796875" style="57"/>
  </cols>
  <sheetData>
    <row r="4" spans="3:40" ht="15" x14ac:dyDescent="0.25">
      <c r="C4" t="s">
        <v>563</v>
      </c>
      <c r="G4" t="s">
        <v>597</v>
      </c>
      <c r="M4" t="s">
        <v>598</v>
      </c>
      <c r="Q4" t="s">
        <v>603</v>
      </c>
      <c r="T4" t="s">
        <v>604</v>
      </c>
      <c r="W4" t="s">
        <v>609</v>
      </c>
      <c r="AB4" t="s">
        <v>610</v>
      </c>
      <c r="AF4" t="s">
        <v>611</v>
      </c>
      <c r="AJ4" t="s">
        <v>612</v>
      </c>
      <c r="AN4" t="s">
        <v>613</v>
      </c>
    </row>
    <row r="5" spans="3:40" x14ac:dyDescent="0.35">
      <c r="C5" t="s">
        <v>564</v>
      </c>
      <c r="G5">
        <v>275</v>
      </c>
      <c r="M5" t="s">
        <v>599</v>
      </c>
      <c r="Q5" s="4">
        <v>0.5</v>
      </c>
      <c r="T5" t="s">
        <v>605</v>
      </c>
      <c r="W5" t="s">
        <v>38</v>
      </c>
      <c r="AB5" t="s">
        <v>38</v>
      </c>
      <c r="AJ5" t="s">
        <v>630</v>
      </c>
      <c r="AN5" t="s">
        <v>631</v>
      </c>
    </row>
    <row r="6" spans="3:40" x14ac:dyDescent="0.35">
      <c r="C6" s="57" t="s">
        <v>565</v>
      </c>
      <c r="G6">
        <v>325</v>
      </c>
      <c r="M6" s="57" t="s">
        <v>600</v>
      </c>
      <c r="Q6" s="4">
        <v>1</v>
      </c>
      <c r="T6" t="s">
        <v>606</v>
      </c>
      <c r="W6" t="s">
        <v>640</v>
      </c>
      <c r="X6">
        <v>0.5</v>
      </c>
      <c r="Y6">
        <v>0.55000000000000004</v>
      </c>
      <c r="AB6">
        <v>0.5</v>
      </c>
      <c r="AJ6" t="s">
        <v>614</v>
      </c>
      <c r="AN6" s="57" t="s">
        <v>632</v>
      </c>
    </row>
    <row r="7" spans="3:40" x14ac:dyDescent="0.35">
      <c r="C7" s="57" t="s">
        <v>566</v>
      </c>
      <c r="G7">
        <v>450</v>
      </c>
      <c r="M7" s="57" t="s">
        <v>601</v>
      </c>
      <c r="Q7" s="4">
        <v>3</v>
      </c>
      <c r="T7" t="s">
        <v>607</v>
      </c>
      <c r="W7" s="57" t="s">
        <v>641</v>
      </c>
      <c r="X7">
        <v>0.6</v>
      </c>
      <c r="Y7">
        <v>0.74</v>
      </c>
      <c r="AB7">
        <v>0.51</v>
      </c>
      <c r="AI7" s="57"/>
      <c r="AJ7" t="s">
        <v>615</v>
      </c>
      <c r="AN7" s="57" t="s">
        <v>633</v>
      </c>
    </row>
    <row r="8" spans="3:40" x14ac:dyDescent="0.35">
      <c r="C8" s="57" t="s">
        <v>567</v>
      </c>
      <c r="G8">
        <v>550</v>
      </c>
      <c r="M8" s="57" t="s">
        <v>602</v>
      </c>
      <c r="Q8" s="4">
        <v>5</v>
      </c>
      <c r="T8" t="s">
        <v>608</v>
      </c>
      <c r="W8" t="s">
        <v>642</v>
      </c>
      <c r="X8">
        <v>0.75</v>
      </c>
      <c r="Y8">
        <v>0.89</v>
      </c>
      <c r="AB8">
        <v>0.52</v>
      </c>
      <c r="AI8" s="57"/>
      <c r="AJ8" t="s">
        <v>616</v>
      </c>
      <c r="AN8" s="57" t="s">
        <v>634</v>
      </c>
    </row>
    <row r="9" spans="3:40" x14ac:dyDescent="0.35">
      <c r="C9" s="57" t="s">
        <v>568</v>
      </c>
      <c r="G9">
        <v>650</v>
      </c>
      <c r="Q9" s="4">
        <v>7</v>
      </c>
      <c r="W9" t="s">
        <v>643</v>
      </c>
      <c r="X9">
        <v>0.9</v>
      </c>
      <c r="Y9">
        <v>1.04</v>
      </c>
      <c r="AB9">
        <v>0.53</v>
      </c>
      <c r="AI9" s="57"/>
      <c r="AJ9" t="s">
        <v>617</v>
      </c>
      <c r="AN9" s="57" t="s">
        <v>635</v>
      </c>
    </row>
    <row r="10" spans="3:40" x14ac:dyDescent="0.35">
      <c r="C10" s="57" t="s">
        <v>569</v>
      </c>
      <c r="G10">
        <v>900</v>
      </c>
      <c r="Q10" s="4">
        <v>10</v>
      </c>
      <c r="W10" t="s">
        <v>644</v>
      </c>
      <c r="X10">
        <v>1.05</v>
      </c>
      <c r="Y10">
        <v>1.19</v>
      </c>
      <c r="AB10">
        <v>0.54</v>
      </c>
      <c r="AI10" s="57"/>
      <c r="AJ10" t="s">
        <v>618</v>
      </c>
      <c r="AN10" s="57" t="s">
        <v>637</v>
      </c>
    </row>
    <row r="11" spans="3:40" x14ac:dyDescent="0.35">
      <c r="C11" s="57" t="s">
        <v>570</v>
      </c>
      <c r="G11">
        <v>1100</v>
      </c>
      <c r="Q11" s="4">
        <v>20</v>
      </c>
      <c r="W11" t="s">
        <v>645</v>
      </c>
      <c r="X11">
        <v>1.2</v>
      </c>
      <c r="Y11">
        <v>1.49</v>
      </c>
      <c r="AB11" s="57">
        <v>0.55000000000000004</v>
      </c>
      <c r="AI11" s="57"/>
      <c r="AJ11" t="s">
        <v>619</v>
      </c>
      <c r="AN11" s="57" t="s">
        <v>636</v>
      </c>
    </row>
    <row r="12" spans="3:40" x14ac:dyDescent="0.35">
      <c r="C12" s="57" t="s">
        <v>571</v>
      </c>
      <c r="G12">
        <v>1500</v>
      </c>
      <c r="Q12" s="4">
        <v>31.5</v>
      </c>
      <c r="W12" t="s">
        <v>646</v>
      </c>
      <c r="X12">
        <v>1.5</v>
      </c>
      <c r="Y12">
        <v>1.79</v>
      </c>
      <c r="AB12" s="57">
        <v>0.56000000000000005</v>
      </c>
      <c r="AI12" s="57"/>
      <c r="AJ12" t="s">
        <v>620</v>
      </c>
      <c r="AN12" s="57" t="s">
        <v>638</v>
      </c>
    </row>
    <row r="13" spans="3:40" x14ac:dyDescent="0.35">
      <c r="C13" s="57" t="s">
        <v>572</v>
      </c>
      <c r="W13" t="s">
        <v>647</v>
      </c>
      <c r="X13">
        <v>1.8</v>
      </c>
      <c r="Y13">
        <v>2.09</v>
      </c>
      <c r="AB13" s="57">
        <v>0.56999999999999995</v>
      </c>
      <c r="AI13" s="57"/>
      <c r="AJ13" t="s">
        <v>621</v>
      </c>
      <c r="AN13" s="57" t="s">
        <v>639</v>
      </c>
    </row>
    <row r="14" spans="3:40" ht="15" x14ac:dyDescent="0.25">
      <c r="C14" s="57" t="s">
        <v>573</v>
      </c>
      <c r="W14" t="s">
        <v>648</v>
      </c>
      <c r="X14">
        <v>2.1</v>
      </c>
      <c r="Y14">
        <v>2.39</v>
      </c>
      <c r="AB14" s="57">
        <v>0.57999999999999996</v>
      </c>
      <c r="AI14" s="57"/>
      <c r="AJ14" t="s">
        <v>622</v>
      </c>
    </row>
    <row r="15" spans="3:40" ht="15" x14ac:dyDescent="0.25">
      <c r="C15" s="57" t="s">
        <v>574</v>
      </c>
      <c r="W15" t="s">
        <v>658</v>
      </c>
      <c r="X15">
        <v>2.4</v>
      </c>
      <c r="Y15">
        <v>2.99</v>
      </c>
      <c r="AB15" s="57">
        <v>0.59</v>
      </c>
      <c r="AI15" s="57"/>
      <c r="AJ15" t="s">
        <v>623</v>
      </c>
    </row>
    <row r="16" spans="3:40" ht="15" x14ac:dyDescent="0.25">
      <c r="C16" s="57" t="s">
        <v>575</v>
      </c>
      <c r="W16" t="s">
        <v>659</v>
      </c>
      <c r="X16">
        <v>3</v>
      </c>
      <c r="Y16">
        <v>3.59</v>
      </c>
      <c r="AB16" s="57">
        <v>0.6</v>
      </c>
      <c r="AH16" s="152"/>
      <c r="AI16" s="57"/>
      <c r="AJ16" t="s">
        <v>624</v>
      </c>
    </row>
    <row r="17" spans="3:36" ht="15" x14ac:dyDescent="0.25">
      <c r="C17" s="57" t="s">
        <v>576</v>
      </c>
      <c r="W17" t="s">
        <v>660</v>
      </c>
      <c r="X17">
        <v>3.6</v>
      </c>
      <c r="Y17">
        <v>4.1900000000000004</v>
      </c>
      <c r="AB17" s="57">
        <v>0.61</v>
      </c>
      <c r="AH17" s="152"/>
      <c r="AI17" s="57"/>
      <c r="AJ17" t="s">
        <v>625</v>
      </c>
    </row>
    <row r="18" spans="3:36" ht="15" x14ac:dyDescent="0.25">
      <c r="C18" s="57" t="s">
        <v>577</v>
      </c>
      <c r="W18" t="s">
        <v>661</v>
      </c>
      <c r="X18">
        <v>4.2</v>
      </c>
      <c r="Y18">
        <v>4.76</v>
      </c>
      <c r="AB18" s="57">
        <v>0.62</v>
      </c>
      <c r="AH18" s="152"/>
      <c r="AI18" s="57"/>
      <c r="AJ18" t="s">
        <v>626</v>
      </c>
    </row>
    <row r="19" spans="3:36" ht="15" x14ac:dyDescent="0.25">
      <c r="C19" s="57" t="s">
        <v>578</v>
      </c>
      <c r="W19" t="s">
        <v>662</v>
      </c>
      <c r="X19">
        <v>4.8</v>
      </c>
      <c r="Y19">
        <v>5.39</v>
      </c>
      <c r="AB19" s="57">
        <v>0.63</v>
      </c>
      <c r="AH19" s="152"/>
      <c r="AI19" s="57"/>
      <c r="AJ19" t="s">
        <v>627</v>
      </c>
    </row>
    <row r="20" spans="3:36" ht="15" x14ac:dyDescent="0.25">
      <c r="C20" s="57" t="s">
        <v>579</v>
      </c>
      <c r="W20" t="s">
        <v>663</v>
      </c>
      <c r="X20">
        <v>5.4</v>
      </c>
      <c r="Y20">
        <v>6</v>
      </c>
      <c r="AB20" s="57">
        <v>0.64</v>
      </c>
      <c r="AH20" s="152"/>
      <c r="AI20" s="57"/>
      <c r="AJ20" t="s">
        <v>628</v>
      </c>
    </row>
    <row r="21" spans="3:36" ht="15" x14ac:dyDescent="0.25">
      <c r="C21" s="57" t="s">
        <v>580</v>
      </c>
      <c r="AB21" s="57">
        <v>0.65</v>
      </c>
      <c r="AH21" s="152"/>
      <c r="AI21" s="57"/>
      <c r="AJ21" t="s">
        <v>629</v>
      </c>
    </row>
    <row r="22" spans="3:36" ht="15" x14ac:dyDescent="0.25">
      <c r="C22" s="57" t="s">
        <v>581</v>
      </c>
      <c r="AB22" s="57">
        <v>0.66</v>
      </c>
      <c r="AH22" s="152"/>
    </row>
    <row r="23" spans="3:36" ht="15" x14ac:dyDescent="0.25">
      <c r="C23" s="57" t="s">
        <v>582</v>
      </c>
      <c r="AB23" s="57">
        <v>0.67</v>
      </c>
    </row>
    <row r="24" spans="3:36" ht="15" x14ac:dyDescent="0.25">
      <c r="C24" s="57" t="s">
        <v>583</v>
      </c>
      <c r="AB24" s="57">
        <v>0.68</v>
      </c>
    </row>
    <row r="25" spans="3:36" ht="15" x14ac:dyDescent="0.25">
      <c r="C25" s="57" t="s">
        <v>584</v>
      </c>
      <c r="AB25" s="57">
        <v>0.69</v>
      </c>
    </row>
    <row r="26" spans="3:36" ht="15" x14ac:dyDescent="0.25">
      <c r="C26" s="57" t="s">
        <v>585</v>
      </c>
      <c r="AB26" s="57">
        <v>0.7</v>
      </c>
    </row>
    <row r="27" spans="3:36" ht="15" x14ac:dyDescent="0.25">
      <c r="C27" s="57" t="s">
        <v>586</v>
      </c>
      <c r="AB27" s="57">
        <v>0.71</v>
      </c>
      <c r="AH27" s="152"/>
      <c r="AI27" s="152"/>
    </row>
    <row r="28" spans="3:36" ht="15" x14ac:dyDescent="0.25">
      <c r="C28" s="57" t="s">
        <v>587</v>
      </c>
      <c r="AB28" s="57">
        <v>0.72</v>
      </c>
      <c r="AH28" s="152"/>
      <c r="AI28" s="152"/>
    </row>
    <row r="29" spans="3:36" ht="15" x14ac:dyDescent="0.25">
      <c r="C29" s="57" t="s">
        <v>588</v>
      </c>
      <c r="AB29" s="57">
        <v>0.73</v>
      </c>
      <c r="AH29" s="152"/>
      <c r="AI29" s="152"/>
    </row>
    <row r="30" spans="3:36" ht="15" x14ac:dyDescent="0.25">
      <c r="C30" s="57" t="s">
        <v>589</v>
      </c>
      <c r="AB30" s="57">
        <v>0.74</v>
      </c>
      <c r="AH30" s="152"/>
      <c r="AI30" s="152"/>
    </row>
    <row r="31" spans="3:36" ht="15" x14ac:dyDescent="0.25">
      <c r="C31" s="57" t="s">
        <v>590</v>
      </c>
      <c r="AB31" s="57">
        <v>0.75</v>
      </c>
      <c r="AH31" s="152"/>
      <c r="AI31" s="152"/>
    </row>
    <row r="32" spans="3:36" ht="15" x14ac:dyDescent="0.25">
      <c r="C32" s="57" t="s">
        <v>591</v>
      </c>
      <c r="AB32" s="57">
        <v>0.76</v>
      </c>
      <c r="AH32" s="152"/>
      <c r="AI32" s="152"/>
    </row>
    <row r="33" spans="3:35" ht="15" x14ac:dyDescent="0.25">
      <c r="C33" s="57" t="s">
        <v>592</v>
      </c>
      <c r="AB33" s="57">
        <v>0.77</v>
      </c>
      <c r="AH33" s="152"/>
      <c r="AI33" s="152"/>
    </row>
    <row r="34" spans="3:35" ht="15" x14ac:dyDescent="0.25">
      <c r="C34" s="57" t="s">
        <v>593</v>
      </c>
      <c r="AB34" s="57">
        <v>0.78</v>
      </c>
      <c r="AH34" s="152"/>
      <c r="AI34" s="152"/>
    </row>
    <row r="35" spans="3:35" ht="15" x14ac:dyDescent="0.25">
      <c r="C35" s="57" t="s">
        <v>594</v>
      </c>
      <c r="AB35" s="57">
        <v>0.79</v>
      </c>
      <c r="AH35" s="152"/>
      <c r="AI35" s="152"/>
    </row>
    <row r="36" spans="3:35" x14ac:dyDescent="0.35">
      <c r="C36" s="57" t="s">
        <v>595</v>
      </c>
      <c r="AB36" s="57">
        <v>0.8</v>
      </c>
      <c r="AH36" s="152"/>
      <c r="AI36" s="152"/>
    </row>
    <row r="37" spans="3:35" x14ac:dyDescent="0.35">
      <c r="C37" s="57" t="s">
        <v>596</v>
      </c>
      <c r="AB37" s="57">
        <v>0.81</v>
      </c>
      <c r="AH37" s="152"/>
      <c r="AI37" s="152"/>
    </row>
    <row r="38" spans="3:35" x14ac:dyDescent="0.35">
      <c r="AB38" s="57">
        <v>0.82</v>
      </c>
      <c r="AH38" s="152"/>
      <c r="AI38" s="152"/>
    </row>
    <row r="39" spans="3:35" x14ac:dyDescent="0.35">
      <c r="AB39" s="57">
        <v>0.83</v>
      </c>
      <c r="AH39" s="152"/>
      <c r="AI39" s="152"/>
    </row>
    <row r="40" spans="3:35" x14ac:dyDescent="0.35">
      <c r="AB40" s="57">
        <v>0.84</v>
      </c>
      <c r="AH40" s="152"/>
      <c r="AI40" s="152"/>
    </row>
    <row r="41" spans="3:35" x14ac:dyDescent="0.35">
      <c r="D41" t="s">
        <v>664</v>
      </c>
      <c r="F41" s="57" t="s">
        <v>665</v>
      </c>
      <c r="G41" s="57"/>
      <c r="AB41" s="57">
        <v>0.85</v>
      </c>
      <c r="AH41" s="152"/>
      <c r="AI41" s="152"/>
    </row>
    <row r="42" spans="3:35" x14ac:dyDescent="0.35">
      <c r="D42" t="s">
        <v>14</v>
      </c>
      <c r="E42" t="s">
        <v>21</v>
      </c>
      <c r="F42" s="57" t="s">
        <v>14</v>
      </c>
      <c r="G42" s="57" t="s">
        <v>21</v>
      </c>
      <c r="AB42" s="57">
        <v>0.86</v>
      </c>
      <c r="AH42" s="152"/>
      <c r="AI42" s="152"/>
    </row>
    <row r="43" spans="3:35" x14ac:dyDescent="0.35">
      <c r="C43" t="str">
        <f t="shared" ref="C43:C75" si="0">CONCATENATE($G$5, C5)</f>
        <v>275ILOOP gain mb = EEPROM; VLOOP gain mb = EEPROM, FSW = EEPROM</v>
      </c>
      <c r="F43" t="s">
        <v>249</v>
      </c>
      <c r="AB43" s="57">
        <v>0.87</v>
      </c>
    </row>
    <row r="44" spans="3:35" x14ac:dyDescent="0.35">
      <c r="C44" s="57" t="str">
        <f t="shared" si="0"/>
        <v>275ILOOP gain mb = EEPROM, VLOOP gain mb = EEPROM</v>
      </c>
      <c r="F44">
        <v>0</v>
      </c>
      <c r="AB44" s="57">
        <v>0.88</v>
      </c>
    </row>
    <row r="45" spans="3:35" x14ac:dyDescent="0.35">
      <c r="C45" s="57" t="str">
        <f t="shared" si="0"/>
        <v>275ILOOP gain mb = 2, VLOOP gain mb = 0.5</v>
      </c>
      <c r="F45">
        <v>1</v>
      </c>
      <c r="AB45" s="57">
        <v>0.89</v>
      </c>
    </row>
    <row r="46" spans="3:35" x14ac:dyDescent="0.35">
      <c r="C46" s="57" t="str">
        <f t="shared" si="0"/>
        <v>275ILOOP gain mb = 2, VLOOP gain mb = 1</v>
      </c>
      <c r="F46">
        <v>2</v>
      </c>
      <c r="AB46" s="57">
        <v>0.9</v>
      </c>
    </row>
    <row r="47" spans="3:35" x14ac:dyDescent="0.35">
      <c r="C47" s="57" t="str">
        <f t="shared" si="0"/>
        <v>275ILOOP gain mb = 2, VLOOP gain mb = 2</v>
      </c>
      <c r="F47">
        <v>3</v>
      </c>
      <c r="AB47" s="57">
        <v>0.91</v>
      </c>
    </row>
    <row r="48" spans="3:35" x14ac:dyDescent="0.35">
      <c r="C48" s="57" t="str">
        <f t="shared" si="0"/>
        <v>275ILOOP gain mb = 2, VLOOP gain mb = 4</v>
      </c>
      <c r="F48">
        <v>4</v>
      </c>
      <c r="AB48" s="57">
        <v>0.92</v>
      </c>
    </row>
    <row r="49" spans="3:28" x14ac:dyDescent="0.35">
      <c r="C49" s="57" t="str">
        <f t="shared" si="0"/>
        <v>275ILOOP gain mb = 2, VLOOP gain mb = 8</v>
      </c>
      <c r="F49">
        <v>5</v>
      </c>
      <c r="AB49" s="57">
        <v>0.93</v>
      </c>
    </row>
    <row r="50" spans="3:28" x14ac:dyDescent="0.35">
      <c r="C50" s="57" t="str">
        <f t="shared" si="0"/>
        <v>275ILOOP gain mb = 3, VLOOP gain mb = 0.5</v>
      </c>
      <c r="F50">
        <v>6</v>
      </c>
      <c r="AB50" s="57">
        <v>0.94</v>
      </c>
    </row>
    <row r="51" spans="3:28" x14ac:dyDescent="0.35">
      <c r="C51" s="57" t="str">
        <f t="shared" si="0"/>
        <v>275ILOOP gain mb = 3, VLOOP gain mb = 1</v>
      </c>
      <c r="F51">
        <v>0</v>
      </c>
      <c r="AB51" s="57">
        <v>0.95</v>
      </c>
    </row>
    <row r="52" spans="3:28" x14ac:dyDescent="0.35">
      <c r="C52" s="57" t="str">
        <f t="shared" si="0"/>
        <v>275ILOOP gain mb = 3, VLOOP gain mb = 2</v>
      </c>
      <c r="F52">
        <v>1</v>
      </c>
      <c r="AB52" s="57">
        <v>0.96</v>
      </c>
    </row>
    <row r="53" spans="3:28" x14ac:dyDescent="0.35">
      <c r="C53" s="57" t="str">
        <f t="shared" si="0"/>
        <v>275ILOOP gain mb = 3, VLOOP gain mb = 4</v>
      </c>
      <c r="F53">
        <v>2</v>
      </c>
      <c r="AB53" s="57">
        <v>0.97</v>
      </c>
    </row>
    <row r="54" spans="3:28" x14ac:dyDescent="0.35">
      <c r="C54" s="57" t="str">
        <f t="shared" si="0"/>
        <v>275ILOOP gain mb = 3, VLOOP gain mb = 8</v>
      </c>
      <c r="F54">
        <v>3</v>
      </c>
      <c r="AB54" s="57">
        <v>0.98</v>
      </c>
    </row>
    <row r="55" spans="3:28" x14ac:dyDescent="0.35">
      <c r="C55" s="57" t="str">
        <f t="shared" si="0"/>
        <v>275ILOOP gain mb = 4, VLOOP gain mb = 0.5</v>
      </c>
      <c r="F55">
        <v>11</v>
      </c>
      <c r="AB55" s="57">
        <v>0.99</v>
      </c>
    </row>
    <row r="56" spans="3:28" x14ac:dyDescent="0.35">
      <c r="C56" s="57" t="str">
        <f t="shared" si="0"/>
        <v>275ILOOP gain mb = 4, VLOOP gain mb = 1</v>
      </c>
      <c r="F56">
        <v>4</v>
      </c>
      <c r="AB56" s="57">
        <v>1</v>
      </c>
    </row>
    <row r="57" spans="3:28" x14ac:dyDescent="0.35">
      <c r="C57" s="57" t="str">
        <f t="shared" si="0"/>
        <v>275ILOOP gain mb = 4, VLOOP gain mb = 2</v>
      </c>
      <c r="F57">
        <v>5</v>
      </c>
      <c r="AB57" s="57">
        <v>1.01</v>
      </c>
    </row>
    <row r="58" spans="3:28" x14ac:dyDescent="0.35">
      <c r="C58" s="57" t="str">
        <f t="shared" si="0"/>
        <v>275ILOOP gain mb = 4, VLOOP gain mb = 4</v>
      </c>
      <c r="F58">
        <v>6</v>
      </c>
      <c r="AB58" s="57">
        <v>1.02</v>
      </c>
    </row>
    <row r="59" spans="3:28" x14ac:dyDescent="0.35">
      <c r="C59" s="57" t="str">
        <f t="shared" si="0"/>
        <v>275ILOOP gain mb = 4, VLOOP gain mb = 8</v>
      </c>
      <c r="F59">
        <v>7</v>
      </c>
      <c r="AB59" s="57">
        <v>1.03</v>
      </c>
    </row>
    <row r="60" spans="3:28" x14ac:dyDescent="0.35">
      <c r="C60" s="57" t="str">
        <f t="shared" si="0"/>
        <v>275ILOOP gain mb = 5, VLOOP gain mb = 0.5</v>
      </c>
      <c r="F60">
        <v>0</v>
      </c>
      <c r="AB60" s="57">
        <v>1.04</v>
      </c>
    </row>
    <row r="61" spans="3:28" x14ac:dyDescent="0.35">
      <c r="C61" s="57" t="str">
        <f t="shared" si="0"/>
        <v>275ILOOP gain mb = 5, VLOOP gain mb = 1</v>
      </c>
      <c r="F61">
        <v>8</v>
      </c>
      <c r="AB61" s="57">
        <v>1.05</v>
      </c>
    </row>
    <row r="62" spans="3:28" x14ac:dyDescent="0.35">
      <c r="C62" s="57" t="str">
        <f t="shared" si="0"/>
        <v>275ILOOP gain mb = 5, VLOOP gain mb = 2</v>
      </c>
      <c r="F62">
        <v>9</v>
      </c>
      <c r="AB62" s="57">
        <v>1.06</v>
      </c>
    </row>
    <row r="63" spans="3:28" x14ac:dyDescent="0.35">
      <c r="C63" s="57" t="str">
        <f t="shared" si="0"/>
        <v>275ILOOP gain mb = 5, VLOOP gain mb = 4</v>
      </c>
      <c r="F63">
        <v>10</v>
      </c>
      <c r="AB63" s="57">
        <v>1.07</v>
      </c>
    </row>
    <row r="64" spans="3:28" x14ac:dyDescent="0.35">
      <c r="C64" s="57" t="str">
        <f t="shared" si="0"/>
        <v>275ILOOP gain mb = 5, VLOOP gain mb = 8</v>
      </c>
      <c r="F64">
        <v>11</v>
      </c>
      <c r="AB64" s="57">
        <v>1.08</v>
      </c>
    </row>
    <row r="65" spans="3:28" x14ac:dyDescent="0.35">
      <c r="C65" s="57" t="str">
        <f t="shared" si="0"/>
        <v>275ILOOP gain mb = 6, VLOOP gain mb = 0.5</v>
      </c>
      <c r="F65">
        <v>5</v>
      </c>
      <c r="AB65" s="57">
        <v>1.0900000000000001</v>
      </c>
    </row>
    <row r="66" spans="3:28" x14ac:dyDescent="0.35">
      <c r="C66" s="57" t="str">
        <f t="shared" si="0"/>
        <v>275ILOOP gain mb = 6, VLOOP gain mb = 1</v>
      </c>
      <c r="F66">
        <v>12</v>
      </c>
      <c r="AB66" s="57">
        <v>1.1000000000000001</v>
      </c>
    </row>
    <row r="67" spans="3:28" x14ac:dyDescent="0.35">
      <c r="C67" s="57" t="str">
        <f t="shared" si="0"/>
        <v>275ILOOP gain mb = 6, VLOOP gain mb = 2</v>
      </c>
      <c r="F67">
        <v>13</v>
      </c>
      <c r="AB67" s="57">
        <v>1.1100000000000001</v>
      </c>
    </row>
    <row r="68" spans="3:28" x14ac:dyDescent="0.35">
      <c r="C68" s="57" t="str">
        <f t="shared" si="0"/>
        <v>275ILOOP gain mb = 6, VLOOP gain mb = 4</v>
      </c>
      <c r="F68">
        <v>14</v>
      </c>
      <c r="AB68" s="57">
        <v>1.1200000000000001</v>
      </c>
    </row>
    <row r="69" spans="3:28" x14ac:dyDescent="0.35">
      <c r="C69" s="57" t="str">
        <f t="shared" si="0"/>
        <v>275ILOOP gain mb = 6, VLOOP gain mb = 8</v>
      </c>
      <c r="F69">
        <v>15</v>
      </c>
      <c r="AB69" s="57">
        <v>1.1299999999999999</v>
      </c>
    </row>
    <row r="70" spans="3:28" x14ac:dyDescent="0.35">
      <c r="C70" s="57" t="str">
        <f t="shared" si="0"/>
        <v>275ILOOP gain mb = 7, VLOOP gain mb = 0.5</v>
      </c>
      <c r="F70">
        <v>10</v>
      </c>
      <c r="AB70" s="57">
        <v>1.1399999999999999</v>
      </c>
    </row>
    <row r="71" spans="3:28" x14ac:dyDescent="0.35">
      <c r="C71" s="57" t="str">
        <f t="shared" si="0"/>
        <v>275ILOOP gain mb = 7, VLOOP gain mb = 1</v>
      </c>
      <c r="F71">
        <v>11</v>
      </c>
      <c r="AB71" s="57">
        <v>1.1499999999999999</v>
      </c>
    </row>
    <row r="72" spans="3:28" x14ac:dyDescent="0.35">
      <c r="C72" s="57" t="str">
        <f t="shared" si="0"/>
        <v>275ILOOP gain mb = 7, VLOOP gain mb = 2</v>
      </c>
      <c r="F72">
        <v>12</v>
      </c>
      <c r="AB72" s="57">
        <v>1.1599999999999999</v>
      </c>
    </row>
    <row r="73" spans="3:28" x14ac:dyDescent="0.35">
      <c r="C73" s="57" t="str">
        <f t="shared" si="0"/>
        <v>275ILOOP gain mb = 7, VLOOP gain mb = 4</v>
      </c>
      <c r="F73">
        <v>13</v>
      </c>
      <c r="AB73" s="57">
        <v>1.17</v>
      </c>
    </row>
    <row r="74" spans="3:28" x14ac:dyDescent="0.35">
      <c r="C74" s="57" t="str">
        <f t="shared" si="0"/>
        <v>275ILOOP gain mb = 7, VLOOP gain mb = 8</v>
      </c>
      <c r="F74">
        <v>14</v>
      </c>
      <c r="AB74" s="57">
        <v>1.18</v>
      </c>
    </row>
    <row r="75" spans="3:28" x14ac:dyDescent="0.35">
      <c r="C75" s="57" t="str">
        <f t="shared" si="0"/>
        <v>275ILOOP gain mb = 10, VLOOP gain mb = 2</v>
      </c>
      <c r="F75">
        <v>15</v>
      </c>
      <c r="AB75" s="57">
        <v>1.19</v>
      </c>
    </row>
    <row r="76" spans="3:28" x14ac:dyDescent="0.35">
      <c r="C76" s="57" t="str">
        <f t="shared" ref="C76:C108" si="1">CONCATENATE($G$6, C5)</f>
        <v>325ILOOP gain mb = EEPROM; VLOOP gain mb = EEPROM, FSW = EEPROM</v>
      </c>
      <c r="AB76" s="57">
        <v>1.2</v>
      </c>
    </row>
    <row r="77" spans="3:28" x14ac:dyDescent="0.35">
      <c r="C77" s="57" t="str">
        <f t="shared" si="1"/>
        <v>325ILOOP gain mb = EEPROM, VLOOP gain mb = EEPROM</v>
      </c>
      <c r="AB77">
        <v>1.22</v>
      </c>
    </row>
    <row r="78" spans="3:28" x14ac:dyDescent="0.35">
      <c r="C78" s="57" t="str">
        <f t="shared" si="1"/>
        <v>325ILOOP gain mb = 2, VLOOP gain mb = 0.5</v>
      </c>
      <c r="AB78">
        <v>1.24</v>
      </c>
    </row>
    <row r="79" spans="3:28" x14ac:dyDescent="0.35">
      <c r="C79" s="57" t="str">
        <f t="shared" si="1"/>
        <v>325ILOOP gain mb = 2, VLOOP gain mb = 1</v>
      </c>
      <c r="AB79">
        <v>1.26</v>
      </c>
    </row>
    <row r="80" spans="3:28" x14ac:dyDescent="0.35">
      <c r="C80" s="57" t="str">
        <f t="shared" si="1"/>
        <v>325ILOOP gain mb = 2, VLOOP gain mb = 2</v>
      </c>
      <c r="AB80">
        <v>1.28</v>
      </c>
    </row>
    <row r="81" spans="3:28" x14ac:dyDescent="0.35">
      <c r="C81" s="57" t="str">
        <f t="shared" si="1"/>
        <v>325ILOOP gain mb = 2, VLOOP gain mb = 4</v>
      </c>
      <c r="AB81" s="57">
        <v>1.3</v>
      </c>
    </row>
    <row r="82" spans="3:28" x14ac:dyDescent="0.35">
      <c r="C82" s="57" t="str">
        <f t="shared" si="1"/>
        <v>325ILOOP gain mb = 2, VLOOP gain mb = 8</v>
      </c>
      <c r="AB82" s="57">
        <v>1.32</v>
      </c>
    </row>
    <row r="83" spans="3:28" x14ac:dyDescent="0.35">
      <c r="C83" s="57" t="str">
        <f t="shared" si="1"/>
        <v>325ILOOP gain mb = 3, VLOOP gain mb = 0.5</v>
      </c>
      <c r="AB83" s="57">
        <v>1.34</v>
      </c>
    </row>
    <row r="84" spans="3:28" x14ac:dyDescent="0.35">
      <c r="C84" s="57" t="str">
        <f t="shared" si="1"/>
        <v>325ILOOP gain mb = 3, VLOOP gain mb = 1</v>
      </c>
      <c r="AB84" s="57">
        <v>1.36</v>
      </c>
    </row>
    <row r="85" spans="3:28" x14ac:dyDescent="0.35">
      <c r="C85" s="57" t="str">
        <f t="shared" si="1"/>
        <v>325ILOOP gain mb = 3, VLOOP gain mb = 2</v>
      </c>
      <c r="AB85" s="57">
        <v>1.38</v>
      </c>
    </row>
    <row r="86" spans="3:28" x14ac:dyDescent="0.35">
      <c r="C86" s="57" t="str">
        <f t="shared" si="1"/>
        <v>325ILOOP gain mb = 3, VLOOP gain mb = 4</v>
      </c>
      <c r="AB86" s="57">
        <v>1.4</v>
      </c>
    </row>
    <row r="87" spans="3:28" x14ac:dyDescent="0.35">
      <c r="C87" s="57" t="str">
        <f t="shared" si="1"/>
        <v>325ILOOP gain mb = 3, VLOOP gain mb = 8</v>
      </c>
      <c r="AB87" s="57">
        <v>1.42</v>
      </c>
    </row>
    <row r="88" spans="3:28" x14ac:dyDescent="0.35">
      <c r="C88" s="57" t="str">
        <f t="shared" si="1"/>
        <v>325ILOOP gain mb = 4, VLOOP gain mb = 0.5</v>
      </c>
      <c r="AB88" s="57">
        <v>1.44</v>
      </c>
    </row>
    <row r="89" spans="3:28" x14ac:dyDescent="0.35">
      <c r="C89" s="57" t="str">
        <f t="shared" si="1"/>
        <v>325ILOOP gain mb = 4, VLOOP gain mb = 1</v>
      </c>
      <c r="AB89" s="57">
        <v>1.46</v>
      </c>
    </row>
    <row r="90" spans="3:28" x14ac:dyDescent="0.35">
      <c r="C90" s="57" t="str">
        <f t="shared" si="1"/>
        <v>325ILOOP gain mb = 4, VLOOP gain mb = 2</v>
      </c>
      <c r="AB90" s="57">
        <v>1.48</v>
      </c>
    </row>
    <row r="91" spans="3:28" x14ac:dyDescent="0.35">
      <c r="C91" s="57" t="str">
        <f t="shared" si="1"/>
        <v>325ILOOP gain mb = 4, VLOOP gain mb = 4</v>
      </c>
      <c r="AB91" s="57">
        <v>1.5</v>
      </c>
    </row>
    <row r="92" spans="3:28" x14ac:dyDescent="0.35">
      <c r="C92" s="57" t="str">
        <f t="shared" si="1"/>
        <v>325ILOOP gain mb = 4, VLOOP gain mb = 8</v>
      </c>
      <c r="AB92" s="57">
        <v>1.52</v>
      </c>
    </row>
    <row r="93" spans="3:28" x14ac:dyDescent="0.35">
      <c r="C93" s="57" t="str">
        <f t="shared" si="1"/>
        <v>325ILOOP gain mb = 5, VLOOP gain mb = 0.5</v>
      </c>
      <c r="AB93" s="57">
        <v>1.54</v>
      </c>
    </row>
    <row r="94" spans="3:28" x14ac:dyDescent="0.35">
      <c r="C94" s="57" t="str">
        <f t="shared" si="1"/>
        <v>325ILOOP gain mb = 5, VLOOP gain mb = 1</v>
      </c>
      <c r="AB94" s="57">
        <v>1.56</v>
      </c>
    </row>
    <row r="95" spans="3:28" x14ac:dyDescent="0.35">
      <c r="C95" s="57" t="str">
        <f t="shared" si="1"/>
        <v>325ILOOP gain mb = 5, VLOOP gain mb = 2</v>
      </c>
      <c r="AB95" s="57">
        <v>1.58</v>
      </c>
    </row>
    <row r="96" spans="3:28" x14ac:dyDescent="0.35">
      <c r="C96" s="57" t="str">
        <f t="shared" si="1"/>
        <v>325ILOOP gain mb = 5, VLOOP gain mb = 4</v>
      </c>
      <c r="AB96" s="57">
        <v>1.6</v>
      </c>
    </row>
    <row r="97" spans="3:28" x14ac:dyDescent="0.35">
      <c r="C97" s="57" t="str">
        <f t="shared" si="1"/>
        <v>325ILOOP gain mb = 5, VLOOP gain mb = 8</v>
      </c>
      <c r="AB97" s="57">
        <v>1.62</v>
      </c>
    </row>
    <row r="98" spans="3:28" x14ac:dyDescent="0.35">
      <c r="C98" s="57" t="str">
        <f t="shared" si="1"/>
        <v>325ILOOP gain mb = 6, VLOOP gain mb = 0.5</v>
      </c>
      <c r="AB98" s="57">
        <v>1.64</v>
      </c>
    </row>
    <row r="99" spans="3:28" x14ac:dyDescent="0.35">
      <c r="C99" s="57" t="str">
        <f t="shared" si="1"/>
        <v>325ILOOP gain mb = 6, VLOOP gain mb = 1</v>
      </c>
      <c r="AB99" s="57">
        <v>1.66</v>
      </c>
    </row>
    <row r="100" spans="3:28" x14ac:dyDescent="0.35">
      <c r="C100" s="57" t="str">
        <f t="shared" si="1"/>
        <v>325ILOOP gain mb = 6, VLOOP gain mb = 2</v>
      </c>
      <c r="AB100" s="57">
        <v>1.68</v>
      </c>
    </row>
    <row r="101" spans="3:28" x14ac:dyDescent="0.35">
      <c r="C101" s="57" t="str">
        <f t="shared" si="1"/>
        <v>325ILOOP gain mb = 6, VLOOP gain mb = 4</v>
      </c>
      <c r="AB101" s="57">
        <v>1.7</v>
      </c>
    </row>
    <row r="102" spans="3:28" x14ac:dyDescent="0.35">
      <c r="C102" s="57" t="str">
        <f t="shared" si="1"/>
        <v>325ILOOP gain mb = 6, VLOOP gain mb = 8</v>
      </c>
      <c r="AB102" s="57">
        <v>1.72</v>
      </c>
    </row>
    <row r="103" spans="3:28" x14ac:dyDescent="0.35">
      <c r="C103" s="57" t="str">
        <f t="shared" si="1"/>
        <v>325ILOOP gain mb = 7, VLOOP gain mb = 0.5</v>
      </c>
      <c r="AB103" s="57">
        <v>1.74</v>
      </c>
    </row>
    <row r="104" spans="3:28" x14ac:dyDescent="0.35">
      <c r="C104" s="57" t="str">
        <f t="shared" si="1"/>
        <v>325ILOOP gain mb = 7, VLOOP gain mb = 1</v>
      </c>
      <c r="AB104" s="57">
        <v>1.76</v>
      </c>
    </row>
    <row r="105" spans="3:28" x14ac:dyDescent="0.35">
      <c r="C105" s="57" t="str">
        <f t="shared" si="1"/>
        <v>325ILOOP gain mb = 7, VLOOP gain mb = 2</v>
      </c>
      <c r="AB105" s="57">
        <v>1.78</v>
      </c>
    </row>
    <row r="106" spans="3:28" x14ac:dyDescent="0.35">
      <c r="C106" s="57" t="str">
        <f t="shared" si="1"/>
        <v>325ILOOP gain mb = 7, VLOOP gain mb = 4</v>
      </c>
      <c r="AB106" s="57">
        <v>1.8</v>
      </c>
    </row>
    <row r="107" spans="3:28" x14ac:dyDescent="0.35">
      <c r="C107" s="57" t="str">
        <f t="shared" si="1"/>
        <v>325ILOOP gain mb = 7, VLOOP gain mb = 8</v>
      </c>
      <c r="AB107" s="57">
        <v>1.82</v>
      </c>
    </row>
    <row r="108" spans="3:28" x14ac:dyDescent="0.35">
      <c r="C108" s="57" t="str">
        <f t="shared" si="1"/>
        <v>325ILOOP gain mb = 10, VLOOP gain mb = 2</v>
      </c>
      <c r="AB108" s="57">
        <v>1.84</v>
      </c>
    </row>
    <row r="109" spans="3:28" x14ac:dyDescent="0.35">
      <c r="C109" s="57" t="str">
        <f t="shared" ref="C109:C141" si="2">CONCATENATE($G$7, C5)</f>
        <v>450ILOOP gain mb = EEPROM; VLOOP gain mb = EEPROM, FSW = EEPROM</v>
      </c>
      <c r="AB109" s="57">
        <v>1.86</v>
      </c>
    </row>
    <row r="110" spans="3:28" x14ac:dyDescent="0.35">
      <c r="C110" s="57" t="str">
        <f t="shared" si="2"/>
        <v>450ILOOP gain mb = EEPROM, VLOOP gain mb = EEPROM</v>
      </c>
      <c r="AB110" s="57">
        <v>1.88</v>
      </c>
    </row>
    <row r="111" spans="3:28" x14ac:dyDescent="0.35">
      <c r="C111" s="57" t="str">
        <f t="shared" si="2"/>
        <v>450ILOOP gain mb = 2, VLOOP gain mb = 0.5</v>
      </c>
      <c r="AB111" s="57">
        <v>1.9</v>
      </c>
    </row>
    <row r="112" spans="3:28" x14ac:dyDescent="0.35">
      <c r="C112" s="57" t="str">
        <f t="shared" si="2"/>
        <v>450ILOOP gain mb = 2, VLOOP gain mb = 1</v>
      </c>
      <c r="AB112" s="57">
        <v>1.92</v>
      </c>
    </row>
    <row r="113" spans="3:28" x14ac:dyDescent="0.35">
      <c r="C113" s="57" t="str">
        <f t="shared" si="2"/>
        <v>450ILOOP gain mb = 2, VLOOP gain mb = 2</v>
      </c>
      <c r="AB113" s="57">
        <v>1.94</v>
      </c>
    </row>
    <row r="114" spans="3:28" x14ac:dyDescent="0.35">
      <c r="C114" s="57" t="str">
        <f t="shared" si="2"/>
        <v>450ILOOP gain mb = 2, VLOOP gain mb = 4</v>
      </c>
      <c r="AB114" s="57">
        <v>1.96</v>
      </c>
    </row>
    <row r="115" spans="3:28" x14ac:dyDescent="0.35">
      <c r="C115" s="57" t="str">
        <f t="shared" si="2"/>
        <v>450ILOOP gain mb = 2, VLOOP gain mb = 8</v>
      </c>
      <c r="AB115" s="57">
        <v>1.98</v>
      </c>
    </row>
    <row r="116" spans="3:28" x14ac:dyDescent="0.35">
      <c r="C116" s="57" t="str">
        <f t="shared" si="2"/>
        <v>450ILOOP gain mb = 3, VLOOP gain mb = 0.5</v>
      </c>
      <c r="AB116" s="57">
        <v>2</v>
      </c>
    </row>
    <row r="117" spans="3:28" x14ac:dyDescent="0.35">
      <c r="C117" s="57" t="str">
        <f t="shared" si="2"/>
        <v>450ILOOP gain mb = 3, VLOOP gain mb = 1</v>
      </c>
      <c r="AB117" s="57">
        <v>2.02</v>
      </c>
    </row>
    <row r="118" spans="3:28" x14ac:dyDescent="0.35">
      <c r="C118" s="57" t="str">
        <f t="shared" si="2"/>
        <v>450ILOOP gain mb = 3, VLOOP gain mb = 2</v>
      </c>
      <c r="AB118" s="57">
        <v>2.04</v>
      </c>
    </row>
    <row r="119" spans="3:28" x14ac:dyDescent="0.35">
      <c r="C119" s="57" t="str">
        <f t="shared" si="2"/>
        <v>450ILOOP gain mb = 3, VLOOP gain mb = 4</v>
      </c>
      <c r="AB119" s="57">
        <v>2.06</v>
      </c>
    </row>
    <row r="120" spans="3:28" x14ac:dyDescent="0.35">
      <c r="C120" s="57" t="str">
        <f t="shared" si="2"/>
        <v>450ILOOP gain mb = 3, VLOOP gain mb = 8</v>
      </c>
      <c r="AB120" s="57">
        <v>2.08</v>
      </c>
    </row>
    <row r="121" spans="3:28" x14ac:dyDescent="0.35">
      <c r="C121" s="57" t="str">
        <f t="shared" si="2"/>
        <v>450ILOOP gain mb = 4, VLOOP gain mb = 0.5</v>
      </c>
      <c r="AB121" s="57">
        <v>2.1</v>
      </c>
    </row>
    <row r="122" spans="3:28" x14ac:dyDescent="0.35">
      <c r="C122" s="57" t="str">
        <f t="shared" si="2"/>
        <v>450ILOOP gain mb = 4, VLOOP gain mb = 1</v>
      </c>
      <c r="AB122" s="57">
        <v>2.12</v>
      </c>
    </row>
    <row r="123" spans="3:28" x14ac:dyDescent="0.35">
      <c r="C123" s="57" t="str">
        <f t="shared" si="2"/>
        <v>450ILOOP gain mb = 4, VLOOP gain mb = 2</v>
      </c>
      <c r="AB123" s="57">
        <v>2.14</v>
      </c>
    </row>
    <row r="124" spans="3:28" x14ac:dyDescent="0.35">
      <c r="C124" s="57" t="str">
        <f t="shared" si="2"/>
        <v>450ILOOP gain mb = 4, VLOOP gain mb = 4</v>
      </c>
      <c r="AB124" s="57">
        <v>2.16</v>
      </c>
    </row>
    <row r="125" spans="3:28" x14ac:dyDescent="0.35">
      <c r="C125" s="57" t="str">
        <f t="shared" si="2"/>
        <v>450ILOOP gain mb = 4, VLOOP gain mb = 8</v>
      </c>
      <c r="AB125" s="57">
        <v>2.1800000000000002</v>
      </c>
    </row>
    <row r="126" spans="3:28" x14ac:dyDescent="0.35">
      <c r="C126" s="57" t="str">
        <f t="shared" si="2"/>
        <v>450ILOOP gain mb = 5, VLOOP gain mb = 0.5</v>
      </c>
      <c r="AB126" s="57">
        <v>2.2000000000000002</v>
      </c>
    </row>
    <row r="127" spans="3:28" x14ac:dyDescent="0.35">
      <c r="C127" s="57" t="str">
        <f t="shared" si="2"/>
        <v>450ILOOP gain mb = 5, VLOOP gain mb = 1</v>
      </c>
      <c r="AB127" s="57">
        <v>2.2200000000000002</v>
      </c>
    </row>
    <row r="128" spans="3:28" x14ac:dyDescent="0.35">
      <c r="C128" s="57" t="str">
        <f t="shared" si="2"/>
        <v>450ILOOP gain mb = 5, VLOOP gain mb = 2</v>
      </c>
      <c r="AB128" s="57">
        <v>2.2400000000000002</v>
      </c>
    </row>
    <row r="129" spans="3:28" x14ac:dyDescent="0.35">
      <c r="C129" s="57" t="str">
        <f t="shared" si="2"/>
        <v>450ILOOP gain mb = 5, VLOOP gain mb = 4</v>
      </c>
      <c r="AB129" s="57">
        <v>2.2599999999999998</v>
      </c>
    </row>
    <row r="130" spans="3:28" x14ac:dyDescent="0.35">
      <c r="C130" s="57" t="str">
        <f t="shared" si="2"/>
        <v>450ILOOP gain mb = 5, VLOOP gain mb = 8</v>
      </c>
      <c r="AB130" s="57">
        <v>2.2799999999999998</v>
      </c>
    </row>
    <row r="131" spans="3:28" x14ac:dyDescent="0.35">
      <c r="C131" s="57" t="str">
        <f t="shared" si="2"/>
        <v>450ILOOP gain mb = 6, VLOOP gain mb = 0.5</v>
      </c>
      <c r="AB131" s="57">
        <v>2.2999999999999998</v>
      </c>
    </row>
    <row r="132" spans="3:28" x14ac:dyDescent="0.35">
      <c r="C132" s="57" t="str">
        <f t="shared" si="2"/>
        <v>450ILOOP gain mb = 6, VLOOP gain mb = 1</v>
      </c>
      <c r="AB132" s="57">
        <v>2.3199999999999998</v>
      </c>
    </row>
    <row r="133" spans="3:28" x14ac:dyDescent="0.35">
      <c r="C133" s="57" t="str">
        <f t="shared" si="2"/>
        <v>450ILOOP gain mb = 6, VLOOP gain mb = 2</v>
      </c>
      <c r="AB133" s="57">
        <v>2.34</v>
      </c>
    </row>
    <row r="134" spans="3:28" x14ac:dyDescent="0.35">
      <c r="C134" s="57" t="str">
        <f t="shared" si="2"/>
        <v>450ILOOP gain mb = 6, VLOOP gain mb = 4</v>
      </c>
      <c r="AB134" s="57">
        <v>2.36</v>
      </c>
    </row>
    <row r="135" spans="3:28" x14ac:dyDescent="0.35">
      <c r="C135" s="57" t="str">
        <f t="shared" si="2"/>
        <v>450ILOOP gain mb = 6, VLOOP gain mb = 8</v>
      </c>
      <c r="AB135" s="57">
        <v>2.38</v>
      </c>
    </row>
    <row r="136" spans="3:28" x14ac:dyDescent="0.35">
      <c r="C136" s="57" t="str">
        <f t="shared" si="2"/>
        <v>450ILOOP gain mb = 7, VLOOP gain mb = 0.5</v>
      </c>
      <c r="AB136" s="57">
        <v>2.4</v>
      </c>
    </row>
    <row r="137" spans="3:28" x14ac:dyDescent="0.35">
      <c r="C137" s="57" t="str">
        <f t="shared" si="2"/>
        <v>450ILOOP gain mb = 7, VLOOP gain mb = 1</v>
      </c>
      <c r="AB137" s="57">
        <v>2.44</v>
      </c>
    </row>
    <row r="138" spans="3:28" x14ac:dyDescent="0.35">
      <c r="C138" s="57" t="str">
        <f t="shared" si="2"/>
        <v>450ILOOP gain mb = 7, VLOOP gain mb = 2</v>
      </c>
      <c r="AB138">
        <v>2.48</v>
      </c>
    </row>
    <row r="139" spans="3:28" x14ac:dyDescent="0.35">
      <c r="C139" s="57" t="str">
        <f t="shared" si="2"/>
        <v>450ILOOP gain mb = 7, VLOOP gain mb = 4</v>
      </c>
      <c r="AB139">
        <v>2.52</v>
      </c>
    </row>
    <row r="140" spans="3:28" x14ac:dyDescent="0.35">
      <c r="C140" s="57" t="str">
        <f t="shared" si="2"/>
        <v>450ILOOP gain mb = 7, VLOOP gain mb = 8</v>
      </c>
      <c r="AB140" s="57">
        <v>2.56</v>
      </c>
    </row>
    <row r="141" spans="3:28" x14ac:dyDescent="0.35">
      <c r="C141" s="57" t="str">
        <f t="shared" si="2"/>
        <v>450ILOOP gain mb = 10, VLOOP gain mb = 2</v>
      </c>
      <c r="AB141" s="57">
        <v>2.6</v>
      </c>
    </row>
    <row r="142" spans="3:28" x14ac:dyDescent="0.35">
      <c r="C142" s="57" t="str">
        <f t="shared" ref="C142:C174" si="3">CONCATENATE($G$8, C5)</f>
        <v>550ILOOP gain mb = EEPROM; VLOOP gain mb = EEPROM, FSW = EEPROM</v>
      </c>
      <c r="AB142" s="57">
        <v>2.64</v>
      </c>
    </row>
    <row r="143" spans="3:28" x14ac:dyDescent="0.35">
      <c r="C143" s="57" t="str">
        <f t="shared" si="3"/>
        <v>550ILOOP gain mb = EEPROM, VLOOP gain mb = EEPROM</v>
      </c>
      <c r="AB143" s="57">
        <v>2.68</v>
      </c>
    </row>
    <row r="144" spans="3:28" x14ac:dyDescent="0.35">
      <c r="C144" s="57" t="str">
        <f t="shared" si="3"/>
        <v>550ILOOP gain mb = 2, VLOOP gain mb = 0.5</v>
      </c>
      <c r="AB144" s="57">
        <v>2.72</v>
      </c>
    </row>
    <row r="145" spans="3:28" x14ac:dyDescent="0.35">
      <c r="C145" s="57" t="str">
        <f t="shared" si="3"/>
        <v>550ILOOP gain mb = 2, VLOOP gain mb = 1</v>
      </c>
      <c r="AB145" s="57">
        <v>2.76</v>
      </c>
    </row>
    <row r="146" spans="3:28" x14ac:dyDescent="0.35">
      <c r="C146" s="57" t="str">
        <f t="shared" si="3"/>
        <v>550ILOOP gain mb = 2, VLOOP gain mb = 2</v>
      </c>
      <c r="AB146" s="57">
        <v>2.8</v>
      </c>
    </row>
    <row r="147" spans="3:28" x14ac:dyDescent="0.35">
      <c r="C147" s="57" t="str">
        <f t="shared" si="3"/>
        <v>550ILOOP gain mb = 2, VLOOP gain mb = 4</v>
      </c>
      <c r="AB147" s="57">
        <v>2.84</v>
      </c>
    </row>
    <row r="148" spans="3:28" x14ac:dyDescent="0.35">
      <c r="C148" s="57" t="str">
        <f t="shared" si="3"/>
        <v>550ILOOP gain mb = 2, VLOOP gain mb = 8</v>
      </c>
      <c r="AB148" s="57">
        <v>2.88</v>
      </c>
    </row>
    <row r="149" spans="3:28" x14ac:dyDescent="0.35">
      <c r="C149" s="57" t="str">
        <f t="shared" si="3"/>
        <v>550ILOOP gain mb = 3, VLOOP gain mb = 0.5</v>
      </c>
      <c r="AB149" s="57">
        <v>2.92</v>
      </c>
    </row>
    <row r="150" spans="3:28" x14ac:dyDescent="0.35">
      <c r="C150" s="57" t="str">
        <f t="shared" si="3"/>
        <v>550ILOOP gain mb = 3, VLOOP gain mb = 1</v>
      </c>
      <c r="AB150" s="57">
        <v>2.96</v>
      </c>
    </row>
    <row r="151" spans="3:28" x14ac:dyDescent="0.35">
      <c r="C151" s="57" t="str">
        <f t="shared" si="3"/>
        <v>550ILOOP gain mb = 3, VLOOP gain mb = 2</v>
      </c>
      <c r="AB151" s="57">
        <v>3</v>
      </c>
    </row>
    <row r="152" spans="3:28" x14ac:dyDescent="0.35">
      <c r="C152" s="57" t="str">
        <f t="shared" si="3"/>
        <v>550ILOOP gain mb = 3, VLOOP gain mb = 4</v>
      </c>
      <c r="AB152" s="57">
        <v>3.04</v>
      </c>
    </row>
    <row r="153" spans="3:28" x14ac:dyDescent="0.35">
      <c r="C153" s="57" t="str">
        <f t="shared" si="3"/>
        <v>550ILOOP gain mb = 3, VLOOP gain mb = 8</v>
      </c>
      <c r="AB153" s="57">
        <v>3.08</v>
      </c>
    </row>
    <row r="154" spans="3:28" x14ac:dyDescent="0.35">
      <c r="C154" s="57" t="str">
        <f t="shared" si="3"/>
        <v>550ILOOP gain mb = 4, VLOOP gain mb = 0.5</v>
      </c>
      <c r="AB154" s="57">
        <v>3.12</v>
      </c>
    </row>
    <row r="155" spans="3:28" x14ac:dyDescent="0.35">
      <c r="C155" s="57" t="str">
        <f t="shared" si="3"/>
        <v>550ILOOP gain mb = 4, VLOOP gain mb = 1</v>
      </c>
      <c r="AB155" s="57">
        <v>3.16</v>
      </c>
    </row>
    <row r="156" spans="3:28" x14ac:dyDescent="0.35">
      <c r="C156" s="57" t="str">
        <f t="shared" si="3"/>
        <v>550ILOOP gain mb = 4, VLOOP gain mb = 2</v>
      </c>
      <c r="AB156" s="57">
        <v>3.2</v>
      </c>
    </row>
    <row r="157" spans="3:28" x14ac:dyDescent="0.35">
      <c r="C157" s="57" t="str">
        <f t="shared" si="3"/>
        <v>550ILOOP gain mb = 4, VLOOP gain mb = 4</v>
      </c>
      <c r="AB157" s="57">
        <v>3.24</v>
      </c>
    </row>
    <row r="158" spans="3:28" x14ac:dyDescent="0.35">
      <c r="C158" s="57" t="str">
        <f t="shared" si="3"/>
        <v>550ILOOP gain mb = 4, VLOOP gain mb = 8</v>
      </c>
      <c r="AB158" s="57">
        <v>3.28</v>
      </c>
    </row>
    <row r="159" spans="3:28" x14ac:dyDescent="0.35">
      <c r="C159" s="57" t="str">
        <f t="shared" si="3"/>
        <v>550ILOOP gain mb = 5, VLOOP gain mb = 0.5</v>
      </c>
      <c r="AB159" s="57">
        <v>3.32</v>
      </c>
    </row>
    <row r="160" spans="3:28" x14ac:dyDescent="0.35">
      <c r="C160" s="57" t="str">
        <f t="shared" si="3"/>
        <v>550ILOOP gain mb = 5, VLOOP gain mb = 1</v>
      </c>
      <c r="AB160" s="57">
        <v>3.36</v>
      </c>
    </row>
    <row r="161" spans="3:28" x14ac:dyDescent="0.35">
      <c r="C161" s="57" t="str">
        <f t="shared" si="3"/>
        <v>550ILOOP gain mb = 5, VLOOP gain mb = 2</v>
      </c>
      <c r="AB161" s="57">
        <v>3.4</v>
      </c>
    </row>
    <row r="162" spans="3:28" x14ac:dyDescent="0.35">
      <c r="C162" s="57" t="str">
        <f t="shared" si="3"/>
        <v>550ILOOP gain mb = 5, VLOOP gain mb = 4</v>
      </c>
      <c r="AB162" s="57">
        <v>3.44</v>
      </c>
    </row>
    <row r="163" spans="3:28" x14ac:dyDescent="0.35">
      <c r="C163" s="57" t="str">
        <f t="shared" si="3"/>
        <v>550ILOOP gain mb = 5, VLOOP gain mb = 8</v>
      </c>
      <c r="AB163" s="57">
        <v>3.48</v>
      </c>
    </row>
    <row r="164" spans="3:28" x14ac:dyDescent="0.35">
      <c r="C164" s="57" t="str">
        <f t="shared" si="3"/>
        <v>550ILOOP gain mb = 6, VLOOP gain mb = 0.5</v>
      </c>
      <c r="AB164" s="57">
        <v>3.52</v>
      </c>
    </row>
    <row r="165" spans="3:28" x14ac:dyDescent="0.35">
      <c r="C165" s="57" t="str">
        <f t="shared" si="3"/>
        <v>550ILOOP gain mb = 6, VLOOP gain mb = 1</v>
      </c>
      <c r="AB165" s="57">
        <v>3.56</v>
      </c>
    </row>
    <row r="166" spans="3:28" x14ac:dyDescent="0.35">
      <c r="C166" s="57" t="str">
        <f t="shared" si="3"/>
        <v>550ILOOP gain mb = 6, VLOOP gain mb = 2</v>
      </c>
      <c r="AB166" s="57">
        <v>3.6</v>
      </c>
    </row>
    <row r="167" spans="3:28" x14ac:dyDescent="0.35">
      <c r="C167" s="57" t="str">
        <f t="shared" si="3"/>
        <v>550ILOOP gain mb = 6, VLOOP gain mb = 4</v>
      </c>
      <c r="AB167" s="57">
        <v>3.64</v>
      </c>
    </row>
    <row r="168" spans="3:28" x14ac:dyDescent="0.35">
      <c r="C168" s="57" t="str">
        <f t="shared" si="3"/>
        <v>550ILOOP gain mb = 6, VLOOP gain mb = 8</v>
      </c>
      <c r="AB168" s="57">
        <v>3.68</v>
      </c>
    </row>
    <row r="169" spans="3:28" x14ac:dyDescent="0.35">
      <c r="C169" s="57" t="str">
        <f t="shared" si="3"/>
        <v>550ILOOP gain mb = 7, VLOOP gain mb = 0.5</v>
      </c>
      <c r="AB169" s="57">
        <v>3.72</v>
      </c>
    </row>
    <row r="170" spans="3:28" x14ac:dyDescent="0.35">
      <c r="C170" s="57" t="str">
        <f t="shared" si="3"/>
        <v>550ILOOP gain mb = 7, VLOOP gain mb = 1</v>
      </c>
      <c r="AB170" s="57">
        <v>3.76</v>
      </c>
    </row>
    <row r="171" spans="3:28" x14ac:dyDescent="0.35">
      <c r="C171" s="57" t="str">
        <f t="shared" si="3"/>
        <v>550ILOOP gain mb = 7, VLOOP gain mb = 2</v>
      </c>
      <c r="AB171" s="57">
        <v>3.8</v>
      </c>
    </row>
    <row r="172" spans="3:28" x14ac:dyDescent="0.35">
      <c r="C172" s="57" t="str">
        <f t="shared" si="3"/>
        <v>550ILOOP gain mb = 7, VLOOP gain mb = 4</v>
      </c>
      <c r="AB172" s="57">
        <v>3.84</v>
      </c>
    </row>
    <row r="173" spans="3:28" x14ac:dyDescent="0.35">
      <c r="C173" s="57" t="str">
        <f t="shared" si="3"/>
        <v>550ILOOP gain mb = 7, VLOOP gain mb = 8</v>
      </c>
      <c r="AB173" s="57">
        <v>3.88</v>
      </c>
    </row>
    <row r="174" spans="3:28" x14ac:dyDescent="0.35">
      <c r="C174" s="57" t="str">
        <f t="shared" si="3"/>
        <v>550ILOOP gain mb = 10, VLOOP gain mb = 2</v>
      </c>
      <c r="AB174" s="57">
        <v>3.92</v>
      </c>
    </row>
    <row r="175" spans="3:28" x14ac:dyDescent="0.35">
      <c r="C175" s="57" t="str">
        <f t="shared" ref="C175:C207" si="4">CONCATENATE($G$9, C5)</f>
        <v>650ILOOP gain mb = EEPROM; VLOOP gain mb = EEPROM, FSW = EEPROM</v>
      </c>
      <c r="AB175" s="57">
        <v>3.96</v>
      </c>
    </row>
    <row r="176" spans="3:28" x14ac:dyDescent="0.35">
      <c r="C176" s="57" t="str">
        <f t="shared" si="4"/>
        <v>650ILOOP gain mb = EEPROM, VLOOP gain mb = EEPROM</v>
      </c>
      <c r="AB176" s="57">
        <v>4</v>
      </c>
    </row>
    <row r="177" spans="3:28" x14ac:dyDescent="0.35">
      <c r="C177" s="57" t="str">
        <f t="shared" si="4"/>
        <v>650ILOOP gain mb = 2, VLOOP gain mb = 0.5</v>
      </c>
      <c r="AB177" s="57">
        <v>4.04</v>
      </c>
    </row>
    <row r="178" spans="3:28" x14ac:dyDescent="0.35">
      <c r="C178" s="57" t="str">
        <f t="shared" si="4"/>
        <v>650ILOOP gain mb = 2, VLOOP gain mb = 1</v>
      </c>
      <c r="AB178" s="57">
        <v>4.08</v>
      </c>
    </row>
    <row r="179" spans="3:28" x14ac:dyDescent="0.35">
      <c r="C179" s="57" t="str">
        <f t="shared" si="4"/>
        <v>650ILOOP gain mb = 2, VLOOP gain mb = 2</v>
      </c>
      <c r="AB179" s="57">
        <v>4.12</v>
      </c>
    </row>
    <row r="180" spans="3:28" x14ac:dyDescent="0.35">
      <c r="C180" s="57" t="str">
        <f t="shared" si="4"/>
        <v>650ILOOP gain mb = 2, VLOOP gain mb = 4</v>
      </c>
      <c r="AB180" s="57">
        <v>4.16</v>
      </c>
    </row>
    <row r="181" spans="3:28" x14ac:dyDescent="0.35">
      <c r="C181" s="57" t="str">
        <f t="shared" si="4"/>
        <v>650ILOOP gain mb = 2, VLOOP gain mb = 8</v>
      </c>
      <c r="AB181" s="57">
        <v>4.2</v>
      </c>
    </row>
    <row r="182" spans="3:28" x14ac:dyDescent="0.35">
      <c r="C182" s="57" t="str">
        <f t="shared" si="4"/>
        <v>650ILOOP gain mb = 3, VLOOP gain mb = 0.5</v>
      </c>
      <c r="AB182" s="57">
        <v>4.24</v>
      </c>
    </row>
    <row r="183" spans="3:28" x14ac:dyDescent="0.35">
      <c r="C183" s="57" t="str">
        <f t="shared" si="4"/>
        <v>650ILOOP gain mb = 3, VLOOP gain mb = 1</v>
      </c>
      <c r="AB183" s="57">
        <v>4.28</v>
      </c>
    </row>
    <row r="184" spans="3:28" x14ac:dyDescent="0.35">
      <c r="C184" s="57" t="str">
        <f t="shared" si="4"/>
        <v>650ILOOP gain mb = 3, VLOOP gain mb = 2</v>
      </c>
      <c r="AB184" s="57">
        <v>4.32</v>
      </c>
    </row>
    <row r="185" spans="3:28" x14ac:dyDescent="0.35">
      <c r="C185" s="57" t="str">
        <f t="shared" si="4"/>
        <v>650ILOOP gain mb = 3, VLOOP gain mb = 4</v>
      </c>
      <c r="AB185" s="57">
        <v>4.3600000000000003</v>
      </c>
    </row>
    <row r="186" spans="3:28" x14ac:dyDescent="0.35">
      <c r="C186" s="57" t="str">
        <f t="shared" si="4"/>
        <v>650ILOOP gain mb = 3, VLOOP gain mb = 8</v>
      </c>
      <c r="AB186" s="57">
        <v>4.4000000000000004</v>
      </c>
    </row>
    <row r="187" spans="3:28" x14ac:dyDescent="0.35">
      <c r="C187" s="57" t="str">
        <f t="shared" si="4"/>
        <v>650ILOOP gain mb = 4, VLOOP gain mb = 0.5</v>
      </c>
      <c r="AB187" s="57">
        <v>4.4400000000000004</v>
      </c>
    </row>
    <row r="188" spans="3:28" x14ac:dyDescent="0.35">
      <c r="C188" s="57" t="str">
        <f t="shared" si="4"/>
        <v>650ILOOP gain mb = 4, VLOOP gain mb = 1</v>
      </c>
      <c r="AB188" s="57">
        <v>4.4800000000000004</v>
      </c>
    </row>
    <row r="189" spans="3:28" x14ac:dyDescent="0.35">
      <c r="C189" s="57" t="str">
        <f t="shared" si="4"/>
        <v>650ILOOP gain mb = 4, VLOOP gain mb = 2</v>
      </c>
      <c r="AB189" s="57">
        <v>4.5199999999999996</v>
      </c>
    </row>
    <row r="190" spans="3:28" x14ac:dyDescent="0.35">
      <c r="C190" s="57" t="str">
        <f t="shared" si="4"/>
        <v>650ILOOP gain mb = 4, VLOOP gain mb = 4</v>
      </c>
      <c r="AB190" s="57">
        <v>4.5599999999999996</v>
      </c>
    </row>
    <row r="191" spans="3:28" x14ac:dyDescent="0.35">
      <c r="C191" s="57" t="str">
        <f t="shared" si="4"/>
        <v>650ILOOP gain mb = 4, VLOOP gain mb = 8</v>
      </c>
      <c r="AB191" s="57">
        <v>4.5999999999999996</v>
      </c>
    </row>
    <row r="192" spans="3:28" x14ac:dyDescent="0.35">
      <c r="C192" s="57" t="str">
        <f t="shared" si="4"/>
        <v>650ILOOP gain mb = 5, VLOOP gain mb = 0.5</v>
      </c>
      <c r="AB192" s="57">
        <v>4.6399999999999997</v>
      </c>
    </row>
    <row r="193" spans="3:28" x14ac:dyDescent="0.35">
      <c r="C193" s="57" t="str">
        <f t="shared" si="4"/>
        <v>650ILOOP gain mb = 5, VLOOP gain mb = 1</v>
      </c>
      <c r="AB193" s="57">
        <v>4.68</v>
      </c>
    </row>
    <row r="194" spans="3:28" x14ac:dyDescent="0.35">
      <c r="C194" s="57" t="str">
        <f t="shared" si="4"/>
        <v>650ILOOP gain mb = 5, VLOOP gain mb = 2</v>
      </c>
      <c r="AB194" s="57">
        <v>4.72</v>
      </c>
    </row>
    <row r="195" spans="3:28" x14ac:dyDescent="0.35">
      <c r="C195" s="57" t="str">
        <f t="shared" si="4"/>
        <v>650ILOOP gain mb = 5, VLOOP gain mb = 4</v>
      </c>
      <c r="AB195" s="57">
        <v>4.76</v>
      </c>
    </row>
    <row r="196" spans="3:28" x14ac:dyDescent="0.35">
      <c r="C196" s="57" t="str">
        <f t="shared" si="4"/>
        <v>650ILOOP gain mb = 5, VLOOP gain mb = 8</v>
      </c>
      <c r="AB196" s="57">
        <v>4.8</v>
      </c>
    </row>
    <row r="197" spans="3:28" x14ac:dyDescent="0.35">
      <c r="C197" s="57" t="str">
        <f t="shared" si="4"/>
        <v>650ILOOP gain mb = 6, VLOOP gain mb = 0.5</v>
      </c>
      <c r="AB197" s="57">
        <v>4.84</v>
      </c>
    </row>
    <row r="198" spans="3:28" x14ac:dyDescent="0.35">
      <c r="C198" s="57" t="str">
        <f t="shared" si="4"/>
        <v>650ILOOP gain mb = 6, VLOOP gain mb = 1</v>
      </c>
      <c r="AB198" s="57">
        <v>4.88</v>
      </c>
    </row>
    <row r="199" spans="3:28" x14ac:dyDescent="0.35">
      <c r="C199" s="57" t="str">
        <f t="shared" si="4"/>
        <v>650ILOOP gain mb = 6, VLOOP gain mb = 2</v>
      </c>
      <c r="AB199" s="57">
        <v>4.92</v>
      </c>
    </row>
    <row r="200" spans="3:28" x14ac:dyDescent="0.35">
      <c r="C200" s="57" t="str">
        <f t="shared" si="4"/>
        <v>650ILOOP gain mb = 6, VLOOP gain mb = 4</v>
      </c>
      <c r="AB200" s="57">
        <v>4.96</v>
      </c>
    </row>
    <row r="201" spans="3:28" x14ac:dyDescent="0.35">
      <c r="C201" s="57" t="str">
        <f t="shared" si="4"/>
        <v>650ILOOP gain mb = 6, VLOOP gain mb = 8</v>
      </c>
      <c r="AB201" s="57">
        <v>5</v>
      </c>
    </row>
    <row r="202" spans="3:28" x14ac:dyDescent="0.35">
      <c r="C202" s="57" t="str">
        <f t="shared" si="4"/>
        <v>650ILOOP gain mb = 7, VLOOP gain mb = 0.5</v>
      </c>
      <c r="AB202" s="57">
        <v>5.04</v>
      </c>
    </row>
    <row r="203" spans="3:28" x14ac:dyDescent="0.35">
      <c r="C203" s="57" t="str">
        <f t="shared" si="4"/>
        <v>650ILOOP gain mb = 7, VLOOP gain mb = 1</v>
      </c>
      <c r="AB203" s="57">
        <v>5.08</v>
      </c>
    </row>
    <row r="204" spans="3:28" x14ac:dyDescent="0.35">
      <c r="C204" s="57" t="str">
        <f t="shared" si="4"/>
        <v>650ILOOP gain mb = 7, VLOOP gain mb = 2</v>
      </c>
      <c r="AB204" s="57">
        <v>5.12</v>
      </c>
    </row>
    <row r="205" spans="3:28" x14ac:dyDescent="0.35">
      <c r="C205" s="57" t="str">
        <f t="shared" si="4"/>
        <v>650ILOOP gain mb = 7, VLOOP gain mb = 4</v>
      </c>
      <c r="AB205" s="57">
        <v>5.16</v>
      </c>
    </row>
    <row r="206" spans="3:28" x14ac:dyDescent="0.35">
      <c r="C206" s="57" t="str">
        <f t="shared" si="4"/>
        <v>650ILOOP gain mb = 7, VLOOP gain mb = 8</v>
      </c>
      <c r="AB206" s="57">
        <v>5.2</v>
      </c>
    </row>
    <row r="207" spans="3:28" x14ac:dyDescent="0.35">
      <c r="C207" s="57" t="str">
        <f t="shared" si="4"/>
        <v>650ILOOP gain mb = 10, VLOOP gain mb = 2</v>
      </c>
      <c r="AB207" s="57">
        <v>5.24</v>
      </c>
    </row>
    <row r="208" spans="3:28" x14ac:dyDescent="0.35">
      <c r="C208" s="57" t="str">
        <f t="shared" ref="C208:C240" si="5">CONCATENATE($G$10, C5)</f>
        <v>900ILOOP gain mb = EEPROM; VLOOP gain mb = EEPROM, FSW = EEPROM</v>
      </c>
      <c r="AB208" s="57">
        <v>5.28</v>
      </c>
    </row>
    <row r="209" spans="3:28" x14ac:dyDescent="0.35">
      <c r="C209" s="57" t="str">
        <f t="shared" si="5"/>
        <v>900ILOOP gain mb = EEPROM, VLOOP gain mb = EEPROM</v>
      </c>
      <c r="AB209" s="57">
        <v>5.32</v>
      </c>
    </row>
    <row r="210" spans="3:28" x14ac:dyDescent="0.35">
      <c r="C210" s="57" t="str">
        <f t="shared" si="5"/>
        <v>900ILOOP gain mb = 2, VLOOP gain mb = 0.5</v>
      </c>
      <c r="AB210" s="57">
        <v>5.36</v>
      </c>
    </row>
    <row r="211" spans="3:28" x14ac:dyDescent="0.35">
      <c r="C211" s="57" t="str">
        <f t="shared" si="5"/>
        <v>900ILOOP gain mb = 2, VLOOP gain mb = 1</v>
      </c>
      <c r="AB211" s="57">
        <v>5.4</v>
      </c>
    </row>
    <row r="212" spans="3:28" x14ac:dyDescent="0.35">
      <c r="C212" s="57" t="str">
        <f t="shared" si="5"/>
        <v>900ILOOP gain mb = 2, VLOOP gain mb = 2</v>
      </c>
      <c r="AB212" s="57">
        <v>5.44</v>
      </c>
    </row>
    <row r="213" spans="3:28" x14ac:dyDescent="0.35">
      <c r="C213" s="57" t="str">
        <f t="shared" si="5"/>
        <v>900ILOOP gain mb = 2, VLOOP gain mb = 4</v>
      </c>
      <c r="AB213" s="57">
        <v>5.48</v>
      </c>
    </row>
    <row r="214" spans="3:28" x14ac:dyDescent="0.35">
      <c r="C214" s="57" t="str">
        <f t="shared" si="5"/>
        <v>900ILOOP gain mb = 2, VLOOP gain mb = 8</v>
      </c>
      <c r="AB214" s="57">
        <v>5.52</v>
      </c>
    </row>
    <row r="215" spans="3:28" x14ac:dyDescent="0.35">
      <c r="C215" s="57" t="str">
        <f t="shared" si="5"/>
        <v>900ILOOP gain mb = 3, VLOOP gain mb = 0.5</v>
      </c>
      <c r="AB215" s="57">
        <v>5.56</v>
      </c>
    </row>
    <row r="216" spans="3:28" x14ac:dyDescent="0.35">
      <c r="C216" s="57" t="str">
        <f t="shared" si="5"/>
        <v>900ILOOP gain mb = 3, VLOOP gain mb = 1</v>
      </c>
      <c r="AB216" s="57">
        <v>5.6</v>
      </c>
    </row>
    <row r="217" spans="3:28" x14ac:dyDescent="0.35">
      <c r="C217" s="57" t="str">
        <f t="shared" si="5"/>
        <v>900ILOOP gain mb = 3, VLOOP gain mb = 2</v>
      </c>
      <c r="AB217" s="57">
        <v>5.64</v>
      </c>
    </row>
    <row r="218" spans="3:28" x14ac:dyDescent="0.35">
      <c r="C218" s="57" t="str">
        <f t="shared" si="5"/>
        <v>900ILOOP gain mb = 3, VLOOP gain mb = 4</v>
      </c>
      <c r="AB218" s="57">
        <v>5.68</v>
      </c>
    </row>
    <row r="219" spans="3:28" x14ac:dyDescent="0.35">
      <c r="C219" s="57" t="str">
        <f t="shared" si="5"/>
        <v>900ILOOP gain mb = 3, VLOOP gain mb = 8</v>
      </c>
      <c r="AB219" s="57">
        <v>5.72</v>
      </c>
    </row>
    <row r="220" spans="3:28" x14ac:dyDescent="0.35">
      <c r="C220" s="57" t="str">
        <f t="shared" si="5"/>
        <v>900ILOOP gain mb = 4, VLOOP gain mb = 0.5</v>
      </c>
      <c r="AB220" s="57">
        <v>5.76</v>
      </c>
    </row>
    <row r="221" spans="3:28" x14ac:dyDescent="0.35">
      <c r="C221" s="57" t="str">
        <f t="shared" si="5"/>
        <v>900ILOOP gain mb = 4, VLOOP gain mb = 1</v>
      </c>
      <c r="AB221" s="57">
        <v>5.8</v>
      </c>
    </row>
    <row r="222" spans="3:28" x14ac:dyDescent="0.35">
      <c r="C222" s="57" t="str">
        <f t="shared" si="5"/>
        <v>900ILOOP gain mb = 4, VLOOP gain mb = 2</v>
      </c>
      <c r="AB222" s="57">
        <v>5.84</v>
      </c>
    </row>
    <row r="223" spans="3:28" x14ac:dyDescent="0.35">
      <c r="C223" s="57" t="str">
        <f t="shared" si="5"/>
        <v>900ILOOP gain mb = 4, VLOOP gain mb = 4</v>
      </c>
      <c r="AB223" s="57">
        <v>5.88</v>
      </c>
    </row>
    <row r="224" spans="3:28" x14ac:dyDescent="0.35">
      <c r="C224" s="57" t="str">
        <f t="shared" si="5"/>
        <v>900ILOOP gain mb = 4, VLOOP gain mb = 8</v>
      </c>
      <c r="AB224" s="57">
        <v>5.92</v>
      </c>
    </row>
    <row r="225" spans="3:28" x14ac:dyDescent="0.35">
      <c r="C225" s="57" t="str">
        <f t="shared" si="5"/>
        <v>900ILOOP gain mb = 5, VLOOP gain mb = 0.5</v>
      </c>
      <c r="AB225" s="57">
        <v>5.96</v>
      </c>
    </row>
    <row r="226" spans="3:28" x14ac:dyDescent="0.35">
      <c r="C226" s="57" t="str">
        <f t="shared" si="5"/>
        <v>900ILOOP gain mb = 5, VLOOP gain mb = 1</v>
      </c>
      <c r="AB226" s="57">
        <v>6</v>
      </c>
    </row>
    <row r="227" spans="3:28" x14ac:dyDescent="0.35">
      <c r="C227" s="57" t="str">
        <f t="shared" si="5"/>
        <v>900ILOOP gain mb = 5, VLOOP gain mb = 2</v>
      </c>
    </row>
    <row r="228" spans="3:28" x14ac:dyDescent="0.35">
      <c r="C228" s="57" t="str">
        <f t="shared" si="5"/>
        <v>900ILOOP gain mb = 5, VLOOP gain mb = 4</v>
      </c>
    </row>
    <row r="229" spans="3:28" x14ac:dyDescent="0.35">
      <c r="C229" s="57" t="str">
        <f t="shared" si="5"/>
        <v>900ILOOP gain mb = 5, VLOOP gain mb = 8</v>
      </c>
    </row>
    <row r="230" spans="3:28" x14ac:dyDescent="0.35">
      <c r="C230" s="57" t="str">
        <f t="shared" si="5"/>
        <v>900ILOOP gain mb = 6, VLOOP gain mb = 0.5</v>
      </c>
    </row>
    <row r="231" spans="3:28" x14ac:dyDescent="0.35">
      <c r="C231" s="57" t="str">
        <f t="shared" si="5"/>
        <v>900ILOOP gain mb = 6, VLOOP gain mb = 1</v>
      </c>
    </row>
    <row r="232" spans="3:28" x14ac:dyDescent="0.35">
      <c r="C232" s="57" t="str">
        <f t="shared" si="5"/>
        <v>900ILOOP gain mb = 6, VLOOP gain mb = 2</v>
      </c>
    </row>
    <row r="233" spans="3:28" x14ac:dyDescent="0.35">
      <c r="C233" s="57" t="str">
        <f t="shared" si="5"/>
        <v>900ILOOP gain mb = 6, VLOOP gain mb = 4</v>
      </c>
    </row>
    <row r="234" spans="3:28" x14ac:dyDescent="0.35">
      <c r="C234" s="57" t="str">
        <f t="shared" si="5"/>
        <v>900ILOOP gain mb = 6, VLOOP gain mb = 8</v>
      </c>
    </row>
    <row r="235" spans="3:28" x14ac:dyDescent="0.35">
      <c r="C235" s="57" t="str">
        <f t="shared" si="5"/>
        <v>900ILOOP gain mb = 7, VLOOP gain mb = 0.5</v>
      </c>
    </row>
    <row r="236" spans="3:28" x14ac:dyDescent="0.35">
      <c r="C236" s="57" t="str">
        <f t="shared" si="5"/>
        <v>900ILOOP gain mb = 7, VLOOP gain mb = 1</v>
      </c>
    </row>
    <row r="237" spans="3:28" x14ac:dyDescent="0.35">
      <c r="C237" s="57" t="str">
        <f t="shared" si="5"/>
        <v>900ILOOP gain mb = 7, VLOOP gain mb = 2</v>
      </c>
    </row>
    <row r="238" spans="3:28" x14ac:dyDescent="0.35">
      <c r="C238" s="57" t="str">
        <f t="shared" si="5"/>
        <v>900ILOOP gain mb = 7, VLOOP gain mb = 4</v>
      </c>
    </row>
    <row r="239" spans="3:28" x14ac:dyDescent="0.35">
      <c r="C239" s="57" t="str">
        <f t="shared" si="5"/>
        <v>900ILOOP gain mb = 7, VLOOP gain mb = 8</v>
      </c>
    </row>
    <row r="240" spans="3:28" x14ac:dyDescent="0.35">
      <c r="C240" s="57" t="str">
        <f t="shared" si="5"/>
        <v>900ILOOP gain mb = 10, VLOOP gain mb = 2</v>
      </c>
    </row>
    <row r="241" spans="3:3" x14ac:dyDescent="0.35">
      <c r="C241" s="57" t="str">
        <f t="shared" ref="C241:C273" si="6">CONCATENATE($G$11, C5)</f>
        <v>1100ILOOP gain mb = EEPROM; VLOOP gain mb = EEPROM, FSW = EEPROM</v>
      </c>
    </row>
    <row r="242" spans="3:3" x14ac:dyDescent="0.35">
      <c r="C242" s="57" t="str">
        <f t="shared" si="6"/>
        <v>1100ILOOP gain mb = EEPROM, VLOOP gain mb = EEPROM</v>
      </c>
    </row>
    <row r="243" spans="3:3" x14ac:dyDescent="0.35">
      <c r="C243" s="57" t="str">
        <f t="shared" si="6"/>
        <v>1100ILOOP gain mb = 2, VLOOP gain mb = 0.5</v>
      </c>
    </row>
    <row r="244" spans="3:3" x14ac:dyDescent="0.35">
      <c r="C244" s="57" t="str">
        <f t="shared" si="6"/>
        <v>1100ILOOP gain mb = 2, VLOOP gain mb = 1</v>
      </c>
    </row>
    <row r="245" spans="3:3" x14ac:dyDescent="0.35">
      <c r="C245" s="57" t="str">
        <f t="shared" si="6"/>
        <v>1100ILOOP gain mb = 2, VLOOP gain mb = 2</v>
      </c>
    </row>
    <row r="246" spans="3:3" x14ac:dyDescent="0.35">
      <c r="C246" s="57" t="str">
        <f t="shared" si="6"/>
        <v>1100ILOOP gain mb = 2, VLOOP gain mb = 4</v>
      </c>
    </row>
    <row r="247" spans="3:3" x14ac:dyDescent="0.35">
      <c r="C247" s="57" t="str">
        <f t="shared" si="6"/>
        <v>1100ILOOP gain mb = 2, VLOOP gain mb = 8</v>
      </c>
    </row>
    <row r="248" spans="3:3" x14ac:dyDescent="0.35">
      <c r="C248" s="57" t="str">
        <f t="shared" si="6"/>
        <v>1100ILOOP gain mb = 3, VLOOP gain mb = 0.5</v>
      </c>
    </row>
    <row r="249" spans="3:3" x14ac:dyDescent="0.35">
      <c r="C249" s="57" t="str">
        <f t="shared" si="6"/>
        <v>1100ILOOP gain mb = 3, VLOOP gain mb = 1</v>
      </c>
    </row>
    <row r="250" spans="3:3" x14ac:dyDescent="0.35">
      <c r="C250" s="57" t="str">
        <f t="shared" si="6"/>
        <v>1100ILOOP gain mb = 3, VLOOP gain mb = 2</v>
      </c>
    </row>
    <row r="251" spans="3:3" x14ac:dyDescent="0.35">
      <c r="C251" s="57" t="str">
        <f t="shared" si="6"/>
        <v>1100ILOOP gain mb = 3, VLOOP gain mb = 4</v>
      </c>
    </row>
    <row r="252" spans="3:3" x14ac:dyDescent="0.35">
      <c r="C252" s="57" t="str">
        <f t="shared" si="6"/>
        <v>1100ILOOP gain mb = 3, VLOOP gain mb = 8</v>
      </c>
    </row>
    <row r="253" spans="3:3" x14ac:dyDescent="0.35">
      <c r="C253" s="57" t="str">
        <f t="shared" si="6"/>
        <v>1100ILOOP gain mb = 4, VLOOP gain mb = 0.5</v>
      </c>
    </row>
    <row r="254" spans="3:3" x14ac:dyDescent="0.35">
      <c r="C254" s="57" t="str">
        <f t="shared" si="6"/>
        <v>1100ILOOP gain mb = 4, VLOOP gain mb = 1</v>
      </c>
    </row>
    <row r="255" spans="3:3" x14ac:dyDescent="0.35">
      <c r="C255" s="57" t="str">
        <f t="shared" si="6"/>
        <v>1100ILOOP gain mb = 4, VLOOP gain mb = 2</v>
      </c>
    </row>
    <row r="256" spans="3:3" x14ac:dyDescent="0.35">
      <c r="C256" s="57" t="str">
        <f t="shared" si="6"/>
        <v>1100ILOOP gain mb = 4, VLOOP gain mb = 4</v>
      </c>
    </row>
    <row r="257" spans="3:3" x14ac:dyDescent="0.35">
      <c r="C257" s="57" t="str">
        <f t="shared" si="6"/>
        <v>1100ILOOP gain mb = 4, VLOOP gain mb = 8</v>
      </c>
    </row>
    <row r="258" spans="3:3" x14ac:dyDescent="0.35">
      <c r="C258" s="57" t="str">
        <f t="shared" si="6"/>
        <v>1100ILOOP gain mb = 5, VLOOP gain mb = 0.5</v>
      </c>
    </row>
    <row r="259" spans="3:3" x14ac:dyDescent="0.35">
      <c r="C259" s="57" t="str">
        <f t="shared" si="6"/>
        <v>1100ILOOP gain mb = 5, VLOOP gain mb = 1</v>
      </c>
    </row>
    <row r="260" spans="3:3" x14ac:dyDescent="0.35">
      <c r="C260" s="57" t="str">
        <f t="shared" si="6"/>
        <v>1100ILOOP gain mb = 5, VLOOP gain mb = 2</v>
      </c>
    </row>
    <row r="261" spans="3:3" x14ac:dyDescent="0.35">
      <c r="C261" s="57" t="str">
        <f t="shared" si="6"/>
        <v>1100ILOOP gain mb = 5, VLOOP gain mb = 4</v>
      </c>
    </row>
    <row r="262" spans="3:3" x14ac:dyDescent="0.35">
      <c r="C262" s="57" t="str">
        <f t="shared" si="6"/>
        <v>1100ILOOP gain mb = 5, VLOOP gain mb = 8</v>
      </c>
    </row>
    <row r="263" spans="3:3" x14ac:dyDescent="0.35">
      <c r="C263" s="57" t="str">
        <f t="shared" si="6"/>
        <v>1100ILOOP gain mb = 6, VLOOP gain mb = 0.5</v>
      </c>
    </row>
    <row r="264" spans="3:3" x14ac:dyDescent="0.35">
      <c r="C264" s="57" t="str">
        <f t="shared" si="6"/>
        <v>1100ILOOP gain mb = 6, VLOOP gain mb = 1</v>
      </c>
    </row>
    <row r="265" spans="3:3" x14ac:dyDescent="0.35">
      <c r="C265" s="57" t="str">
        <f t="shared" si="6"/>
        <v>1100ILOOP gain mb = 6, VLOOP gain mb = 2</v>
      </c>
    </row>
    <row r="266" spans="3:3" x14ac:dyDescent="0.35">
      <c r="C266" s="57" t="str">
        <f t="shared" si="6"/>
        <v>1100ILOOP gain mb = 6, VLOOP gain mb = 4</v>
      </c>
    </row>
    <row r="267" spans="3:3" x14ac:dyDescent="0.35">
      <c r="C267" s="57" t="str">
        <f t="shared" si="6"/>
        <v>1100ILOOP gain mb = 6, VLOOP gain mb = 8</v>
      </c>
    </row>
    <row r="268" spans="3:3" x14ac:dyDescent="0.35">
      <c r="C268" s="57" t="str">
        <f t="shared" si="6"/>
        <v>1100ILOOP gain mb = 7, VLOOP gain mb = 0.5</v>
      </c>
    </row>
    <row r="269" spans="3:3" x14ac:dyDescent="0.35">
      <c r="C269" s="57" t="str">
        <f t="shared" si="6"/>
        <v>1100ILOOP gain mb = 7, VLOOP gain mb = 1</v>
      </c>
    </row>
    <row r="270" spans="3:3" x14ac:dyDescent="0.35">
      <c r="C270" s="57" t="str">
        <f t="shared" si="6"/>
        <v>1100ILOOP gain mb = 7, VLOOP gain mb = 2</v>
      </c>
    </row>
    <row r="271" spans="3:3" x14ac:dyDescent="0.35">
      <c r="C271" s="57" t="str">
        <f t="shared" si="6"/>
        <v>1100ILOOP gain mb = 7, VLOOP gain mb = 4</v>
      </c>
    </row>
    <row r="272" spans="3:3" x14ac:dyDescent="0.35">
      <c r="C272" s="57" t="str">
        <f t="shared" si="6"/>
        <v>1100ILOOP gain mb = 7, VLOOP gain mb = 8</v>
      </c>
    </row>
    <row r="273" spans="3:3" x14ac:dyDescent="0.35">
      <c r="C273" s="57" t="str">
        <f t="shared" si="6"/>
        <v>1100ILOOP gain mb = 10, VLOOP gain mb = 2</v>
      </c>
    </row>
    <row r="274" spans="3:3" x14ac:dyDescent="0.35">
      <c r="C274" s="57" t="str">
        <f t="shared" ref="C274:C306" si="7">CONCATENATE($G$12, C5)</f>
        <v>1500ILOOP gain mb = EEPROM; VLOOP gain mb = EEPROM, FSW = EEPROM</v>
      </c>
    </row>
    <row r="275" spans="3:3" x14ac:dyDescent="0.35">
      <c r="C275" s="57" t="str">
        <f t="shared" si="7"/>
        <v>1500ILOOP gain mb = EEPROM, VLOOP gain mb = EEPROM</v>
      </c>
    </row>
    <row r="276" spans="3:3" x14ac:dyDescent="0.35">
      <c r="C276" s="57" t="str">
        <f t="shared" si="7"/>
        <v>1500ILOOP gain mb = 2, VLOOP gain mb = 0.5</v>
      </c>
    </row>
    <row r="277" spans="3:3" x14ac:dyDescent="0.35">
      <c r="C277" s="57" t="str">
        <f t="shared" si="7"/>
        <v>1500ILOOP gain mb = 2, VLOOP gain mb = 1</v>
      </c>
    </row>
    <row r="278" spans="3:3" x14ac:dyDescent="0.35">
      <c r="C278" s="57" t="str">
        <f t="shared" si="7"/>
        <v>1500ILOOP gain mb = 2, VLOOP gain mb = 2</v>
      </c>
    </row>
    <row r="279" spans="3:3" x14ac:dyDescent="0.35">
      <c r="C279" s="57" t="str">
        <f t="shared" si="7"/>
        <v>1500ILOOP gain mb = 2, VLOOP gain mb = 4</v>
      </c>
    </row>
    <row r="280" spans="3:3" x14ac:dyDescent="0.35">
      <c r="C280" s="57" t="str">
        <f t="shared" si="7"/>
        <v>1500ILOOP gain mb = 2, VLOOP gain mb = 8</v>
      </c>
    </row>
    <row r="281" spans="3:3" x14ac:dyDescent="0.35">
      <c r="C281" s="57" t="str">
        <f t="shared" si="7"/>
        <v>1500ILOOP gain mb = 3, VLOOP gain mb = 0.5</v>
      </c>
    </row>
    <row r="282" spans="3:3" x14ac:dyDescent="0.35">
      <c r="C282" s="57" t="str">
        <f t="shared" si="7"/>
        <v>1500ILOOP gain mb = 3, VLOOP gain mb = 1</v>
      </c>
    </row>
    <row r="283" spans="3:3" x14ac:dyDescent="0.35">
      <c r="C283" s="57" t="str">
        <f t="shared" si="7"/>
        <v>1500ILOOP gain mb = 3, VLOOP gain mb = 2</v>
      </c>
    </row>
    <row r="284" spans="3:3" x14ac:dyDescent="0.35">
      <c r="C284" s="57" t="str">
        <f t="shared" si="7"/>
        <v>1500ILOOP gain mb = 3, VLOOP gain mb = 4</v>
      </c>
    </row>
    <row r="285" spans="3:3" x14ac:dyDescent="0.35">
      <c r="C285" s="57" t="str">
        <f t="shared" si="7"/>
        <v>1500ILOOP gain mb = 3, VLOOP gain mb = 8</v>
      </c>
    </row>
    <row r="286" spans="3:3" x14ac:dyDescent="0.35">
      <c r="C286" s="57" t="str">
        <f t="shared" si="7"/>
        <v>1500ILOOP gain mb = 4, VLOOP gain mb = 0.5</v>
      </c>
    </row>
    <row r="287" spans="3:3" x14ac:dyDescent="0.35">
      <c r="C287" s="57" t="str">
        <f t="shared" si="7"/>
        <v>1500ILOOP gain mb = 4, VLOOP gain mb = 1</v>
      </c>
    </row>
    <row r="288" spans="3:3" x14ac:dyDescent="0.35">
      <c r="C288" s="57" t="str">
        <f t="shared" si="7"/>
        <v>1500ILOOP gain mb = 4, VLOOP gain mb = 2</v>
      </c>
    </row>
    <row r="289" spans="3:3" x14ac:dyDescent="0.35">
      <c r="C289" s="57" t="str">
        <f t="shared" si="7"/>
        <v>1500ILOOP gain mb = 4, VLOOP gain mb = 4</v>
      </c>
    </row>
    <row r="290" spans="3:3" x14ac:dyDescent="0.35">
      <c r="C290" s="57" t="str">
        <f t="shared" si="7"/>
        <v>1500ILOOP gain mb = 4, VLOOP gain mb = 8</v>
      </c>
    </row>
    <row r="291" spans="3:3" x14ac:dyDescent="0.35">
      <c r="C291" s="57" t="str">
        <f t="shared" si="7"/>
        <v>1500ILOOP gain mb = 5, VLOOP gain mb = 0.5</v>
      </c>
    </row>
    <row r="292" spans="3:3" x14ac:dyDescent="0.35">
      <c r="C292" s="57" t="str">
        <f t="shared" si="7"/>
        <v>1500ILOOP gain mb = 5, VLOOP gain mb = 1</v>
      </c>
    </row>
    <row r="293" spans="3:3" x14ac:dyDescent="0.35">
      <c r="C293" s="57" t="str">
        <f t="shared" si="7"/>
        <v>1500ILOOP gain mb = 5, VLOOP gain mb = 2</v>
      </c>
    </row>
    <row r="294" spans="3:3" x14ac:dyDescent="0.35">
      <c r="C294" s="57" t="str">
        <f t="shared" si="7"/>
        <v>1500ILOOP gain mb = 5, VLOOP gain mb = 4</v>
      </c>
    </row>
    <row r="295" spans="3:3" x14ac:dyDescent="0.35">
      <c r="C295" s="57" t="str">
        <f t="shared" si="7"/>
        <v>1500ILOOP gain mb = 5, VLOOP gain mb = 8</v>
      </c>
    </row>
    <row r="296" spans="3:3" x14ac:dyDescent="0.35">
      <c r="C296" s="57" t="str">
        <f t="shared" si="7"/>
        <v>1500ILOOP gain mb = 6, VLOOP gain mb = 0.5</v>
      </c>
    </row>
    <row r="297" spans="3:3" x14ac:dyDescent="0.35">
      <c r="C297" s="57" t="str">
        <f t="shared" si="7"/>
        <v>1500ILOOP gain mb = 6, VLOOP gain mb = 1</v>
      </c>
    </row>
    <row r="298" spans="3:3" x14ac:dyDescent="0.35">
      <c r="C298" s="57" t="str">
        <f t="shared" si="7"/>
        <v>1500ILOOP gain mb = 6, VLOOP gain mb = 2</v>
      </c>
    </row>
    <row r="299" spans="3:3" x14ac:dyDescent="0.35">
      <c r="C299" s="57" t="str">
        <f t="shared" si="7"/>
        <v>1500ILOOP gain mb = 6, VLOOP gain mb = 4</v>
      </c>
    </row>
    <row r="300" spans="3:3" x14ac:dyDescent="0.35">
      <c r="C300" s="57" t="str">
        <f t="shared" si="7"/>
        <v>1500ILOOP gain mb = 6, VLOOP gain mb = 8</v>
      </c>
    </row>
    <row r="301" spans="3:3" x14ac:dyDescent="0.35">
      <c r="C301" s="57" t="str">
        <f t="shared" si="7"/>
        <v>1500ILOOP gain mb = 7, VLOOP gain mb = 0.5</v>
      </c>
    </row>
    <row r="302" spans="3:3" x14ac:dyDescent="0.35">
      <c r="C302" s="57" t="str">
        <f t="shared" si="7"/>
        <v>1500ILOOP gain mb = 7, VLOOP gain mb = 1</v>
      </c>
    </row>
    <row r="303" spans="3:3" x14ac:dyDescent="0.35">
      <c r="C303" s="57" t="str">
        <f t="shared" si="7"/>
        <v>1500ILOOP gain mb = 7, VLOOP gain mb = 2</v>
      </c>
    </row>
    <row r="304" spans="3:3" x14ac:dyDescent="0.35">
      <c r="C304" s="57" t="str">
        <f t="shared" si="7"/>
        <v>1500ILOOP gain mb = 7, VLOOP gain mb = 4</v>
      </c>
    </row>
    <row r="305" spans="3:3" x14ac:dyDescent="0.35">
      <c r="C305" s="57" t="str">
        <f t="shared" si="7"/>
        <v>1500ILOOP gain mb = 7, VLOOP gain mb = 8</v>
      </c>
    </row>
    <row r="306" spans="3:3" x14ac:dyDescent="0.35">
      <c r="C306" s="57" t="str">
        <f t="shared" si="7"/>
        <v>1500ILOOP gain mb = 10, VLOOP gain mb = 2</v>
      </c>
    </row>
    <row r="307" spans="3:3" x14ac:dyDescent="0.35">
      <c r="C307" s="57"/>
    </row>
    <row r="308" spans="3:3" x14ac:dyDescent="0.35">
      <c r="C308" s="57"/>
    </row>
    <row r="309" spans="3:3" x14ac:dyDescent="0.35">
      <c r="C309" s="57"/>
    </row>
    <row r="310" spans="3:3" x14ac:dyDescent="0.35">
      <c r="C310" s="57"/>
    </row>
    <row r="311" spans="3:3" x14ac:dyDescent="0.35">
      <c r="C311" s="57"/>
    </row>
    <row r="312" spans="3:3" x14ac:dyDescent="0.35">
      <c r="C312" s="57"/>
    </row>
    <row r="313" spans="3:3" x14ac:dyDescent="0.35">
      <c r="C313" s="57"/>
    </row>
    <row r="1048576" spans="40:40" x14ac:dyDescent="0.35">
      <c r="AN1048576" s="5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R11"/>
  <sheetViews>
    <sheetView workbookViewId="0">
      <selection activeCell="H38" sqref="H38"/>
    </sheetView>
  </sheetViews>
  <sheetFormatPr defaultRowHeight="14.5" x14ac:dyDescent="0.35"/>
  <cols>
    <col min="2" max="2" width="9.54296875" bestFit="1" customWidth="1"/>
    <col min="10" max="10" width="9.54296875" bestFit="1" customWidth="1"/>
  </cols>
  <sheetData>
    <row r="1" spans="2:18" s="158" customFormat="1" x14ac:dyDescent="0.25">
      <c r="B1" s="158" t="s">
        <v>224</v>
      </c>
      <c r="F1" s="158" t="s">
        <v>216</v>
      </c>
      <c r="J1" s="158" t="s">
        <v>217</v>
      </c>
      <c r="N1" s="158" t="s">
        <v>230</v>
      </c>
      <c r="R1" s="158" t="s">
        <v>39</v>
      </c>
    </row>
    <row r="2" spans="2:18" s="158" customFormat="1" x14ac:dyDescent="0.25">
      <c r="B2" s="155">
        <f>'Pin Detect Programming'!H20</f>
        <v>12100</v>
      </c>
      <c r="C2" s="157"/>
      <c r="D2" s="157"/>
      <c r="F2" s="155">
        <f>'Pin Detect Programming'!H18</f>
        <v>20500</v>
      </c>
      <c r="G2" s="154"/>
      <c r="H2" s="154"/>
      <c r="I2" s="154"/>
      <c r="J2" s="155" t="str">
        <f>'Pin Detect Programming'!H19</f>
        <v>Open</v>
      </c>
      <c r="K2" s="154"/>
      <c r="L2" s="154"/>
      <c r="M2" s="154"/>
      <c r="N2" s="155" t="e">
        <f>'Pin Detect Programming'!H21</f>
        <v>#N/A</v>
      </c>
      <c r="R2" s="158">
        <f>ROUND('Device Calculator'!D20, 3)</f>
        <v>2.956</v>
      </c>
    </row>
    <row r="3" spans="2:18" s="158" customFormat="1" x14ac:dyDescent="0.25">
      <c r="B3" s="155">
        <f>'Pin Detect Programming'!G20</f>
        <v>21500</v>
      </c>
      <c r="C3" s="155"/>
      <c r="D3" s="155"/>
      <c r="E3" s="154"/>
      <c r="F3" s="155">
        <f>'Pin Detect Programming'!G18</f>
        <v>8250</v>
      </c>
      <c r="G3" s="154"/>
      <c r="H3" s="154"/>
      <c r="I3" s="154"/>
      <c r="J3" s="155">
        <f>'Pin Detect Programming'!G19</f>
        <v>8250</v>
      </c>
      <c r="K3" s="154"/>
      <c r="L3" s="154"/>
      <c r="M3" s="154"/>
      <c r="N3" s="155">
        <f>'Pin Detect Programming'!G21</f>
        <v>82500</v>
      </c>
      <c r="R3" s="158">
        <f>ROUND('Device Calculator'!D21, 3)</f>
        <v>0.73899999999999999</v>
      </c>
    </row>
    <row r="4" spans="2:18" s="158" customFormat="1" x14ac:dyDescent="0.25">
      <c r="B4" s="163" t="s">
        <v>666</v>
      </c>
      <c r="C4" s="164"/>
      <c r="D4" s="156"/>
      <c r="F4" s="163" t="s">
        <v>666</v>
      </c>
      <c r="J4" s="163" t="s">
        <v>666</v>
      </c>
      <c r="N4" s="163" t="s">
        <v>666</v>
      </c>
      <c r="R4" s="158" t="s">
        <v>670</v>
      </c>
    </row>
    <row r="5" spans="2:18" s="158" customFormat="1" x14ac:dyDescent="0.25">
      <c r="B5" s="163" t="s">
        <v>667</v>
      </c>
      <c r="C5" s="164"/>
      <c r="D5" s="157"/>
      <c r="F5" s="163" t="s">
        <v>667</v>
      </c>
      <c r="J5" s="163" t="s">
        <v>667</v>
      </c>
      <c r="N5" s="163" t="s">
        <v>667</v>
      </c>
      <c r="R5" s="158" t="s">
        <v>669</v>
      </c>
    </row>
    <row r="6" spans="2:18" s="158" customFormat="1" x14ac:dyDescent="0.25">
      <c r="B6" s="164" t="str">
        <f>CONCATENATE(B4,B2)</f>
        <v>Top Resistor: 12100</v>
      </c>
      <c r="C6" s="164"/>
      <c r="D6" s="156"/>
      <c r="F6" s="164" t="str">
        <f>CONCATENATE(F4,F2)</f>
        <v>Top Resistor: 20500</v>
      </c>
      <c r="J6" s="164" t="str">
        <f>CONCATENATE(J4,J2)</f>
        <v>Top Resistor: Open</v>
      </c>
      <c r="N6" s="164" t="e">
        <f>CONCATENATE(N4,N2)</f>
        <v>#N/A</v>
      </c>
      <c r="R6" s="165" t="str">
        <f>CONCATENATE(R4,R2)</f>
        <v xml:space="preserve">
Maximum: 2.956</v>
      </c>
    </row>
    <row r="7" spans="2:18" s="158" customFormat="1" x14ac:dyDescent="0.25">
      <c r="B7" s="164" t="str">
        <f>CONCATENATE(B5,B3)</f>
        <v xml:space="preserve">
Bottom Resistor: 21500</v>
      </c>
      <c r="C7" s="164"/>
      <c r="D7" s="156"/>
      <c r="F7" s="164" t="str">
        <f>CONCATENATE(F5,F3)</f>
        <v xml:space="preserve">
Bottom Resistor: 8250</v>
      </c>
      <c r="J7" s="164" t="str">
        <f>CONCATENATE(J5,J3)</f>
        <v xml:space="preserve">
Bottom Resistor: 8250</v>
      </c>
      <c r="N7" s="164" t="str">
        <f>CONCATENATE(N5,N3)</f>
        <v xml:space="preserve">
Bottom Resistor: 82500</v>
      </c>
      <c r="R7" s="165" t="str">
        <f>CONCATENATE(R5,R3)</f>
        <v>Minimum: 0.739</v>
      </c>
    </row>
    <row r="8" spans="2:18" x14ac:dyDescent="0.25">
      <c r="B8" s="161"/>
      <c r="C8" s="161"/>
      <c r="D8" s="159"/>
    </row>
    <row r="9" spans="2:18" x14ac:dyDescent="0.25">
      <c r="B9" s="162"/>
      <c r="C9" s="160"/>
      <c r="D9" s="159"/>
    </row>
    <row r="10" spans="2:18" x14ac:dyDescent="0.25">
      <c r="B10" s="164"/>
      <c r="C10" s="160"/>
      <c r="D10" s="159"/>
    </row>
    <row r="11" spans="2:18" x14ac:dyDescent="0.25">
      <c r="B11" s="164"/>
      <c r="C11" s="160"/>
      <c r="D11" s="15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T57"/>
  <sheetViews>
    <sheetView tabSelected="1" topLeftCell="A4" zoomScale="90" zoomScaleNormal="90" workbookViewId="0">
      <selection activeCell="G10" sqref="G10"/>
    </sheetView>
  </sheetViews>
  <sheetFormatPr defaultColWidth="9.1796875" defaultRowHeight="14" x14ac:dyDescent="0.3"/>
  <cols>
    <col min="1" max="1" width="1.453125" style="172" customWidth="1"/>
    <col min="2" max="2" width="10" style="172" customWidth="1"/>
    <col min="3" max="3" width="28.453125" style="172" bestFit="1" customWidth="1"/>
    <col min="4" max="4" width="20.54296875" style="172" bestFit="1" customWidth="1"/>
    <col min="5" max="5" width="12" style="172" customWidth="1"/>
    <col min="6" max="6" width="15.54296875" style="172" customWidth="1"/>
    <col min="7" max="7" width="18.1796875" style="172" customWidth="1"/>
    <col min="8" max="8" width="18.453125" style="172" customWidth="1"/>
    <col min="9" max="9" width="19.453125" style="172" bestFit="1" customWidth="1"/>
    <col min="10" max="10" width="26" style="172" customWidth="1"/>
    <col min="11" max="11" width="9.7265625" style="267" customWidth="1"/>
    <col min="12" max="12" width="24.81640625" style="267" bestFit="1" customWidth="1"/>
    <col min="13" max="13" width="14.54296875" style="267" bestFit="1" customWidth="1"/>
    <col min="14" max="14" width="6.453125" style="172" bestFit="1" customWidth="1"/>
    <col min="15" max="15" width="9.1796875" style="172"/>
    <col min="16" max="17" width="13.26953125" style="267" customWidth="1"/>
    <col min="18" max="18" width="14.453125" style="267" customWidth="1"/>
    <col min="19" max="19" width="9.7265625" style="267" customWidth="1"/>
    <col min="20" max="20" width="35.81640625" style="172" bestFit="1" customWidth="1"/>
    <col min="21" max="16384" width="9.1796875" style="172"/>
  </cols>
  <sheetData>
    <row r="1" spans="2:20" ht="7.5" customHeight="1" thickBot="1" x14ac:dyDescent="0.25"/>
    <row r="2" spans="2:20" ht="32.25" thickBot="1" x14ac:dyDescent="0.3">
      <c r="B2" s="348" t="s">
        <v>208</v>
      </c>
      <c r="C2" s="428" t="str">
        <f>'Device Calculator'!C3</f>
        <v>TPS546D24A</v>
      </c>
      <c r="D2" s="428"/>
      <c r="E2" s="428"/>
      <c r="F2" s="428"/>
      <c r="G2" s="428"/>
      <c r="H2" s="428"/>
      <c r="I2" s="428"/>
      <c r="J2" s="429"/>
      <c r="L2" s="411" t="s">
        <v>353</v>
      </c>
      <c r="M2" s="412"/>
      <c r="N2" s="413"/>
      <c r="P2" s="425" t="s">
        <v>159</v>
      </c>
      <c r="Q2" s="426"/>
      <c r="R2" s="427"/>
      <c r="T2" s="180" t="s">
        <v>16</v>
      </c>
    </row>
    <row r="3" spans="2:20" ht="16.5" thickBot="1" x14ac:dyDescent="0.3">
      <c r="B3" s="422" t="s">
        <v>207</v>
      </c>
      <c r="C3" s="423"/>
      <c r="D3" s="423"/>
      <c r="E3" s="423"/>
      <c r="F3" s="423"/>
      <c r="G3" s="423"/>
      <c r="H3" s="423"/>
      <c r="I3" s="423"/>
      <c r="J3" s="424"/>
      <c r="L3" s="268" t="s">
        <v>309</v>
      </c>
      <c r="M3" s="269" t="s">
        <v>21</v>
      </c>
      <c r="N3" s="270" t="s">
        <v>211</v>
      </c>
      <c r="P3" s="271" t="s">
        <v>156</v>
      </c>
      <c r="Q3" s="272" t="s">
        <v>157</v>
      </c>
      <c r="R3" s="273" t="s">
        <v>158</v>
      </c>
      <c r="T3" s="58" t="s">
        <v>548</v>
      </c>
    </row>
    <row r="4" spans="2:20" ht="28.5" thickBot="1" x14ac:dyDescent="0.35">
      <c r="B4" s="274" t="s">
        <v>209</v>
      </c>
      <c r="C4" s="274" t="s">
        <v>210</v>
      </c>
      <c r="D4" s="274" t="s">
        <v>554</v>
      </c>
      <c r="E4" s="274" t="s">
        <v>211</v>
      </c>
      <c r="F4" s="366" t="s">
        <v>700</v>
      </c>
      <c r="G4" s="366" t="s">
        <v>698</v>
      </c>
      <c r="H4" s="366" t="s">
        <v>699</v>
      </c>
      <c r="I4" s="274" t="s">
        <v>214</v>
      </c>
      <c r="J4" s="274" t="s">
        <v>685</v>
      </c>
      <c r="L4" s="275" t="s">
        <v>193</v>
      </c>
      <c r="M4" s="276" t="str">
        <f>'Device Calculator'!C3</f>
        <v>TPS546D24A</v>
      </c>
      <c r="N4" s="277"/>
      <c r="P4" s="278">
        <v>0</v>
      </c>
      <c r="Q4" s="279" t="s">
        <v>38</v>
      </c>
      <c r="R4" s="280" t="s">
        <v>38</v>
      </c>
      <c r="T4" s="59" t="s">
        <v>549</v>
      </c>
    </row>
    <row r="5" spans="2:20" ht="16" thickBot="1" x14ac:dyDescent="0.35">
      <c r="B5" s="414" t="s">
        <v>216</v>
      </c>
      <c r="C5" s="281" t="s">
        <v>123</v>
      </c>
      <c r="D5" s="261">
        <v>3</v>
      </c>
      <c r="E5" s="282"/>
      <c r="F5" s="351">
        <f>IF(AND(D6=550,OR(D5=7,D5=8,D5=9,D5=10,D5=12,D5=13,D5=14,D5=15,D5=17,D5=18,D5=19,D5=20,D5=22,D5=23,D5=24,D5=25)),VLOOKUP(D5,'Resistor References'!I2:J17,2,FALSE),VLOOKUP(D5,'Resistor References'!G2:H35,2,FALSE))</f>
        <v>3</v>
      </c>
      <c r="G5" s="312" t="str">
        <f>'Resistor References'!G3</f>
        <v>SHORT</v>
      </c>
      <c r="H5" s="283" t="str">
        <f>'Resistor References'!G2</f>
        <v>EEPROM</v>
      </c>
      <c r="I5" s="358"/>
      <c r="J5" s="415" t="str">
        <f>IF(AND(D5=G5,D6=G6),"SHORT",IF(AND(H5=D5,H6=D6),"FLOAT","Resistor"))</f>
        <v>Resistor</v>
      </c>
      <c r="L5" s="284" t="s">
        <v>348</v>
      </c>
      <c r="M5" s="285">
        <f>ILOOP_trgt</f>
        <v>18.048207348649079</v>
      </c>
      <c r="N5" s="286"/>
      <c r="P5" s="287">
        <v>1</v>
      </c>
      <c r="Q5" s="288">
        <v>2</v>
      </c>
      <c r="R5" s="289">
        <v>0.5</v>
      </c>
      <c r="T5" s="60" t="s">
        <v>550</v>
      </c>
    </row>
    <row r="6" spans="2:20" ht="16" thickBot="1" x14ac:dyDescent="0.35">
      <c r="B6" s="414"/>
      <c r="C6" s="290" t="s">
        <v>36</v>
      </c>
      <c r="D6" s="262">
        <v>325</v>
      </c>
      <c r="E6" s="291" t="s">
        <v>11</v>
      </c>
      <c r="F6" s="352">
        <f>IF(AND(D6=550,OR(D5=7,D5=8,D5=9,D5=10,D5=12, D5=13, D5=14, D5=15, D5=17, D5=18, D5=19, D5=20, D5=22, D5=23, D5=24, D5=25)),"Open",VLOOKUP(D6,'Resistor References'!K3:L10,2,FALSE))</f>
        <v>1</v>
      </c>
      <c r="G6" s="315">
        <v>550</v>
      </c>
      <c r="H6" s="292" t="s">
        <v>38</v>
      </c>
      <c r="I6" s="359">
        <v>450</v>
      </c>
      <c r="J6" s="416"/>
      <c r="L6" s="284" t="s">
        <v>349</v>
      </c>
      <c r="M6" s="285">
        <f>VLOOP_trgt</f>
        <v>7.0833586057549534</v>
      </c>
      <c r="N6" s="286"/>
      <c r="P6" s="278">
        <v>2</v>
      </c>
      <c r="Q6" s="293">
        <v>2</v>
      </c>
      <c r="R6" s="294">
        <v>1</v>
      </c>
      <c r="T6" s="61" t="s">
        <v>17</v>
      </c>
    </row>
    <row r="7" spans="2:20" ht="16" thickBot="1" x14ac:dyDescent="0.35">
      <c r="B7" s="414" t="s">
        <v>217</v>
      </c>
      <c r="C7" s="281" t="s">
        <v>218</v>
      </c>
      <c r="D7" s="261">
        <v>3</v>
      </c>
      <c r="E7" s="282" t="s">
        <v>219</v>
      </c>
      <c r="F7" s="351">
        <f>VLOOKUP(D7,'Resistor References'!M3:N10,2,FALSE)</f>
        <v>2</v>
      </c>
      <c r="G7" s="312">
        <v>3</v>
      </c>
      <c r="H7" s="283">
        <v>3</v>
      </c>
      <c r="I7" s="358">
        <v>3</v>
      </c>
      <c r="J7" s="415" t="str">
        <f>IF(AND(D7=G7,D8=G8,G9=D9),"SHORT",IF(AND(H7=D7,H8=D8,H9=D9),"FLOAT","Resistor"))</f>
        <v>Resistor</v>
      </c>
      <c r="L7" s="295" t="s">
        <v>352</v>
      </c>
      <c r="M7" s="276">
        <f>Comp_Code</f>
        <v>6</v>
      </c>
      <c r="N7" s="296"/>
      <c r="P7" s="287">
        <v>3</v>
      </c>
      <c r="Q7" s="288">
        <v>2</v>
      </c>
      <c r="R7" s="289">
        <v>2</v>
      </c>
      <c r="T7" s="62" t="s">
        <v>18</v>
      </c>
    </row>
    <row r="8" spans="2:20" ht="16" thickBot="1" x14ac:dyDescent="0.35">
      <c r="B8" s="414"/>
      <c r="C8" s="297" t="s">
        <v>220</v>
      </c>
      <c r="D8" s="65" t="s">
        <v>221</v>
      </c>
      <c r="E8" s="298" t="s">
        <v>26</v>
      </c>
      <c r="F8" s="353">
        <f>VLOOKUP(D8,'Resistor References'!O3:P6,2,FALSE)</f>
        <v>0</v>
      </c>
      <c r="G8" s="184" t="str">
        <f>'Resistor References'!O3</f>
        <v>40/52</v>
      </c>
      <c r="H8" s="183" t="str">
        <f>'Resistor References'!O3</f>
        <v>40/52</v>
      </c>
      <c r="I8" s="360" t="s">
        <v>222</v>
      </c>
      <c r="J8" s="421"/>
      <c r="L8" s="295" t="s">
        <v>37</v>
      </c>
      <c r="M8" s="276">
        <f>fsw</f>
        <v>325</v>
      </c>
      <c r="N8" s="296" t="s">
        <v>11</v>
      </c>
      <c r="P8" s="278">
        <v>4</v>
      </c>
      <c r="Q8" s="293">
        <v>2</v>
      </c>
      <c r="R8" s="294">
        <v>4</v>
      </c>
      <c r="T8" s="63" t="s">
        <v>19</v>
      </c>
    </row>
    <row r="9" spans="2:20" ht="14.5" thickBot="1" x14ac:dyDescent="0.35">
      <c r="B9" s="414"/>
      <c r="C9" s="299" t="s">
        <v>223</v>
      </c>
      <c r="D9" s="263">
        <v>4</v>
      </c>
      <c r="E9" s="300"/>
      <c r="F9" s="354">
        <f>VLOOKUP(D9,'Resistor References'!Q3:R6,2,FALSE)</f>
        <v>3</v>
      </c>
      <c r="G9" s="356">
        <v>1</v>
      </c>
      <c r="H9" s="301">
        <v>2</v>
      </c>
      <c r="I9" s="361" t="s">
        <v>222</v>
      </c>
      <c r="J9" s="421"/>
      <c r="L9" s="295" t="s">
        <v>354</v>
      </c>
      <c r="M9" s="276">
        <f>Phases</f>
        <v>1</v>
      </c>
      <c r="N9" s="296"/>
      <c r="P9" s="287">
        <v>5</v>
      </c>
      <c r="Q9" s="288">
        <v>2</v>
      </c>
      <c r="R9" s="289">
        <v>8</v>
      </c>
    </row>
    <row r="10" spans="2:20" ht="14.5" thickBot="1" x14ac:dyDescent="0.35">
      <c r="B10" s="414" t="s">
        <v>224</v>
      </c>
      <c r="C10" s="281" t="s">
        <v>225</v>
      </c>
      <c r="D10" s="261" t="s">
        <v>297</v>
      </c>
      <c r="E10" s="282" t="s">
        <v>22</v>
      </c>
      <c r="F10" s="351">
        <f>VLOOKUP(D10,'Resistor References'!S2:T17,2,FALSE)</f>
        <v>9</v>
      </c>
      <c r="G10" s="312" t="s">
        <v>38</v>
      </c>
      <c r="H10" s="302">
        <v>1</v>
      </c>
      <c r="I10" s="358" t="s">
        <v>227</v>
      </c>
      <c r="J10" s="415" t="str">
        <f>IF(AND(D10=G10,D11=G11),"SHORT",IF(AND(H10=D10,H11=D11),"FLOAT","Resistor"))</f>
        <v>Resistor</v>
      </c>
      <c r="L10" s="295" t="s">
        <v>310</v>
      </c>
      <c r="M10" s="276">
        <f>Iphase</f>
        <v>25</v>
      </c>
      <c r="N10" s="296" t="s">
        <v>26</v>
      </c>
      <c r="P10" s="278">
        <v>6</v>
      </c>
      <c r="Q10" s="293">
        <v>3</v>
      </c>
      <c r="R10" s="294">
        <v>0.5</v>
      </c>
    </row>
    <row r="11" spans="2:20" ht="14.5" thickBot="1" x14ac:dyDescent="0.35">
      <c r="B11" s="414"/>
      <c r="C11" s="297" t="s">
        <v>228</v>
      </c>
      <c r="D11" s="264">
        <v>3.32</v>
      </c>
      <c r="E11" s="298" t="s">
        <v>22</v>
      </c>
      <c r="F11" s="353">
        <f>IF(D10='Resistor References'!S2,'Resistor References'!S2,VLOOKUP(D11,'Resistor References'!X3:Y18,2,FALSE))</f>
        <v>8</v>
      </c>
      <c r="G11" s="184" t="s">
        <v>38</v>
      </c>
      <c r="H11" s="195">
        <v>1</v>
      </c>
      <c r="I11" s="362">
        <v>0.8</v>
      </c>
      <c r="J11" s="421"/>
      <c r="L11" s="295" t="s">
        <v>228</v>
      </c>
      <c r="M11" s="276">
        <f>Vout</f>
        <v>3.32</v>
      </c>
      <c r="N11" s="296" t="s">
        <v>22</v>
      </c>
      <c r="P11" s="287">
        <v>7</v>
      </c>
      <c r="Q11" s="288">
        <v>3</v>
      </c>
      <c r="R11" s="289">
        <v>1</v>
      </c>
    </row>
    <row r="12" spans="2:20" ht="14.5" thickBot="1" x14ac:dyDescent="0.35">
      <c r="B12" s="414"/>
      <c r="C12" s="290" t="s">
        <v>229</v>
      </c>
      <c r="D12" s="265">
        <f>VLOOKUP(D10,'Resistor References'!S2:U17,3,FALSE)</f>
        <v>0.125</v>
      </c>
      <c r="E12" s="291"/>
      <c r="F12" s="352" t="s">
        <v>222</v>
      </c>
      <c r="G12" s="315" t="s">
        <v>38</v>
      </c>
      <c r="H12" s="303">
        <v>0.5</v>
      </c>
      <c r="I12" s="363">
        <v>0.5</v>
      </c>
      <c r="J12" s="416"/>
      <c r="L12" s="304" t="s">
        <v>229</v>
      </c>
      <c r="M12" s="305">
        <f>VOSL</f>
        <v>0.125</v>
      </c>
      <c r="N12" s="306" t="s">
        <v>22</v>
      </c>
      <c r="P12" s="278">
        <v>8</v>
      </c>
      <c r="Q12" s="293">
        <v>3</v>
      </c>
      <c r="R12" s="294">
        <v>2</v>
      </c>
    </row>
    <row r="13" spans="2:20" ht="14.5" thickBot="1" x14ac:dyDescent="0.35">
      <c r="B13" s="414" t="s">
        <v>230</v>
      </c>
      <c r="C13" s="307" t="s">
        <v>231</v>
      </c>
      <c r="D13" s="266">
        <v>31</v>
      </c>
      <c r="E13" s="308" t="s">
        <v>232</v>
      </c>
      <c r="F13" s="355">
        <f>VLOOKUP(D13,'Resistor References'!Z2:AA34,2,FALSE)</f>
        <v>15</v>
      </c>
      <c r="G13" s="357" t="s">
        <v>233</v>
      </c>
      <c r="H13" s="309" t="s">
        <v>38</v>
      </c>
      <c r="I13" s="364">
        <v>36</v>
      </c>
      <c r="J13" s="421" t="str">
        <f>IF(AND(D13=G13,D14=G14),"SHORT",IF(AND(H13=D13,H14=D14),"FLOAT","Resistor"))</f>
        <v>Resistor</v>
      </c>
      <c r="P13" s="287">
        <v>9</v>
      </c>
      <c r="Q13" s="288">
        <v>3</v>
      </c>
      <c r="R13" s="289">
        <v>4</v>
      </c>
    </row>
    <row r="14" spans="2:20" ht="14.5" thickBot="1" x14ac:dyDescent="0.35">
      <c r="B14" s="414"/>
      <c r="C14" s="290" t="str">
        <f>IF(D9=1,"INTERLEAVE","SYNC_CONFIG")</f>
        <v>SYNC_CONFIG</v>
      </c>
      <c r="D14" s="262" t="s">
        <v>234</v>
      </c>
      <c r="E14" s="291"/>
      <c r="F14" s="352" t="e">
        <f>VLOOKUP(D14,'Resistor References'!AB2:AC11,2,FALSE)</f>
        <v>#N/A</v>
      </c>
      <c r="G14" s="315" t="str">
        <f>'Resistor References'!AB3</f>
        <v>Auto-Detect</v>
      </c>
      <c r="H14" s="292" t="str">
        <f>'Resistor References'!AB3</f>
        <v>Auto-Detect</v>
      </c>
      <c r="I14" s="359" t="s">
        <v>234</v>
      </c>
      <c r="J14" s="416"/>
      <c r="P14" s="278">
        <v>10</v>
      </c>
      <c r="Q14" s="293">
        <v>3</v>
      </c>
      <c r="R14" s="294">
        <v>8</v>
      </c>
    </row>
    <row r="15" spans="2:20" ht="15" thickBot="1" x14ac:dyDescent="0.25">
      <c r="P15" s="287">
        <v>11</v>
      </c>
      <c r="Q15" s="288">
        <v>4</v>
      </c>
      <c r="R15" s="289">
        <v>0.5</v>
      </c>
    </row>
    <row r="16" spans="2:20" ht="15.75" customHeight="1" thickBot="1" x14ac:dyDescent="0.3">
      <c r="B16" s="422" t="s">
        <v>681</v>
      </c>
      <c r="C16" s="423"/>
      <c r="D16" s="423"/>
      <c r="E16" s="423"/>
      <c r="F16" s="423"/>
      <c r="G16" s="423"/>
      <c r="H16" s="423"/>
      <c r="I16" s="423"/>
      <c r="J16" s="424"/>
      <c r="P16" s="278">
        <v>12</v>
      </c>
      <c r="Q16" s="293">
        <v>4</v>
      </c>
      <c r="R16" s="294">
        <v>1</v>
      </c>
    </row>
    <row r="17" spans="2:18" ht="14.5" thickBot="1" x14ac:dyDescent="0.35">
      <c r="B17" s="274" t="s">
        <v>209</v>
      </c>
      <c r="C17" s="274" t="s">
        <v>21</v>
      </c>
      <c r="D17" s="274" t="s">
        <v>305</v>
      </c>
      <c r="E17" s="274" t="s">
        <v>306</v>
      </c>
      <c r="F17" s="274"/>
      <c r="G17" s="274" t="s">
        <v>686</v>
      </c>
      <c r="H17" s="274" t="s">
        <v>687</v>
      </c>
      <c r="I17" s="405" t="s">
        <v>239</v>
      </c>
      <c r="J17" s="406"/>
      <c r="P17" s="287">
        <v>13</v>
      </c>
      <c r="Q17" s="288">
        <v>4</v>
      </c>
      <c r="R17" s="289">
        <v>2</v>
      </c>
    </row>
    <row r="18" spans="2:18" ht="14.5" thickBot="1" x14ac:dyDescent="0.35">
      <c r="B18" s="310" t="str">
        <f>B$5</f>
        <v>MSEL1</v>
      </c>
      <c r="C18" s="281" t="s">
        <v>240</v>
      </c>
      <c r="D18" s="283">
        <f>IF(OR(J5="SHORT",J5="FLOAT"),J5,IF(F5&lt;16,F5,F5-16))</f>
        <v>3</v>
      </c>
      <c r="E18" s="283">
        <f>IF(OR(J5="SHORT",J5="FLOAT", F6="Open"),"Open",IF(F5&lt;16,2*F6,2*F6+1))</f>
        <v>2</v>
      </c>
      <c r="F18" s="311"/>
      <c r="G18" s="312">
        <f>IF(OR(D18="FLOAT",D18="SHORT"),D18,HLOOKUP(D18,'Resistor Selection'!C$13:R$14,2,FALSE))</f>
        <v>8250</v>
      </c>
      <c r="H18" s="313">
        <f>IF(E18="Open","Open",VLOOKUP(E18,'Resistor Selection'!B$15:R$30,'Pin Detect Programming'!D18+2,FALSE))</f>
        <v>20500</v>
      </c>
      <c r="I18" s="407"/>
      <c r="J18" s="408"/>
      <c r="P18" s="278">
        <v>14</v>
      </c>
      <c r="Q18" s="293">
        <v>4</v>
      </c>
      <c r="R18" s="294">
        <v>4</v>
      </c>
    </row>
    <row r="19" spans="2:18" ht="14.5" thickBot="1" x14ac:dyDescent="0.35">
      <c r="B19" s="310" t="str">
        <f>B$7</f>
        <v>MSEL2</v>
      </c>
      <c r="C19" s="297" t="s">
        <v>241</v>
      </c>
      <c r="D19" s="183">
        <f>IF(OR(J7="SHORT",J7="FLOAT"),J7,F9+4*F8)</f>
        <v>3</v>
      </c>
      <c r="E19" s="183" t="str">
        <f>IF(OR(D7=3,J7="FLOAT",J7="SHORT"),"Open",F7)</f>
        <v>Open</v>
      </c>
      <c r="F19" s="182"/>
      <c r="G19" s="184">
        <f>IF(OR(D19="FLOAT",D19="SHORT"),D19,HLOOKUP(D19,'Resistor Selection'!C$13:R$14,2,FALSE))</f>
        <v>8250</v>
      </c>
      <c r="H19" s="314" t="str">
        <f>IF(E19="Open","Open",VLOOKUP(E19,'Resistor Selection'!B$15:R$30,'Pin Detect Programming'!D19+2,FALSE))</f>
        <v>Open</v>
      </c>
      <c r="I19" s="407"/>
      <c r="J19" s="408"/>
      <c r="P19" s="287">
        <v>15</v>
      </c>
      <c r="Q19" s="288">
        <v>4</v>
      </c>
      <c r="R19" s="289">
        <v>8</v>
      </c>
    </row>
    <row r="20" spans="2:18" ht="14.5" thickBot="1" x14ac:dyDescent="0.35">
      <c r="B20" s="310" t="str">
        <f>B$10</f>
        <v>VSEL</v>
      </c>
      <c r="C20" s="297" t="s">
        <v>242</v>
      </c>
      <c r="D20" s="183">
        <f>IF(OR(J10="SHORT",J10="FLOAT"),J10,F11)</f>
        <v>8</v>
      </c>
      <c r="E20" s="183">
        <f>IF(OR(F10="Float",F10="Short"),"Open",F10)</f>
        <v>9</v>
      </c>
      <c r="F20" s="182"/>
      <c r="G20" s="184">
        <f>IF(OR(D20="FLOAT",D20="SHORT"),D20,HLOOKUP(D20,'Resistor Selection'!C$13:R$14,2,FALSE))</f>
        <v>21500</v>
      </c>
      <c r="H20" s="314">
        <f>IF(E20="Open","Open",VLOOKUP(E20,'Resistor Selection'!B$15:R$30,'Pin Detect Programming'!D20+2,FALSE))</f>
        <v>12100</v>
      </c>
      <c r="I20" s="407"/>
      <c r="J20" s="408"/>
      <c r="P20" s="278">
        <v>16</v>
      </c>
      <c r="Q20" s="293">
        <v>5</v>
      </c>
      <c r="R20" s="294">
        <v>0.5</v>
      </c>
    </row>
    <row r="21" spans="2:18" ht="14.5" thickBot="1" x14ac:dyDescent="0.35">
      <c r="B21" s="310" t="str">
        <f>B$13</f>
        <v>ADRSEL</v>
      </c>
      <c r="C21" s="290" t="s">
        <v>243</v>
      </c>
      <c r="D21" s="292">
        <f>IF(OR(J13="SHORT",J13="FLOAT"),J13,IF(AND(D14='Resistor References'!AB3,'Pin Detect Programming'!D13&gt;31),'Resistor References'!AM1,IF(F13='Resistor References'!T3,'Resistor References'!T3,IF(F13&lt;16,F13,F13-16))))</f>
        <v>15</v>
      </c>
      <c r="E21" s="292" t="e">
        <f>IF(OR(F13="Float",F13="Short"),"Open",IF(AND(F14='Resistor References'!AC3,F13&lt;16),F14,IF(F13&lt;16,2*F14,2*F14+1)))</f>
        <v>#N/A</v>
      </c>
      <c r="F21" s="246"/>
      <c r="G21" s="315">
        <f>IF(OR(D21="FLOAT",D21="SHORT"),D21,HLOOKUP(D21,'Resistor Selection'!C$13:R$14,2,FALSE))</f>
        <v>82500</v>
      </c>
      <c r="H21" s="316" t="e">
        <f>IF(E21="Open","Open",VLOOKUP(E21,'Resistor Selection'!B$15:R$30,'Pin Detect Programming'!D21+2,FALSE))</f>
        <v>#N/A</v>
      </c>
      <c r="I21" s="409"/>
      <c r="J21" s="410"/>
      <c r="P21" s="287">
        <v>17</v>
      </c>
      <c r="Q21" s="288">
        <v>5</v>
      </c>
      <c r="R21" s="289">
        <v>1</v>
      </c>
    </row>
    <row r="22" spans="2:18" ht="15" thickBot="1" x14ac:dyDescent="0.25">
      <c r="P22" s="278">
        <v>18</v>
      </c>
      <c r="Q22" s="293">
        <v>5</v>
      </c>
      <c r="R22" s="294">
        <v>2</v>
      </c>
    </row>
    <row r="23" spans="2:18" ht="14.5" thickBot="1" x14ac:dyDescent="0.35">
      <c r="B23" s="417" t="s">
        <v>244</v>
      </c>
      <c r="C23" s="418"/>
      <c r="D23" s="418"/>
      <c r="E23" s="418"/>
      <c r="F23" s="418"/>
      <c r="G23" s="418"/>
      <c r="H23" s="418"/>
      <c r="I23" s="418"/>
      <c r="J23" s="419"/>
      <c r="P23" s="287">
        <v>19</v>
      </c>
      <c r="Q23" s="288">
        <v>5</v>
      </c>
      <c r="R23" s="289">
        <v>4</v>
      </c>
    </row>
    <row r="24" spans="2:18" ht="28.5" thickBot="1" x14ac:dyDescent="0.35">
      <c r="B24" s="274" t="s">
        <v>209</v>
      </c>
      <c r="C24" s="274" t="s">
        <v>210</v>
      </c>
      <c r="D24" s="274" t="s">
        <v>554</v>
      </c>
      <c r="E24" s="274" t="s">
        <v>211</v>
      </c>
      <c r="F24" s="366" t="s">
        <v>700</v>
      </c>
      <c r="G24" s="366" t="s">
        <v>698</v>
      </c>
      <c r="H24" s="366" t="s">
        <v>699</v>
      </c>
      <c r="I24" s="274" t="s">
        <v>214</v>
      </c>
      <c r="J24" s="274" t="s">
        <v>215</v>
      </c>
      <c r="P24" s="278">
        <v>20</v>
      </c>
      <c r="Q24" s="293">
        <v>5</v>
      </c>
      <c r="R24" s="294">
        <v>8</v>
      </c>
    </row>
    <row r="25" spans="2:18" ht="42.5" thickBot="1" x14ac:dyDescent="0.35">
      <c r="B25" s="414" t="str">
        <f>B7</f>
        <v>MSEL2</v>
      </c>
      <c r="C25" s="349" t="s">
        <v>680</v>
      </c>
      <c r="D25" s="350" t="s">
        <v>690</v>
      </c>
      <c r="E25" s="282"/>
      <c r="F25" s="351">
        <f>IF(AND(D25=G25,D26=G26),"SHORT",IF(AND(D25=H25,D26=H26),"FLOAT",VLOOKUP(D25,'Resistor References'!AF$4:AG$11,2,FALSE)))</f>
        <v>1</v>
      </c>
      <c r="G25" s="312" t="str">
        <f>'Resistor References'!AF$2</f>
        <v>180°, 2</v>
      </c>
      <c r="H25" s="283" t="str">
        <f>'Resistor References'!AF$3</f>
        <v>180°, 2</v>
      </c>
      <c r="I25" s="358" t="s">
        <v>222</v>
      </c>
      <c r="J25" s="415" t="str">
        <f>IF(AND(D25=G25,D26=G26),"SHORT",IF(AND(H25=D25,H26=D26),"FLOAT","Resistor"))</f>
        <v>Resistor</v>
      </c>
      <c r="P25" s="287">
        <v>21</v>
      </c>
      <c r="Q25" s="288">
        <v>6</v>
      </c>
      <c r="R25" s="289">
        <v>0.5</v>
      </c>
    </row>
    <row r="26" spans="2:18" ht="14.5" thickBot="1" x14ac:dyDescent="0.35">
      <c r="B26" s="414"/>
      <c r="C26" s="290" t="s">
        <v>220</v>
      </c>
      <c r="D26" s="262" t="str">
        <f>D8</f>
        <v>40/52</v>
      </c>
      <c r="E26" s="291" t="s">
        <v>26</v>
      </c>
      <c r="F26" s="352">
        <f>VLOOKUP(D26,'Resistor References'!O$3:P$6,2,FALSE)</f>
        <v>0</v>
      </c>
      <c r="G26" s="315" t="str">
        <f>'Resistor References'!O$3</f>
        <v>40/52</v>
      </c>
      <c r="H26" s="292" t="str">
        <f>'Resistor References'!O$4</f>
        <v>30/39</v>
      </c>
      <c r="I26" s="359">
        <v>52</v>
      </c>
      <c r="J26" s="416"/>
      <c r="P26" s="278">
        <v>22</v>
      </c>
      <c r="Q26" s="293">
        <v>6</v>
      </c>
      <c r="R26" s="294">
        <v>1</v>
      </c>
    </row>
    <row r="27" spans="2:18" ht="15" thickBot="1" x14ac:dyDescent="0.25">
      <c r="P27" s="287">
        <v>23</v>
      </c>
      <c r="Q27" s="288">
        <v>6</v>
      </c>
      <c r="R27" s="289">
        <v>2</v>
      </c>
    </row>
    <row r="28" spans="2:18" ht="16.5" thickBot="1" x14ac:dyDescent="0.3">
      <c r="B28" s="422" t="s">
        <v>682</v>
      </c>
      <c r="C28" s="423"/>
      <c r="D28" s="423"/>
      <c r="E28" s="423"/>
      <c r="F28" s="423"/>
      <c r="G28" s="423"/>
      <c r="H28" s="423"/>
      <c r="I28" s="423"/>
      <c r="J28" s="424"/>
      <c r="P28" s="278">
        <v>24</v>
      </c>
      <c r="Q28" s="293">
        <v>6</v>
      </c>
      <c r="R28" s="294">
        <v>4</v>
      </c>
    </row>
    <row r="29" spans="2:18" ht="15" customHeight="1" thickBot="1" x14ac:dyDescent="0.35">
      <c r="B29" s="274" t="s">
        <v>209</v>
      </c>
      <c r="C29" s="274" t="s">
        <v>21</v>
      </c>
      <c r="D29" s="274" t="s">
        <v>305</v>
      </c>
      <c r="E29" s="274" t="s">
        <v>306</v>
      </c>
      <c r="F29" s="274"/>
      <c r="G29" s="274" t="s">
        <v>686</v>
      </c>
      <c r="H29" s="274" t="s">
        <v>238</v>
      </c>
      <c r="I29" s="420" t="s">
        <v>247</v>
      </c>
      <c r="J29" s="406"/>
      <c r="P29" s="287">
        <v>25</v>
      </c>
      <c r="Q29" s="288">
        <v>6</v>
      </c>
      <c r="R29" s="289">
        <v>8</v>
      </c>
    </row>
    <row r="30" spans="2:18" ht="14.5" thickBot="1" x14ac:dyDescent="0.35">
      <c r="B30" s="310" t="str">
        <f>B$5</f>
        <v>MSEL1</v>
      </c>
      <c r="C30" s="281" t="s">
        <v>222</v>
      </c>
      <c r="D30" s="283" t="s">
        <v>212</v>
      </c>
      <c r="E30" s="283" t="s">
        <v>248</v>
      </c>
      <c r="F30" s="311"/>
      <c r="G30" s="312" t="s">
        <v>249</v>
      </c>
      <c r="H30" s="313" t="s">
        <v>249</v>
      </c>
      <c r="I30" s="407"/>
      <c r="J30" s="408"/>
      <c r="P30" s="278">
        <v>26</v>
      </c>
      <c r="Q30" s="293">
        <v>7</v>
      </c>
      <c r="R30" s="294">
        <v>0.5</v>
      </c>
    </row>
    <row r="31" spans="2:18" ht="14.5" thickBot="1" x14ac:dyDescent="0.35">
      <c r="B31" s="310" t="str">
        <f>B$7</f>
        <v>MSEL2</v>
      </c>
      <c r="C31" s="297" t="s">
        <v>250</v>
      </c>
      <c r="D31" s="183">
        <f>IF(D9&lt;2,"N/A",IF(OR(J25="SHORT",J25="FLOAT"),J25,2*F25+MOD(F26,2)))</f>
        <v>2</v>
      </c>
      <c r="E31" s="183" t="str">
        <f>IF(OR(J25='Resistor References'!AG$2,J25='Resistor References'!AG$3,'Pin Detect Programming'!F26&lt;2),"OPEN",1)</f>
        <v>OPEN</v>
      </c>
      <c r="F31" s="182"/>
      <c r="G31" s="184">
        <f>IF(OR(D31="FLOAT",D31="SHORT"),D31,HLOOKUP(D31,'Resistor Selection'!C13:R14,2,FALSE))</f>
        <v>6810</v>
      </c>
      <c r="H31" s="314" t="str">
        <f>IF(E31="Open","Open",VLOOKUP(E31,'Resistor Selection'!B$13:AH$30,'Pin Detect Programming'!D31+2,FALSE))</f>
        <v>Open</v>
      </c>
      <c r="I31" s="407"/>
      <c r="J31" s="408"/>
      <c r="P31" s="287">
        <v>27</v>
      </c>
      <c r="Q31" s="288">
        <v>7</v>
      </c>
      <c r="R31" s="289">
        <v>1</v>
      </c>
    </row>
    <row r="32" spans="2:18" ht="14.5" thickBot="1" x14ac:dyDescent="0.35">
      <c r="B32" s="310" t="str">
        <f>B$10</f>
        <v>VSEL</v>
      </c>
      <c r="C32" s="297" t="s">
        <v>222</v>
      </c>
      <c r="D32" s="183" t="s">
        <v>212</v>
      </c>
      <c r="E32" s="183" t="s">
        <v>248</v>
      </c>
      <c r="F32" s="182"/>
      <c r="G32" s="184" t="s">
        <v>249</v>
      </c>
      <c r="H32" s="314" t="s">
        <v>249</v>
      </c>
      <c r="I32" s="407"/>
      <c r="J32" s="408"/>
      <c r="P32" s="278">
        <v>28</v>
      </c>
      <c r="Q32" s="293">
        <v>7</v>
      </c>
      <c r="R32" s="294">
        <v>2</v>
      </c>
    </row>
    <row r="33" spans="2:18" ht="14.5" thickBot="1" x14ac:dyDescent="0.35">
      <c r="B33" s="310" t="str">
        <f>B$13</f>
        <v>ADRSEL</v>
      </c>
      <c r="C33" s="290" t="s">
        <v>222</v>
      </c>
      <c r="D33" s="292" t="s">
        <v>212</v>
      </c>
      <c r="E33" s="292" t="s">
        <v>248</v>
      </c>
      <c r="F33" s="246"/>
      <c r="G33" s="315" t="s">
        <v>249</v>
      </c>
      <c r="H33" s="316" t="s">
        <v>249</v>
      </c>
      <c r="I33" s="409"/>
      <c r="J33" s="410"/>
      <c r="P33" s="287">
        <v>29</v>
      </c>
      <c r="Q33" s="288">
        <v>7</v>
      </c>
      <c r="R33" s="289">
        <v>4</v>
      </c>
    </row>
    <row r="34" spans="2:18" ht="14.5" thickBot="1" x14ac:dyDescent="0.35">
      <c r="L34" s="317"/>
      <c r="P34" s="278">
        <v>30</v>
      </c>
      <c r="Q34" s="293">
        <v>7</v>
      </c>
      <c r="R34" s="294">
        <v>8</v>
      </c>
    </row>
    <row r="35" spans="2:18" ht="14.5" thickBot="1" x14ac:dyDescent="0.35">
      <c r="B35" s="417" t="s">
        <v>251</v>
      </c>
      <c r="C35" s="418"/>
      <c r="D35" s="418"/>
      <c r="E35" s="418"/>
      <c r="F35" s="418"/>
      <c r="G35" s="418"/>
      <c r="H35" s="418"/>
      <c r="I35" s="418"/>
      <c r="J35" s="419"/>
      <c r="P35" s="318">
        <v>31</v>
      </c>
      <c r="Q35" s="319">
        <v>10</v>
      </c>
      <c r="R35" s="320">
        <v>2</v>
      </c>
    </row>
    <row r="36" spans="2:18" ht="28.5" thickBot="1" x14ac:dyDescent="0.35">
      <c r="B36" s="274" t="s">
        <v>209</v>
      </c>
      <c r="C36" s="274" t="s">
        <v>210</v>
      </c>
      <c r="D36" s="274" t="s">
        <v>554</v>
      </c>
      <c r="E36" s="274" t="s">
        <v>211</v>
      </c>
      <c r="F36" s="366" t="s">
        <v>700</v>
      </c>
      <c r="G36" s="366" t="s">
        <v>698</v>
      </c>
      <c r="H36" s="366" t="s">
        <v>699</v>
      </c>
      <c r="I36" s="274" t="s">
        <v>214</v>
      </c>
      <c r="J36" s="274" t="s">
        <v>215</v>
      </c>
    </row>
    <row r="37" spans="2:18" ht="42.5" thickBot="1" x14ac:dyDescent="0.35">
      <c r="B37" s="414" t="str">
        <f>B7</f>
        <v>MSEL2</v>
      </c>
      <c r="C37" s="349" t="s">
        <v>680</v>
      </c>
      <c r="D37" s="261" t="s">
        <v>692</v>
      </c>
      <c r="E37" s="282"/>
      <c r="F37" s="351">
        <f>IF(AND(D37=G37,D38=G38),"SHORT",IF(AND(D37=H37,D38=H38),"FLOAT",VLOOKUP(D37,'Resistor References'!AF$4:AG$11,2,FALSE)))</f>
        <v>7</v>
      </c>
      <c r="G37" s="312" t="s">
        <v>222</v>
      </c>
      <c r="H37" s="283" t="s">
        <v>222</v>
      </c>
      <c r="I37" s="358" t="s">
        <v>222</v>
      </c>
      <c r="J37" s="415" t="str">
        <f>IF(AND(D37=G37,D38=G38),"SHORT",IF(AND(H37=D37,H38=D38),"FLOAT","Resistor"))</f>
        <v>Resistor</v>
      </c>
    </row>
    <row r="38" spans="2:18" ht="15.75" customHeight="1" thickBot="1" x14ac:dyDescent="0.35">
      <c r="B38" s="414"/>
      <c r="C38" s="290" t="s">
        <v>220</v>
      </c>
      <c r="D38" s="262" t="str">
        <f>D8</f>
        <v>40/52</v>
      </c>
      <c r="E38" s="291" t="s">
        <v>26</v>
      </c>
      <c r="F38" s="352">
        <f>VLOOKUP(D38,'Resistor References'!O$3:P$6,2,FALSE)</f>
        <v>0</v>
      </c>
      <c r="G38" s="315" t="s">
        <v>222</v>
      </c>
      <c r="H38" s="292" t="s">
        <v>222</v>
      </c>
      <c r="I38" s="359">
        <v>52</v>
      </c>
      <c r="J38" s="416"/>
    </row>
    <row r="39" spans="2:18" ht="14.5" thickBot="1" x14ac:dyDescent="0.35"/>
    <row r="40" spans="2:18" ht="16" thickBot="1" x14ac:dyDescent="0.4">
      <c r="B40" s="422" t="s">
        <v>684</v>
      </c>
      <c r="C40" s="423"/>
      <c r="D40" s="423"/>
      <c r="E40" s="423"/>
      <c r="F40" s="423"/>
      <c r="G40" s="423"/>
      <c r="H40" s="423"/>
      <c r="I40" s="423"/>
      <c r="J40" s="424"/>
    </row>
    <row r="41" spans="2:18" ht="14.5" thickBot="1" x14ac:dyDescent="0.35">
      <c r="B41" s="274" t="s">
        <v>209</v>
      </c>
      <c r="C41" s="274" t="s">
        <v>21</v>
      </c>
      <c r="D41" s="274" t="s">
        <v>305</v>
      </c>
      <c r="E41" s="274" t="s">
        <v>306</v>
      </c>
      <c r="F41" s="274"/>
      <c r="G41" s="274" t="s">
        <v>686</v>
      </c>
      <c r="H41" s="274" t="s">
        <v>238</v>
      </c>
      <c r="I41" s="405" t="s">
        <v>247</v>
      </c>
      <c r="J41" s="406"/>
    </row>
    <row r="42" spans="2:18" ht="14.5" thickBot="1" x14ac:dyDescent="0.35">
      <c r="B42" s="310" t="str">
        <f>B$5</f>
        <v>MSEL1</v>
      </c>
      <c r="C42" s="281" t="s">
        <v>222</v>
      </c>
      <c r="D42" s="283" t="s">
        <v>212</v>
      </c>
      <c r="E42" s="283" t="s">
        <v>248</v>
      </c>
      <c r="F42" s="311"/>
      <c r="G42" s="312" t="s">
        <v>249</v>
      </c>
      <c r="H42" s="313" t="s">
        <v>249</v>
      </c>
      <c r="I42" s="407"/>
      <c r="J42" s="408"/>
    </row>
    <row r="43" spans="2:18" ht="14.5" thickBot="1" x14ac:dyDescent="0.35">
      <c r="B43" s="310" t="str">
        <f>B$7</f>
        <v>MSEL2</v>
      </c>
      <c r="C43" s="297" t="s">
        <v>250</v>
      </c>
      <c r="D43" s="183">
        <f>IF(D9&lt;3,"N/A",IF(OR(J37="SHORT",J37="FLOAT"),J37,2*F37+MOD(F38,2)))</f>
        <v>14</v>
      </c>
      <c r="E43" s="183" t="str">
        <f>IF(OR(J37='Resistor References'!AG$2,J37='Resistor References'!AG$3,'Pin Detect Programming'!F38&lt;2),"OPEN",1)</f>
        <v>OPEN</v>
      </c>
      <c r="F43" s="182"/>
      <c r="G43" s="184">
        <f>IF(OR(D43="FLOAT",D43="SHORT"),D43,HLOOKUP(D43,'Resistor Selection'!C13:R14,2,FALSE))</f>
        <v>68100</v>
      </c>
      <c r="H43" s="314" t="str">
        <f>IF(E43="Open","Open",VLOOKUP(E43,'Resistor Selection'!B$13:AH$30,'Pin Detect Programming'!D43+2,FALSE))</f>
        <v>Open</v>
      </c>
      <c r="I43" s="407"/>
      <c r="J43" s="408"/>
    </row>
    <row r="44" spans="2:18" ht="14.5" thickBot="1" x14ac:dyDescent="0.35">
      <c r="B44" s="310" t="str">
        <f>B$10</f>
        <v>VSEL</v>
      </c>
      <c r="C44" s="297" t="s">
        <v>222</v>
      </c>
      <c r="D44" s="183" t="s">
        <v>212</v>
      </c>
      <c r="E44" s="183" t="s">
        <v>248</v>
      </c>
      <c r="F44" s="182"/>
      <c r="G44" s="184" t="s">
        <v>249</v>
      </c>
      <c r="H44" s="314" t="s">
        <v>249</v>
      </c>
      <c r="I44" s="407"/>
      <c r="J44" s="408"/>
    </row>
    <row r="45" spans="2:18" ht="14.5" thickBot="1" x14ac:dyDescent="0.35">
      <c r="B45" s="310" t="str">
        <f>B$13</f>
        <v>ADRSEL</v>
      </c>
      <c r="C45" s="290" t="s">
        <v>222</v>
      </c>
      <c r="D45" s="292" t="s">
        <v>212</v>
      </c>
      <c r="E45" s="292" t="s">
        <v>248</v>
      </c>
      <c r="F45" s="246"/>
      <c r="G45" s="315" t="s">
        <v>249</v>
      </c>
      <c r="H45" s="316" t="s">
        <v>249</v>
      </c>
      <c r="I45" s="409"/>
      <c r="J45" s="410"/>
    </row>
    <row r="46" spans="2:18" ht="14.5" thickBot="1" x14ac:dyDescent="0.35"/>
    <row r="47" spans="2:18" ht="14.5" thickBot="1" x14ac:dyDescent="0.35">
      <c r="B47" s="417" t="s">
        <v>252</v>
      </c>
      <c r="C47" s="418"/>
      <c r="D47" s="418"/>
      <c r="E47" s="418"/>
      <c r="F47" s="418"/>
      <c r="G47" s="418"/>
      <c r="H47" s="418"/>
      <c r="I47" s="418"/>
      <c r="J47" s="419"/>
    </row>
    <row r="48" spans="2:18" ht="28.5" thickBot="1" x14ac:dyDescent="0.35">
      <c r="B48" s="274" t="s">
        <v>209</v>
      </c>
      <c r="C48" s="274" t="s">
        <v>210</v>
      </c>
      <c r="D48" s="274" t="s">
        <v>554</v>
      </c>
      <c r="E48" s="274" t="s">
        <v>211</v>
      </c>
      <c r="F48" s="366" t="s">
        <v>700</v>
      </c>
      <c r="G48" s="366" t="s">
        <v>698</v>
      </c>
      <c r="H48" s="366" t="s">
        <v>699</v>
      </c>
      <c r="I48" s="274" t="s">
        <v>214</v>
      </c>
      <c r="J48" s="274" t="s">
        <v>215</v>
      </c>
    </row>
    <row r="49" spans="2:10" ht="42.5" thickBot="1" x14ac:dyDescent="0.35">
      <c r="B49" s="414" t="str">
        <f>B7</f>
        <v>MSEL2</v>
      </c>
      <c r="C49" s="349" t="s">
        <v>680</v>
      </c>
      <c r="D49" s="261" t="s">
        <v>693</v>
      </c>
      <c r="E49" s="282"/>
      <c r="F49" s="351">
        <f>IF(AND(D49=G49,D50=G50),"SHORT",IF(AND(D49=H49,D50=H50),"FLOAT",VLOOKUP(D49,'Resistor References'!AF$4:AG$11,2,FALSE)))</f>
        <v>5</v>
      </c>
      <c r="G49" s="312" t="s">
        <v>222</v>
      </c>
      <c r="H49" s="283" t="s">
        <v>222</v>
      </c>
      <c r="I49" s="358" t="s">
        <v>222</v>
      </c>
      <c r="J49" s="415" t="str">
        <f>IF(AND(D49=G49,D50=G50),"SHORT",IF(AND(H49=D49,H50=D50),"FLOAT","Resistor"))</f>
        <v>Resistor</v>
      </c>
    </row>
    <row r="50" spans="2:10" ht="14.5" thickBot="1" x14ac:dyDescent="0.35">
      <c r="B50" s="414"/>
      <c r="C50" s="290" t="s">
        <v>220</v>
      </c>
      <c r="D50" s="262" t="str">
        <f>D8</f>
        <v>40/52</v>
      </c>
      <c r="E50" s="291" t="s">
        <v>26</v>
      </c>
      <c r="F50" s="352">
        <f>VLOOKUP(D50,'Resistor References'!O$3:P$6,2,FALSE)</f>
        <v>0</v>
      </c>
      <c r="G50" s="315" t="s">
        <v>222</v>
      </c>
      <c r="H50" s="292" t="s">
        <v>222</v>
      </c>
      <c r="I50" s="359">
        <v>52</v>
      </c>
      <c r="J50" s="416"/>
    </row>
    <row r="51" spans="2:10" ht="14.5" thickBot="1" x14ac:dyDescent="0.35"/>
    <row r="52" spans="2:10" ht="16" thickBot="1" x14ac:dyDescent="0.4">
      <c r="B52" s="422" t="s">
        <v>683</v>
      </c>
      <c r="C52" s="423"/>
      <c r="D52" s="423"/>
      <c r="E52" s="423"/>
      <c r="F52" s="423"/>
      <c r="G52" s="423"/>
      <c r="H52" s="423"/>
      <c r="I52" s="423"/>
      <c r="J52" s="424"/>
    </row>
    <row r="53" spans="2:10" ht="14.5" thickBot="1" x14ac:dyDescent="0.35">
      <c r="B53" s="274" t="s">
        <v>209</v>
      </c>
      <c r="C53" s="274" t="s">
        <v>21</v>
      </c>
      <c r="D53" s="274" t="s">
        <v>305</v>
      </c>
      <c r="E53" s="274" t="s">
        <v>306</v>
      </c>
      <c r="F53" s="274"/>
      <c r="G53" s="274" t="s">
        <v>686</v>
      </c>
      <c r="H53" s="274" t="s">
        <v>238</v>
      </c>
      <c r="I53" s="405" t="s">
        <v>247</v>
      </c>
      <c r="J53" s="406"/>
    </row>
    <row r="54" spans="2:10" ht="14.5" thickBot="1" x14ac:dyDescent="0.35">
      <c r="B54" s="310" t="str">
        <f>B$5</f>
        <v>MSEL1</v>
      </c>
      <c r="C54" s="281" t="s">
        <v>222</v>
      </c>
      <c r="D54" s="283" t="s">
        <v>212</v>
      </c>
      <c r="E54" s="283" t="s">
        <v>248</v>
      </c>
      <c r="F54" s="311"/>
      <c r="G54" s="312" t="s">
        <v>249</v>
      </c>
      <c r="H54" s="313" t="s">
        <v>249</v>
      </c>
      <c r="I54" s="407"/>
      <c r="J54" s="408"/>
    </row>
    <row r="55" spans="2:10" ht="14.5" thickBot="1" x14ac:dyDescent="0.35">
      <c r="B55" s="310" t="str">
        <f>B$7</f>
        <v>MSEL2</v>
      </c>
      <c r="C55" s="297" t="s">
        <v>250</v>
      </c>
      <c r="D55" s="183">
        <f>IF(D9&lt;4,"N/A",IF(OR(J49="SHORT",J49="FLOAT"),J49,2*F49+MOD(F50,2)))</f>
        <v>10</v>
      </c>
      <c r="E55" s="183" t="str">
        <f>IF(OR(J49='Resistor References'!AG$2,J49='Resistor References'!AG$3,'Pin Detect Programming'!F50&lt;2),"OPEN",1)</f>
        <v>OPEN</v>
      </c>
      <c r="F55" s="182"/>
      <c r="G55" s="184">
        <f>IF(OR(D55="FLOAT",D55="SHORT"),D55,HLOOKUP(D55,'Resistor Selection'!C13:R14,2,FALSE))</f>
        <v>31600</v>
      </c>
      <c r="H55" s="314" t="str">
        <f>IF(E55="Open","Open",VLOOKUP(E55,'Resistor Selection'!B$13:AH$30,'Pin Detect Programming'!D55+2,FALSE))</f>
        <v>Open</v>
      </c>
      <c r="I55" s="407"/>
      <c r="J55" s="408"/>
    </row>
    <row r="56" spans="2:10" ht="14.5" thickBot="1" x14ac:dyDescent="0.35">
      <c r="B56" s="310" t="str">
        <f>B$10</f>
        <v>VSEL</v>
      </c>
      <c r="C56" s="297" t="s">
        <v>222</v>
      </c>
      <c r="D56" s="183" t="s">
        <v>212</v>
      </c>
      <c r="E56" s="183" t="s">
        <v>248</v>
      </c>
      <c r="F56" s="182"/>
      <c r="G56" s="184" t="s">
        <v>249</v>
      </c>
      <c r="H56" s="314" t="s">
        <v>249</v>
      </c>
      <c r="I56" s="407"/>
      <c r="J56" s="408"/>
    </row>
    <row r="57" spans="2:10" ht="14.5" thickBot="1" x14ac:dyDescent="0.35">
      <c r="B57" s="310" t="str">
        <f>B$13</f>
        <v>ADRSEL</v>
      </c>
      <c r="C57" s="290" t="s">
        <v>222</v>
      </c>
      <c r="D57" s="292" t="s">
        <v>212</v>
      </c>
      <c r="E57" s="292" t="s">
        <v>248</v>
      </c>
      <c r="F57" s="246"/>
      <c r="G57" s="315" t="s">
        <v>249</v>
      </c>
      <c r="H57" s="316" t="s">
        <v>249</v>
      </c>
      <c r="I57" s="409"/>
      <c r="J57" s="410"/>
    </row>
  </sheetData>
  <dataConsolidate/>
  <mergeCells count="29">
    <mergeCell ref="B40:J40"/>
    <mergeCell ref="B28:J28"/>
    <mergeCell ref="B52:J52"/>
    <mergeCell ref="P2:R2"/>
    <mergeCell ref="B5:B6"/>
    <mergeCell ref="J5:J6"/>
    <mergeCell ref="B16:J16"/>
    <mergeCell ref="B10:B12"/>
    <mergeCell ref="J10:J12"/>
    <mergeCell ref="B13:B14"/>
    <mergeCell ref="J13:J14"/>
    <mergeCell ref="B3:J3"/>
    <mergeCell ref="C2:J2"/>
    <mergeCell ref="I53:J57"/>
    <mergeCell ref="L2:N2"/>
    <mergeCell ref="B37:B38"/>
    <mergeCell ref="J37:J38"/>
    <mergeCell ref="I41:J45"/>
    <mergeCell ref="B47:J47"/>
    <mergeCell ref="B49:B50"/>
    <mergeCell ref="J49:J50"/>
    <mergeCell ref="I17:J21"/>
    <mergeCell ref="B23:J23"/>
    <mergeCell ref="B25:B26"/>
    <mergeCell ref="J25:J26"/>
    <mergeCell ref="I29:J33"/>
    <mergeCell ref="B35:J35"/>
    <mergeCell ref="B7:B9"/>
    <mergeCell ref="J7:J9"/>
  </mergeCells>
  <conditionalFormatting sqref="D18">
    <cfRule type="cellIs" dxfId="89" priority="47" stopIfTrue="1" operator="equal">
      <formula>$H$4</formula>
    </cfRule>
    <cfRule type="cellIs" dxfId="88" priority="48" stopIfTrue="1" operator="equal">
      <formula>$G$4</formula>
    </cfRule>
    <cfRule type="cellIs" dxfId="87" priority="49" operator="greaterThan">
      <formula>29.5</formula>
    </cfRule>
  </conditionalFormatting>
  <conditionalFormatting sqref="D19">
    <cfRule type="cellIs" dxfId="86" priority="44" stopIfTrue="1" operator="equal">
      <formula>$H$4</formula>
    </cfRule>
    <cfRule type="cellIs" dxfId="85" priority="45" stopIfTrue="1" operator="equal">
      <formula>$G$4</formula>
    </cfRule>
    <cfRule type="cellIs" dxfId="84" priority="46" operator="greaterThan">
      <formula>29.5</formula>
    </cfRule>
  </conditionalFormatting>
  <conditionalFormatting sqref="D20">
    <cfRule type="cellIs" dxfId="83" priority="41" stopIfTrue="1" operator="equal">
      <formula>$H$4</formula>
    </cfRule>
    <cfRule type="cellIs" dxfId="82" priority="42" stopIfTrue="1" operator="equal">
      <formula>$G$4</formula>
    </cfRule>
    <cfRule type="cellIs" dxfId="81" priority="43" operator="greaterThan">
      <formula>29.5</formula>
    </cfRule>
  </conditionalFormatting>
  <conditionalFormatting sqref="D21">
    <cfRule type="cellIs" dxfId="80" priority="38" stopIfTrue="1" operator="equal">
      <formula>$H$4</formula>
    </cfRule>
    <cfRule type="cellIs" dxfId="79" priority="39" stopIfTrue="1" operator="equal">
      <formula>$G$4</formula>
    </cfRule>
    <cfRule type="cellIs" dxfId="78" priority="40" operator="greaterThan">
      <formula>29.5</formula>
    </cfRule>
  </conditionalFormatting>
  <conditionalFormatting sqref="D31">
    <cfRule type="cellIs" dxfId="77" priority="35" stopIfTrue="1" operator="equal">
      <formula>$H$4</formula>
    </cfRule>
    <cfRule type="cellIs" dxfId="76" priority="36" stopIfTrue="1" operator="equal">
      <formula>$G$4</formula>
    </cfRule>
    <cfRule type="cellIs" dxfId="75" priority="37" operator="greaterThan">
      <formula>29.5</formula>
    </cfRule>
  </conditionalFormatting>
  <conditionalFormatting sqref="D43">
    <cfRule type="cellIs" dxfId="74" priority="32" stopIfTrue="1" operator="equal">
      <formula>$H$4</formula>
    </cfRule>
    <cfRule type="cellIs" dxfId="73" priority="33" stopIfTrue="1" operator="equal">
      <formula>$G$4</formula>
    </cfRule>
    <cfRule type="cellIs" dxfId="72" priority="34" operator="greaterThan">
      <formula>29.5</formula>
    </cfRule>
  </conditionalFormatting>
  <conditionalFormatting sqref="D55">
    <cfRule type="cellIs" dxfId="71" priority="29" stopIfTrue="1" operator="equal">
      <formula>$H$4</formula>
    </cfRule>
    <cfRule type="cellIs" dxfId="70" priority="30" stopIfTrue="1" operator="equal">
      <formula>$G$4</formula>
    </cfRule>
    <cfRule type="cellIs" dxfId="69" priority="31" operator="greaterThan">
      <formula>29.5</formula>
    </cfRule>
  </conditionalFormatting>
  <conditionalFormatting sqref="Q4">
    <cfRule type="expression" dxfId="68" priority="22">
      <formula>"K3=$C$4"</formula>
    </cfRule>
  </conditionalFormatting>
  <conditionalFormatting sqref="R4">
    <cfRule type="expression" dxfId="67" priority="21">
      <formula>"K3=$C$4"</formula>
    </cfRule>
  </conditionalFormatting>
  <conditionalFormatting sqref="D11">
    <cfRule type="cellIs" dxfId="66" priority="16" operator="notEqual">
      <formula>Vout</formula>
    </cfRule>
  </conditionalFormatting>
  <conditionalFormatting sqref="Q5:Q35">
    <cfRule type="cellIs" dxfId="65" priority="19" operator="greaterThan">
      <formula>ILOOP_trgt</formula>
    </cfRule>
  </conditionalFormatting>
  <conditionalFormatting sqref="D6">
    <cfRule type="cellIs" dxfId="64" priority="17" operator="notEqual">
      <formula>fsw</formula>
    </cfRule>
  </conditionalFormatting>
  <conditionalFormatting sqref="D12">
    <cfRule type="cellIs" dxfId="63" priority="15" operator="notEqual">
      <formula>VOSL</formula>
    </cfRule>
  </conditionalFormatting>
  <conditionalFormatting sqref="P4:P35">
    <cfRule type="cellIs" dxfId="62" priority="14" operator="equal">
      <formula>$D$5</formula>
    </cfRule>
  </conditionalFormatting>
  <conditionalFormatting sqref="D37">
    <cfRule type="expression" dxfId="61" priority="13">
      <formula>NOT(AND(ISNUMBER(FIND($D$9,$D$37)),IF(ISNUMBER(FIND($D$9,$D$37)),FIND($D$9,$D$37)&gt;3,0)))</formula>
    </cfRule>
  </conditionalFormatting>
  <conditionalFormatting sqref="D49">
    <cfRule type="expression" dxfId="60" priority="12">
      <formula>NOT(AND(ISNUMBER(FIND($D$9,$D$49)),IF(ISNUMBER(FIND($D$9,$D$49)),FIND($D$9,$D$49)&gt;3,0)))</formula>
    </cfRule>
  </conditionalFormatting>
  <conditionalFormatting sqref="D25">
    <cfRule type="expression" dxfId="59" priority="11">
      <formula>NOT(AND(ISNUMBER(FIND($D$9,$D$25)),IF(ISNUMBER(FIND($D$9,$D$25)),FIND($D$9,$D$25)&gt;3,0)))</formula>
    </cfRule>
  </conditionalFormatting>
  <conditionalFormatting sqref="D26">
    <cfRule type="cellIs" dxfId="58" priority="10" operator="notEqual">
      <formula>$D$8</formula>
    </cfRule>
  </conditionalFormatting>
  <conditionalFormatting sqref="D38">
    <cfRule type="cellIs" dxfId="57" priority="9" operator="notEqual">
      <formula>$D$8</formula>
    </cfRule>
  </conditionalFormatting>
  <conditionalFormatting sqref="D50">
    <cfRule type="cellIs" dxfId="56" priority="8" operator="notEqual">
      <formula>$D$8</formula>
    </cfRule>
  </conditionalFormatting>
  <conditionalFormatting sqref="B47:J47 B49 D49:J49 B50:J51 B54:J57 B53:C53 F53 B48:C48 I48:J48 H53:J53 E48">
    <cfRule type="expression" dxfId="55" priority="7">
      <formula>$D$9&lt;&gt;4</formula>
    </cfRule>
  </conditionalFormatting>
  <conditionalFormatting sqref="B35:J35 B37 D37:J37 B38:J39 B42:J45 B41:C41 F41 B36:C36 I36:J36 H41:J41 E36">
    <cfRule type="expression" dxfId="54" priority="6">
      <formula>$D$9&lt;3</formula>
    </cfRule>
  </conditionalFormatting>
  <conditionalFormatting sqref="B23:J23 B30:J33 B29:C29 F29 B25:J27 B24:E24 I24:J24 H29:J29">
    <cfRule type="expression" dxfId="53" priority="5">
      <formula>$D$9&lt;2</formula>
    </cfRule>
  </conditionalFormatting>
  <conditionalFormatting sqref="C37">
    <cfRule type="expression" dxfId="52" priority="4">
      <formula>$D$9&lt;2</formula>
    </cfRule>
  </conditionalFormatting>
  <conditionalFormatting sqref="C49">
    <cfRule type="expression" dxfId="51" priority="3">
      <formula>$D$9&lt;2</formula>
    </cfRule>
  </conditionalFormatting>
  <conditionalFormatting sqref="D36">
    <cfRule type="expression" dxfId="3" priority="2">
      <formula>$D$9&lt;2</formula>
    </cfRule>
  </conditionalFormatting>
  <conditionalFormatting sqref="D48">
    <cfRule type="expression" dxfId="1" priority="1">
      <formula>$D$9&lt;2</formula>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27" operator="greaterThan" id="{456142BB-AD7D-493F-88C2-9F6F4383311F}">
            <xm:f>'Resistor References'!$X$18</xm:f>
            <x14:dxf>
              <font>
                <color rgb="FF9C0006"/>
              </font>
              <fill>
                <patternFill>
                  <bgColor rgb="FFFFC7CE"/>
                </patternFill>
              </fill>
            </x14:dxf>
          </x14:cfRule>
          <x14:cfRule type="cellIs" priority="28" operator="lessThan" id="{691D62A3-AD42-4D4C-B5B2-A86356ADB033}">
            <xm:f>'Resistor References'!$X$3</xm:f>
            <x14:dxf>
              <font>
                <color rgb="FF9C0006"/>
              </font>
              <fill>
                <patternFill>
                  <bgColor rgb="FFFFC7CE"/>
                </patternFill>
              </fill>
            </x14:dxf>
          </x14:cfRule>
          <xm:sqref>D11</xm:sqref>
        </x14:conditionalFormatting>
        <x14:conditionalFormatting xmlns:xm="http://schemas.microsoft.com/office/excel/2006/main">
          <x14:cfRule type="cellIs" priority="56" operator="greaterThan" id="{4A4205D8-AD0D-4981-A583-BB20AE834379}">
            <xm:f>'Device Calculator'!#REF!</xm:f>
            <x14:dxf>
              <font>
                <color rgb="FF9C0006"/>
              </font>
              <fill>
                <patternFill>
                  <bgColor rgb="FFFFC7CE"/>
                </patternFill>
              </fill>
            </x14:dxf>
          </x14:cfRule>
          <xm:sqref>R35</xm:sqref>
        </x14:conditionalFormatting>
        <x14:conditionalFormatting xmlns:xm="http://schemas.microsoft.com/office/excel/2006/main">
          <x14:cfRule type="cellIs" priority="57" operator="greaterThan" id="{962165AF-371E-429A-9EEB-1504A04499E3}">
            <xm:f>'Device Calculator'!$M80</xm:f>
            <x14:dxf>
              <font>
                <color rgb="FF9C0006"/>
              </font>
              <fill>
                <patternFill>
                  <bgColor rgb="FFFFC7CE"/>
                </patternFill>
              </fill>
            </x14:dxf>
          </x14:cfRule>
          <xm:sqref>R5:R20</xm:sqref>
        </x14:conditionalFormatting>
        <x14:conditionalFormatting xmlns:xm="http://schemas.microsoft.com/office/excel/2006/main">
          <x14:cfRule type="cellIs" priority="63" operator="greaterThan" id="{962165AF-371E-429A-9EEB-1504A04499E3}">
            <xm:f>'Device Calculator'!$M97</xm:f>
            <x14:dxf>
              <font>
                <color rgb="FF9C0006"/>
              </font>
              <fill>
                <patternFill>
                  <bgColor rgb="FFFFC7CE"/>
                </patternFill>
              </fill>
            </x14:dxf>
          </x14:cfRule>
          <xm:sqref>R21:R33</xm:sqref>
        </x14:conditionalFormatting>
        <x14:conditionalFormatting xmlns:xm="http://schemas.microsoft.com/office/excel/2006/main">
          <x14:cfRule type="cellIs" priority="93" operator="greaterThan" id="{962165AF-371E-429A-9EEB-1504A04499E3}">
            <xm:f>'Device Calculator'!#REF!</xm:f>
            <x14:dxf>
              <font>
                <color rgb="FF9C0006"/>
              </font>
              <fill>
                <patternFill>
                  <bgColor rgb="FFFFC7CE"/>
                </patternFill>
              </fill>
            </x14:dxf>
          </x14:cfRule>
          <xm:sqref>R34</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'Resistor References'!$O$3:$O$6</xm:f>
          </x14:formula1>
          <xm:sqref>D50 D38 D26 D8</xm:sqref>
        </x14:dataValidation>
        <x14:dataValidation type="list" allowBlank="1" showInputMessage="1" showErrorMessage="1">
          <x14:formula1>
            <xm:f>'Resistor References'!$G$2:$G$35</xm:f>
          </x14:formula1>
          <xm:sqref>D5</xm:sqref>
        </x14:dataValidation>
        <x14:dataValidation type="list" allowBlank="1" showInputMessage="1" showErrorMessage="1">
          <x14:formula1>
            <xm:f>'Resistor References'!$AB$3:$AB$11</xm:f>
          </x14:formula1>
          <xm:sqref>D14</xm:sqref>
        </x14:dataValidation>
        <x14:dataValidation type="list" allowBlank="1" showInputMessage="1" showErrorMessage="1">
          <x14:formula1>
            <xm:f>'Resistor References'!$Z$2:$Z$32</xm:f>
          </x14:formula1>
          <xm:sqref>D13</xm:sqref>
        </x14:dataValidation>
        <x14:dataValidation type="list" allowBlank="1" showInputMessage="1" showErrorMessage="1">
          <x14:formula1>
            <xm:f>'Resistor References'!$S$2:$S$17</xm:f>
          </x14:formula1>
          <xm:sqref>D10</xm:sqref>
        </x14:dataValidation>
        <x14:dataValidation type="list" allowBlank="1" showInputMessage="1" showErrorMessage="1">
          <x14:formula1>
            <xm:f>'Resistor References'!$X$3:$X$19</xm:f>
          </x14:formula1>
          <xm:sqref>D11</xm:sqref>
        </x14:dataValidation>
        <x14:dataValidation type="list" allowBlank="1" showInputMessage="1" showErrorMessage="1">
          <x14:formula1>
            <xm:f>'Resistor References'!$Q$3:$Q$6</xm:f>
          </x14:formula1>
          <xm:sqref>D9</xm:sqref>
        </x14:dataValidation>
        <x14:dataValidation type="list" allowBlank="1" showInputMessage="1" showErrorMessage="1">
          <x14:formula1>
            <xm:f>'Resistor References'!$M$3:$M$10</xm:f>
          </x14:formula1>
          <xm:sqref>D7</xm:sqref>
        </x14:dataValidation>
        <x14:dataValidation type="list" allowBlank="1" showInputMessage="1" showErrorMessage="1">
          <x14:formula1>
            <xm:f>'Resistor References'!$K$3:$K$10</xm:f>
          </x14:formula1>
          <xm:sqref>D6</xm:sqref>
        </x14:dataValidation>
        <x14:dataValidation type="list" allowBlank="1" showInputMessage="1" showErrorMessage="1">
          <x14:formula1>
            <xm:f>'Resistor References'!$AE$5:$AE$6</xm:f>
          </x14:formula1>
          <xm:sqref>D37</xm:sqref>
        </x14:dataValidation>
        <x14:dataValidation type="list" allowBlank="1" showInputMessage="1" showErrorMessage="1">
          <x14:formula1>
            <xm:f>'Resistor References'!$AE$7</xm:f>
          </x14:formula1>
          <xm:sqref>D49</xm:sqref>
        </x14:dataValidation>
        <x14:dataValidation type="list" allowBlank="1" showInputMessage="1" showErrorMessage="1">
          <x14:formula1>
            <xm:f>'Resistor References'!$AE$2:$AE$4</xm:f>
          </x14:formula1>
          <xm:sqref>D25</xm:sqref>
        </x14:dataValidation>
        <x14:dataValidation type="list" allowBlank="1" showInputMessage="1" showErrorMessage="1">
          <x14:formula1>
            <xm:f>'Resistor References'!$A$2:$A$4</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63"/>
  <sheetViews>
    <sheetView zoomScale="85" zoomScaleNormal="85" workbookViewId="0">
      <pane ySplit="1" topLeftCell="A2" activePane="bottomLeft" state="frozen"/>
      <selection pane="bottomLeft" activeCell="H5" sqref="H5"/>
    </sheetView>
  </sheetViews>
  <sheetFormatPr defaultColWidth="9.1796875" defaultRowHeight="14.5" x14ac:dyDescent="0.35"/>
  <cols>
    <col min="1" max="1" width="15.26953125" style="41" customWidth="1"/>
    <col min="2" max="2" width="15.26953125" style="41" bestFit="1" customWidth="1"/>
    <col min="3" max="3" width="20.26953125" style="41" customWidth="1"/>
    <col min="4" max="4" width="50" style="41" customWidth="1"/>
    <col min="5" max="5" width="38.81640625" style="41" customWidth="1"/>
    <col min="6" max="6" width="24.453125" style="42" customWidth="1"/>
    <col min="7" max="7" width="16.453125" style="42" customWidth="1"/>
    <col min="8" max="8" width="14" style="43" customWidth="1"/>
    <col min="9" max="9" width="27.7265625" style="31" bestFit="1" customWidth="1"/>
    <col min="10" max="15" width="9.1796875" style="22"/>
    <col min="16" max="16384" width="9.1796875" style="17"/>
  </cols>
  <sheetData>
    <row r="1" spans="1:15" ht="45.75" thickBot="1" x14ac:dyDescent="0.3">
      <c r="A1" s="321" t="s">
        <v>209</v>
      </c>
      <c r="B1" s="321" t="s">
        <v>309</v>
      </c>
      <c r="C1" s="321" t="s">
        <v>383</v>
      </c>
      <c r="D1" s="321" t="s">
        <v>384</v>
      </c>
      <c r="E1" s="321" t="s">
        <v>385</v>
      </c>
      <c r="F1" s="322" t="s">
        <v>386</v>
      </c>
      <c r="G1" s="322" t="s">
        <v>387</v>
      </c>
      <c r="H1" s="323" t="s">
        <v>388</v>
      </c>
      <c r="I1" s="16" t="s">
        <v>389</v>
      </c>
      <c r="J1" s="17"/>
      <c r="K1" s="17"/>
      <c r="L1" s="17"/>
      <c r="M1" s="17"/>
      <c r="N1" s="17"/>
      <c r="O1" s="17"/>
    </row>
    <row r="2" spans="1:15" ht="13.9" customHeight="1" x14ac:dyDescent="0.25">
      <c r="A2" s="431" t="s">
        <v>390</v>
      </c>
      <c r="B2" s="432"/>
      <c r="C2" s="432"/>
      <c r="D2" s="432"/>
      <c r="E2" s="432"/>
      <c r="F2" s="432"/>
      <c r="G2" s="432"/>
      <c r="H2" s="433"/>
      <c r="I2" s="16"/>
      <c r="J2" s="17"/>
      <c r="K2" s="17"/>
      <c r="L2" s="17"/>
      <c r="M2" s="17"/>
      <c r="N2" s="17"/>
      <c r="O2" s="17"/>
    </row>
    <row r="3" spans="1:15" s="22" customFormat="1" ht="116" x14ac:dyDescent="0.35">
      <c r="A3" s="18">
        <v>30</v>
      </c>
      <c r="B3" s="18" t="s">
        <v>224</v>
      </c>
      <c r="C3" s="19" t="s">
        <v>391</v>
      </c>
      <c r="D3" s="20" t="s">
        <v>392</v>
      </c>
      <c r="E3" s="20"/>
      <c r="F3" s="166" t="str">
        <f>CONCATENATE(Concatenation!$B$6, Concatenation!$B$7)</f>
        <v>Top Resistor: 12100
Bottom Resistor: 21500</v>
      </c>
      <c r="G3" s="166" t="s">
        <v>668</v>
      </c>
      <c r="H3" s="21" t="s">
        <v>249</v>
      </c>
      <c r="I3" s="14"/>
    </row>
    <row r="4" spans="1:15" s="22" customFormat="1" ht="45" x14ac:dyDescent="0.25">
      <c r="A4" s="23">
        <v>33</v>
      </c>
      <c r="B4" s="18" t="s">
        <v>393</v>
      </c>
      <c r="C4" s="19" t="s">
        <v>394</v>
      </c>
      <c r="D4" s="20" t="s">
        <v>395</v>
      </c>
      <c r="E4" s="20" t="s">
        <v>395</v>
      </c>
      <c r="F4" s="166"/>
      <c r="G4" s="166"/>
      <c r="H4" s="21" t="s">
        <v>249</v>
      </c>
      <c r="I4" s="14"/>
    </row>
    <row r="5" spans="1:15" s="22" customFormat="1" ht="75" x14ac:dyDescent="0.25">
      <c r="A5" s="18">
        <v>33</v>
      </c>
      <c r="B5" s="18" t="s">
        <v>393</v>
      </c>
      <c r="C5" s="19" t="s">
        <v>394</v>
      </c>
      <c r="D5" s="24" t="s">
        <v>396</v>
      </c>
      <c r="E5" s="24" t="s">
        <v>397</v>
      </c>
      <c r="F5" s="167"/>
      <c r="G5" s="167"/>
      <c r="H5" s="21" t="s">
        <v>249</v>
      </c>
      <c r="I5" s="25"/>
    </row>
    <row r="6" spans="1:15" ht="15" x14ac:dyDescent="0.25">
      <c r="A6" s="26"/>
      <c r="B6" s="26"/>
      <c r="C6" s="27"/>
      <c r="D6" s="28"/>
      <c r="E6" s="28"/>
      <c r="F6" s="29"/>
      <c r="G6" s="29"/>
      <c r="H6" s="30"/>
      <c r="J6" s="17"/>
      <c r="K6" s="17"/>
      <c r="L6" s="17"/>
      <c r="M6" s="17"/>
      <c r="N6" s="17"/>
      <c r="O6" s="17"/>
    </row>
    <row r="7" spans="1:15" ht="15" x14ac:dyDescent="0.25">
      <c r="A7" s="26"/>
      <c r="B7" s="26"/>
      <c r="C7" s="27"/>
      <c r="D7" s="28"/>
      <c r="E7" s="28"/>
      <c r="F7" s="29"/>
      <c r="G7" s="29"/>
      <c r="H7" s="30"/>
      <c r="J7" s="17"/>
      <c r="K7" s="17"/>
      <c r="L7" s="17"/>
      <c r="M7" s="17"/>
      <c r="N7" s="17"/>
      <c r="O7" s="17"/>
    </row>
    <row r="8" spans="1:15" s="22" customFormat="1" ht="15" x14ac:dyDescent="0.25">
      <c r="A8" s="430" t="s">
        <v>398</v>
      </c>
      <c r="B8" s="430"/>
      <c r="C8" s="430"/>
      <c r="D8" s="430"/>
      <c r="E8" s="430"/>
      <c r="F8" s="430"/>
      <c r="G8" s="430"/>
      <c r="H8" s="430"/>
      <c r="I8" s="31"/>
    </row>
    <row r="9" spans="1:15" s="22" customFormat="1" ht="116" x14ac:dyDescent="0.35">
      <c r="A9" s="18">
        <v>32</v>
      </c>
      <c r="B9" s="18" t="s">
        <v>216</v>
      </c>
      <c r="C9" s="20" t="s">
        <v>399</v>
      </c>
      <c r="D9" s="20" t="s">
        <v>400</v>
      </c>
      <c r="E9" s="24"/>
      <c r="F9" s="166" t="str">
        <f>CONCATENATE(Concatenation!$F$6, Concatenation!$F$7)</f>
        <v>Top Resistor: 20500
Bottom Resistor: 8250</v>
      </c>
      <c r="G9" s="166" t="s">
        <v>668</v>
      </c>
      <c r="H9" s="21" t="s">
        <v>249</v>
      </c>
      <c r="I9" s="25"/>
    </row>
    <row r="10" spans="1:15" ht="116" x14ac:dyDescent="0.35">
      <c r="A10" s="18">
        <v>29</v>
      </c>
      <c r="B10" s="18" t="s">
        <v>217</v>
      </c>
      <c r="C10" s="20" t="s">
        <v>401</v>
      </c>
      <c r="D10" s="20" t="s">
        <v>402</v>
      </c>
      <c r="E10" s="20"/>
      <c r="F10" s="166" t="str">
        <f>CONCATENATE(Concatenation!$J$6, Concatenation!$J$7)</f>
        <v>Top Resistor: Open
Bottom Resistor: 8250</v>
      </c>
      <c r="G10" s="166" t="s">
        <v>668</v>
      </c>
      <c r="H10" s="21" t="s">
        <v>249</v>
      </c>
      <c r="I10" s="32"/>
      <c r="J10" s="17"/>
      <c r="K10" s="17"/>
      <c r="L10" s="17"/>
      <c r="M10" s="17"/>
      <c r="N10" s="17"/>
      <c r="O10" s="17"/>
    </row>
    <row r="11" spans="1:15" ht="159.5" x14ac:dyDescent="0.35">
      <c r="A11" s="18">
        <v>31</v>
      </c>
      <c r="B11" s="18" t="s">
        <v>230</v>
      </c>
      <c r="C11" s="20" t="s">
        <v>403</v>
      </c>
      <c r="D11" s="20" t="s">
        <v>404</v>
      </c>
      <c r="E11" s="20"/>
      <c r="F11" s="166" t="e">
        <f>CONCATENATE(Concatenation!$N$6, Concatenation!$N$7)</f>
        <v>#N/A</v>
      </c>
      <c r="G11" s="166" t="s">
        <v>668</v>
      </c>
      <c r="H11" s="21" t="s">
        <v>249</v>
      </c>
      <c r="I11" s="32"/>
      <c r="J11" s="17"/>
      <c r="K11" s="17"/>
      <c r="L11" s="17"/>
      <c r="M11" s="17"/>
      <c r="N11" s="17"/>
      <c r="O11" s="17"/>
    </row>
    <row r="12" spans="1:15" ht="58" x14ac:dyDescent="0.35">
      <c r="A12" s="18" t="s">
        <v>405</v>
      </c>
      <c r="B12" s="20" t="s">
        <v>406</v>
      </c>
      <c r="C12" s="33"/>
      <c r="D12" s="20" t="s">
        <v>407</v>
      </c>
      <c r="E12" s="20" t="s">
        <v>408</v>
      </c>
      <c r="F12" s="166"/>
      <c r="G12" s="166"/>
      <c r="H12" s="21" t="s">
        <v>249</v>
      </c>
      <c r="I12" s="32"/>
      <c r="J12" s="17"/>
      <c r="K12" s="17"/>
      <c r="L12" s="17"/>
      <c r="M12" s="17"/>
      <c r="N12" s="17"/>
      <c r="O12" s="17"/>
    </row>
    <row r="13" spans="1:15" s="22" customFormat="1" ht="101.5" x14ac:dyDescent="0.35">
      <c r="A13" s="18">
        <v>34</v>
      </c>
      <c r="B13" s="20" t="s">
        <v>409</v>
      </c>
      <c r="C13" s="20" t="s">
        <v>410</v>
      </c>
      <c r="D13" s="24" t="s">
        <v>411</v>
      </c>
      <c r="E13" s="24" t="s">
        <v>412</v>
      </c>
      <c r="F13" s="167"/>
      <c r="G13" s="167"/>
      <c r="H13" s="21" t="s">
        <v>545</v>
      </c>
      <c r="I13" s="25"/>
    </row>
    <row r="14" spans="1:15" s="22" customFormat="1" ht="101.5" x14ac:dyDescent="0.35">
      <c r="A14" s="18">
        <v>34</v>
      </c>
      <c r="B14" s="18" t="s">
        <v>409</v>
      </c>
      <c r="C14" s="20" t="s">
        <v>410</v>
      </c>
      <c r="D14" s="24" t="s">
        <v>413</v>
      </c>
      <c r="E14" s="24"/>
      <c r="F14" s="168"/>
      <c r="G14" s="168"/>
      <c r="H14" s="21" t="s">
        <v>545</v>
      </c>
      <c r="I14" s="25"/>
    </row>
    <row r="15" spans="1:15" s="22" customFormat="1" ht="30" customHeight="1" x14ac:dyDescent="0.35">
      <c r="A15" s="18">
        <v>35</v>
      </c>
      <c r="B15" s="20" t="s">
        <v>414</v>
      </c>
      <c r="C15" s="20" t="s">
        <v>415</v>
      </c>
      <c r="D15" s="24" t="s">
        <v>416</v>
      </c>
      <c r="E15" s="24"/>
      <c r="F15" s="167"/>
      <c r="G15" s="167"/>
      <c r="H15" s="21" t="s">
        <v>545</v>
      </c>
      <c r="I15" s="25"/>
    </row>
    <row r="16" spans="1:15" s="22" customFormat="1" ht="43.5" x14ac:dyDescent="0.35">
      <c r="A16" s="18">
        <v>35</v>
      </c>
      <c r="B16" s="20" t="s">
        <v>414</v>
      </c>
      <c r="C16" s="20" t="s">
        <v>415</v>
      </c>
      <c r="D16" s="24" t="s">
        <v>417</v>
      </c>
      <c r="E16" s="24" t="s">
        <v>418</v>
      </c>
      <c r="F16" s="167"/>
      <c r="G16" s="167"/>
      <c r="H16" s="21" t="s">
        <v>546</v>
      </c>
      <c r="I16" s="25"/>
    </row>
    <row r="17" spans="1:15" s="22" customFormat="1" ht="43.5" x14ac:dyDescent="0.35">
      <c r="A17" s="18">
        <v>27</v>
      </c>
      <c r="B17" s="20" t="s">
        <v>419</v>
      </c>
      <c r="C17" s="20" t="s">
        <v>420</v>
      </c>
      <c r="D17" s="24" t="s">
        <v>421</v>
      </c>
      <c r="E17" s="24"/>
      <c r="F17" s="167"/>
      <c r="G17" s="167"/>
      <c r="H17" s="21" t="s">
        <v>545</v>
      </c>
      <c r="I17" s="25"/>
    </row>
    <row r="18" spans="1:15" s="22" customFormat="1" ht="58" x14ac:dyDescent="0.35">
      <c r="A18" s="18">
        <v>27</v>
      </c>
      <c r="B18" s="20" t="s">
        <v>419</v>
      </c>
      <c r="C18" s="20" t="s">
        <v>420</v>
      </c>
      <c r="D18" s="24" t="s">
        <v>422</v>
      </c>
      <c r="E18" s="24"/>
      <c r="F18" s="167"/>
      <c r="G18" s="167"/>
      <c r="H18" s="21" t="s">
        <v>546</v>
      </c>
      <c r="I18" s="25"/>
    </row>
    <row r="19" spans="1:15" s="22" customFormat="1" ht="29" x14ac:dyDescent="0.35">
      <c r="A19" s="18">
        <v>1</v>
      </c>
      <c r="B19" s="20" t="s">
        <v>423</v>
      </c>
      <c r="C19" s="20" t="s">
        <v>424</v>
      </c>
      <c r="D19" s="24" t="s">
        <v>425</v>
      </c>
      <c r="E19" s="24" t="s">
        <v>426</v>
      </c>
      <c r="F19" s="167"/>
      <c r="G19" s="167"/>
      <c r="H19" s="21" t="s">
        <v>545</v>
      </c>
      <c r="I19" s="25"/>
    </row>
    <row r="20" spans="1:15" s="22" customFormat="1" ht="29" x14ac:dyDescent="0.35">
      <c r="A20" s="18">
        <v>38</v>
      </c>
      <c r="B20" s="20" t="s">
        <v>427</v>
      </c>
      <c r="C20" s="20" t="s">
        <v>428</v>
      </c>
      <c r="D20" s="24" t="s">
        <v>429</v>
      </c>
      <c r="E20" s="24"/>
      <c r="F20" s="167"/>
      <c r="G20" s="167"/>
      <c r="H20" s="21" t="s">
        <v>545</v>
      </c>
      <c r="I20" s="25"/>
    </row>
    <row r="21" spans="1:15" s="22" customFormat="1" ht="72.5" x14ac:dyDescent="0.35">
      <c r="A21" s="18" t="s">
        <v>430</v>
      </c>
      <c r="B21" s="20" t="s">
        <v>431</v>
      </c>
      <c r="C21" s="20" t="s">
        <v>432</v>
      </c>
      <c r="D21" s="24" t="s">
        <v>678</v>
      </c>
      <c r="E21" s="24"/>
      <c r="F21" s="167"/>
      <c r="G21" s="167"/>
      <c r="H21" s="21" t="s">
        <v>545</v>
      </c>
      <c r="I21" s="25"/>
    </row>
    <row r="22" spans="1:15" s="22" customFormat="1" x14ac:dyDescent="0.35">
      <c r="A22" s="26"/>
      <c r="B22" s="26"/>
      <c r="C22" s="27"/>
      <c r="D22" s="27"/>
      <c r="E22" s="27"/>
      <c r="F22" s="34"/>
      <c r="G22" s="34"/>
      <c r="H22" s="30"/>
      <c r="I22" s="31"/>
      <c r="M22" s="35"/>
    </row>
    <row r="23" spans="1:15" s="22" customFormat="1" x14ac:dyDescent="0.35">
      <c r="A23" s="26"/>
      <c r="B23" s="26"/>
      <c r="C23" s="27"/>
      <c r="D23" s="27"/>
      <c r="E23" s="27"/>
      <c r="F23" s="34"/>
      <c r="G23" s="34"/>
      <c r="H23" s="36"/>
      <c r="I23" s="31"/>
      <c r="M23" s="35"/>
    </row>
    <row r="24" spans="1:15" s="22" customFormat="1" x14ac:dyDescent="0.35">
      <c r="A24" s="430" t="s">
        <v>433</v>
      </c>
      <c r="B24" s="430"/>
      <c r="C24" s="430"/>
      <c r="D24" s="430"/>
      <c r="E24" s="430"/>
      <c r="F24" s="430"/>
      <c r="G24" s="430"/>
      <c r="H24" s="430"/>
      <c r="I24" s="31"/>
    </row>
    <row r="25" spans="1:15" s="22" customFormat="1" ht="43.5" x14ac:dyDescent="0.35">
      <c r="A25" s="20">
        <v>7</v>
      </c>
      <c r="B25" s="20" t="s">
        <v>434</v>
      </c>
      <c r="C25" s="19" t="s">
        <v>435</v>
      </c>
      <c r="D25" s="20" t="s">
        <v>436</v>
      </c>
      <c r="E25" s="24"/>
      <c r="F25" s="167"/>
      <c r="G25" s="167"/>
      <c r="H25" s="21" t="s">
        <v>545</v>
      </c>
      <c r="I25" s="25"/>
    </row>
    <row r="26" spans="1:15" s="22" customFormat="1" ht="43.5" x14ac:dyDescent="0.35">
      <c r="A26" s="20">
        <v>7</v>
      </c>
      <c r="B26" s="20" t="s">
        <v>434</v>
      </c>
      <c r="C26" s="19" t="s">
        <v>435</v>
      </c>
      <c r="D26" s="24" t="s">
        <v>437</v>
      </c>
      <c r="E26" s="24" t="s">
        <v>438</v>
      </c>
      <c r="F26" s="167"/>
      <c r="G26" s="167"/>
      <c r="H26" s="21" t="s">
        <v>545</v>
      </c>
      <c r="I26" s="25"/>
    </row>
    <row r="27" spans="1:15" s="22" customFormat="1" ht="43.5" x14ac:dyDescent="0.35">
      <c r="A27" s="20" t="s">
        <v>439</v>
      </c>
      <c r="B27" s="20" t="s">
        <v>440</v>
      </c>
      <c r="C27" s="24" t="s">
        <v>441</v>
      </c>
      <c r="D27" s="24" t="s">
        <v>442</v>
      </c>
      <c r="E27" s="24" t="s">
        <v>443</v>
      </c>
      <c r="F27" s="37"/>
      <c r="G27" s="37"/>
      <c r="H27" s="21" t="s">
        <v>545</v>
      </c>
      <c r="I27" s="25"/>
    </row>
    <row r="28" spans="1:15" ht="174" x14ac:dyDescent="0.35">
      <c r="A28" s="20" t="s">
        <v>444</v>
      </c>
      <c r="B28" s="20" t="s">
        <v>445</v>
      </c>
      <c r="C28" s="24" t="s">
        <v>446</v>
      </c>
      <c r="D28" s="24" t="s">
        <v>447</v>
      </c>
      <c r="E28" s="24" t="s">
        <v>448</v>
      </c>
      <c r="F28" s="42">
        <f>ROUND('Device Calculator'!D60, 3)</f>
        <v>85.128</v>
      </c>
      <c r="G28" s="167" t="s">
        <v>40</v>
      </c>
      <c r="H28" s="21" t="s">
        <v>545</v>
      </c>
      <c r="I28" s="25"/>
      <c r="J28" s="17"/>
      <c r="K28" s="17"/>
      <c r="L28" s="17"/>
      <c r="M28" s="17"/>
      <c r="N28" s="17"/>
      <c r="O28" s="17"/>
    </row>
    <row r="29" spans="1:15" ht="58" x14ac:dyDescent="0.35">
      <c r="A29" s="20" t="s">
        <v>444</v>
      </c>
      <c r="B29" s="20" t="s">
        <v>445</v>
      </c>
      <c r="C29" s="24" t="s">
        <v>446</v>
      </c>
      <c r="D29" s="24" t="s">
        <v>449</v>
      </c>
      <c r="E29" s="24" t="s">
        <v>450</v>
      </c>
      <c r="F29" s="167"/>
      <c r="G29" s="167"/>
      <c r="H29" s="21" t="s">
        <v>545</v>
      </c>
      <c r="I29" s="25"/>
      <c r="J29" s="17"/>
      <c r="K29" s="17"/>
      <c r="L29" s="17"/>
      <c r="M29" s="17"/>
      <c r="N29" s="17"/>
      <c r="O29" s="17"/>
    </row>
    <row r="30" spans="1:15" ht="58" x14ac:dyDescent="0.35">
      <c r="A30" s="20">
        <v>26</v>
      </c>
      <c r="B30" s="20" t="s">
        <v>451</v>
      </c>
      <c r="C30" s="24" t="s">
        <v>452</v>
      </c>
      <c r="D30" s="24" t="s">
        <v>453</v>
      </c>
      <c r="E30" s="24" t="s">
        <v>454</v>
      </c>
      <c r="F30" s="167"/>
      <c r="G30" s="167"/>
      <c r="H30" s="21" t="s">
        <v>545</v>
      </c>
      <c r="I30" s="25"/>
      <c r="J30" s="17"/>
      <c r="K30" s="17"/>
      <c r="L30" s="17"/>
      <c r="M30" s="17"/>
      <c r="N30" s="17"/>
      <c r="O30" s="17"/>
    </row>
    <row r="31" spans="1:15" ht="43.5" x14ac:dyDescent="0.35">
      <c r="A31" s="20">
        <v>26</v>
      </c>
      <c r="B31" s="20" t="s">
        <v>451</v>
      </c>
      <c r="C31" s="24" t="s">
        <v>452</v>
      </c>
      <c r="D31" s="24" t="s">
        <v>455</v>
      </c>
      <c r="E31" s="24" t="s">
        <v>456</v>
      </c>
      <c r="F31" s="167"/>
      <c r="G31" s="167"/>
      <c r="H31" s="21" t="s">
        <v>545</v>
      </c>
      <c r="I31" s="25"/>
      <c r="J31" s="17"/>
      <c r="K31" s="17"/>
      <c r="L31" s="17"/>
      <c r="M31" s="17"/>
      <c r="N31" s="17"/>
      <c r="O31" s="17"/>
    </row>
    <row r="32" spans="1:15" ht="58" x14ac:dyDescent="0.35">
      <c r="A32" s="20" t="s">
        <v>222</v>
      </c>
      <c r="B32" s="20" t="s">
        <v>457</v>
      </c>
      <c r="C32" s="24" t="s">
        <v>458</v>
      </c>
      <c r="D32" s="24" t="s">
        <v>459</v>
      </c>
      <c r="E32" s="24"/>
      <c r="F32" s="169" t="str">
        <f>CONCATENATE(Concatenation!$R$7, Concatenation!$R$6)</f>
        <v>Minimum: 0.739
Maximum: 2.956</v>
      </c>
      <c r="G32" s="167" t="s">
        <v>41</v>
      </c>
      <c r="H32" s="21" t="s">
        <v>545</v>
      </c>
      <c r="I32" s="25"/>
      <c r="J32" s="17"/>
      <c r="K32" s="17"/>
      <c r="L32" s="17"/>
      <c r="M32" s="17"/>
      <c r="N32" s="17"/>
      <c r="O32" s="17"/>
    </row>
    <row r="33" spans="1:15" ht="43.5" x14ac:dyDescent="0.35">
      <c r="A33" s="38" t="s">
        <v>222</v>
      </c>
      <c r="B33" s="20" t="s">
        <v>460</v>
      </c>
      <c r="C33" s="24" t="s">
        <v>461</v>
      </c>
      <c r="D33" s="24" t="s">
        <v>462</v>
      </c>
      <c r="E33" s="24"/>
      <c r="F33" s="168">
        <f>MAX('Device Calculator'!D33:D35)</f>
        <v>368.75566054656025</v>
      </c>
      <c r="G33" s="167" t="s">
        <v>40</v>
      </c>
      <c r="H33" s="21" t="s">
        <v>545</v>
      </c>
      <c r="I33" s="25"/>
      <c r="J33" s="17"/>
      <c r="K33" s="17"/>
      <c r="L33" s="17"/>
      <c r="M33" s="17"/>
      <c r="N33" s="17"/>
      <c r="O33" s="17"/>
    </row>
    <row r="34" spans="1:15" ht="29" x14ac:dyDescent="0.35">
      <c r="A34" s="38">
        <v>37</v>
      </c>
      <c r="B34" s="20" t="s">
        <v>463</v>
      </c>
      <c r="C34" s="24" t="s">
        <v>464</v>
      </c>
      <c r="D34" s="24" t="s">
        <v>465</v>
      </c>
      <c r="E34" s="24" t="s">
        <v>466</v>
      </c>
      <c r="F34" s="167"/>
      <c r="G34" s="167"/>
      <c r="H34" s="21" t="s">
        <v>249</v>
      </c>
      <c r="I34" s="25"/>
      <c r="J34" s="17"/>
      <c r="K34" s="17"/>
      <c r="L34" s="17"/>
      <c r="M34" s="17"/>
      <c r="N34" s="17"/>
      <c r="O34" s="17"/>
    </row>
    <row r="35" spans="1:15" ht="29" x14ac:dyDescent="0.35">
      <c r="A35" s="24" t="s">
        <v>467</v>
      </c>
      <c r="B35" s="20" t="s">
        <v>468</v>
      </c>
      <c r="C35" s="24" t="s">
        <v>469</v>
      </c>
      <c r="D35" s="39"/>
      <c r="E35" s="24"/>
      <c r="F35" s="167"/>
      <c r="G35" s="167"/>
      <c r="H35" s="21" t="s">
        <v>545</v>
      </c>
      <c r="I35" s="25"/>
      <c r="J35" s="17"/>
      <c r="K35" s="17"/>
      <c r="L35" s="17"/>
      <c r="M35" s="17"/>
      <c r="N35" s="17"/>
      <c r="O35" s="17"/>
    </row>
    <row r="36" spans="1:15" x14ac:dyDescent="0.35">
      <c r="A36" s="26"/>
      <c r="B36" s="26"/>
      <c r="C36" s="27"/>
      <c r="D36" s="27"/>
      <c r="E36" s="27"/>
      <c r="F36" s="34"/>
      <c r="G36" s="34"/>
      <c r="H36" s="30"/>
      <c r="J36" s="17"/>
      <c r="K36" s="17"/>
      <c r="L36" s="17"/>
      <c r="M36" s="17"/>
      <c r="N36" s="17"/>
      <c r="O36" s="17"/>
    </row>
    <row r="37" spans="1:15" x14ac:dyDescent="0.35">
      <c r="A37" s="26"/>
      <c r="B37" s="26"/>
      <c r="C37" s="27"/>
      <c r="D37" s="27"/>
      <c r="E37" s="27"/>
      <c r="F37" s="34"/>
      <c r="G37" s="34"/>
      <c r="H37" s="34"/>
      <c r="I37" s="16"/>
      <c r="J37" s="17"/>
      <c r="K37" s="17"/>
      <c r="L37" s="17"/>
      <c r="M37" s="17"/>
      <c r="N37" s="17"/>
      <c r="O37" s="17"/>
    </row>
    <row r="38" spans="1:15" x14ac:dyDescent="0.35">
      <c r="A38" s="430" t="s">
        <v>470</v>
      </c>
      <c r="B38" s="430"/>
      <c r="C38" s="430"/>
      <c r="D38" s="430"/>
      <c r="E38" s="430"/>
      <c r="F38" s="430"/>
      <c r="G38" s="430"/>
      <c r="H38" s="430"/>
      <c r="I38" s="16"/>
      <c r="J38" s="17"/>
      <c r="K38" s="17"/>
      <c r="L38" s="17"/>
      <c r="M38" s="17"/>
      <c r="N38" s="17"/>
      <c r="O38" s="17"/>
    </row>
    <row r="39" spans="1:15" ht="29" x14ac:dyDescent="0.35">
      <c r="A39" s="20">
        <v>4</v>
      </c>
      <c r="B39" s="20" t="s">
        <v>471</v>
      </c>
      <c r="C39" s="19" t="s">
        <v>472</v>
      </c>
      <c r="D39" s="24" t="s">
        <v>473</v>
      </c>
      <c r="E39" s="24" t="s">
        <v>474</v>
      </c>
      <c r="F39" s="167"/>
      <c r="G39" s="167"/>
      <c r="H39" s="21" t="s">
        <v>545</v>
      </c>
      <c r="I39" s="14"/>
      <c r="J39" s="17"/>
      <c r="K39" s="17"/>
      <c r="L39" s="17"/>
      <c r="M39" s="17"/>
      <c r="N39" s="17"/>
      <c r="O39" s="17"/>
    </row>
    <row r="40" spans="1:15" ht="58" x14ac:dyDescent="0.35">
      <c r="A40" s="20">
        <v>5</v>
      </c>
      <c r="B40" s="20" t="s">
        <v>475</v>
      </c>
      <c r="C40" s="40" t="s">
        <v>476</v>
      </c>
      <c r="D40" s="24" t="s">
        <v>477</v>
      </c>
      <c r="E40" s="24" t="s">
        <v>478</v>
      </c>
      <c r="F40" s="167"/>
      <c r="G40" s="167"/>
      <c r="H40" s="21" t="s">
        <v>545</v>
      </c>
      <c r="I40" s="14"/>
      <c r="J40" s="17"/>
      <c r="K40" s="17"/>
      <c r="L40" s="17"/>
      <c r="M40" s="17"/>
      <c r="N40" s="17"/>
      <c r="O40" s="17"/>
    </row>
    <row r="41" spans="1:15" ht="43.5" x14ac:dyDescent="0.35">
      <c r="A41" s="20">
        <v>28</v>
      </c>
      <c r="B41" s="20" t="s">
        <v>479</v>
      </c>
      <c r="C41" s="40" t="s">
        <v>480</v>
      </c>
      <c r="D41" s="24" t="s">
        <v>481</v>
      </c>
      <c r="E41" s="24" t="s">
        <v>482</v>
      </c>
      <c r="F41" s="167"/>
      <c r="G41" s="167"/>
      <c r="H41" s="21" t="s">
        <v>545</v>
      </c>
      <c r="I41" s="14"/>
      <c r="J41" s="17"/>
      <c r="K41" s="17"/>
      <c r="L41" s="17"/>
      <c r="M41" s="17"/>
      <c r="N41" s="17"/>
      <c r="O41" s="17"/>
    </row>
    <row r="42" spans="1:15" ht="29" x14ac:dyDescent="0.35">
      <c r="A42" s="20">
        <v>28</v>
      </c>
      <c r="B42" s="20" t="s">
        <v>479</v>
      </c>
      <c r="C42" s="40" t="s">
        <v>480</v>
      </c>
      <c r="D42" s="24" t="s">
        <v>483</v>
      </c>
      <c r="E42" s="24"/>
      <c r="F42" s="167"/>
      <c r="G42" s="167"/>
      <c r="H42" s="21" t="s">
        <v>545</v>
      </c>
      <c r="I42" s="14"/>
      <c r="J42" s="17"/>
      <c r="K42" s="17"/>
      <c r="L42" s="17"/>
      <c r="M42" s="17"/>
      <c r="N42" s="17"/>
      <c r="O42" s="17"/>
    </row>
    <row r="43" spans="1:15" x14ac:dyDescent="0.35">
      <c r="H43" s="30"/>
      <c r="I43" s="16"/>
      <c r="J43" s="17"/>
      <c r="K43" s="17"/>
      <c r="L43" s="17"/>
      <c r="M43" s="17"/>
      <c r="N43" s="17"/>
      <c r="O43" s="17"/>
    </row>
    <row r="44" spans="1:15" x14ac:dyDescent="0.35">
      <c r="H44" s="30"/>
      <c r="I44" s="16"/>
      <c r="J44" s="17"/>
      <c r="K44" s="17"/>
      <c r="L44" s="17"/>
      <c r="M44" s="17"/>
      <c r="N44" s="17"/>
      <c r="O44" s="17"/>
    </row>
    <row r="45" spans="1:15" x14ac:dyDescent="0.35">
      <c r="A45" s="430" t="s">
        <v>484</v>
      </c>
      <c r="B45" s="430"/>
      <c r="C45" s="430"/>
      <c r="D45" s="430"/>
      <c r="E45" s="430"/>
      <c r="F45" s="430"/>
      <c r="G45" s="430"/>
      <c r="H45" s="430"/>
      <c r="I45" s="16"/>
      <c r="J45" s="17"/>
      <c r="K45" s="17"/>
      <c r="L45" s="17"/>
      <c r="M45" s="17"/>
      <c r="N45" s="17"/>
      <c r="O45" s="17"/>
    </row>
    <row r="46" spans="1:15" ht="29" x14ac:dyDescent="0.35">
      <c r="A46" s="20">
        <v>3</v>
      </c>
      <c r="B46" s="18" t="s">
        <v>485</v>
      </c>
      <c r="C46" s="20" t="s">
        <v>486</v>
      </c>
      <c r="D46" s="324" t="s">
        <v>487</v>
      </c>
      <c r="E46" s="20"/>
      <c r="F46" s="167"/>
      <c r="G46" s="167"/>
      <c r="H46" s="21" t="s">
        <v>249</v>
      </c>
      <c r="I46" s="15"/>
      <c r="J46" s="17"/>
      <c r="K46" s="17"/>
      <c r="L46" s="17"/>
      <c r="M46" s="17"/>
      <c r="N46" s="17"/>
      <c r="O46" s="17"/>
    </row>
    <row r="47" spans="1:15" ht="29" x14ac:dyDescent="0.35">
      <c r="A47" s="20">
        <v>2</v>
      </c>
      <c r="B47" s="18" t="s">
        <v>488</v>
      </c>
      <c r="C47" s="20" t="s">
        <v>489</v>
      </c>
      <c r="D47" s="324" t="s">
        <v>487</v>
      </c>
      <c r="E47" s="20"/>
      <c r="F47" s="167"/>
      <c r="G47" s="167"/>
      <c r="H47" s="21" t="s">
        <v>249</v>
      </c>
      <c r="I47" s="15"/>
      <c r="J47" s="17"/>
      <c r="K47" s="17"/>
      <c r="L47" s="17"/>
      <c r="M47" s="17"/>
      <c r="N47" s="17"/>
      <c r="O47" s="17"/>
    </row>
    <row r="48" spans="1:15" ht="29" x14ac:dyDescent="0.35">
      <c r="A48" s="20">
        <v>6</v>
      </c>
      <c r="B48" s="18" t="s">
        <v>490</v>
      </c>
      <c r="C48" s="20" t="s">
        <v>491</v>
      </c>
      <c r="D48" s="324" t="s">
        <v>487</v>
      </c>
      <c r="E48" s="20"/>
      <c r="F48" s="167"/>
      <c r="G48" s="167"/>
      <c r="H48" s="21" t="s">
        <v>249</v>
      </c>
      <c r="I48" s="15"/>
      <c r="J48" s="17"/>
      <c r="K48" s="17"/>
      <c r="L48" s="17"/>
      <c r="M48" s="17"/>
      <c r="N48" s="17"/>
      <c r="O48" s="17"/>
    </row>
    <row r="49" spans="1:15" s="325" customFormat="1" ht="12.75" customHeight="1" x14ac:dyDescent="0.35"/>
    <row r="50" spans="1:15" s="325" customFormat="1" ht="12.75" customHeight="1" x14ac:dyDescent="0.35"/>
    <row r="51" spans="1:15" ht="12.75" customHeight="1" x14ac:dyDescent="0.35">
      <c r="A51" s="430" t="s">
        <v>492</v>
      </c>
      <c r="B51" s="430"/>
      <c r="C51" s="430"/>
      <c r="D51" s="430"/>
      <c r="E51" s="430"/>
      <c r="F51" s="430"/>
      <c r="G51" s="430"/>
      <c r="H51" s="430"/>
      <c r="I51" s="17"/>
      <c r="J51" s="17"/>
      <c r="K51" s="17"/>
      <c r="L51" s="17"/>
      <c r="M51" s="17"/>
      <c r="N51" s="17"/>
      <c r="O51" s="17"/>
    </row>
    <row r="52" spans="1:15" ht="29" x14ac:dyDescent="0.35">
      <c r="A52" s="20">
        <v>36</v>
      </c>
      <c r="B52" s="20" t="s">
        <v>493</v>
      </c>
      <c r="C52" s="24" t="s">
        <v>494</v>
      </c>
      <c r="D52" s="24" t="s">
        <v>495</v>
      </c>
      <c r="E52" s="24"/>
      <c r="F52" s="167"/>
      <c r="G52" s="167"/>
      <c r="H52" s="21" t="s">
        <v>545</v>
      </c>
      <c r="I52" s="15"/>
      <c r="J52" s="17"/>
      <c r="K52" s="17"/>
      <c r="L52" s="17"/>
      <c r="M52" s="17"/>
      <c r="N52" s="17"/>
      <c r="O52" s="17"/>
    </row>
    <row r="53" spans="1:15" x14ac:dyDescent="0.35">
      <c r="H53" s="29"/>
      <c r="I53" s="22"/>
      <c r="O53" s="17"/>
    </row>
    <row r="54" spans="1:15" x14ac:dyDescent="0.35">
      <c r="H54" s="29"/>
      <c r="I54" s="22"/>
      <c r="O54" s="17"/>
    </row>
    <row r="55" spans="1:15" x14ac:dyDescent="0.35">
      <c r="H55" s="34"/>
      <c r="I55" s="22"/>
      <c r="O55" s="17"/>
    </row>
    <row r="56" spans="1:15" x14ac:dyDescent="0.35">
      <c r="H56" s="34"/>
      <c r="I56" s="22"/>
      <c r="O56" s="17"/>
    </row>
    <row r="57" spans="1:15" x14ac:dyDescent="0.35">
      <c r="H57" s="34"/>
      <c r="I57" s="22"/>
      <c r="O57" s="17"/>
    </row>
    <row r="58" spans="1:15" x14ac:dyDescent="0.35">
      <c r="H58" s="34"/>
      <c r="I58" s="22"/>
      <c r="O58" s="17"/>
    </row>
    <row r="59" spans="1:15" x14ac:dyDescent="0.35">
      <c r="H59" s="34"/>
      <c r="I59" s="22"/>
      <c r="O59" s="17"/>
    </row>
    <row r="60" spans="1:15" x14ac:dyDescent="0.35">
      <c r="H60" s="34"/>
      <c r="I60" s="22"/>
      <c r="O60" s="17"/>
    </row>
    <row r="61" spans="1:15" x14ac:dyDescent="0.35">
      <c r="H61" s="34"/>
      <c r="I61" s="22"/>
      <c r="O61" s="17"/>
    </row>
    <row r="62" spans="1:15" x14ac:dyDescent="0.35">
      <c r="H62" s="34"/>
    </row>
    <row r="63" spans="1:15" x14ac:dyDescent="0.35">
      <c r="H63" s="34"/>
    </row>
  </sheetData>
  <autoFilter ref="A1:O61"/>
  <mergeCells count="6">
    <mergeCell ref="A51:H51"/>
    <mergeCell ref="A2:H2"/>
    <mergeCell ref="A8:H8"/>
    <mergeCell ref="A24:H24"/>
    <mergeCell ref="A38:H38"/>
    <mergeCell ref="A45:H45"/>
  </mergeCells>
  <hyperlinks>
    <hyperlink ref="D46" r:id="rId1"/>
    <hyperlink ref="D47" r:id="rId2"/>
    <hyperlink ref="D48" r:id="rId3"/>
  </hyperlinks>
  <pageMargins left="0.7" right="0.7" top="0.75" bottom="0.75" header="0.3" footer="0.3"/>
  <pageSetup scale="55" fitToHeight="0" orientation="landscape" r:id="rId4"/>
  <legacyDrawing r:id="rId5"/>
  <extLst>
    <ext xmlns:x14="http://schemas.microsoft.com/office/spreadsheetml/2009/9/main" uri="{78C0D931-6437-407d-A8EE-F0AAD7539E65}">
      <x14:conditionalFormattings>
        <x14:conditionalFormatting xmlns:xm="http://schemas.microsoft.com/office/excel/2006/main">
          <x14:cfRule type="cellIs" priority="13" operator="equal" id="{C75E5A23-7931-40D1-8D7D-37C345CFB6A7}">
            <xm:f>'C:\Users\a0270547\AppData\Local\Microsoft\Windows\INetCache\Content.MSO\[TPS546x24A_Calculator_Checklist.xlsx]Extra'!#REF!</xm:f>
            <x14:dxf>
              <fill>
                <patternFill>
                  <bgColor theme="0" tint="-0.14996795556505021"/>
                </patternFill>
              </fill>
            </x14:dxf>
          </x14:cfRule>
          <x14:cfRule type="cellIs" priority="14" operator="equal" id="{C5C3F024-AF9A-4185-855A-A135FB9A061C}">
            <xm:f>'C:\Users\a0270547\AppData\Local\Microsoft\Windows\INetCache\Content.MSO\[TPS546x24A_Calculator_Checklist.xlsx]Extra'!#REF!</xm:f>
            <x14:dxf>
              <fill>
                <patternFill>
                  <bgColor theme="6"/>
                </patternFill>
              </fill>
            </x14:dxf>
          </x14:cfRule>
          <xm:sqref>H51</xm:sqref>
        </x14:conditionalFormatting>
        <x14:conditionalFormatting xmlns:xm="http://schemas.microsoft.com/office/excel/2006/main">
          <x14:cfRule type="cellIs" priority="21" operator="equal" id="{07D99C51-85E7-4AFC-842B-33DAFB341887}">
            <xm:f>Extra!$B$5</xm:f>
            <x14:dxf>
              <fill>
                <patternFill>
                  <bgColor theme="0" tint="-0.14996795556505021"/>
                </patternFill>
              </fill>
            </x14:dxf>
          </x14:cfRule>
          <x14:cfRule type="cellIs" priority="22" operator="equal" id="{9EA88FD4-FE65-4F84-99AB-61610925DCF2}">
            <xm:f>Extra!$B$4</xm:f>
            <x14:dxf>
              <fill>
                <patternFill>
                  <bgColor theme="6"/>
                </patternFill>
              </fill>
            </x14:dxf>
          </x14:cfRule>
          <xm:sqref>H1:H1048576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[2]Extra!#REF!</xm:f>
          </x14:formula1>
          <xm:sqref>H23 H45 H7:H8 H37:H38 H51</xm:sqref>
        </x14:dataValidation>
        <x14:dataValidation type="list" allowBlank="1" showInputMessage="1" showErrorMessage="1">
          <x14:formula1>
            <xm:f>Extra!$B$3:$B$5</xm:f>
          </x14:formula1>
          <xm:sqref>H3:H5 H9:H21 H25:H35 H39:H42 H46:H48 H52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2"/>
  <sheetViews>
    <sheetView zoomScale="80" zoomScaleNormal="80" workbookViewId="0">
      <pane ySplit="1" topLeftCell="A2" activePane="bottomLeft" state="frozen"/>
      <selection pane="bottomLeft" activeCell="G3" sqref="G3"/>
    </sheetView>
  </sheetViews>
  <sheetFormatPr defaultColWidth="9.1796875" defaultRowHeight="14.5" x14ac:dyDescent="0.35"/>
  <cols>
    <col min="1" max="1" width="15.26953125" style="51" customWidth="1"/>
    <col min="2" max="2" width="12.7265625" style="51" bestFit="1" customWidth="1"/>
    <col min="3" max="4" width="19.26953125" style="51" customWidth="1"/>
    <col min="5" max="5" width="57.1796875" style="51" customWidth="1"/>
    <col min="6" max="6" width="44" style="51" customWidth="1"/>
    <col min="7" max="7" width="14" style="43" bestFit="1" customWidth="1"/>
    <col min="8" max="8" width="24.26953125" style="52" customWidth="1"/>
    <col min="9" max="9" width="9.1796875" style="47"/>
    <col min="10" max="10" width="18.7265625" style="47" customWidth="1"/>
    <col min="11" max="14" width="9.1796875" style="47"/>
    <col min="15" max="16384" width="9.1796875" style="44"/>
  </cols>
  <sheetData>
    <row r="1" spans="1:14" ht="28.5" customHeight="1" x14ac:dyDescent="0.25">
      <c r="A1" s="323" t="s">
        <v>209</v>
      </c>
      <c r="B1" s="323" t="s">
        <v>309</v>
      </c>
      <c r="C1" s="323" t="s">
        <v>383</v>
      </c>
      <c r="D1" s="323" t="s">
        <v>496</v>
      </c>
      <c r="E1" s="323" t="s">
        <v>497</v>
      </c>
      <c r="F1" s="323" t="s">
        <v>385</v>
      </c>
      <c r="G1" s="323" t="s">
        <v>388</v>
      </c>
      <c r="H1" s="50" t="s">
        <v>389</v>
      </c>
      <c r="I1" s="44"/>
      <c r="J1" s="44"/>
      <c r="K1" s="44"/>
      <c r="L1" s="44"/>
      <c r="M1" s="44"/>
      <c r="N1" s="44"/>
    </row>
    <row r="2" spans="1:14" ht="15" x14ac:dyDescent="0.25">
      <c r="A2" s="434" t="s">
        <v>398</v>
      </c>
      <c r="B2" s="435"/>
      <c r="C2" s="435"/>
      <c r="D2" s="435"/>
      <c r="E2" s="435"/>
      <c r="F2" s="435"/>
      <c r="G2" s="436"/>
      <c r="H2" s="44"/>
      <c r="I2" s="44"/>
      <c r="J2" s="44"/>
      <c r="K2" s="44"/>
      <c r="L2" s="44"/>
      <c r="M2" s="44"/>
      <c r="N2" s="44"/>
    </row>
    <row r="3" spans="1:14" ht="150" x14ac:dyDescent="0.25">
      <c r="A3" s="20" t="s">
        <v>498</v>
      </c>
      <c r="B3" s="20" t="s">
        <v>499</v>
      </c>
      <c r="C3" s="20"/>
      <c r="D3" s="20" t="s">
        <v>500</v>
      </c>
      <c r="E3" s="20" t="s">
        <v>501</v>
      </c>
      <c r="F3" s="20"/>
      <c r="G3" s="21" t="s">
        <v>249</v>
      </c>
      <c r="H3" s="45"/>
      <c r="I3" s="46"/>
      <c r="J3" s="46"/>
      <c r="K3" s="44"/>
      <c r="L3" s="44"/>
      <c r="M3" s="44"/>
      <c r="N3" s="44"/>
    </row>
    <row r="4" spans="1:14" ht="75" x14ac:dyDescent="0.25">
      <c r="A4" s="18" t="s">
        <v>502</v>
      </c>
      <c r="B4" s="20" t="s">
        <v>503</v>
      </c>
      <c r="C4" s="20"/>
      <c r="D4" s="20" t="s">
        <v>504</v>
      </c>
      <c r="E4" s="20" t="s">
        <v>505</v>
      </c>
      <c r="F4" s="20"/>
      <c r="G4" s="21" t="s">
        <v>249</v>
      </c>
      <c r="H4" s="45"/>
      <c r="K4" s="44"/>
      <c r="L4" s="44"/>
      <c r="M4" s="44"/>
      <c r="N4" s="44"/>
    </row>
    <row r="5" spans="1:14" ht="105" x14ac:dyDescent="0.25">
      <c r="A5" s="18" t="s">
        <v>506</v>
      </c>
      <c r="B5" s="20" t="s">
        <v>507</v>
      </c>
      <c r="C5" s="20"/>
      <c r="D5" s="20" t="s">
        <v>504</v>
      </c>
      <c r="E5" s="20" t="s">
        <v>508</v>
      </c>
      <c r="F5" s="20"/>
      <c r="G5" s="21" t="s">
        <v>249</v>
      </c>
      <c r="H5" s="45"/>
      <c r="I5" s="44"/>
      <c r="J5" s="44"/>
      <c r="K5" s="44"/>
      <c r="L5" s="44"/>
      <c r="M5" s="44"/>
      <c r="N5" s="44"/>
    </row>
    <row r="6" spans="1:14" s="46" customFormat="1" ht="15" x14ac:dyDescent="0.25">
      <c r="A6" s="48"/>
      <c r="B6" s="48"/>
      <c r="C6" s="49"/>
      <c r="D6" s="49"/>
      <c r="E6" s="48"/>
      <c r="F6" s="49"/>
      <c r="G6" s="36"/>
      <c r="H6" s="50"/>
      <c r="I6" s="44"/>
      <c r="J6" s="44"/>
    </row>
    <row r="7" spans="1:14" ht="15" x14ac:dyDescent="0.25">
      <c r="I7" s="44"/>
      <c r="J7" s="44"/>
    </row>
    <row r="8" spans="1:14" ht="15" x14ac:dyDescent="0.25">
      <c r="A8" s="437" t="s">
        <v>433</v>
      </c>
      <c r="B8" s="437"/>
      <c r="C8" s="437"/>
      <c r="D8" s="437"/>
      <c r="E8" s="437"/>
      <c r="F8" s="437"/>
      <c r="G8" s="437"/>
      <c r="H8" s="53"/>
      <c r="I8" s="44"/>
      <c r="J8" s="44"/>
      <c r="K8" s="44"/>
      <c r="L8" s="44"/>
      <c r="M8" s="44"/>
      <c r="N8" s="44"/>
    </row>
    <row r="9" spans="1:14" ht="45" x14ac:dyDescent="0.25">
      <c r="A9" s="20" t="s">
        <v>509</v>
      </c>
      <c r="B9" s="20" t="s">
        <v>510</v>
      </c>
      <c r="C9" s="19"/>
      <c r="D9" s="20" t="s">
        <v>504</v>
      </c>
      <c r="E9" s="20" t="s">
        <v>511</v>
      </c>
      <c r="F9" s="18"/>
      <c r="G9" s="21" t="s">
        <v>249</v>
      </c>
      <c r="H9" s="45"/>
      <c r="I9" s="44"/>
      <c r="J9" s="44"/>
      <c r="K9" s="44"/>
      <c r="L9" s="44"/>
      <c r="M9" s="44"/>
      <c r="N9" s="44"/>
    </row>
    <row r="10" spans="1:14" ht="60" x14ac:dyDescent="0.25">
      <c r="A10" s="20" t="s">
        <v>509</v>
      </c>
      <c r="B10" s="20" t="s">
        <v>510</v>
      </c>
      <c r="C10" s="19"/>
      <c r="D10" s="20" t="s">
        <v>504</v>
      </c>
      <c r="E10" s="20" t="s">
        <v>512</v>
      </c>
      <c r="F10" s="18"/>
      <c r="G10" s="21" t="s">
        <v>249</v>
      </c>
      <c r="H10" s="45"/>
      <c r="I10" s="44"/>
      <c r="J10" s="44"/>
      <c r="K10" s="44"/>
      <c r="L10" s="44"/>
      <c r="M10" s="44"/>
      <c r="N10" s="44"/>
    </row>
    <row r="11" spans="1:14" ht="60" x14ac:dyDescent="0.25">
      <c r="A11" s="20" t="s">
        <v>439</v>
      </c>
      <c r="B11" s="20" t="s">
        <v>440</v>
      </c>
      <c r="C11" s="33" t="s">
        <v>441</v>
      </c>
      <c r="D11" s="24" t="s">
        <v>500</v>
      </c>
      <c r="E11" s="20" t="s">
        <v>513</v>
      </c>
      <c r="F11" s="18"/>
      <c r="G11" s="21" t="s">
        <v>249</v>
      </c>
      <c r="H11" s="45"/>
      <c r="K11" s="44"/>
      <c r="L11" s="44"/>
      <c r="M11" s="44"/>
      <c r="N11" s="44"/>
    </row>
    <row r="12" spans="1:14" ht="294" customHeight="1" x14ac:dyDescent="0.35">
      <c r="A12" s="20" t="s">
        <v>439</v>
      </c>
      <c r="B12" s="20" t="s">
        <v>514</v>
      </c>
      <c r="C12" s="39"/>
      <c r="D12" s="24" t="s">
        <v>500</v>
      </c>
      <c r="E12" s="20" t="s">
        <v>515</v>
      </c>
      <c r="F12" s="18"/>
      <c r="G12" s="21" t="s">
        <v>249</v>
      </c>
      <c r="H12" s="45"/>
      <c r="K12" s="44"/>
      <c r="L12" s="44"/>
      <c r="M12" s="44"/>
      <c r="N12" s="44"/>
    </row>
    <row r="13" spans="1:14" ht="72.5" x14ac:dyDescent="0.35">
      <c r="A13" s="20" t="s">
        <v>516</v>
      </c>
      <c r="B13" s="20" t="s">
        <v>517</v>
      </c>
      <c r="C13" s="24"/>
      <c r="D13" s="20" t="s">
        <v>500</v>
      </c>
      <c r="E13" s="20" t="s">
        <v>518</v>
      </c>
      <c r="F13" s="18"/>
      <c r="G13" s="21" t="s">
        <v>249</v>
      </c>
      <c r="H13" s="45"/>
      <c r="K13" s="44"/>
      <c r="L13" s="44"/>
      <c r="M13" s="44"/>
      <c r="N13" s="44"/>
    </row>
    <row r="14" spans="1:14" ht="101.5" x14ac:dyDescent="0.35">
      <c r="A14" s="20" t="s">
        <v>519</v>
      </c>
      <c r="B14" s="20" t="s">
        <v>520</v>
      </c>
      <c r="C14" s="24"/>
      <c r="D14" s="20" t="s">
        <v>504</v>
      </c>
      <c r="E14" s="20" t="s">
        <v>508</v>
      </c>
      <c r="F14" s="18"/>
      <c r="G14" s="21" t="s">
        <v>249</v>
      </c>
      <c r="H14" s="45"/>
      <c r="K14" s="44"/>
      <c r="L14" s="44"/>
      <c r="M14" s="44"/>
      <c r="N14" s="44"/>
    </row>
    <row r="15" spans="1:14" ht="43.5" x14ac:dyDescent="0.35">
      <c r="A15" s="20" t="s">
        <v>467</v>
      </c>
      <c r="B15" s="20" t="s">
        <v>468</v>
      </c>
      <c r="C15" s="24" t="s">
        <v>469</v>
      </c>
      <c r="D15" s="20" t="s">
        <v>504</v>
      </c>
      <c r="E15" s="20" t="s">
        <v>521</v>
      </c>
      <c r="F15" s="18"/>
      <c r="G15" s="21" t="s">
        <v>249</v>
      </c>
      <c r="H15" s="45"/>
      <c r="K15" s="44"/>
      <c r="L15" s="44"/>
      <c r="M15" s="44"/>
      <c r="N15" s="44"/>
    </row>
    <row r="16" spans="1:14" ht="44.25" customHeight="1" x14ac:dyDescent="0.35">
      <c r="A16" s="20" t="s">
        <v>522</v>
      </c>
      <c r="B16" s="38" t="s">
        <v>523</v>
      </c>
      <c r="C16" s="24"/>
      <c r="D16" s="20" t="s">
        <v>504</v>
      </c>
      <c r="E16" s="20" t="s">
        <v>524</v>
      </c>
      <c r="F16" s="18"/>
      <c r="G16" s="21" t="s">
        <v>249</v>
      </c>
      <c r="H16" s="45"/>
      <c r="K16" s="44"/>
      <c r="L16" s="44"/>
      <c r="M16" s="44"/>
      <c r="N16" s="44"/>
    </row>
    <row r="17" spans="1:14" ht="15" thickBot="1" x14ac:dyDescent="0.4">
      <c r="A17" s="26"/>
      <c r="B17" s="26"/>
      <c r="C17" s="27"/>
      <c r="D17" s="27"/>
      <c r="E17" s="27"/>
      <c r="F17" s="27"/>
      <c r="G17" s="54"/>
      <c r="H17" s="53"/>
      <c r="K17" s="44"/>
      <c r="L17" s="44"/>
      <c r="M17" s="44"/>
      <c r="N17" s="44"/>
    </row>
    <row r="18" spans="1:14" x14ac:dyDescent="0.35">
      <c r="A18" s="438" t="s">
        <v>470</v>
      </c>
      <c r="B18" s="439"/>
      <c r="C18" s="439"/>
      <c r="D18" s="439"/>
      <c r="E18" s="439"/>
      <c r="F18" s="439"/>
      <c r="G18" s="440"/>
      <c r="H18" s="53"/>
      <c r="K18" s="44"/>
      <c r="L18" s="44"/>
      <c r="M18" s="44"/>
      <c r="N18" s="44"/>
    </row>
    <row r="19" spans="1:14" ht="29" x14ac:dyDescent="0.35">
      <c r="A19" s="20" t="s">
        <v>525</v>
      </c>
      <c r="B19" s="20" t="s">
        <v>526</v>
      </c>
      <c r="C19" s="18"/>
      <c r="D19" s="20" t="s">
        <v>500</v>
      </c>
      <c r="E19" s="20" t="s">
        <v>527</v>
      </c>
      <c r="F19" s="20"/>
      <c r="G19" s="21" t="s">
        <v>249</v>
      </c>
      <c r="H19" s="45"/>
      <c r="K19" s="44"/>
      <c r="L19" s="44"/>
      <c r="M19" s="44"/>
      <c r="N19" s="44"/>
    </row>
    <row r="20" spans="1:14" ht="58" x14ac:dyDescent="0.35">
      <c r="A20" s="20">
        <v>5</v>
      </c>
      <c r="B20" s="20" t="s">
        <v>475</v>
      </c>
      <c r="C20" s="24" t="s">
        <v>476</v>
      </c>
      <c r="D20" s="20" t="s">
        <v>504</v>
      </c>
      <c r="E20" s="20" t="s">
        <v>528</v>
      </c>
      <c r="F20" s="20"/>
      <c r="G20" s="21" t="s">
        <v>249</v>
      </c>
      <c r="H20" s="45"/>
      <c r="K20" s="44"/>
      <c r="L20" s="44"/>
      <c r="M20" s="44"/>
      <c r="N20" s="44"/>
    </row>
    <row r="21" spans="1:14" ht="87" x14ac:dyDescent="0.35">
      <c r="A21" s="20">
        <v>28</v>
      </c>
      <c r="B21" s="20" t="s">
        <v>479</v>
      </c>
      <c r="C21" s="19" t="s">
        <v>529</v>
      </c>
      <c r="D21" s="20" t="s">
        <v>500</v>
      </c>
      <c r="E21" s="20" t="s">
        <v>530</v>
      </c>
      <c r="F21" s="20"/>
      <c r="G21" s="21" t="s">
        <v>249</v>
      </c>
      <c r="H21" s="45"/>
      <c r="K21" s="44"/>
      <c r="L21" s="44"/>
      <c r="M21" s="44"/>
      <c r="N21" s="44"/>
    </row>
    <row r="22" spans="1:14" s="47" customFormat="1" x14ac:dyDescent="0.35">
      <c r="A22" s="55"/>
      <c r="B22" s="51"/>
      <c r="C22" s="51"/>
      <c r="D22" s="51"/>
      <c r="E22" s="51"/>
      <c r="F22" s="51"/>
      <c r="G22" s="56"/>
      <c r="I22" s="44"/>
      <c r="J22" s="44"/>
    </row>
    <row r="24" spans="1:14" x14ac:dyDescent="0.35">
      <c r="A24" s="441" t="s">
        <v>484</v>
      </c>
      <c r="B24" s="442"/>
      <c r="C24" s="442"/>
      <c r="D24" s="442"/>
      <c r="E24" s="442"/>
      <c r="F24" s="442"/>
      <c r="G24" s="443"/>
      <c r="H24" s="47"/>
      <c r="N24" s="44"/>
    </row>
    <row r="25" spans="1:14" ht="43.5" x14ac:dyDescent="0.35">
      <c r="A25" s="20" t="s">
        <v>531</v>
      </c>
      <c r="B25" s="20" t="s">
        <v>532</v>
      </c>
      <c r="C25" s="20"/>
      <c r="D25" s="326" t="s">
        <v>500</v>
      </c>
      <c r="E25" s="326" t="s">
        <v>533</v>
      </c>
      <c r="F25" s="167"/>
      <c r="G25" s="21" t="s">
        <v>249</v>
      </c>
      <c r="H25" s="328"/>
      <c r="N25" s="44"/>
    </row>
    <row r="28" spans="1:14" x14ac:dyDescent="0.35">
      <c r="A28" s="441" t="s">
        <v>492</v>
      </c>
      <c r="B28" s="442"/>
      <c r="C28" s="442"/>
      <c r="D28" s="442"/>
      <c r="E28" s="442"/>
      <c r="F28" s="442"/>
      <c r="G28" s="443"/>
      <c r="H28" s="47"/>
      <c r="N28" s="44"/>
    </row>
    <row r="29" spans="1:14" ht="312" customHeight="1" x14ac:dyDescent="0.35">
      <c r="A29" s="20" t="s">
        <v>222</v>
      </c>
      <c r="B29" s="20" t="s">
        <v>534</v>
      </c>
      <c r="C29" s="24"/>
      <c r="D29" s="24" t="s">
        <v>504</v>
      </c>
      <c r="E29" s="24" t="s">
        <v>535</v>
      </c>
      <c r="F29" s="24" t="s">
        <v>536</v>
      </c>
      <c r="G29" s="21" t="s">
        <v>249</v>
      </c>
      <c r="H29" s="328"/>
      <c r="N29" s="44"/>
    </row>
    <row r="30" spans="1:14" ht="377" x14ac:dyDescent="0.35">
      <c r="A30" s="20" t="s">
        <v>222</v>
      </c>
      <c r="B30" s="20" t="s">
        <v>537</v>
      </c>
      <c r="C30" s="24"/>
      <c r="D30" s="24" t="s">
        <v>504</v>
      </c>
      <c r="E30" s="24" t="s">
        <v>538</v>
      </c>
      <c r="F30" s="327" t="s">
        <v>539</v>
      </c>
      <c r="G30" s="21" t="s">
        <v>249</v>
      </c>
      <c r="H30" s="329"/>
    </row>
    <row r="31" spans="1:14" ht="116" x14ac:dyDescent="0.35">
      <c r="A31" s="20" t="s">
        <v>222</v>
      </c>
      <c r="B31" s="20" t="s">
        <v>540</v>
      </c>
      <c r="C31" s="24"/>
      <c r="D31" s="24" t="s">
        <v>500</v>
      </c>
      <c r="E31" s="24"/>
      <c r="F31" s="24" t="s">
        <v>541</v>
      </c>
      <c r="G31" s="21" t="s">
        <v>249</v>
      </c>
      <c r="H31" s="329"/>
    </row>
    <row r="32" spans="1:14" ht="243" customHeight="1" x14ac:dyDescent="0.35">
      <c r="A32" s="20" t="s">
        <v>222</v>
      </c>
      <c r="B32" s="20" t="s">
        <v>542</v>
      </c>
      <c r="C32" s="24"/>
      <c r="D32" s="24"/>
      <c r="E32" s="24" t="s">
        <v>543</v>
      </c>
      <c r="F32" s="24"/>
      <c r="G32" s="21" t="s">
        <v>249</v>
      </c>
      <c r="H32" s="329"/>
    </row>
  </sheetData>
  <autoFilter ref="A1:R25"/>
  <mergeCells count="5">
    <mergeCell ref="A2:G2"/>
    <mergeCell ref="A8:G8"/>
    <mergeCell ref="A18:G18"/>
    <mergeCell ref="A24:G24"/>
    <mergeCell ref="A28:G28"/>
  </mergeCells>
  <pageMargins left="0.7" right="0.7" top="0.75" bottom="0.75" header="0.3" footer="0.3"/>
  <pageSetup scale="59"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115" operator="equal" id="{E7657B69-BF42-4A6F-B3FA-2C9991AE2BDF}">
            <xm:f>Extra!$B$5</xm:f>
            <x14:dxf>
              <fill>
                <patternFill>
                  <bgColor theme="0" tint="-0.14996795556505021"/>
                </patternFill>
              </fill>
            </x14:dxf>
          </x14:cfRule>
          <x14:cfRule type="cellIs" priority="116" operator="equal" id="{129FBF6F-4E75-48DD-A25B-546B3198BCED}">
            <xm:f>Extra!$B$4</xm:f>
            <x14:dxf>
              <fill>
                <patternFill>
                  <bgColor theme="6"/>
                </patternFill>
              </fill>
            </x14:dxf>
          </x14:cfRule>
          <xm:sqref>G1:G1048576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[2]Extra!#REF!</xm:f>
          </x14:formula1>
          <xm:sqref>G6 G31</xm:sqref>
        </x14:dataValidation>
        <x14:dataValidation type="list" allowBlank="1" showInputMessage="1" showErrorMessage="1">
          <x14:formula1>
            <xm:f>Extra!$B$3:$B$5</xm:f>
          </x14:formula1>
          <xm:sqref>G25 G3:G5 G9:G16 G19:G21 G29:G30 G32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B5"/>
  <sheetViews>
    <sheetView workbookViewId="0">
      <selection activeCell="B3" sqref="B3:B5"/>
    </sheetView>
  </sheetViews>
  <sheetFormatPr defaultRowHeight="14.5" x14ac:dyDescent="0.35"/>
  <cols>
    <col min="2" max="2" width="20.453125" bestFit="1" customWidth="1"/>
  </cols>
  <sheetData>
    <row r="2" spans="2:2" x14ac:dyDescent="0.25">
      <c r="B2" t="s">
        <v>544</v>
      </c>
    </row>
    <row r="3" spans="2:2" x14ac:dyDescent="0.25">
      <c r="B3" t="s">
        <v>249</v>
      </c>
    </row>
    <row r="4" spans="2:2" x14ac:dyDescent="0.25">
      <c r="B4" t="s">
        <v>545</v>
      </c>
    </row>
    <row r="5" spans="2:2" x14ac:dyDescent="0.25">
      <c r="B5" t="s">
        <v>546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S54"/>
  <sheetViews>
    <sheetView zoomScale="80" zoomScaleNormal="80" workbookViewId="0">
      <selection activeCell="D13" sqref="D13"/>
    </sheetView>
  </sheetViews>
  <sheetFormatPr defaultColWidth="9.1796875" defaultRowHeight="14" x14ac:dyDescent="0.3"/>
  <cols>
    <col min="1" max="1" width="1.453125" style="64" customWidth="1"/>
    <col min="2" max="2" width="9.1796875" style="64"/>
    <col min="3" max="3" width="28.26953125" style="64" customWidth="1"/>
    <col min="4" max="4" width="75.54296875" style="64" bestFit="1" customWidth="1"/>
    <col min="5" max="5" width="9.1796875" style="64"/>
    <col min="6" max="6" width="7.7265625" style="64" bestFit="1" customWidth="1"/>
    <col min="7" max="8" width="10.1796875" style="64" bestFit="1" customWidth="1"/>
    <col min="9" max="9" width="31.26953125" style="64" bestFit="1" customWidth="1"/>
    <col min="10" max="10" width="16.453125" style="64" bestFit="1" customWidth="1"/>
    <col min="11" max="11" width="9.7265625" style="82" customWidth="1"/>
    <col min="12" max="12" width="24" style="82" bestFit="1" customWidth="1"/>
    <col min="13" max="13" width="13.81640625" style="82" bestFit="1" customWidth="1"/>
    <col min="14" max="15" width="9.1796875" style="64"/>
    <col min="16" max="17" width="13.26953125" style="82" customWidth="1"/>
    <col min="18" max="18" width="14.453125" style="82" customWidth="1"/>
    <col min="19" max="19" width="9.7265625" style="82" customWidth="1"/>
    <col min="20" max="16384" width="9.1796875" style="64"/>
  </cols>
  <sheetData>
    <row r="1" spans="2:18" ht="7.5" customHeight="1" thickBot="1" x14ac:dyDescent="0.25"/>
    <row r="2" spans="2:18" ht="16.5" thickBot="1" x14ac:dyDescent="0.3">
      <c r="B2" s="453" t="s">
        <v>207</v>
      </c>
      <c r="C2" s="454"/>
      <c r="D2" s="454"/>
      <c r="E2" s="454"/>
      <c r="F2" s="454"/>
      <c r="G2" s="454"/>
      <c r="H2" s="454"/>
      <c r="I2" s="454"/>
      <c r="J2" s="455"/>
      <c r="L2" s="456" t="s">
        <v>353</v>
      </c>
      <c r="M2" s="457"/>
      <c r="N2" s="458"/>
      <c r="P2" s="459" t="s">
        <v>159</v>
      </c>
      <c r="Q2" s="460"/>
      <c r="R2" s="461"/>
    </row>
    <row r="3" spans="2:18" ht="16.5" thickBot="1" x14ac:dyDescent="0.3">
      <c r="B3" s="462" t="s">
        <v>208</v>
      </c>
      <c r="C3" s="463"/>
      <c r="D3" s="464" t="str">
        <f>'Device Calculator'!C3</f>
        <v>TPS546D24A</v>
      </c>
      <c r="E3" s="465"/>
      <c r="F3" s="465"/>
      <c r="G3" s="465"/>
      <c r="H3" s="465"/>
      <c r="I3" s="465"/>
      <c r="J3" s="466"/>
      <c r="L3" s="83" t="s">
        <v>309</v>
      </c>
      <c r="M3" s="84" t="s">
        <v>21</v>
      </c>
      <c r="N3" s="85" t="s">
        <v>211</v>
      </c>
      <c r="P3" s="86" t="s">
        <v>156</v>
      </c>
      <c r="Q3" s="87" t="s">
        <v>157</v>
      </c>
      <c r="R3" s="88" t="s">
        <v>158</v>
      </c>
    </row>
    <row r="4" spans="2:18" s="82" customFormat="1" ht="15.75" customHeight="1" x14ac:dyDescent="0.3">
      <c r="B4" s="483" t="s">
        <v>209</v>
      </c>
      <c r="C4" s="485" t="s">
        <v>210</v>
      </c>
      <c r="D4" s="485" t="s">
        <v>558</v>
      </c>
      <c r="E4" s="487" t="s">
        <v>559</v>
      </c>
      <c r="F4" s="487"/>
      <c r="G4" s="487" t="s">
        <v>560</v>
      </c>
      <c r="H4" s="487"/>
      <c r="I4" s="485" t="s">
        <v>561</v>
      </c>
      <c r="J4" s="138"/>
      <c r="L4" s="89" t="s">
        <v>193</v>
      </c>
      <c r="M4" s="90" t="str">
        <f>'Device Calculator'!C3</f>
        <v>TPS546D24A</v>
      </c>
      <c r="N4" s="91"/>
      <c r="O4" s="64"/>
      <c r="P4" s="92">
        <v>0</v>
      </c>
      <c r="Q4" s="93" t="s">
        <v>38</v>
      </c>
      <c r="R4" s="94" t="s">
        <v>38</v>
      </c>
    </row>
    <row r="5" spans="2:18" s="82" customFormat="1" ht="15.75" customHeight="1" thickBot="1" x14ac:dyDescent="0.35">
      <c r="B5" s="484"/>
      <c r="C5" s="486"/>
      <c r="D5" s="486"/>
      <c r="E5" s="139" t="s">
        <v>14</v>
      </c>
      <c r="F5" s="139" t="s">
        <v>562</v>
      </c>
      <c r="G5" s="139" t="s">
        <v>14</v>
      </c>
      <c r="H5" s="139" t="s">
        <v>562</v>
      </c>
      <c r="I5" s="486"/>
      <c r="J5" s="140"/>
      <c r="L5" s="89"/>
      <c r="M5" s="90"/>
      <c r="N5" s="91"/>
      <c r="O5" s="64"/>
      <c r="P5" s="92"/>
      <c r="Q5" s="93"/>
      <c r="R5" s="94"/>
    </row>
    <row r="6" spans="2:18" s="82" customFormat="1" x14ac:dyDescent="0.3">
      <c r="B6" s="447" t="s">
        <v>216</v>
      </c>
      <c r="C6" s="110" t="s">
        <v>123</v>
      </c>
      <c r="D6" s="77" t="s">
        <v>564</v>
      </c>
      <c r="E6" s="451"/>
      <c r="F6" s="451"/>
      <c r="G6" s="451"/>
      <c r="H6" s="451"/>
      <c r="I6" s="142" t="s">
        <v>649</v>
      </c>
      <c r="J6" s="449"/>
      <c r="L6" s="96" t="s">
        <v>348</v>
      </c>
      <c r="M6" s="136">
        <f>ILOOP_trgt</f>
        <v>18.048207348649079</v>
      </c>
      <c r="N6" s="97"/>
      <c r="O6" s="64"/>
      <c r="P6" s="98">
        <v>1</v>
      </c>
      <c r="Q6" s="99">
        <v>2</v>
      </c>
      <c r="R6" s="100">
        <v>0.5</v>
      </c>
    </row>
    <row r="7" spans="2:18" s="82" customFormat="1" ht="15.75" customHeight="1" thickBot="1" x14ac:dyDescent="0.35">
      <c r="B7" s="448"/>
      <c r="C7" s="101" t="s">
        <v>36</v>
      </c>
      <c r="D7" s="143">
        <v>275</v>
      </c>
      <c r="E7" s="452"/>
      <c r="F7" s="452"/>
      <c r="G7" s="452"/>
      <c r="H7" s="452"/>
      <c r="I7" s="145" t="s">
        <v>650</v>
      </c>
      <c r="J7" s="450"/>
      <c r="L7" s="96" t="s">
        <v>349</v>
      </c>
      <c r="M7" s="136">
        <f>VLOOP_trgt</f>
        <v>7.0833586057549534</v>
      </c>
      <c r="N7" s="97"/>
      <c r="O7" s="64"/>
      <c r="P7" s="92">
        <v>2</v>
      </c>
      <c r="Q7" s="103">
        <v>2</v>
      </c>
      <c r="R7" s="104">
        <v>1</v>
      </c>
    </row>
    <row r="8" spans="2:18" s="82" customFormat="1" x14ac:dyDescent="0.3">
      <c r="B8" s="477" t="s">
        <v>217</v>
      </c>
      <c r="C8" s="71" t="s">
        <v>218</v>
      </c>
      <c r="D8" s="146">
        <v>3</v>
      </c>
      <c r="E8" s="451"/>
      <c r="F8" s="451"/>
      <c r="G8" s="451"/>
      <c r="H8" s="451"/>
      <c r="I8" s="147" t="s">
        <v>651</v>
      </c>
      <c r="J8" s="467"/>
      <c r="L8" s="105" t="s">
        <v>352</v>
      </c>
      <c r="M8" s="90">
        <f>Comp_Code</f>
        <v>6</v>
      </c>
      <c r="N8" s="106"/>
      <c r="O8" s="64"/>
      <c r="P8" s="98">
        <v>3</v>
      </c>
      <c r="Q8" s="99">
        <v>2</v>
      </c>
      <c r="R8" s="100">
        <v>2</v>
      </c>
    </row>
    <row r="9" spans="2:18" s="82" customFormat="1" x14ac:dyDescent="0.3">
      <c r="B9" s="478"/>
      <c r="C9" s="72" t="s">
        <v>220</v>
      </c>
      <c r="D9" s="66" t="s">
        <v>601</v>
      </c>
      <c r="E9" s="482"/>
      <c r="F9" s="482"/>
      <c r="G9" s="482"/>
      <c r="H9" s="482"/>
      <c r="I9" s="67" t="s">
        <v>652</v>
      </c>
      <c r="J9" s="449"/>
      <c r="L9" s="105" t="s">
        <v>37</v>
      </c>
      <c r="M9" s="90">
        <f>fsw</f>
        <v>325</v>
      </c>
      <c r="N9" s="106" t="s">
        <v>11</v>
      </c>
      <c r="O9" s="64"/>
      <c r="P9" s="92">
        <v>4</v>
      </c>
      <c r="Q9" s="103">
        <v>2</v>
      </c>
      <c r="R9" s="104">
        <v>4</v>
      </c>
    </row>
    <row r="10" spans="2:18" s="82" customFormat="1" ht="14.5" thickBot="1" x14ac:dyDescent="0.35">
      <c r="B10" s="448"/>
      <c r="C10" s="107" t="s">
        <v>223</v>
      </c>
      <c r="D10" s="148" t="s">
        <v>605</v>
      </c>
      <c r="E10" s="452"/>
      <c r="F10" s="452"/>
      <c r="G10" s="452"/>
      <c r="H10" s="452"/>
      <c r="I10" s="149" t="s">
        <v>653</v>
      </c>
      <c r="J10" s="449"/>
      <c r="L10" s="105" t="s">
        <v>354</v>
      </c>
      <c r="M10" s="90">
        <f>Phases</f>
        <v>1</v>
      </c>
      <c r="N10" s="106"/>
      <c r="O10" s="64"/>
      <c r="P10" s="98">
        <v>5</v>
      </c>
      <c r="Q10" s="99">
        <v>2</v>
      </c>
      <c r="R10" s="100">
        <v>8</v>
      </c>
    </row>
    <row r="11" spans="2:18" s="82" customFormat="1" x14ac:dyDescent="0.3">
      <c r="B11" s="479" t="s">
        <v>224</v>
      </c>
      <c r="C11" s="71" t="s">
        <v>225</v>
      </c>
      <c r="D11" s="146" t="s">
        <v>640</v>
      </c>
      <c r="E11" s="451"/>
      <c r="F11" s="451"/>
      <c r="G11" s="451"/>
      <c r="H11" s="444"/>
      <c r="I11" s="147" t="s">
        <v>654</v>
      </c>
      <c r="J11" s="467"/>
      <c r="L11" s="105" t="s">
        <v>310</v>
      </c>
      <c r="M11" s="90">
        <f>Iphase</f>
        <v>25</v>
      </c>
      <c r="N11" s="106" t="s">
        <v>26</v>
      </c>
      <c r="O11" s="64"/>
      <c r="P11" s="92">
        <v>6</v>
      </c>
      <c r="Q11" s="103">
        <v>3</v>
      </c>
      <c r="R11" s="104">
        <v>0.5</v>
      </c>
    </row>
    <row r="12" spans="2:18" s="82" customFormat="1" ht="15" customHeight="1" x14ac:dyDescent="0.3">
      <c r="B12" s="480"/>
      <c r="C12" s="72" t="s">
        <v>228</v>
      </c>
      <c r="D12" s="150">
        <v>0.53</v>
      </c>
      <c r="E12" s="482"/>
      <c r="F12" s="482"/>
      <c r="G12" s="482"/>
      <c r="H12" s="445"/>
      <c r="I12" s="75" t="s">
        <v>655</v>
      </c>
      <c r="J12" s="449"/>
      <c r="L12" s="105" t="s">
        <v>228</v>
      </c>
      <c r="M12" s="90">
        <f>Vout</f>
        <v>3.32</v>
      </c>
      <c r="N12" s="106" t="s">
        <v>22</v>
      </c>
      <c r="O12" s="64"/>
      <c r="P12" s="98">
        <v>7</v>
      </c>
      <c r="Q12" s="99">
        <v>3</v>
      </c>
      <c r="R12" s="100">
        <v>1</v>
      </c>
    </row>
    <row r="13" spans="2:18" s="82" customFormat="1" ht="15.75" customHeight="1" thickBot="1" x14ac:dyDescent="0.35">
      <c r="B13" s="481"/>
      <c r="C13" s="101" t="s">
        <v>229</v>
      </c>
      <c r="D13" s="151"/>
      <c r="E13" s="452"/>
      <c r="F13" s="452"/>
      <c r="G13" s="452"/>
      <c r="H13" s="446"/>
      <c r="I13" s="153">
        <v>0.5</v>
      </c>
      <c r="J13" s="450"/>
      <c r="L13" s="108" t="s">
        <v>229</v>
      </c>
      <c r="M13" s="137">
        <f>VOSL</f>
        <v>0.125</v>
      </c>
      <c r="N13" s="109" t="s">
        <v>22</v>
      </c>
      <c r="O13" s="64"/>
      <c r="P13" s="92">
        <v>8</v>
      </c>
      <c r="Q13" s="103">
        <v>3</v>
      </c>
      <c r="R13" s="104">
        <v>2</v>
      </c>
    </row>
    <row r="14" spans="2:18" s="82" customFormat="1" x14ac:dyDescent="0.3">
      <c r="B14" s="477" t="s">
        <v>230</v>
      </c>
      <c r="C14" s="110" t="s">
        <v>231</v>
      </c>
      <c r="D14" s="77" t="s">
        <v>630</v>
      </c>
      <c r="E14" s="141"/>
      <c r="F14" s="142"/>
      <c r="G14" s="142"/>
      <c r="H14" s="142"/>
      <c r="I14" s="142" t="s">
        <v>656</v>
      </c>
      <c r="J14" s="449"/>
      <c r="N14" s="64"/>
      <c r="O14" s="64"/>
      <c r="P14" s="98">
        <v>9</v>
      </c>
      <c r="Q14" s="99">
        <v>3</v>
      </c>
      <c r="R14" s="100">
        <v>4</v>
      </c>
    </row>
    <row r="15" spans="2:18" s="82" customFormat="1" ht="14.5" thickBot="1" x14ac:dyDescent="0.35">
      <c r="B15" s="448"/>
      <c r="C15" s="101" t="str">
        <f>IF(D10=1,"INTERLEAVE","SYNC_CONFIG")</f>
        <v>SYNC_CONFIG</v>
      </c>
      <c r="D15" s="143"/>
      <c r="E15" s="144"/>
      <c r="F15" s="145"/>
      <c r="G15" s="145"/>
      <c r="H15" s="145"/>
      <c r="I15" s="145" t="s">
        <v>657</v>
      </c>
      <c r="J15" s="450"/>
      <c r="N15" s="64"/>
      <c r="O15" s="64"/>
      <c r="P15" s="92">
        <v>10</v>
      </c>
      <c r="Q15" s="103">
        <v>3</v>
      </c>
      <c r="R15" s="104">
        <v>8</v>
      </c>
    </row>
    <row r="16" spans="2:18" s="82" customFormat="1" ht="15" thickBot="1" x14ac:dyDescent="0.25">
      <c r="B16" s="64"/>
      <c r="C16" s="64"/>
      <c r="D16" s="64"/>
      <c r="E16" s="64"/>
      <c r="F16" s="64"/>
      <c r="G16" s="64"/>
      <c r="H16" s="64"/>
      <c r="I16" s="64"/>
      <c r="J16" s="64"/>
      <c r="N16" s="64"/>
      <c r="O16" s="64"/>
      <c r="P16" s="98">
        <v>11</v>
      </c>
      <c r="Q16" s="99">
        <v>4</v>
      </c>
      <c r="R16" s="100">
        <v>0.5</v>
      </c>
    </row>
    <row r="17" spans="2:18" s="82" customFormat="1" ht="15.75" customHeight="1" thickBot="1" x14ac:dyDescent="0.35">
      <c r="B17" s="111" t="s">
        <v>209</v>
      </c>
      <c r="C17" s="87" t="s">
        <v>21</v>
      </c>
      <c r="D17" s="112" t="s">
        <v>235</v>
      </c>
      <c r="E17" s="87" t="s">
        <v>236</v>
      </c>
      <c r="F17" s="87"/>
      <c r="G17" s="87" t="s">
        <v>237</v>
      </c>
      <c r="H17" s="88" t="s">
        <v>238</v>
      </c>
      <c r="I17" s="468" t="s">
        <v>239</v>
      </c>
      <c r="J17" s="469"/>
      <c r="N17" s="64"/>
      <c r="O17" s="64"/>
      <c r="P17" s="92">
        <v>12</v>
      </c>
      <c r="Q17" s="103">
        <v>4</v>
      </c>
      <c r="R17" s="104">
        <v>1</v>
      </c>
    </row>
    <row r="18" spans="2:18" s="82" customFormat="1" x14ac:dyDescent="0.3">
      <c r="B18" s="113" t="str">
        <f>B$6</f>
        <v>MSEL1</v>
      </c>
      <c r="C18" s="69" t="s">
        <v>240</v>
      </c>
      <c r="D18" s="129">
        <f>IF(OR(J6="SHORT",J6="FLOAT"),J6,IF(F6&lt;16,F6,F6-16))</f>
        <v>0</v>
      </c>
      <c r="E18" s="129">
        <f>IF(OR(J6="SHORT",J6="FLOAT", F7="Open"),"Open",IF(F6&lt;16,2*F7,2*F7+1))</f>
        <v>0</v>
      </c>
      <c r="F18" s="76"/>
      <c r="G18" s="114">
        <f>IF(OR(D18="FLOAT",D18="SHORT"),D18,HLOOKUP(D18,'Resistor Selection'!C$13:R$14,2,FALSE))</f>
        <v>4640</v>
      </c>
      <c r="H18" s="115">
        <f>IF(E18="Open","Open",VLOOKUP(E18,'Resistor Selection'!B$15:R$30,'Pin Detect Programming (2)'!D18+2,FALSE))</f>
        <v>21500</v>
      </c>
      <c r="I18" s="470"/>
      <c r="J18" s="471"/>
      <c r="N18" s="64"/>
      <c r="O18" s="64"/>
      <c r="P18" s="98">
        <v>13</v>
      </c>
      <c r="Q18" s="99">
        <v>4</v>
      </c>
      <c r="R18" s="100">
        <v>2</v>
      </c>
    </row>
    <row r="19" spans="2:18" s="82" customFormat="1" x14ac:dyDescent="0.3">
      <c r="B19" s="116" t="str">
        <f>B$8</f>
        <v>MSEL2</v>
      </c>
      <c r="C19" s="68" t="s">
        <v>241</v>
      </c>
      <c r="D19" s="135">
        <f>IF(OR(J8="SHORT",J8="FLOAT"),J8,F10+4*F9)</f>
        <v>0</v>
      </c>
      <c r="E19" s="135" t="str">
        <f>IF(OR(D8=3,J8="FLOAT",J8="SHORT"),"Open",F8)</f>
        <v>Open</v>
      </c>
      <c r="F19" s="74"/>
      <c r="G19" s="73">
        <f>IF(OR(D19="FLOAT",D19="SHORT"),D19,HLOOKUP(D19,'Resistor Selection'!C$13:R$14,2,FALSE))</f>
        <v>4640</v>
      </c>
      <c r="H19" s="117" t="str">
        <f>IF(E19="Open","Open",VLOOKUP(E19,'Resistor Selection'!B$15:R$30,'Pin Detect Programming (2)'!D19+2,FALSE))</f>
        <v>Open</v>
      </c>
      <c r="I19" s="470"/>
      <c r="J19" s="471"/>
      <c r="N19" s="64"/>
      <c r="O19" s="64"/>
      <c r="P19" s="92">
        <v>14</v>
      </c>
      <c r="Q19" s="103">
        <v>4</v>
      </c>
      <c r="R19" s="104">
        <v>4</v>
      </c>
    </row>
    <row r="20" spans="2:18" s="82" customFormat="1" x14ac:dyDescent="0.3">
      <c r="B20" s="116" t="str">
        <f>B$11</f>
        <v>VSEL</v>
      </c>
      <c r="C20" s="68" t="s">
        <v>242</v>
      </c>
      <c r="D20" s="135">
        <f>IF(OR(J11="SHORT",J11="FLOAT"),J11,F12)</f>
        <v>0</v>
      </c>
      <c r="E20" s="135">
        <f>IF(OR(F11="Float",F11="Short"),"Open",F11)</f>
        <v>0</v>
      </c>
      <c r="F20" s="74"/>
      <c r="G20" s="73">
        <f>IF(OR(D20="FLOAT",D20="SHORT"),D20,HLOOKUP(D20,'Resistor Selection'!C$13:R$14,2,FALSE))</f>
        <v>4640</v>
      </c>
      <c r="H20" s="117">
        <f>IF(E20="Open","Open",VLOOKUP(E20,'Resistor Selection'!B$15:R$30,'Pin Detect Programming (2)'!D20+2,FALSE))</f>
        <v>21500</v>
      </c>
      <c r="I20" s="470"/>
      <c r="J20" s="471"/>
      <c r="N20" s="64"/>
      <c r="O20" s="64"/>
      <c r="P20" s="98">
        <v>15</v>
      </c>
      <c r="Q20" s="99">
        <v>4</v>
      </c>
      <c r="R20" s="100">
        <v>8</v>
      </c>
    </row>
    <row r="21" spans="2:18" s="82" customFormat="1" ht="14.5" thickBot="1" x14ac:dyDescent="0.35">
      <c r="B21" s="118" t="str">
        <f>B$14</f>
        <v>ADRSEL</v>
      </c>
      <c r="C21" s="70" t="s">
        <v>243</v>
      </c>
      <c r="D21" s="132">
        <f>IF(OR(J14="SHORT",J14="FLOAT"),J14,IF(AND(D15='Resistor References'!AB3,'Pin Detect Programming (2)'!D14&gt;31),'Resistor References'!AM1,IF(F14='Resistor References'!T3,'Resistor References'!T3,IF(F14&lt;16,F14,F14-16))))</f>
        <v>0</v>
      </c>
      <c r="E21" s="132">
        <f>IF(OR(F14="Float",F14="Short"),"Open",IF(AND(F15='Resistor References'!AC3,F14&lt;16),F15,IF(F14&lt;16,2*F15,2*F15+1)))</f>
        <v>0</v>
      </c>
      <c r="F21" s="81"/>
      <c r="G21" s="119">
        <f>IF(OR(D21="FLOAT",D21="SHORT"),D21,HLOOKUP(D21,'Resistor Selection'!C$13:R$14,2,FALSE))</f>
        <v>4640</v>
      </c>
      <c r="H21" s="120">
        <f>IF(E21="Open","Open",VLOOKUP(E21,'Resistor Selection'!B$15:R$30,'Pin Detect Programming (2)'!D21+2,FALSE))</f>
        <v>21500</v>
      </c>
      <c r="I21" s="472"/>
      <c r="J21" s="473"/>
      <c r="N21" s="64"/>
      <c r="O21" s="64"/>
      <c r="P21" s="92">
        <v>16</v>
      </c>
      <c r="Q21" s="103">
        <v>5</v>
      </c>
      <c r="R21" s="104">
        <v>0.5</v>
      </c>
    </row>
    <row r="22" spans="2:18" s="82" customFormat="1" ht="15" thickBot="1" x14ac:dyDescent="0.25">
      <c r="B22" s="64"/>
      <c r="C22" s="64"/>
      <c r="D22" s="64"/>
      <c r="E22" s="64"/>
      <c r="F22" s="64"/>
      <c r="G22" s="64"/>
      <c r="H22" s="64"/>
      <c r="I22" s="64"/>
      <c r="J22" s="64"/>
      <c r="N22" s="64"/>
      <c r="O22" s="64"/>
      <c r="P22" s="98">
        <v>17</v>
      </c>
      <c r="Q22" s="99">
        <v>5</v>
      </c>
      <c r="R22" s="100">
        <v>1</v>
      </c>
    </row>
    <row r="23" spans="2:18" s="82" customFormat="1" ht="15.75" thickBot="1" x14ac:dyDescent="0.3">
      <c r="B23" s="474" t="s">
        <v>244</v>
      </c>
      <c r="C23" s="475"/>
      <c r="D23" s="475"/>
      <c r="E23" s="475"/>
      <c r="F23" s="475"/>
      <c r="G23" s="475"/>
      <c r="H23" s="475"/>
      <c r="I23" s="475"/>
      <c r="J23" s="476"/>
      <c r="N23" s="64"/>
      <c r="O23" s="64"/>
      <c r="P23" s="92">
        <v>18</v>
      </c>
      <c r="Q23" s="103">
        <v>5</v>
      </c>
      <c r="R23" s="104">
        <v>2</v>
      </c>
    </row>
    <row r="24" spans="2:18" s="82" customFormat="1" ht="15" thickBot="1" x14ac:dyDescent="0.25">
      <c r="B24" s="86" t="s">
        <v>209</v>
      </c>
      <c r="C24" s="87" t="s">
        <v>210</v>
      </c>
      <c r="D24" s="87" t="s">
        <v>21</v>
      </c>
      <c r="E24" s="87" t="s">
        <v>211</v>
      </c>
      <c r="F24" s="87" t="s">
        <v>14</v>
      </c>
      <c r="G24" s="87" t="s">
        <v>212</v>
      </c>
      <c r="H24" s="87" t="s">
        <v>213</v>
      </c>
      <c r="I24" s="87" t="s">
        <v>214</v>
      </c>
      <c r="J24" s="88" t="s">
        <v>215</v>
      </c>
      <c r="N24" s="64"/>
      <c r="O24" s="64"/>
      <c r="P24" s="98">
        <v>19</v>
      </c>
      <c r="Q24" s="99">
        <v>5</v>
      </c>
      <c r="R24" s="100">
        <v>4</v>
      </c>
    </row>
    <row r="25" spans="2:18" s="82" customFormat="1" x14ac:dyDescent="0.3">
      <c r="B25" s="477" t="str">
        <f>B8</f>
        <v>MSEL2</v>
      </c>
      <c r="C25" s="71" t="s">
        <v>245</v>
      </c>
      <c r="D25" s="125" t="s">
        <v>222</v>
      </c>
      <c r="E25" s="127"/>
      <c r="F25" s="129" t="str">
        <f>IF(AND(D25=G25,D26=G26),"SHORT",IF(AND(D25=H25,D26=H26),"FLOAT",VLOOKUP(D25,'Resistor References'!AF$4:AG$11,2,FALSE)))</f>
        <v>N/A</v>
      </c>
      <c r="G25" s="130" t="str">
        <f>'Resistor References'!AF$2</f>
        <v>180°, 2</v>
      </c>
      <c r="H25" s="131" t="str">
        <f>'Resistor References'!AF$3</f>
        <v>180°, 2</v>
      </c>
      <c r="I25" s="95" t="s">
        <v>222</v>
      </c>
      <c r="J25" s="467" t="str">
        <f>IF(AND(D25=G25,D26=G26),"SHORT",IF(AND(H25=D25,H26=D26),"FLOAT","Resistor"))</f>
        <v>Resistor</v>
      </c>
      <c r="N25" s="64"/>
      <c r="O25" s="64"/>
      <c r="P25" s="92">
        <v>20</v>
      </c>
      <c r="Q25" s="103">
        <v>5</v>
      </c>
      <c r="R25" s="104">
        <v>8</v>
      </c>
    </row>
    <row r="26" spans="2:18" s="82" customFormat="1" ht="14.5" thickBot="1" x14ac:dyDescent="0.35">
      <c r="B26" s="448"/>
      <c r="C26" s="101" t="s">
        <v>220</v>
      </c>
      <c r="D26" s="126" t="str">
        <f>D9</f>
        <v>OCF = 26, OCW = 20</v>
      </c>
      <c r="E26" s="128" t="s">
        <v>26</v>
      </c>
      <c r="F26" s="132" t="e">
        <f>VLOOKUP(D26,'Resistor References'!O$3:P$6,2,FALSE)</f>
        <v>#N/A</v>
      </c>
      <c r="G26" s="133" t="str">
        <f>'Resistor References'!O$3</f>
        <v>40/52</v>
      </c>
      <c r="H26" s="134" t="str">
        <f>'Resistor References'!O$4</f>
        <v>30/39</v>
      </c>
      <c r="I26" s="102">
        <v>52</v>
      </c>
      <c r="J26" s="450"/>
      <c r="N26" s="64"/>
      <c r="O26" s="64"/>
      <c r="P26" s="98">
        <v>21</v>
      </c>
      <c r="Q26" s="99">
        <v>6</v>
      </c>
      <c r="R26" s="100">
        <v>0.5</v>
      </c>
    </row>
    <row r="27" spans="2:18" s="82" customFormat="1" ht="15" thickBot="1" x14ac:dyDescent="0.25">
      <c r="B27" s="64"/>
      <c r="C27" s="64"/>
      <c r="D27" s="64"/>
      <c r="E27" s="64"/>
      <c r="F27" s="64"/>
      <c r="G27" s="64"/>
      <c r="H27" s="64"/>
      <c r="I27" s="64"/>
      <c r="J27" s="64"/>
      <c r="N27" s="64"/>
      <c r="O27" s="64"/>
      <c r="P27" s="92">
        <v>22</v>
      </c>
      <c r="Q27" s="103">
        <v>6</v>
      </c>
      <c r="R27" s="104">
        <v>1</v>
      </c>
    </row>
    <row r="28" spans="2:18" s="82" customFormat="1" ht="14.5" thickBot="1" x14ac:dyDescent="0.35">
      <c r="B28" s="121" t="s">
        <v>209</v>
      </c>
      <c r="C28" s="87" t="s">
        <v>21</v>
      </c>
      <c r="D28" s="112" t="s">
        <v>235</v>
      </c>
      <c r="E28" s="87" t="s">
        <v>236</v>
      </c>
      <c r="F28" s="87"/>
      <c r="G28" s="87" t="s">
        <v>237</v>
      </c>
      <c r="H28" s="88" t="s">
        <v>238</v>
      </c>
      <c r="I28" s="468" t="s">
        <v>247</v>
      </c>
      <c r="J28" s="469"/>
      <c r="N28" s="64"/>
      <c r="O28" s="64"/>
      <c r="P28" s="98">
        <v>23</v>
      </c>
      <c r="Q28" s="99">
        <v>6</v>
      </c>
      <c r="R28" s="100">
        <v>2</v>
      </c>
    </row>
    <row r="29" spans="2:18" s="82" customFormat="1" x14ac:dyDescent="0.3">
      <c r="B29" s="113" t="str">
        <f>B$6</f>
        <v>MSEL1</v>
      </c>
      <c r="C29" s="71" t="s">
        <v>222</v>
      </c>
      <c r="D29" s="129" t="s">
        <v>212</v>
      </c>
      <c r="E29" s="129" t="s">
        <v>248</v>
      </c>
      <c r="F29" s="76"/>
      <c r="G29" s="114" t="s">
        <v>249</v>
      </c>
      <c r="H29" s="115" t="s">
        <v>249</v>
      </c>
      <c r="I29" s="470"/>
      <c r="J29" s="471"/>
      <c r="N29" s="64"/>
      <c r="O29" s="64"/>
      <c r="P29" s="92">
        <v>24</v>
      </c>
      <c r="Q29" s="103">
        <v>6</v>
      </c>
      <c r="R29" s="104">
        <v>4</v>
      </c>
    </row>
    <row r="30" spans="2:18" s="82" customFormat="1" x14ac:dyDescent="0.3">
      <c r="B30" s="116" t="str">
        <f>B$8</f>
        <v>MSEL2</v>
      </c>
      <c r="C30" s="72" t="s">
        <v>250</v>
      </c>
      <c r="D30" s="135" t="e">
        <f>IF(D10&lt;2,"N/A",IF(OR(J25="SHORT",J25="FLOAT"),J25,2*F25+MOD(F26,2)))</f>
        <v>#VALUE!</v>
      </c>
      <c r="E30" s="135" t="e">
        <f>IF(OR(J25='Resistor References'!AG$2,J25='Resistor References'!AG$3,'Pin Detect Programming (2)'!F26&lt;2),"OPEN",1)</f>
        <v>#N/A</v>
      </c>
      <c r="F30" s="74"/>
      <c r="G30" s="73" t="e">
        <f>IF(OR(D30="FLOAT",D30="SHORT"),D30,HLOOKUP(D30,'Resistor Selection'!C13:R14,2,FALSE))</f>
        <v>#VALUE!</v>
      </c>
      <c r="H30" s="117" t="e">
        <f>IF(E30="Open","Open",VLOOKUP(E30,'Resistor Selection'!B$13:AH$30,'Pin Detect Programming (2)'!D30+2,FALSE))</f>
        <v>#N/A</v>
      </c>
      <c r="I30" s="470"/>
      <c r="J30" s="471"/>
      <c r="N30" s="64"/>
      <c r="O30" s="64"/>
      <c r="P30" s="98">
        <v>25</v>
      </c>
      <c r="Q30" s="99">
        <v>6</v>
      </c>
      <c r="R30" s="100">
        <v>8</v>
      </c>
    </row>
    <row r="31" spans="2:18" s="82" customFormat="1" x14ac:dyDescent="0.3">
      <c r="B31" s="116" t="str">
        <f>B$11</f>
        <v>VSEL</v>
      </c>
      <c r="C31" s="72" t="s">
        <v>222</v>
      </c>
      <c r="D31" s="135" t="s">
        <v>212</v>
      </c>
      <c r="E31" s="135" t="s">
        <v>248</v>
      </c>
      <c r="F31" s="74"/>
      <c r="G31" s="73" t="s">
        <v>249</v>
      </c>
      <c r="H31" s="117" t="s">
        <v>249</v>
      </c>
      <c r="I31" s="470"/>
      <c r="J31" s="471"/>
      <c r="N31" s="64"/>
      <c r="O31" s="64"/>
      <c r="P31" s="92">
        <v>26</v>
      </c>
      <c r="Q31" s="103">
        <v>7</v>
      </c>
      <c r="R31" s="104">
        <v>0.5</v>
      </c>
    </row>
    <row r="32" spans="2:18" s="82" customFormat="1" ht="14.5" thickBot="1" x14ac:dyDescent="0.35">
      <c r="B32" s="118" t="str">
        <f>B$14</f>
        <v>ADRSEL</v>
      </c>
      <c r="C32" s="101" t="s">
        <v>222</v>
      </c>
      <c r="D32" s="132" t="s">
        <v>212</v>
      </c>
      <c r="E32" s="132" t="s">
        <v>248</v>
      </c>
      <c r="F32" s="81"/>
      <c r="G32" s="119" t="s">
        <v>249</v>
      </c>
      <c r="H32" s="120" t="s">
        <v>249</v>
      </c>
      <c r="I32" s="472"/>
      <c r="J32" s="473"/>
      <c r="N32" s="64"/>
      <c r="O32" s="64"/>
      <c r="P32" s="98">
        <v>27</v>
      </c>
      <c r="Q32" s="99">
        <v>7</v>
      </c>
      <c r="R32" s="100">
        <v>1</v>
      </c>
    </row>
    <row r="33" spans="2:18" s="82" customFormat="1" ht="15" thickBot="1" x14ac:dyDescent="0.25">
      <c r="B33" s="64"/>
      <c r="C33" s="64"/>
      <c r="D33" s="64"/>
      <c r="E33" s="64"/>
      <c r="F33" s="64"/>
      <c r="G33" s="64"/>
      <c r="H33" s="64"/>
      <c r="I33" s="64"/>
      <c r="J33" s="64"/>
      <c r="N33" s="64"/>
      <c r="O33" s="64"/>
      <c r="P33" s="92">
        <v>28</v>
      </c>
      <c r="Q33" s="103">
        <v>7</v>
      </c>
      <c r="R33" s="104">
        <v>2</v>
      </c>
    </row>
    <row r="34" spans="2:18" s="82" customFormat="1" ht="15.75" thickBot="1" x14ac:dyDescent="0.3">
      <c r="B34" s="474" t="s">
        <v>251</v>
      </c>
      <c r="C34" s="475"/>
      <c r="D34" s="475"/>
      <c r="E34" s="475"/>
      <c r="F34" s="475"/>
      <c r="G34" s="475"/>
      <c r="H34" s="475"/>
      <c r="I34" s="475"/>
      <c r="J34" s="476"/>
      <c r="N34" s="64"/>
      <c r="O34" s="64"/>
      <c r="P34" s="98">
        <v>29</v>
      </c>
      <c r="Q34" s="99">
        <v>7</v>
      </c>
      <c r="R34" s="100">
        <v>4</v>
      </c>
    </row>
    <row r="35" spans="2:18" s="82" customFormat="1" ht="15" thickBot="1" x14ac:dyDescent="0.25">
      <c r="B35" s="86" t="s">
        <v>209</v>
      </c>
      <c r="C35" s="87" t="s">
        <v>210</v>
      </c>
      <c r="D35" s="87" t="s">
        <v>21</v>
      </c>
      <c r="E35" s="87" t="s">
        <v>211</v>
      </c>
      <c r="F35" s="87" t="s">
        <v>14</v>
      </c>
      <c r="G35" s="87" t="s">
        <v>212</v>
      </c>
      <c r="H35" s="87" t="s">
        <v>213</v>
      </c>
      <c r="I35" s="87" t="s">
        <v>214</v>
      </c>
      <c r="J35" s="88" t="s">
        <v>215</v>
      </c>
      <c r="N35" s="64"/>
      <c r="O35" s="64"/>
      <c r="P35" s="92">
        <v>30</v>
      </c>
      <c r="Q35" s="103">
        <v>7</v>
      </c>
      <c r="R35" s="104">
        <v>8</v>
      </c>
    </row>
    <row r="36" spans="2:18" s="82" customFormat="1" ht="14.5" thickBot="1" x14ac:dyDescent="0.35">
      <c r="B36" s="477" t="str">
        <f>B8</f>
        <v>MSEL2</v>
      </c>
      <c r="C36" s="71" t="s">
        <v>245</v>
      </c>
      <c r="D36" s="125" t="s">
        <v>222</v>
      </c>
      <c r="E36" s="127"/>
      <c r="F36" s="129" t="str">
        <f>IF(AND(D36=G36,D37=G37),"SHORT",IF(AND(D36=H36,D37=H37),"FLOAT",VLOOKUP(D36,'Resistor References'!AF$4:AG$11,2,FALSE)))</f>
        <v>N/A</v>
      </c>
      <c r="G36" s="130" t="s">
        <v>222</v>
      </c>
      <c r="H36" s="131" t="s">
        <v>222</v>
      </c>
      <c r="I36" s="95" t="s">
        <v>222</v>
      </c>
      <c r="J36" s="467" t="str">
        <f>IF(AND(D36=G36,D37=G37),"SHORT",IF(AND(H36=D36,H37=D37),"FLOAT","Resistor"))</f>
        <v>Resistor</v>
      </c>
      <c r="N36" s="64"/>
      <c r="O36" s="64"/>
      <c r="P36" s="122">
        <v>31</v>
      </c>
      <c r="Q36" s="123">
        <v>10</v>
      </c>
      <c r="R36" s="124">
        <v>2</v>
      </c>
    </row>
    <row r="37" spans="2:18" s="82" customFormat="1" ht="14.5" thickBot="1" x14ac:dyDescent="0.35">
      <c r="B37" s="448"/>
      <c r="C37" s="101" t="s">
        <v>220</v>
      </c>
      <c r="D37" s="126" t="str">
        <f>D9</f>
        <v>OCF = 26, OCW = 20</v>
      </c>
      <c r="E37" s="128" t="s">
        <v>26</v>
      </c>
      <c r="F37" s="132" t="e">
        <f>VLOOKUP(D37,'Resistor References'!O$3:P$6,2,FALSE)</f>
        <v>#N/A</v>
      </c>
      <c r="G37" s="133" t="s">
        <v>222</v>
      </c>
      <c r="H37" s="134" t="s">
        <v>222</v>
      </c>
      <c r="I37" s="102">
        <v>52</v>
      </c>
      <c r="J37" s="450"/>
      <c r="N37" s="64"/>
      <c r="O37" s="64"/>
    </row>
    <row r="38" spans="2:18" s="82" customFormat="1" ht="15" thickBot="1" x14ac:dyDescent="0.25">
      <c r="B38" s="64"/>
      <c r="C38" s="64"/>
      <c r="D38" s="64"/>
      <c r="E38" s="64"/>
      <c r="F38" s="64"/>
      <c r="G38" s="64"/>
      <c r="H38" s="64"/>
      <c r="I38" s="64"/>
      <c r="J38" s="64"/>
      <c r="N38" s="64"/>
      <c r="O38" s="64"/>
    </row>
    <row r="39" spans="2:18" s="82" customFormat="1" ht="15.75" customHeight="1" thickBot="1" x14ac:dyDescent="0.35">
      <c r="B39" s="121" t="s">
        <v>209</v>
      </c>
      <c r="C39" s="87" t="s">
        <v>21</v>
      </c>
      <c r="D39" s="112" t="s">
        <v>235</v>
      </c>
      <c r="E39" s="87" t="s">
        <v>236</v>
      </c>
      <c r="F39" s="87"/>
      <c r="G39" s="87" t="s">
        <v>237</v>
      </c>
      <c r="H39" s="88" t="s">
        <v>238</v>
      </c>
      <c r="I39" s="468" t="s">
        <v>247</v>
      </c>
      <c r="J39" s="469"/>
      <c r="N39" s="64"/>
      <c r="O39" s="64"/>
    </row>
    <row r="40" spans="2:18" s="82" customFormat="1" x14ac:dyDescent="0.3">
      <c r="B40" s="113" t="str">
        <f>B$6</f>
        <v>MSEL1</v>
      </c>
      <c r="C40" s="71" t="s">
        <v>222</v>
      </c>
      <c r="D40" s="129" t="s">
        <v>212</v>
      </c>
      <c r="E40" s="129" t="s">
        <v>248</v>
      </c>
      <c r="F40" s="76"/>
      <c r="G40" s="114" t="s">
        <v>249</v>
      </c>
      <c r="H40" s="115" t="s">
        <v>249</v>
      </c>
      <c r="I40" s="470"/>
      <c r="J40" s="471"/>
      <c r="N40" s="64"/>
      <c r="O40" s="64"/>
    </row>
    <row r="41" spans="2:18" s="82" customFormat="1" x14ac:dyDescent="0.3">
      <c r="B41" s="116" t="str">
        <f>B$8</f>
        <v>MSEL2</v>
      </c>
      <c r="C41" s="72" t="s">
        <v>250</v>
      </c>
      <c r="D41" s="135" t="e">
        <f>IF(D10&lt;3,"N/A",IF(OR(J36="SHORT",J36="FLOAT"),J36,2*F36+MOD(F37,2)))</f>
        <v>#VALUE!</v>
      </c>
      <c r="E41" s="135" t="e">
        <f>IF(OR(J36='Resistor References'!AG$2,J36='Resistor References'!AG$3,'Pin Detect Programming (2)'!F37&lt;2),"OPEN",1)</f>
        <v>#N/A</v>
      </c>
      <c r="F41" s="74"/>
      <c r="G41" s="73" t="e">
        <f>IF(OR(D41="FLOAT",D41="SHORT"),D41,HLOOKUP(D41,'Resistor Selection'!C13:R14,2,FALSE))</f>
        <v>#VALUE!</v>
      </c>
      <c r="H41" s="117" t="e">
        <f>IF(E41="Open","Open",VLOOKUP(E41,'Resistor Selection'!B$13:AH$30,'Pin Detect Programming (2)'!D41+2,FALSE))</f>
        <v>#N/A</v>
      </c>
      <c r="I41" s="470"/>
      <c r="J41" s="471"/>
      <c r="N41" s="64"/>
      <c r="O41" s="64"/>
    </row>
    <row r="42" spans="2:18" s="82" customFormat="1" x14ac:dyDescent="0.3">
      <c r="B42" s="116" t="str">
        <f>B$11</f>
        <v>VSEL</v>
      </c>
      <c r="C42" s="72" t="s">
        <v>222</v>
      </c>
      <c r="D42" s="135" t="s">
        <v>212</v>
      </c>
      <c r="E42" s="135" t="s">
        <v>248</v>
      </c>
      <c r="F42" s="74"/>
      <c r="G42" s="73" t="s">
        <v>249</v>
      </c>
      <c r="H42" s="117" t="s">
        <v>249</v>
      </c>
      <c r="I42" s="470"/>
      <c r="J42" s="471"/>
      <c r="N42" s="64"/>
      <c r="O42" s="64"/>
    </row>
    <row r="43" spans="2:18" s="82" customFormat="1" ht="14.5" thickBot="1" x14ac:dyDescent="0.35">
      <c r="B43" s="118" t="str">
        <f>B$14</f>
        <v>ADRSEL</v>
      </c>
      <c r="C43" s="101" t="s">
        <v>222</v>
      </c>
      <c r="D43" s="132" t="s">
        <v>212</v>
      </c>
      <c r="E43" s="132" t="s">
        <v>248</v>
      </c>
      <c r="F43" s="81"/>
      <c r="G43" s="119" t="s">
        <v>249</v>
      </c>
      <c r="H43" s="120" t="s">
        <v>249</v>
      </c>
      <c r="I43" s="472"/>
      <c r="J43" s="473"/>
      <c r="N43" s="64"/>
      <c r="O43" s="64"/>
    </row>
    <row r="44" spans="2:18" s="82" customFormat="1" ht="14.5" thickBot="1" x14ac:dyDescent="0.35">
      <c r="B44" s="64"/>
      <c r="C44" s="64"/>
      <c r="D44" s="64"/>
      <c r="E44" s="64"/>
      <c r="F44" s="64"/>
      <c r="G44" s="64"/>
      <c r="H44" s="64"/>
      <c r="I44" s="64"/>
      <c r="J44" s="64"/>
      <c r="N44" s="64"/>
      <c r="O44" s="64"/>
    </row>
    <row r="45" spans="2:18" s="82" customFormat="1" ht="14.5" thickBot="1" x14ac:dyDescent="0.35">
      <c r="B45" s="474" t="s">
        <v>252</v>
      </c>
      <c r="C45" s="475"/>
      <c r="D45" s="475"/>
      <c r="E45" s="475"/>
      <c r="F45" s="475"/>
      <c r="G45" s="475"/>
      <c r="H45" s="475"/>
      <c r="I45" s="475"/>
      <c r="J45" s="476"/>
      <c r="N45" s="64"/>
      <c r="O45" s="64"/>
    </row>
    <row r="46" spans="2:18" s="82" customFormat="1" ht="14.5" thickBot="1" x14ac:dyDescent="0.35">
      <c r="B46" s="86" t="s">
        <v>209</v>
      </c>
      <c r="C46" s="87" t="s">
        <v>210</v>
      </c>
      <c r="D46" s="87" t="s">
        <v>21</v>
      </c>
      <c r="E46" s="87" t="s">
        <v>211</v>
      </c>
      <c r="F46" s="87" t="s">
        <v>14</v>
      </c>
      <c r="G46" s="87" t="s">
        <v>212</v>
      </c>
      <c r="H46" s="87" t="s">
        <v>213</v>
      </c>
      <c r="I46" s="87" t="s">
        <v>214</v>
      </c>
      <c r="J46" s="88" t="s">
        <v>215</v>
      </c>
      <c r="N46" s="64"/>
      <c r="O46" s="64"/>
    </row>
    <row r="47" spans="2:18" s="82" customFormat="1" x14ac:dyDescent="0.3">
      <c r="B47" s="477" t="str">
        <f>B8</f>
        <v>MSEL2</v>
      </c>
      <c r="C47" s="71" t="s">
        <v>245</v>
      </c>
      <c r="D47" s="125" t="s">
        <v>222</v>
      </c>
      <c r="E47" s="127"/>
      <c r="F47" s="129" t="str">
        <f>IF(AND(D47=G47,D48=G48),"SHORT",IF(AND(D47=H47,D48=H48),"FLOAT",VLOOKUP(D47,'Resistor References'!AF$4:AG$11,2,FALSE)))</f>
        <v>N/A</v>
      </c>
      <c r="G47" s="130" t="s">
        <v>222</v>
      </c>
      <c r="H47" s="131" t="s">
        <v>222</v>
      </c>
      <c r="I47" s="95" t="s">
        <v>222</v>
      </c>
      <c r="J47" s="467" t="str">
        <f>IF(AND(D47=G47,D48=G48),"SHORT",IF(AND(H47=D47,H48=D48),"FLOAT","Resistor"))</f>
        <v>Resistor</v>
      </c>
      <c r="N47" s="64"/>
      <c r="O47" s="64"/>
    </row>
    <row r="48" spans="2:18" s="82" customFormat="1" ht="14.5" thickBot="1" x14ac:dyDescent="0.35">
      <c r="B48" s="448"/>
      <c r="C48" s="101" t="s">
        <v>220</v>
      </c>
      <c r="D48" s="126" t="str">
        <f>D9</f>
        <v>OCF = 26, OCW = 20</v>
      </c>
      <c r="E48" s="128" t="s">
        <v>26</v>
      </c>
      <c r="F48" s="132" t="e">
        <f>VLOOKUP(D48,'Resistor References'!O$3:P$6,2,FALSE)</f>
        <v>#N/A</v>
      </c>
      <c r="G48" s="133" t="s">
        <v>222</v>
      </c>
      <c r="H48" s="134" t="s">
        <v>222</v>
      </c>
      <c r="I48" s="102">
        <v>52</v>
      </c>
      <c r="J48" s="450"/>
      <c r="N48" s="64"/>
      <c r="O48" s="64"/>
    </row>
    <row r="49" spans="2:15" s="82" customFormat="1" ht="14.5" thickBot="1" x14ac:dyDescent="0.35">
      <c r="B49" s="64"/>
      <c r="C49" s="64"/>
      <c r="D49" s="64"/>
      <c r="E49" s="64"/>
      <c r="F49" s="64"/>
      <c r="G49" s="64"/>
      <c r="H49" s="64"/>
      <c r="I49" s="64"/>
      <c r="J49" s="64"/>
      <c r="N49" s="64"/>
      <c r="O49" s="64"/>
    </row>
    <row r="50" spans="2:15" s="82" customFormat="1" ht="15.75" customHeight="1" thickBot="1" x14ac:dyDescent="0.35">
      <c r="B50" s="121" t="s">
        <v>209</v>
      </c>
      <c r="C50" s="87" t="s">
        <v>21</v>
      </c>
      <c r="D50" s="112" t="s">
        <v>235</v>
      </c>
      <c r="E50" s="87" t="s">
        <v>236</v>
      </c>
      <c r="F50" s="87"/>
      <c r="G50" s="87" t="s">
        <v>237</v>
      </c>
      <c r="H50" s="88" t="s">
        <v>238</v>
      </c>
      <c r="I50" s="468" t="s">
        <v>247</v>
      </c>
      <c r="J50" s="469"/>
      <c r="N50" s="64"/>
      <c r="O50" s="64"/>
    </row>
    <row r="51" spans="2:15" s="82" customFormat="1" x14ac:dyDescent="0.3">
      <c r="B51" s="113" t="str">
        <f>B$6</f>
        <v>MSEL1</v>
      </c>
      <c r="C51" s="71" t="s">
        <v>222</v>
      </c>
      <c r="D51" s="129" t="s">
        <v>212</v>
      </c>
      <c r="E51" s="129" t="s">
        <v>248</v>
      </c>
      <c r="F51" s="76"/>
      <c r="G51" s="114" t="s">
        <v>249</v>
      </c>
      <c r="H51" s="115" t="s">
        <v>249</v>
      </c>
      <c r="I51" s="470"/>
      <c r="J51" s="471"/>
      <c r="N51" s="64"/>
      <c r="O51" s="64"/>
    </row>
    <row r="52" spans="2:15" s="82" customFormat="1" x14ac:dyDescent="0.3">
      <c r="B52" s="116" t="str">
        <f>B$8</f>
        <v>MSEL2</v>
      </c>
      <c r="C52" s="72" t="s">
        <v>250</v>
      </c>
      <c r="D52" s="135" t="e">
        <f>IF(D10&lt;4,"N/A",IF(OR(J47="SHORT",J47="FLOAT"),J47,2*F47+MOD(F48,2)))</f>
        <v>#VALUE!</v>
      </c>
      <c r="E52" s="135" t="e">
        <f>IF(OR(J47='Resistor References'!AG$2,J47='Resistor References'!AG$3,'Pin Detect Programming (2)'!F48&lt;2),"OPEN",1)</f>
        <v>#N/A</v>
      </c>
      <c r="F52" s="74"/>
      <c r="G52" s="73" t="e">
        <f>IF(OR(D52="FLOAT",D52="SHORT"),D52,HLOOKUP(D52,'Resistor Selection'!C13:R14,2,FALSE))</f>
        <v>#VALUE!</v>
      </c>
      <c r="H52" s="117" t="e">
        <f>IF(E52="Open","Open",VLOOKUP(E52,'Resistor Selection'!B$13:AH$30,'Pin Detect Programming (2)'!D52+2,FALSE))</f>
        <v>#N/A</v>
      </c>
      <c r="I52" s="470"/>
      <c r="J52" s="471"/>
      <c r="N52" s="64"/>
      <c r="O52" s="64"/>
    </row>
    <row r="53" spans="2:15" s="82" customFormat="1" x14ac:dyDescent="0.3">
      <c r="B53" s="116" t="str">
        <f>B$11</f>
        <v>VSEL</v>
      </c>
      <c r="C53" s="72" t="s">
        <v>222</v>
      </c>
      <c r="D53" s="135" t="s">
        <v>212</v>
      </c>
      <c r="E53" s="135" t="s">
        <v>248</v>
      </c>
      <c r="F53" s="74"/>
      <c r="G53" s="73" t="s">
        <v>249</v>
      </c>
      <c r="H53" s="117" t="s">
        <v>249</v>
      </c>
      <c r="I53" s="470"/>
      <c r="J53" s="471"/>
      <c r="N53" s="64"/>
      <c r="O53" s="64"/>
    </row>
    <row r="54" spans="2:15" s="82" customFormat="1" ht="14.5" thickBot="1" x14ac:dyDescent="0.35">
      <c r="B54" s="118" t="str">
        <f>B$14</f>
        <v>ADRSEL</v>
      </c>
      <c r="C54" s="101" t="s">
        <v>222</v>
      </c>
      <c r="D54" s="132" t="s">
        <v>212</v>
      </c>
      <c r="E54" s="132" t="s">
        <v>248</v>
      </c>
      <c r="F54" s="81"/>
      <c r="G54" s="119" t="s">
        <v>249</v>
      </c>
      <c r="H54" s="120" t="s">
        <v>249</v>
      </c>
      <c r="I54" s="472"/>
      <c r="J54" s="473"/>
      <c r="N54" s="64"/>
      <c r="O54" s="64"/>
    </row>
  </sheetData>
  <dataConsolidate/>
  <mergeCells count="44">
    <mergeCell ref="I50:J54"/>
    <mergeCell ref="B4:B5"/>
    <mergeCell ref="C4:C5"/>
    <mergeCell ref="D4:D5"/>
    <mergeCell ref="E4:F4"/>
    <mergeCell ref="G4:H4"/>
    <mergeCell ref="I4:I5"/>
    <mergeCell ref="B36:B37"/>
    <mergeCell ref="J36:J37"/>
    <mergeCell ref="I39:J43"/>
    <mergeCell ref="B45:J45"/>
    <mergeCell ref="B47:B48"/>
    <mergeCell ref="J47:J48"/>
    <mergeCell ref="I17:J21"/>
    <mergeCell ref="B23:J23"/>
    <mergeCell ref="B25:B26"/>
    <mergeCell ref="J25:J26"/>
    <mergeCell ref="I28:J32"/>
    <mergeCell ref="B34:J34"/>
    <mergeCell ref="B8:B10"/>
    <mergeCell ref="J8:J10"/>
    <mergeCell ref="B11:B13"/>
    <mergeCell ref="J11:J13"/>
    <mergeCell ref="B14:B15"/>
    <mergeCell ref="J14:J15"/>
    <mergeCell ref="E8:E10"/>
    <mergeCell ref="F8:F10"/>
    <mergeCell ref="G8:G10"/>
    <mergeCell ref="H8:H10"/>
    <mergeCell ref="E11:E13"/>
    <mergeCell ref="F11:F13"/>
    <mergeCell ref="G11:G13"/>
    <mergeCell ref="B2:J2"/>
    <mergeCell ref="L2:N2"/>
    <mergeCell ref="P2:R2"/>
    <mergeCell ref="B3:C3"/>
    <mergeCell ref="D3:J3"/>
    <mergeCell ref="H11:H13"/>
    <mergeCell ref="B6:B7"/>
    <mergeCell ref="J6:J7"/>
    <mergeCell ref="E6:E7"/>
    <mergeCell ref="F6:F7"/>
    <mergeCell ref="G6:G7"/>
    <mergeCell ref="H6:H7"/>
  </mergeCells>
  <conditionalFormatting sqref="D18">
    <cfRule type="cellIs" dxfId="38" priority="34" stopIfTrue="1" operator="equal">
      <formula>$H$4</formula>
    </cfRule>
    <cfRule type="cellIs" dxfId="37" priority="35" stopIfTrue="1" operator="equal">
      <formula>$G$4</formula>
    </cfRule>
    <cfRule type="cellIs" dxfId="36" priority="36" operator="greaterThan">
      <formula>29.5</formula>
    </cfRule>
  </conditionalFormatting>
  <conditionalFormatting sqref="D19">
    <cfRule type="cellIs" dxfId="35" priority="31" stopIfTrue="1" operator="equal">
      <formula>$H$4</formula>
    </cfRule>
    <cfRule type="cellIs" dxfId="34" priority="32" stopIfTrue="1" operator="equal">
      <formula>$G$4</formula>
    </cfRule>
    <cfRule type="cellIs" dxfId="33" priority="33" operator="greaterThan">
      <formula>29.5</formula>
    </cfRule>
  </conditionalFormatting>
  <conditionalFormatting sqref="D20">
    <cfRule type="cellIs" dxfId="32" priority="28" stopIfTrue="1" operator="equal">
      <formula>$H$4</formula>
    </cfRule>
    <cfRule type="cellIs" dxfId="31" priority="29" stopIfTrue="1" operator="equal">
      <formula>$G$4</formula>
    </cfRule>
    <cfRule type="cellIs" dxfId="30" priority="30" operator="greaterThan">
      <formula>29.5</formula>
    </cfRule>
  </conditionalFormatting>
  <conditionalFormatting sqref="D21">
    <cfRule type="cellIs" dxfId="29" priority="25" stopIfTrue="1" operator="equal">
      <formula>$H$4</formula>
    </cfRule>
    <cfRule type="cellIs" dxfId="28" priority="26" stopIfTrue="1" operator="equal">
      <formula>$G$4</formula>
    </cfRule>
    <cfRule type="cellIs" dxfId="27" priority="27" operator="greaterThan">
      <formula>29.5</formula>
    </cfRule>
  </conditionalFormatting>
  <conditionalFormatting sqref="D30">
    <cfRule type="cellIs" dxfId="26" priority="22" stopIfTrue="1" operator="equal">
      <formula>$H$4</formula>
    </cfRule>
    <cfRule type="cellIs" dxfId="25" priority="23" stopIfTrue="1" operator="equal">
      <formula>$G$4</formula>
    </cfRule>
    <cfRule type="cellIs" dxfId="24" priority="24" operator="greaterThan">
      <formula>29.5</formula>
    </cfRule>
  </conditionalFormatting>
  <conditionalFormatting sqref="D41">
    <cfRule type="cellIs" dxfId="23" priority="19" stopIfTrue="1" operator="equal">
      <formula>$H$4</formula>
    </cfRule>
    <cfRule type="cellIs" dxfId="22" priority="20" stopIfTrue="1" operator="equal">
      <formula>$G$4</formula>
    </cfRule>
    <cfRule type="cellIs" dxfId="21" priority="21" operator="greaterThan">
      <formula>29.5</formula>
    </cfRule>
  </conditionalFormatting>
  <conditionalFormatting sqref="D52">
    <cfRule type="cellIs" dxfId="20" priority="16" stopIfTrue="1" operator="equal">
      <formula>$H$4</formula>
    </cfRule>
    <cfRule type="cellIs" dxfId="19" priority="17" stopIfTrue="1" operator="equal">
      <formula>$G$4</formula>
    </cfRule>
    <cfRule type="cellIs" dxfId="18" priority="18" operator="greaterThan">
      <formula>29.5</formula>
    </cfRule>
  </conditionalFormatting>
  <conditionalFormatting sqref="Q4:Q5">
    <cfRule type="expression" dxfId="17" priority="13">
      <formula>"K3=$C$4"</formula>
    </cfRule>
  </conditionalFormatting>
  <conditionalFormatting sqref="R4:R5">
    <cfRule type="expression" dxfId="16" priority="12">
      <formula>"K3=$C$4"</formula>
    </cfRule>
  </conditionalFormatting>
  <conditionalFormatting sqref="Q6:Q36">
    <cfRule type="cellIs" dxfId="15" priority="11" operator="greaterThan">
      <formula>ILOOP_trgt</formula>
    </cfRule>
  </conditionalFormatting>
  <conditionalFormatting sqref="P4:P36">
    <cfRule type="cellIs" dxfId="14" priority="7" operator="equal">
      <formula>$D$6</formula>
    </cfRule>
  </conditionalFormatting>
  <conditionalFormatting sqref="D36">
    <cfRule type="expression" dxfId="13" priority="6">
      <formula>NOT(AND(ISNUMBER(FIND($D$10,$D$36)),IF(ISNUMBER(FIND($D$10,$D$36)),FIND($D$10,$D$36)&gt;3,0)))</formula>
    </cfRule>
  </conditionalFormatting>
  <conditionalFormatting sqref="D47">
    <cfRule type="expression" dxfId="12" priority="5">
      <formula>NOT(AND(ISNUMBER(FIND($D$10,$D$47)),IF(ISNUMBER(FIND($D$10,$D$47)),FIND($D$10,$D$47)&gt;3,0)))</formula>
    </cfRule>
  </conditionalFormatting>
  <conditionalFormatting sqref="D25">
    <cfRule type="expression" dxfId="11" priority="4">
      <formula>NOT(AND(ISNUMBER(FIND($D$10,$D$25)),IF(ISNUMBER(FIND($D$10,$D$25)),FIND($D$10,$D$25)&gt;3,0)))</formula>
    </cfRule>
  </conditionalFormatting>
  <conditionalFormatting sqref="D26">
    <cfRule type="cellIs" dxfId="10" priority="3" operator="notEqual">
      <formula>$D$9</formula>
    </cfRule>
  </conditionalFormatting>
  <conditionalFormatting sqref="D37">
    <cfRule type="cellIs" dxfId="9" priority="2" operator="notEqual">
      <formula>$D$9</formula>
    </cfRule>
  </conditionalFormatting>
  <conditionalFormatting sqref="D48">
    <cfRule type="cellIs" dxfId="8" priority="1" operator="notEqual">
      <formula>$D$9</formula>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37" operator="greaterThan" id="{903DF5AA-9130-49F5-BF20-990F43965E3F}">
            <xm:f>'Device Calculator'!#REF!</xm:f>
            <x14:dxf>
              <font>
                <color rgb="FF9C0006"/>
              </font>
              <fill>
                <patternFill>
                  <bgColor rgb="FFFFC7CE"/>
                </patternFill>
              </fill>
            </x14:dxf>
          </x14:cfRule>
          <xm:sqref>R36</xm:sqref>
        </x14:conditionalFormatting>
        <x14:conditionalFormatting xmlns:xm="http://schemas.microsoft.com/office/excel/2006/main">
          <x14:cfRule type="cellIs" priority="38" operator="greaterThan" id="{8683456C-14C1-448B-A2C6-E930737A0632}">
            <xm:f>'Device Calculator'!$M80</xm:f>
            <x14:dxf>
              <font>
                <color rgb="FF9C0006"/>
              </font>
              <fill>
                <patternFill>
                  <bgColor rgb="FFFFC7CE"/>
                </patternFill>
              </fill>
            </x14:dxf>
          </x14:cfRule>
          <xm:sqref>R6:R21</xm:sqref>
        </x14:conditionalFormatting>
        <x14:conditionalFormatting xmlns:xm="http://schemas.microsoft.com/office/excel/2006/main">
          <x14:cfRule type="cellIs" priority="61" operator="greaterThan" id="{8683456C-14C1-448B-A2C6-E930737A0632}">
            <xm:f>'Device Calculator'!$M97</xm:f>
            <x14:dxf>
              <font>
                <color rgb="FF9C0006"/>
              </font>
              <fill>
                <patternFill>
                  <bgColor rgb="FFFFC7CE"/>
                </patternFill>
              </fill>
            </x14:dxf>
          </x14:cfRule>
          <xm:sqref>R22:R34</xm:sqref>
        </x14:conditionalFormatting>
        <x14:conditionalFormatting xmlns:xm="http://schemas.microsoft.com/office/excel/2006/main">
          <x14:cfRule type="cellIs" priority="92" operator="greaterThan" id="{8683456C-14C1-448B-A2C6-E930737A0632}">
            <xm:f>'Device Calculator'!#REF!</xm:f>
            <x14:dxf>
              <font>
                <color rgb="FF9C0006"/>
              </font>
              <fill>
                <patternFill>
                  <bgColor rgb="FFFFC7CE"/>
                </patternFill>
              </fill>
            </x14:dxf>
          </x14:cfRule>
          <xm:sqref>R35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'Resistor References'!$AE$2:$AE$4</xm:f>
          </x14:formula1>
          <xm:sqref>D25</xm:sqref>
        </x14:dataValidation>
        <x14:dataValidation type="list" allowBlank="1" showInputMessage="1" showErrorMessage="1">
          <x14:formula1>
            <xm:f>'Resistor References'!$AE$7</xm:f>
          </x14:formula1>
          <xm:sqref>D47</xm:sqref>
        </x14:dataValidation>
        <x14:dataValidation type="list" allowBlank="1" showInputMessage="1" showErrorMessage="1">
          <x14:formula1>
            <xm:f>'Resistor References'!$AE$5:$AE$6</xm:f>
          </x14:formula1>
          <xm:sqref>D36</xm:sqref>
        </x14:dataValidation>
        <x14:dataValidation type="list" allowBlank="1" showInputMessage="1" showErrorMessage="1">
          <x14:formula1>
            <xm:f>'Resistor References'!$O$3:$O$6</xm:f>
          </x14:formula1>
          <xm:sqref>D48 D37 D26</xm:sqref>
        </x14:dataValidation>
        <x14:dataValidation type="list" allowBlank="1" showInputMessage="1" showErrorMessage="1">
          <x14:formula1>
            <xm:f>'Resistor References'!$A$2:$A$4</xm:f>
          </x14:formula1>
          <xm:sqref>D3:J3</xm:sqref>
        </x14:dataValidation>
        <x14:dataValidation type="list" allowBlank="1" showInputMessage="1" showErrorMessage="1">
          <x14:formula1>
            <xm:f>Sheet2!$C$5:$C$37</xm:f>
          </x14:formula1>
          <xm:sqref>D6</xm:sqref>
        </x14:dataValidation>
        <x14:dataValidation type="list" allowBlank="1" showInputMessage="1" showErrorMessage="1">
          <x14:formula1>
            <xm:f>Sheet2!$Q$5:$Q$12</xm:f>
          </x14:formula1>
          <xm:sqref>D8</xm:sqref>
        </x14:dataValidation>
        <x14:dataValidation type="list" allowBlank="1" showInputMessage="1" showErrorMessage="1">
          <x14:formula1>
            <xm:f>Sheet2!$M$5:$M$8</xm:f>
          </x14:formula1>
          <xm:sqref>D9</xm:sqref>
        </x14:dataValidation>
        <x14:dataValidation type="list" allowBlank="1" showInputMessage="1" showErrorMessage="1">
          <x14:formula1>
            <xm:f>Sheet2!$T$5:$T$8</xm:f>
          </x14:formula1>
          <xm:sqref>D10</xm:sqref>
        </x14:dataValidation>
        <x14:dataValidation type="list" allowBlank="1" showInputMessage="1" showErrorMessage="1">
          <x14:formula1>
            <xm:f>Sheet2!$G$5:$G$12</xm:f>
          </x14:formula1>
          <xm:sqref>D7</xm:sqref>
        </x14:dataValidation>
        <x14:dataValidation type="list" allowBlank="1" showInputMessage="1" showErrorMessage="1">
          <x14:formula1>
            <xm:f>Sheet2!$AJ$5:$AJ$21</xm:f>
          </x14:formula1>
          <xm:sqref>D14</xm:sqref>
        </x14:dataValidation>
        <x14:dataValidation type="list" allowBlank="1" showInputMessage="1" showErrorMessage="1">
          <x14:formula1>
            <xm:f>Sheet2!$AN$5:$AN$13</xm:f>
          </x14:formula1>
          <xm:sqref>D15</xm:sqref>
        </x14:dataValidation>
        <x14:dataValidation type="list" allowBlank="1" showInputMessage="1" showErrorMessage="1">
          <x14:formula1>
            <xm:f>Sheet2!$AB$5:$AB$226</xm:f>
          </x14:formula1>
          <xm:sqref>D12</xm:sqref>
        </x14:dataValidation>
        <x14:dataValidation type="list" allowBlank="1" showInputMessage="1" showErrorMessage="1">
          <x14:formula1>
            <xm:f>Sheet2!$W$5:$W$14</xm:f>
          </x14:formula1>
          <xm:sqref>D11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46"/>
  <sheetViews>
    <sheetView workbookViewId="0">
      <selection activeCell="M30" sqref="M30"/>
    </sheetView>
  </sheetViews>
  <sheetFormatPr defaultRowHeight="14.5" x14ac:dyDescent="0.35"/>
  <cols>
    <col min="11" max="11" width="12.81640625" customWidth="1"/>
    <col min="12" max="12" width="12.7265625" customWidth="1"/>
  </cols>
  <sheetData>
    <row r="1" spans="1:12" ht="15" x14ac:dyDescent="0.25">
      <c r="A1" s="493" t="s">
        <v>144</v>
      </c>
      <c r="B1" s="493"/>
      <c r="C1" s="493" t="s">
        <v>145</v>
      </c>
      <c r="D1" s="493"/>
      <c r="E1" s="493" t="s">
        <v>146</v>
      </c>
      <c r="F1" s="493"/>
      <c r="G1" s="493" t="s">
        <v>147</v>
      </c>
      <c r="H1" s="493"/>
      <c r="I1" s="493" t="s">
        <v>148</v>
      </c>
      <c r="J1" s="493"/>
      <c r="K1" s="5" t="s">
        <v>185</v>
      </c>
      <c r="L1" s="5" t="s">
        <v>186</v>
      </c>
    </row>
    <row r="2" spans="1:12" ht="15" x14ac:dyDescent="0.25">
      <c r="A2" s="6" t="str">
        <f>DEC2HEX(MOD(L2-MOD(L2,16^9),16^10)/16^9)</f>
        <v>1</v>
      </c>
      <c r="B2" s="6" t="str">
        <f>DEC2HEX(MOD(L2-MOD(L2,16^8),16^9)/16^8)</f>
        <v>2</v>
      </c>
      <c r="C2" s="6" t="str">
        <f>DEC2HEX(MOD(L2-MOD(L2,16^7),16^8)/16^7)</f>
        <v>8</v>
      </c>
      <c r="D2" s="6" t="str">
        <f>DEC2HEX(MOD(L2-MOD(L2,16^6),16^7)/16^6)</f>
        <v>4</v>
      </c>
      <c r="E2" s="6" t="str">
        <f>DEC2HEX(MOD(L2-MOD(L2,16^5),16^6)/16^5)</f>
        <v>4</v>
      </c>
      <c r="F2" s="6" t="str">
        <f>DEC2HEX(MOD(L2-MOD(L2,16^4),16^5)/16^4)</f>
        <v>2</v>
      </c>
      <c r="G2" s="6" t="str">
        <f>DEC2HEX(MOD(L2-MOD(L2,16^3),16^4)/16^3)</f>
        <v>1</v>
      </c>
      <c r="H2" s="6" t="str">
        <f>DEC2HEX(MOD(L2-MOD(L2,16^2),16^3)/16^2)</f>
        <v>1</v>
      </c>
      <c r="I2" s="6" t="str">
        <f>DEC2HEX(MOD(L2-MOD(L2,16),16^2)/16)</f>
        <v>0</v>
      </c>
      <c r="J2" s="6" t="str">
        <f>DEC2HEX(MOD(L2,16))</f>
        <v>6</v>
      </c>
      <c r="K2" s="7" t="str">
        <f>'Device Calculator'!F131</f>
        <v>1284421106</v>
      </c>
      <c r="L2" s="5">
        <f>HEX2DEC(K2)</f>
        <v>79528333574</v>
      </c>
    </row>
    <row r="3" spans="1:12" x14ac:dyDescent="0.35">
      <c r="A3" s="2">
        <f>HEX2DEC(A2)</f>
        <v>1</v>
      </c>
      <c r="B3" s="2">
        <f t="shared" ref="B3:J3" si="0">HEX2DEC(B2)</f>
        <v>2</v>
      </c>
      <c r="C3" s="2">
        <f t="shared" si="0"/>
        <v>8</v>
      </c>
      <c r="D3" s="2">
        <f t="shared" si="0"/>
        <v>4</v>
      </c>
      <c r="E3" s="2">
        <f t="shared" si="0"/>
        <v>4</v>
      </c>
      <c r="F3" s="2">
        <f t="shared" si="0"/>
        <v>2</v>
      </c>
      <c r="G3" s="2">
        <f t="shared" si="0"/>
        <v>1</v>
      </c>
      <c r="H3" s="2">
        <f t="shared" si="0"/>
        <v>1</v>
      </c>
      <c r="I3" s="2">
        <f t="shared" si="0"/>
        <v>0</v>
      </c>
      <c r="J3" s="2">
        <f t="shared" si="0"/>
        <v>6</v>
      </c>
      <c r="K3" s="488" t="s">
        <v>188</v>
      </c>
      <c r="L3" s="489"/>
    </row>
    <row r="4" spans="1:12" x14ac:dyDescent="0.35">
      <c r="A4" s="2" t="str">
        <f>HEX2BIN(A2,4)</f>
        <v>0001</v>
      </c>
      <c r="B4" s="2" t="str">
        <f t="shared" ref="B4:J4" si="1">HEX2BIN(B2,4)</f>
        <v>0010</v>
      </c>
      <c r="C4" s="2" t="str">
        <f t="shared" si="1"/>
        <v>1000</v>
      </c>
      <c r="D4" s="2" t="str">
        <f t="shared" si="1"/>
        <v>0100</v>
      </c>
      <c r="E4" s="2" t="str">
        <f t="shared" si="1"/>
        <v>0100</v>
      </c>
      <c r="F4" s="2" t="str">
        <f t="shared" si="1"/>
        <v>0010</v>
      </c>
      <c r="G4" s="2" t="str">
        <f t="shared" si="1"/>
        <v>0001</v>
      </c>
      <c r="H4" s="2" t="str">
        <f t="shared" si="1"/>
        <v>0001</v>
      </c>
      <c r="I4" s="2" t="str">
        <f t="shared" si="1"/>
        <v>0000</v>
      </c>
      <c r="J4" s="2" t="str">
        <f t="shared" si="1"/>
        <v>0110</v>
      </c>
      <c r="K4" s="490"/>
      <c r="L4" s="491"/>
    </row>
    <row r="6" spans="1:12" ht="15" x14ac:dyDescent="0.25">
      <c r="A6" t="s">
        <v>0</v>
      </c>
      <c r="B6">
        <f>MOD(A3,4)</f>
        <v>1</v>
      </c>
      <c r="C6">
        <f>2^B6*25</f>
        <v>50</v>
      </c>
      <c r="D6" t="s">
        <v>9</v>
      </c>
      <c r="E6" t="s">
        <v>139</v>
      </c>
      <c r="F6">
        <f>C6*C8*10^-3</f>
        <v>8.25</v>
      </c>
      <c r="G6" t="s">
        <v>142</v>
      </c>
    </row>
    <row r="7" spans="1:12" ht="15" x14ac:dyDescent="0.25">
      <c r="A7" t="s">
        <v>1</v>
      </c>
      <c r="B7">
        <f>MOD(B3,4)</f>
        <v>2</v>
      </c>
      <c r="C7">
        <f>2^B7*25</f>
        <v>100</v>
      </c>
      <c r="D7" t="s">
        <v>9</v>
      </c>
      <c r="E7" t="s">
        <v>140</v>
      </c>
      <c r="F7">
        <f>1/(2*PI()*C8*10^3*C9*10^-12*4*10^6*C6*10^-6)/1000</f>
        <v>3.8583016507126149</v>
      </c>
      <c r="G7" t="s">
        <v>11</v>
      </c>
    </row>
    <row r="8" spans="1:12" ht="15" x14ac:dyDescent="0.25">
      <c r="A8" t="s">
        <v>2</v>
      </c>
      <c r="B8">
        <f>4*C3+(D3-MOD(D3,4))/4</f>
        <v>33</v>
      </c>
      <c r="C8">
        <f>B8*5</f>
        <v>165</v>
      </c>
      <c r="D8" t="s">
        <v>94</v>
      </c>
      <c r="E8" t="s">
        <v>141</v>
      </c>
      <c r="F8">
        <f>1/(2*PI()*C8*10^3*C10*10^-12)/1000</f>
        <v>154.33206602850461</v>
      </c>
      <c r="G8" t="s">
        <v>11</v>
      </c>
    </row>
    <row r="9" spans="1:12" ht="15" x14ac:dyDescent="0.25">
      <c r="A9" t="s">
        <v>3</v>
      </c>
      <c r="B9">
        <f>4*MOD(D3,4)+(E3-MOD(E3,4))/4</f>
        <v>1</v>
      </c>
      <c r="C9">
        <f>B9*1.25</f>
        <v>1.25</v>
      </c>
      <c r="D9" t="s">
        <v>10</v>
      </c>
      <c r="E9" t="s">
        <v>113</v>
      </c>
      <c r="F9">
        <f>C9*C6*4</f>
        <v>250</v>
      </c>
      <c r="G9" t="s">
        <v>10</v>
      </c>
    </row>
    <row r="10" spans="1:12" ht="15" x14ac:dyDescent="0.25">
      <c r="A10" t="s">
        <v>4</v>
      </c>
      <c r="B10">
        <f>8*MOD(E3,4)+(F3-MOD(F3,2))/2</f>
        <v>1</v>
      </c>
      <c r="C10">
        <f>B10*'Compensation References'!H$3</f>
        <v>6.25</v>
      </c>
      <c r="D10" t="s">
        <v>10</v>
      </c>
    </row>
    <row r="11" spans="1:12" ht="15" x14ac:dyDescent="0.25">
      <c r="A11" t="s">
        <v>5</v>
      </c>
      <c r="B11">
        <f>4*G3+(H3-MOD(H3,4))/4</f>
        <v>4</v>
      </c>
      <c r="C11">
        <f>B11*5</f>
        <v>20</v>
      </c>
      <c r="D11" t="s">
        <v>94</v>
      </c>
      <c r="E11" t="s">
        <v>143</v>
      </c>
      <c r="F11">
        <f>C7*C11*10^-3</f>
        <v>2</v>
      </c>
      <c r="G11" t="s">
        <v>142</v>
      </c>
    </row>
    <row r="12" spans="1:12" ht="15" x14ac:dyDescent="0.25">
      <c r="A12" t="s">
        <v>6</v>
      </c>
      <c r="B12">
        <f>4*MOD(H3,4)+(I3-MOD(I3,4))/4</f>
        <v>4</v>
      </c>
      <c r="C12">
        <f>B12*'Compensation References'!J$3</f>
        <v>1.3320000000000001</v>
      </c>
      <c r="D12" t="s">
        <v>10</v>
      </c>
      <c r="E12" t="s">
        <v>149</v>
      </c>
      <c r="F12">
        <f>1/(2*PI()*C7*C14*10^-3*C12*C11*10^-12*10^3)/1000</f>
        <v>74.678558132458392</v>
      </c>
      <c r="G12" t="s">
        <v>11</v>
      </c>
    </row>
    <row r="13" spans="1:12" ht="15" x14ac:dyDescent="0.25">
      <c r="A13" t="s">
        <v>7</v>
      </c>
      <c r="B13">
        <f>8*MOD(I3,4)+(J3-MOD(J3,2))/2</f>
        <v>3</v>
      </c>
      <c r="C13">
        <f>B13*3.2</f>
        <v>9.6000000000000014</v>
      </c>
      <c r="D13" t="s">
        <v>10</v>
      </c>
      <c r="E13" t="s">
        <v>150</v>
      </c>
      <c r="F13">
        <f>1/(2*PI()*C11*10^3*C13*10^-12)/1000</f>
        <v>828.9319952702881</v>
      </c>
      <c r="G13" t="s">
        <v>11</v>
      </c>
    </row>
    <row r="14" spans="1:12" ht="15" x14ac:dyDescent="0.25">
      <c r="A14" t="s">
        <v>117</v>
      </c>
      <c r="B14">
        <f>MOD(J3,2)</f>
        <v>0</v>
      </c>
      <c r="C14">
        <f>(B14+1)*800</f>
        <v>800</v>
      </c>
      <c r="D14" t="s">
        <v>94</v>
      </c>
      <c r="E14" t="s">
        <v>112</v>
      </c>
      <c r="F14">
        <f>C12*C14*C7/1000</f>
        <v>106.56000000000002</v>
      </c>
      <c r="G14" t="s">
        <v>10</v>
      </c>
    </row>
    <row r="17" spans="1:12" ht="15" x14ac:dyDescent="0.25">
      <c r="A17" s="493" t="s">
        <v>144</v>
      </c>
      <c r="B17" s="493"/>
      <c r="C17" s="493" t="s">
        <v>145</v>
      </c>
      <c r="D17" s="493"/>
      <c r="E17" s="493" t="s">
        <v>146</v>
      </c>
      <c r="F17" s="493"/>
      <c r="G17" s="493" t="s">
        <v>147</v>
      </c>
      <c r="H17" s="493"/>
      <c r="I17" s="493" t="s">
        <v>148</v>
      </c>
      <c r="J17" s="493"/>
      <c r="K17" s="5" t="s">
        <v>185</v>
      </c>
      <c r="L17" s="5" t="s">
        <v>186</v>
      </c>
    </row>
    <row r="18" spans="1:12" ht="15" x14ac:dyDescent="0.25">
      <c r="A18" s="6" t="str">
        <f>DEC2HEX(MOD(L18-MOD(L18,16^9),16^10)/16^9)</f>
        <v>1</v>
      </c>
      <c r="B18" s="6" t="str">
        <f>DEC2HEX(MOD(L18-MOD(L18,16^8),16^9)/16^8)</f>
        <v>1</v>
      </c>
      <c r="C18" s="6" t="str">
        <f>DEC2HEX(MOD(L18-MOD(L18,16^7),16^8)/16^7)</f>
        <v>1</v>
      </c>
      <c r="D18" s="6" t="str">
        <f>DEC2HEX(MOD(L18-MOD(L18,16^6),16^7)/16^6)</f>
        <v>C</v>
      </c>
      <c r="E18" s="6" t="str">
        <f>DEC2HEX(MOD(L18-MOD(L18,16^5),16^6)/16^5)</f>
        <v>C</v>
      </c>
      <c r="F18" s="6" t="str">
        <f>DEC2HEX(MOD(L18-MOD(L18,16^4),16^5)/16^4)</f>
        <v>C</v>
      </c>
      <c r="G18" s="6" t="str">
        <f>DEC2HEX(MOD(L18-MOD(L18,16^3),16^4)/16^3)</f>
        <v>1</v>
      </c>
      <c r="H18" s="6" t="str">
        <f>DEC2HEX(MOD(L18-MOD(L18,16^2),16^3)/16^2)</f>
        <v>7</v>
      </c>
      <c r="I18" s="6" t="str">
        <f>DEC2HEX(MOD(L18-MOD(L18,16),16^2)/16)</f>
        <v>C</v>
      </c>
      <c r="J18" s="6" t="str">
        <f>DEC2HEX(MOD(L18,16))</f>
        <v>C</v>
      </c>
      <c r="K18" s="7" t="s">
        <v>155</v>
      </c>
      <c r="L18" s="5">
        <f>HEX2DEC(K18)</f>
        <v>73497581516</v>
      </c>
    </row>
    <row r="19" spans="1:12" x14ac:dyDescent="0.35">
      <c r="A19" s="2">
        <f>HEX2DEC(A18)</f>
        <v>1</v>
      </c>
      <c r="B19" s="2">
        <f t="shared" ref="B19" si="2">HEX2DEC(B18)</f>
        <v>1</v>
      </c>
      <c r="C19" s="2">
        <f t="shared" ref="C19" si="3">HEX2DEC(C18)</f>
        <v>1</v>
      </c>
      <c r="D19" s="2">
        <f t="shared" ref="D19" si="4">HEX2DEC(D18)</f>
        <v>12</v>
      </c>
      <c r="E19" s="2">
        <f t="shared" ref="E19" si="5">HEX2DEC(E18)</f>
        <v>12</v>
      </c>
      <c r="F19" s="2">
        <f t="shared" ref="F19" si="6">HEX2DEC(F18)</f>
        <v>12</v>
      </c>
      <c r="G19" s="2">
        <f t="shared" ref="G19" si="7">HEX2DEC(G18)</f>
        <v>1</v>
      </c>
      <c r="H19" s="2">
        <f t="shared" ref="H19" si="8">HEX2DEC(H18)</f>
        <v>7</v>
      </c>
      <c r="I19" s="2">
        <f t="shared" ref="I19" si="9">HEX2DEC(I18)</f>
        <v>12</v>
      </c>
      <c r="J19" s="2">
        <f t="shared" ref="J19" si="10">HEX2DEC(J18)</f>
        <v>12</v>
      </c>
      <c r="K19" s="492" t="s">
        <v>189</v>
      </c>
      <c r="L19" s="492"/>
    </row>
    <row r="20" spans="1:12" x14ac:dyDescent="0.35">
      <c r="A20" s="2" t="str">
        <f>HEX2BIN(A18,4)</f>
        <v>0001</v>
      </c>
      <c r="B20" s="2" t="str">
        <f t="shared" ref="B20:J20" si="11">HEX2BIN(B18,4)</f>
        <v>0001</v>
      </c>
      <c r="C20" s="2" t="str">
        <f t="shared" si="11"/>
        <v>0001</v>
      </c>
      <c r="D20" s="2" t="str">
        <f t="shared" si="11"/>
        <v>1100</v>
      </c>
      <c r="E20" s="2" t="str">
        <f t="shared" si="11"/>
        <v>1100</v>
      </c>
      <c r="F20" s="2" t="str">
        <f t="shared" si="11"/>
        <v>1100</v>
      </c>
      <c r="G20" s="2" t="str">
        <f t="shared" si="11"/>
        <v>0001</v>
      </c>
      <c r="H20" s="2" t="str">
        <f t="shared" si="11"/>
        <v>0111</v>
      </c>
      <c r="I20" s="2" t="str">
        <f t="shared" si="11"/>
        <v>1100</v>
      </c>
      <c r="J20" s="2" t="str">
        <f t="shared" si="11"/>
        <v>1100</v>
      </c>
      <c r="K20" s="492"/>
      <c r="L20" s="492"/>
    </row>
    <row r="22" spans="1:12" ht="15" x14ac:dyDescent="0.25">
      <c r="A22" t="s">
        <v>0</v>
      </c>
      <c r="B22">
        <f>MOD(A19,4)</f>
        <v>1</v>
      </c>
      <c r="C22">
        <f>2^B22*25</f>
        <v>50</v>
      </c>
      <c r="D22" t="s">
        <v>9</v>
      </c>
      <c r="E22" t="s">
        <v>139</v>
      </c>
      <c r="F22">
        <f>C22*C24*10^-3</f>
        <v>1.75</v>
      </c>
      <c r="G22" t="s">
        <v>142</v>
      </c>
    </row>
    <row r="23" spans="1:12" ht="15" x14ac:dyDescent="0.25">
      <c r="A23" t="s">
        <v>1</v>
      </c>
      <c r="B23">
        <f>MOD(B19,4)</f>
        <v>1</v>
      </c>
      <c r="C23">
        <f>2^B23*25</f>
        <v>50</v>
      </c>
      <c r="D23" t="s">
        <v>9</v>
      </c>
      <c r="E23" t="s">
        <v>140</v>
      </c>
      <c r="F23">
        <f>1/(2*PI()*C24*10^3*C25*10^-12*4*10^6*C22*10^-6)/1000</f>
        <v>6.0630454511198231</v>
      </c>
      <c r="G23" t="s">
        <v>11</v>
      </c>
    </row>
    <row r="24" spans="1:12" ht="15" x14ac:dyDescent="0.25">
      <c r="A24" t="s">
        <v>2</v>
      </c>
      <c r="B24">
        <f>4*C19+(D19-MOD(D19,4))/4</f>
        <v>7</v>
      </c>
      <c r="C24">
        <f>B24*5</f>
        <v>35</v>
      </c>
      <c r="D24" t="s">
        <v>94</v>
      </c>
      <c r="E24" t="s">
        <v>141</v>
      </c>
      <c r="F24">
        <f>1/(2*PI()*C24*10^3*C26*10^-12)/1000</f>
        <v>121.26090902239646</v>
      </c>
      <c r="G24" t="s">
        <v>11</v>
      </c>
    </row>
    <row r="25" spans="1:12" ht="15" x14ac:dyDescent="0.25">
      <c r="A25" t="s">
        <v>3</v>
      </c>
      <c r="B25">
        <f>4*MOD(D19,4)+(E19-MOD(E19,4))/4</f>
        <v>3</v>
      </c>
      <c r="C25">
        <f>B25*1.25</f>
        <v>3.75</v>
      </c>
      <c r="D25" t="s">
        <v>10</v>
      </c>
      <c r="E25" t="s">
        <v>113</v>
      </c>
      <c r="F25">
        <f>C25*C22*4</f>
        <v>750</v>
      </c>
      <c r="G25" t="s">
        <v>10</v>
      </c>
    </row>
    <row r="26" spans="1:12" ht="15" x14ac:dyDescent="0.25">
      <c r="A26" t="s">
        <v>4</v>
      </c>
      <c r="B26">
        <f>8*MOD(E19,4)+(F19-MOD(F19,2))/2</f>
        <v>6</v>
      </c>
      <c r="C26">
        <f>B26*'Compensation References'!H$3</f>
        <v>37.5</v>
      </c>
      <c r="D26" t="s">
        <v>10</v>
      </c>
    </row>
    <row r="27" spans="1:12" ht="15" x14ac:dyDescent="0.25">
      <c r="A27" t="s">
        <v>5</v>
      </c>
      <c r="B27">
        <f>4*G19+(H19-MOD(H19,4))/4</f>
        <v>5</v>
      </c>
      <c r="C27">
        <f>B27*5</f>
        <v>25</v>
      </c>
      <c r="D27" t="s">
        <v>94</v>
      </c>
      <c r="E27" t="s">
        <v>143</v>
      </c>
      <c r="F27">
        <f>C23*C27*10^-3</f>
        <v>1.25</v>
      </c>
      <c r="G27" t="s">
        <v>142</v>
      </c>
    </row>
    <row r="28" spans="1:12" ht="15" x14ac:dyDescent="0.25">
      <c r="A28" t="s">
        <v>6</v>
      </c>
      <c r="B28">
        <f>4*MOD(H19,4)+(I19-MOD(I19,4))/4</f>
        <v>15</v>
      </c>
      <c r="C28">
        <f>B28*'Compensation References'!J$3</f>
        <v>4.9950000000000001</v>
      </c>
      <c r="D28" t="s">
        <v>10</v>
      </c>
      <c r="E28" t="s">
        <v>149</v>
      </c>
      <c r="F28">
        <f>1/(2*PI()*C23*C30*10^-3*C28*C27*10^-12*10^3)/1000</f>
        <v>31.862851469848916</v>
      </c>
      <c r="G28" t="s">
        <v>11</v>
      </c>
    </row>
    <row r="29" spans="1:12" ht="15" x14ac:dyDescent="0.25">
      <c r="A29" t="s">
        <v>7</v>
      </c>
      <c r="B29">
        <f>8*MOD(I19,4)+(J19-MOD(J19,2))/2</f>
        <v>6</v>
      </c>
      <c r="C29">
        <f>B29*3.2</f>
        <v>19.200000000000003</v>
      </c>
      <c r="D29" t="s">
        <v>10</v>
      </c>
      <c r="E29" t="s">
        <v>150</v>
      </c>
      <c r="F29">
        <f>1/(2*PI()*C27*10^3*C29*10^-12)/1000</f>
        <v>331.57279810811519</v>
      </c>
      <c r="G29" t="s">
        <v>11</v>
      </c>
    </row>
    <row r="30" spans="1:12" ht="15" x14ac:dyDescent="0.25">
      <c r="A30" t="s">
        <v>117</v>
      </c>
      <c r="B30">
        <f>MOD(J19,2)</f>
        <v>0</v>
      </c>
      <c r="C30">
        <f>(B30+1)*800</f>
        <v>800</v>
      </c>
      <c r="D30" t="s">
        <v>94</v>
      </c>
      <c r="E30" t="s">
        <v>112</v>
      </c>
      <c r="F30">
        <f>C28*C30*C23/1000</f>
        <v>199.8</v>
      </c>
      <c r="G30" t="s">
        <v>10</v>
      </c>
    </row>
    <row r="33" spans="1:12" ht="15" x14ac:dyDescent="0.25">
      <c r="A33" s="493" t="s">
        <v>144</v>
      </c>
      <c r="B33" s="493"/>
      <c r="C33" s="493" t="s">
        <v>145</v>
      </c>
      <c r="D33" s="493"/>
      <c r="E33" s="493" t="s">
        <v>146</v>
      </c>
      <c r="F33" s="493"/>
      <c r="G33" s="493" t="s">
        <v>147</v>
      </c>
      <c r="H33" s="493"/>
      <c r="I33" s="493" t="s">
        <v>148</v>
      </c>
      <c r="J33" s="493"/>
      <c r="K33" s="5" t="s">
        <v>187</v>
      </c>
      <c r="L33" s="5" t="s">
        <v>186</v>
      </c>
    </row>
    <row r="34" spans="1:12" ht="15" x14ac:dyDescent="0.25">
      <c r="A34" s="6" t="str">
        <f>DEC2HEX(MOD(L34-MOD(L34,16^9),16^10)/16^9)</f>
        <v>0</v>
      </c>
      <c r="B34" s="6" t="str">
        <f>DEC2HEX(MOD(L34-MOD(L34,16^8),16^9)/16^8)</f>
        <v>1</v>
      </c>
      <c r="C34" s="6" t="str">
        <f>DEC2HEX(MOD(L34-MOD(L34,16^7),16^8)/16^7)</f>
        <v>3</v>
      </c>
      <c r="D34" s="6" t="str">
        <f>DEC2HEX(MOD(L34-MOD(L34,16^6),16^7)/16^6)</f>
        <v>D</v>
      </c>
      <c r="E34" s="6" t="str">
        <f>DEC2HEX(MOD(L34-MOD(L34,16^5),16^6)/16^5)</f>
        <v>0</v>
      </c>
      <c r="F34" s="6" t="str">
        <f>DEC2HEX(MOD(L34-MOD(L34,16^4),16^5)/16^4)</f>
        <v>4</v>
      </c>
      <c r="G34" s="6" t="str">
        <f>DEC2HEX(MOD(L34-MOD(L34,16^3),16^4)/16^3)</f>
        <v>4</v>
      </c>
      <c r="H34" s="6" t="str">
        <f>DEC2HEX(MOD(L34-MOD(L34,16^2),16^3)/16^2)</f>
        <v>9</v>
      </c>
      <c r="I34" s="6" t="str">
        <f>DEC2HEX(MOD(L34-MOD(L34,16),16^2)/16)</f>
        <v>4</v>
      </c>
      <c r="J34" s="6" t="str">
        <f>DEC2HEX(MOD(L34,16))</f>
        <v>2</v>
      </c>
      <c r="K34" s="7" t="s">
        <v>184</v>
      </c>
      <c r="L34" s="5">
        <f>HEX2DEC(K34)</f>
        <v>5318658370</v>
      </c>
    </row>
    <row r="35" spans="1:12" x14ac:dyDescent="0.35">
      <c r="A35" s="3">
        <f>HEX2DEC(A34)</f>
        <v>0</v>
      </c>
      <c r="B35" s="3">
        <f t="shared" ref="B35:J35" si="12">HEX2DEC(B34)</f>
        <v>1</v>
      </c>
      <c r="C35" s="3">
        <f t="shared" si="12"/>
        <v>3</v>
      </c>
      <c r="D35" s="3">
        <f t="shared" si="12"/>
        <v>13</v>
      </c>
      <c r="E35" s="3">
        <f t="shared" si="12"/>
        <v>0</v>
      </c>
      <c r="F35" s="3">
        <f t="shared" si="12"/>
        <v>4</v>
      </c>
      <c r="G35" s="3">
        <f t="shared" si="12"/>
        <v>4</v>
      </c>
      <c r="H35" s="3">
        <f t="shared" si="12"/>
        <v>9</v>
      </c>
      <c r="I35" s="3">
        <f t="shared" si="12"/>
        <v>4</v>
      </c>
      <c r="J35" s="3">
        <f t="shared" si="12"/>
        <v>2</v>
      </c>
      <c r="K35" s="492" t="s">
        <v>189</v>
      </c>
      <c r="L35" s="492"/>
    </row>
    <row r="36" spans="1:12" x14ac:dyDescent="0.35">
      <c r="A36" s="3" t="str">
        <f>HEX2BIN(A34,4)</f>
        <v>0000</v>
      </c>
      <c r="B36" s="3" t="str">
        <f t="shared" ref="B36:J36" si="13">HEX2BIN(B34,4)</f>
        <v>0001</v>
      </c>
      <c r="C36" s="3" t="str">
        <f t="shared" si="13"/>
        <v>0011</v>
      </c>
      <c r="D36" s="3" t="str">
        <f t="shared" si="13"/>
        <v>1101</v>
      </c>
      <c r="E36" s="3" t="str">
        <f t="shared" si="13"/>
        <v>0000</v>
      </c>
      <c r="F36" s="3" t="str">
        <f t="shared" si="13"/>
        <v>0100</v>
      </c>
      <c r="G36" s="3" t="str">
        <f t="shared" si="13"/>
        <v>0100</v>
      </c>
      <c r="H36" s="3" t="str">
        <f t="shared" si="13"/>
        <v>1001</v>
      </c>
      <c r="I36" s="3" t="str">
        <f t="shared" si="13"/>
        <v>0100</v>
      </c>
      <c r="J36" s="3" t="str">
        <f t="shared" si="13"/>
        <v>0010</v>
      </c>
      <c r="K36" s="492"/>
      <c r="L36" s="492"/>
    </row>
    <row r="38" spans="1:12" x14ac:dyDescent="0.35">
      <c r="A38" t="s">
        <v>0</v>
      </c>
      <c r="B38">
        <f>MOD(A35,4)</f>
        <v>0</v>
      </c>
      <c r="C38">
        <f>2^B38*25</f>
        <v>25</v>
      </c>
      <c r="D38" t="s">
        <v>9</v>
      </c>
      <c r="E38" t="s">
        <v>139</v>
      </c>
      <c r="F38">
        <f>C38*C40*10^-3</f>
        <v>1.875</v>
      </c>
      <c r="G38" t="s">
        <v>142</v>
      </c>
    </row>
    <row r="39" spans="1:12" x14ac:dyDescent="0.35">
      <c r="A39" t="s">
        <v>1</v>
      </c>
      <c r="B39">
        <f>MOD(B35,4)</f>
        <v>1</v>
      </c>
      <c r="C39">
        <f>2^B39*25</f>
        <v>50</v>
      </c>
      <c r="D39" t="s">
        <v>9</v>
      </c>
      <c r="E39" t="s">
        <v>140</v>
      </c>
      <c r="F39">
        <f>1/(2*PI()*C40*10^3*C41*10^-12*4*10^6*C38*10^-6)/1000</f>
        <v>4.2441318157838763</v>
      </c>
      <c r="G39" t="s">
        <v>11</v>
      </c>
    </row>
    <row r="40" spans="1:12" x14ac:dyDescent="0.35">
      <c r="A40" t="s">
        <v>2</v>
      </c>
      <c r="B40">
        <f>4*C35+(D35-MOD(D35,4))/4</f>
        <v>15</v>
      </c>
      <c r="C40">
        <f>B40*5</f>
        <v>75</v>
      </c>
      <c r="D40" t="s">
        <v>94</v>
      </c>
      <c r="E40" t="s">
        <v>141</v>
      </c>
      <c r="F40">
        <f>1/(2*PI()*C40*10^3*C42*10^-12)/1000</f>
        <v>169.76527263135503</v>
      </c>
      <c r="G40" t="s">
        <v>11</v>
      </c>
    </row>
    <row r="41" spans="1:12" x14ac:dyDescent="0.35">
      <c r="A41" t="s">
        <v>3</v>
      </c>
      <c r="B41">
        <f>4*MOD(D35,4)+(E35-MOD(E35,4))/4</f>
        <v>4</v>
      </c>
      <c r="C41">
        <f>B41*1.25</f>
        <v>5</v>
      </c>
      <c r="D41" t="s">
        <v>10</v>
      </c>
      <c r="E41" t="s">
        <v>113</v>
      </c>
      <c r="F41">
        <f>C41*C38*4</f>
        <v>500</v>
      </c>
      <c r="G41" t="s">
        <v>10</v>
      </c>
    </row>
    <row r="42" spans="1:12" x14ac:dyDescent="0.35">
      <c r="A42" t="s">
        <v>4</v>
      </c>
      <c r="B42">
        <f>8*MOD(E35,4)+(F35-MOD(F35,2))/2</f>
        <v>2</v>
      </c>
      <c r="C42">
        <f>B42*'Compensation References'!H$3</f>
        <v>12.5</v>
      </c>
      <c r="D42" t="s">
        <v>10</v>
      </c>
    </row>
    <row r="43" spans="1:12" x14ac:dyDescent="0.35">
      <c r="A43" t="s">
        <v>5</v>
      </c>
      <c r="B43">
        <f>4*G35+(H35-MOD(H35,4))/4</f>
        <v>18</v>
      </c>
      <c r="C43">
        <f>B43*5</f>
        <v>90</v>
      </c>
      <c r="D43" t="s">
        <v>94</v>
      </c>
      <c r="E43" t="s">
        <v>143</v>
      </c>
      <c r="F43">
        <f>C39*C43*10^-3</f>
        <v>4.5</v>
      </c>
      <c r="G43" t="s">
        <v>142</v>
      </c>
    </row>
    <row r="44" spans="1:12" x14ac:dyDescent="0.35">
      <c r="A44" t="s">
        <v>6</v>
      </c>
      <c r="B44">
        <f>4*MOD(H35,4)+(I35-MOD(I35,4))/4</f>
        <v>5</v>
      </c>
      <c r="C44">
        <f>B44*'Compensation References'!J$3</f>
        <v>1.665</v>
      </c>
      <c r="D44" t="s">
        <v>10</v>
      </c>
      <c r="E44" t="s">
        <v>149</v>
      </c>
      <c r="F44">
        <f>1/(2*PI()*C39*C46*10^-3*C44*C43*10^-12*10^3)/1000</f>
        <v>26.552376224874095</v>
      </c>
      <c r="G44" t="s">
        <v>11</v>
      </c>
    </row>
    <row r="45" spans="1:12" x14ac:dyDescent="0.35">
      <c r="A45" t="s">
        <v>7</v>
      </c>
      <c r="B45">
        <f>8*MOD(I35,4)+(J35-MOD(J35,2))/2</f>
        <v>1</v>
      </c>
      <c r="C45">
        <f>B45*3.2</f>
        <v>3.2</v>
      </c>
      <c r="D45" t="s">
        <v>10</v>
      </c>
      <c r="E45" t="s">
        <v>150</v>
      </c>
      <c r="F45">
        <f>1/(2*PI()*C43*10^3*C45*10^-12)/1000</f>
        <v>552.62133018019199</v>
      </c>
      <c r="G45" t="s">
        <v>11</v>
      </c>
    </row>
    <row r="46" spans="1:12" x14ac:dyDescent="0.35">
      <c r="A46" t="s">
        <v>117</v>
      </c>
      <c r="B46">
        <f>MOD(J35,2)</f>
        <v>0</v>
      </c>
      <c r="C46">
        <f>(B46+1)*800</f>
        <v>800</v>
      </c>
      <c r="D46" t="s">
        <v>94</v>
      </c>
      <c r="E46" t="s">
        <v>112</v>
      </c>
      <c r="F46">
        <f>C44*C46*C39/1000</f>
        <v>66.599999999999994</v>
      </c>
      <c r="G46" t="s">
        <v>10</v>
      </c>
    </row>
  </sheetData>
  <mergeCells count="18">
    <mergeCell ref="A1:B1"/>
    <mergeCell ref="C1:D1"/>
    <mergeCell ref="E1:F1"/>
    <mergeCell ref="G1:H1"/>
    <mergeCell ref="I1:J1"/>
    <mergeCell ref="K3:L4"/>
    <mergeCell ref="K19:L20"/>
    <mergeCell ref="K35:L36"/>
    <mergeCell ref="A33:B33"/>
    <mergeCell ref="C33:D33"/>
    <mergeCell ref="E33:F33"/>
    <mergeCell ref="G33:H33"/>
    <mergeCell ref="I33:J33"/>
    <mergeCell ref="A17:B17"/>
    <mergeCell ref="C17:D17"/>
    <mergeCell ref="E17:F17"/>
    <mergeCell ref="G17:H17"/>
    <mergeCell ref="I17:J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19"/>
  <sheetViews>
    <sheetView workbookViewId="0">
      <selection activeCell="B12" sqref="B12"/>
    </sheetView>
  </sheetViews>
  <sheetFormatPr defaultRowHeight="14.5" x14ac:dyDescent="0.35"/>
  <cols>
    <col min="1" max="1" width="13.7265625" customWidth="1"/>
    <col min="2" max="2" width="23.81640625" bestFit="1" customWidth="1"/>
    <col min="3" max="6" width="13.7265625" customWidth="1"/>
  </cols>
  <sheetData>
    <row r="1" spans="1:6" ht="15" x14ac:dyDescent="0.25">
      <c r="A1" s="496" t="s">
        <v>302</v>
      </c>
      <c r="B1" s="496"/>
      <c r="C1" s="496"/>
      <c r="D1" s="496"/>
      <c r="E1" s="496"/>
      <c r="F1" s="496"/>
    </row>
    <row r="2" spans="1:6" ht="15" x14ac:dyDescent="0.25">
      <c r="A2" s="5" t="s">
        <v>209</v>
      </c>
      <c r="B2" s="5" t="s">
        <v>21</v>
      </c>
      <c r="C2" s="5" t="s">
        <v>303</v>
      </c>
      <c r="D2" s="5" t="s">
        <v>304</v>
      </c>
      <c r="E2" s="5" t="s">
        <v>305</v>
      </c>
      <c r="F2" s="5" t="s">
        <v>306</v>
      </c>
    </row>
    <row r="3" spans="1:6" ht="15" x14ac:dyDescent="0.25">
      <c r="A3" s="5" t="s">
        <v>216</v>
      </c>
      <c r="B3" s="5" t="s">
        <v>240</v>
      </c>
      <c r="C3" s="5" t="s">
        <v>249</v>
      </c>
      <c r="D3" s="5" t="s">
        <v>249</v>
      </c>
      <c r="E3" s="5" t="str">
        <f>VLOOKUP('Pinstrap Reverse Lookup'!C3,'Resistor Selection'!AL$3:AR$20,6,FALSE)</f>
        <v>FLOAT</v>
      </c>
      <c r="F3" s="5">
        <f>VLOOKUP(D3,'Resistor Selection'!AM$5:AQ$20,5,FALSE)</f>
        <v>0</v>
      </c>
    </row>
    <row r="4" spans="1:6" ht="15" x14ac:dyDescent="0.25">
      <c r="A4" s="5" t="s">
        <v>217</v>
      </c>
      <c r="B4" s="5" t="s">
        <v>241</v>
      </c>
      <c r="C4" s="5">
        <v>12100</v>
      </c>
      <c r="D4" s="5">
        <v>18700</v>
      </c>
      <c r="E4" s="5">
        <f>VLOOKUP('Pinstrap Reverse Lookup'!C4,'Resistor Selection'!AL$3:AR$20,6,FALSE)</f>
        <v>5</v>
      </c>
      <c r="F4" s="5">
        <f>VLOOKUP(D4,'Resistor Selection'!AN$5:AQ$20,4,FALSE)</f>
        <v>4</v>
      </c>
    </row>
    <row r="5" spans="1:6" ht="15" x14ac:dyDescent="0.25">
      <c r="A5" s="5" t="s">
        <v>224</v>
      </c>
      <c r="B5" s="5" t="s">
        <v>242</v>
      </c>
      <c r="C5" s="5">
        <v>4640</v>
      </c>
      <c r="D5" s="5">
        <v>9090</v>
      </c>
      <c r="E5" s="5">
        <f>VLOOKUP('Pinstrap Reverse Lookup'!C5,'Resistor Selection'!AL$3:AR$20,6,FALSE)</f>
        <v>0</v>
      </c>
      <c r="F5" s="5">
        <f>VLOOKUP(D5,'Resistor Selection'!AO$5:AQ$20,3,FALSE)</f>
        <v>3</v>
      </c>
    </row>
    <row r="6" spans="1:6" ht="15" x14ac:dyDescent="0.25">
      <c r="A6" s="5" t="s">
        <v>230</v>
      </c>
      <c r="B6" s="5" t="s">
        <v>243</v>
      </c>
      <c r="C6" s="5">
        <v>5620</v>
      </c>
      <c r="D6" s="5">
        <v>18700</v>
      </c>
      <c r="E6" s="5">
        <f>VLOOKUP('Pinstrap Reverse Lookup'!C6,'Resistor Selection'!AL$3:AR$20,6,FALSE)</f>
        <v>1</v>
      </c>
      <c r="F6" s="5">
        <f>VLOOKUP(D6,'Resistor Selection'!AP$5:AQ$20,2,FALSE)</f>
        <v>1</v>
      </c>
    </row>
    <row r="8" spans="1:6" ht="15" x14ac:dyDescent="0.25">
      <c r="A8" s="497" t="s">
        <v>307</v>
      </c>
      <c r="B8" s="497"/>
      <c r="C8" s="497" t="s">
        <v>194</v>
      </c>
      <c r="D8" s="497"/>
      <c r="E8" s="497"/>
    </row>
    <row r="9" spans="1:6" ht="15" x14ac:dyDescent="0.25">
      <c r="A9" s="5" t="s">
        <v>209</v>
      </c>
      <c r="B9" s="5" t="s">
        <v>210</v>
      </c>
      <c r="C9" s="5" t="s">
        <v>21</v>
      </c>
      <c r="D9" s="5" t="s">
        <v>211</v>
      </c>
      <c r="E9" s="5" t="s">
        <v>14</v>
      </c>
    </row>
    <row r="10" spans="1:6" x14ac:dyDescent="0.35">
      <c r="A10" s="494" t="s">
        <v>216</v>
      </c>
      <c r="B10" s="5" t="s">
        <v>123</v>
      </c>
      <c r="C10" s="5"/>
      <c r="D10" s="5"/>
      <c r="E10" s="5" t="str">
        <f>IF(OR(F3='Resistor Selection'!AL4,MOD('Pinstrap Reverse Lookup'!F3,2)=0),'Pinstrap Reverse Lookup'!E3,'Pinstrap Reverse Lookup'!E3+16)</f>
        <v>FLOAT</v>
      </c>
    </row>
    <row r="11" spans="1:6" x14ac:dyDescent="0.35">
      <c r="A11" s="495"/>
      <c r="B11" s="5" t="s">
        <v>36</v>
      </c>
      <c r="C11" s="5"/>
      <c r="D11" s="5" t="s">
        <v>11</v>
      </c>
      <c r="E11" s="5">
        <f>(F3-MOD(F3,2))/2</f>
        <v>0</v>
      </c>
    </row>
    <row r="12" spans="1:6" x14ac:dyDescent="0.35">
      <c r="A12" s="494" t="s">
        <v>217</v>
      </c>
      <c r="B12" s="5" t="s">
        <v>218</v>
      </c>
      <c r="C12" s="5"/>
      <c r="D12" s="5" t="s">
        <v>219</v>
      </c>
      <c r="E12" s="5"/>
    </row>
    <row r="13" spans="1:6" x14ac:dyDescent="0.35">
      <c r="A13" s="498"/>
      <c r="B13" s="5" t="s">
        <v>220</v>
      </c>
      <c r="C13" s="5"/>
      <c r="D13" s="5" t="s">
        <v>26</v>
      </c>
      <c r="E13" s="5"/>
    </row>
    <row r="14" spans="1:6" x14ac:dyDescent="0.35">
      <c r="A14" s="495"/>
      <c r="B14" s="5" t="s">
        <v>223</v>
      </c>
      <c r="C14" s="5"/>
      <c r="D14" s="5"/>
      <c r="E14" s="5"/>
    </row>
    <row r="15" spans="1:6" x14ac:dyDescent="0.35">
      <c r="A15" s="494" t="s">
        <v>224</v>
      </c>
      <c r="B15" s="5" t="s">
        <v>225</v>
      </c>
      <c r="C15" s="5"/>
      <c r="D15" s="5" t="s">
        <v>22</v>
      </c>
      <c r="E15" s="5"/>
    </row>
    <row r="16" spans="1:6" x14ac:dyDescent="0.35">
      <c r="A16" s="498"/>
      <c r="B16" s="5" t="s">
        <v>228</v>
      </c>
      <c r="C16" s="5"/>
      <c r="D16" s="5" t="s">
        <v>22</v>
      </c>
      <c r="E16" s="5"/>
    </row>
    <row r="17" spans="1:5" x14ac:dyDescent="0.35">
      <c r="A17" s="495"/>
      <c r="B17" s="5" t="s">
        <v>229</v>
      </c>
      <c r="C17" s="5"/>
      <c r="D17" s="5"/>
      <c r="E17" s="5"/>
    </row>
    <row r="18" spans="1:5" x14ac:dyDescent="0.35">
      <c r="A18" s="494" t="s">
        <v>230</v>
      </c>
      <c r="B18" s="5" t="s">
        <v>231</v>
      </c>
      <c r="C18" s="5"/>
      <c r="D18" s="5" t="s">
        <v>232</v>
      </c>
      <c r="E18" s="5"/>
    </row>
    <row r="19" spans="1:5" x14ac:dyDescent="0.35">
      <c r="A19" s="495"/>
      <c r="B19" s="5" t="s">
        <v>308</v>
      </c>
      <c r="C19" s="5"/>
      <c r="D19" s="5"/>
      <c r="E19" s="5"/>
    </row>
  </sheetData>
  <mergeCells count="7">
    <mergeCell ref="A18:A19"/>
    <mergeCell ref="A1:F1"/>
    <mergeCell ref="A8:B8"/>
    <mergeCell ref="C8:E8"/>
    <mergeCell ref="A10:A11"/>
    <mergeCell ref="A12:A14"/>
    <mergeCell ref="A15:A1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'Resistor References'!$A$2:$A$4</xm:f>
          </x14:formula1>
          <xm:sqref>C8:E8</xm:sqref>
        </x14:dataValidation>
        <x14:dataValidation type="list" allowBlank="1" showInputMessage="1" showErrorMessage="1">
          <x14:formula1>
            <xm:f>'Resistor Selection'!$AP$4:$AP$20</xm:f>
          </x14:formula1>
          <xm:sqref>D6</xm:sqref>
        </x14:dataValidation>
        <x14:dataValidation type="list" allowBlank="1" showInputMessage="1" showErrorMessage="1">
          <x14:formula1>
            <xm:f>'Resistor Selection'!$AO$4:$AO$20</xm:f>
          </x14:formula1>
          <xm:sqref>D5</xm:sqref>
        </x14:dataValidation>
        <x14:dataValidation type="list" allowBlank="1" showInputMessage="1" showErrorMessage="1">
          <x14:formula1>
            <xm:f>'Resistor Selection'!$AN$4:$AN$20</xm:f>
          </x14:formula1>
          <xm:sqref>D4</xm:sqref>
        </x14:dataValidation>
        <x14:dataValidation type="list" allowBlank="1" showInputMessage="1" showErrorMessage="1">
          <x14:formula1>
            <xm:f>'Resistor Selection'!$AM$4:$AM$20</xm:f>
          </x14:formula1>
          <xm:sqref>D3</xm:sqref>
        </x14:dataValidation>
        <x14:dataValidation type="list" allowBlank="1" showInputMessage="1" showErrorMessage="1">
          <x14:formula1>
            <xm:f>'Resistor Selection'!$AL$3:$AL$20</xm:f>
          </x14:formula1>
          <xm:sqref>C3:C6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65"/>
  <sheetViews>
    <sheetView workbookViewId="0">
      <selection activeCell="C39" sqref="C39"/>
    </sheetView>
  </sheetViews>
  <sheetFormatPr defaultRowHeight="14.5" x14ac:dyDescent="0.35"/>
  <cols>
    <col min="1" max="1" width="11.7265625" bestFit="1" customWidth="1"/>
    <col min="2" max="3" width="11.7265625" customWidth="1"/>
    <col min="18" max="18" width="10.81640625" customWidth="1"/>
  </cols>
  <sheetData>
    <row r="1" spans="1:21" ht="15" x14ac:dyDescent="0.25">
      <c r="A1" t="s">
        <v>193</v>
      </c>
      <c r="B1" t="s">
        <v>197</v>
      </c>
      <c r="C1" t="s">
        <v>198</v>
      </c>
      <c r="D1" t="s">
        <v>13</v>
      </c>
      <c r="E1" t="s">
        <v>1</v>
      </c>
      <c r="F1" t="s">
        <v>2</v>
      </c>
      <c r="G1" t="s">
        <v>3</v>
      </c>
      <c r="H1" t="s">
        <v>4</v>
      </c>
      <c r="I1" t="s">
        <v>5</v>
      </c>
      <c r="J1" t="s">
        <v>6</v>
      </c>
      <c r="K1" t="s">
        <v>7</v>
      </c>
      <c r="L1" t="s">
        <v>8</v>
      </c>
      <c r="M1" t="s">
        <v>127</v>
      </c>
      <c r="N1" t="s">
        <v>112</v>
      </c>
      <c r="O1" t="s">
        <v>113</v>
      </c>
      <c r="P1" t="s">
        <v>14</v>
      </c>
      <c r="Q1" t="s">
        <v>131</v>
      </c>
      <c r="R1" t="s">
        <v>37</v>
      </c>
      <c r="T1" t="s">
        <v>15</v>
      </c>
      <c r="U1" t="s">
        <v>130</v>
      </c>
    </row>
    <row r="2" spans="1:21" ht="15" x14ac:dyDescent="0.25">
      <c r="A2" t="s">
        <v>194</v>
      </c>
      <c r="B2">
        <v>40</v>
      </c>
      <c r="C2">
        <v>6.1550000000000002</v>
      </c>
      <c r="D2">
        <v>25</v>
      </c>
      <c r="E2">
        <v>25</v>
      </c>
      <c r="F2">
        <v>0</v>
      </c>
      <c r="G2">
        <v>0</v>
      </c>
      <c r="H2">
        <v>0</v>
      </c>
      <c r="I2">
        <v>0</v>
      </c>
      <c r="J2">
        <v>0</v>
      </c>
      <c r="K2">
        <v>0</v>
      </c>
      <c r="L2">
        <v>800</v>
      </c>
      <c r="M2">
        <f>L2*'Device Calculator'!E$98/10^3</f>
        <v>80</v>
      </c>
      <c r="N2">
        <f>J2*('Device Calculator'!E$102)</f>
        <v>0</v>
      </c>
      <c r="O2">
        <f>G2*4*10^6*'Device Calculator'!E$114*10^-6</f>
        <v>0</v>
      </c>
      <c r="P2">
        <v>0</v>
      </c>
      <c r="Q2">
        <v>1</v>
      </c>
      <c r="R2">
        <v>225</v>
      </c>
      <c r="T2">
        <v>1</v>
      </c>
      <c r="U2">
        <v>1</v>
      </c>
    </row>
    <row r="3" spans="1:21" ht="15" x14ac:dyDescent="0.25">
      <c r="A3" t="s">
        <v>195</v>
      </c>
      <c r="B3">
        <v>20</v>
      </c>
      <c r="C3">
        <f>6.155*2</f>
        <v>12.31</v>
      </c>
      <c r="D3">
        <v>50</v>
      </c>
      <c r="E3">
        <v>50</v>
      </c>
      <c r="F3">
        <f>F2+5</f>
        <v>5</v>
      </c>
      <c r="G3">
        <f>G2+1.25</f>
        <v>1.25</v>
      </c>
      <c r="H3">
        <f>H2+6.25</f>
        <v>6.25</v>
      </c>
      <c r="I3">
        <f>I2+5</f>
        <v>5</v>
      </c>
      <c r="J3">
        <f>J2+0.333</f>
        <v>0.33300000000000002</v>
      </c>
      <c r="K3">
        <f>K2+3.2</f>
        <v>3.2</v>
      </c>
      <c r="L3">
        <v>1600</v>
      </c>
      <c r="M3">
        <f>L3*'Device Calculator'!E$98/10^3</f>
        <v>160</v>
      </c>
      <c r="N3">
        <f>J3*('Device Calculator'!E$102)</f>
        <v>26.64</v>
      </c>
      <c r="O3">
        <f>G3*4*10^6*'Device Calculator'!E$114*10^-6</f>
        <v>250</v>
      </c>
      <c r="P3">
        <f>P2+1</f>
        <v>1</v>
      </c>
      <c r="Q3">
        <v>2</v>
      </c>
      <c r="R3">
        <v>275</v>
      </c>
      <c r="T3">
        <v>0.5</v>
      </c>
      <c r="U3">
        <v>2</v>
      </c>
    </row>
    <row r="4" spans="1:21" ht="15" x14ac:dyDescent="0.25">
      <c r="A4" t="s">
        <v>196</v>
      </c>
      <c r="B4">
        <v>10</v>
      </c>
      <c r="C4">
        <f>6.155*2</f>
        <v>12.31</v>
      </c>
      <c r="D4">
        <v>100</v>
      </c>
      <c r="E4">
        <v>100</v>
      </c>
      <c r="F4">
        <f t="shared" ref="F4:F65" si="0">F3+5</f>
        <v>10</v>
      </c>
      <c r="G4">
        <f t="shared" ref="G4:G17" si="1">G3+1.25</f>
        <v>2.5</v>
      </c>
      <c r="H4">
        <f t="shared" ref="H4:H33" si="2">H3+6.25</f>
        <v>12.5</v>
      </c>
      <c r="I4">
        <f t="shared" ref="I4:I65" si="3">I3+5</f>
        <v>10</v>
      </c>
      <c r="J4">
        <f t="shared" ref="J4:J17" si="4">J3+0.333</f>
        <v>0.66600000000000004</v>
      </c>
      <c r="K4">
        <f t="shared" ref="K4:K33" si="5">K3+3.2</f>
        <v>6.4</v>
      </c>
      <c r="N4">
        <f>J4*('Device Calculator'!E$102)</f>
        <v>53.28</v>
      </c>
      <c r="O4">
        <f>G4*4*10^6*'Device Calculator'!E$114*10^-6</f>
        <v>500</v>
      </c>
      <c r="P4">
        <f t="shared" ref="P4:P65" si="6">P3+1</f>
        <v>2</v>
      </c>
      <c r="Q4">
        <v>3</v>
      </c>
      <c r="R4">
        <v>325</v>
      </c>
      <c r="T4">
        <v>0.25</v>
      </c>
      <c r="U4">
        <v>3</v>
      </c>
    </row>
    <row r="5" spans="1:21" ht="15" x14ac:dyDescent="0.25">
      <c r="D5">
        <v>200</v>
      </c>
      <c r="E5">
        <v>200</v>
      </c>
      <c r="F5">
        <f t="shared" si="0"/>
        <v>15</v>
      </c>
      <c r="G5">
        <f t="shared" si="1"/>
        <v>3.75</v>
      </c>
      <c r="H5">
        <f t="shared" si="2"/>
        <v>18.75</v>
      </c>
      <c r="I5">
        <f t="shared" si="3"/>
        <v>15</v>
      </c>
      <c r="J5">
        <f t="shared" si="4"/>
        <v>0.99900000000000011</v>
      </c>
      <c r="K5">
        <f t="shared" si="5"/>
        <v>9.6000000000000014</v>
      </c>
      <c r="N5">
        <f>J5*('Device Calculator'!E$102)</f>
        <v>79.920000000000016</v>
      </c>
      <c r="O5">
        <f>G5*4*10^6*'Device Calculator'!E$114*10^-6</f>
        <v>750</v>
      </c>
      <c r="P5">
        <f t="shared" si="6"/>
        <v>3</v>
      </c>
      <c r="Q5">
        <v>4</v>
      </c>
      <c r="R5">
        <v>375</v>
      </c>
      <c r="T5">
        <v>0.125</v>
      </c>
      <c r="U5">
        <v>4</v>
      </c>
    </row>
    <row r="6" spans="1:21" ht="15" x14ac:dyDescent="0.25">
      <c r="F6">
        <f t="shared" si="0"/>
        <v>20</v>
      </c>
      <c r="G6">
        <f t="shared" si="1"/>
        <v>5</v>
      </c>
      <c r="H6">
        <f t="shared" si="2"/>
        <v>25</v>
      </c>
      <c r="I6">
        <f t="shared" si="3"/>
        <v>20</v>
      </c>
      <c r="J6">
        <f t="shared" si="4"/>
        <v>1.3320000000000001</v>
      </c>
      <c r="K6">
        <f t="shared" si="5"/>
        <v>12.8</v>
      </c>
      <c r="N6">
        <f>J6*('Device Calculator'!E$102)</f>
        <v>106.56</v>
      </c>
      <c r="O6">
        <f>G6*4*10^6*'Device Calculator'!E$114*10^-6</f>
        <v>1000</v>
      </c>
      <c r="P6">
        <f t="shared" si="6"/>
        <v>4</v>
      </c>
      <c r="R6">
        <f>R2*2</f>
        <v>450</v>
      </c>
    </row>
    <row r="7" spans="1:21" ht="15" x14ac:dyDescent="0.25">
      <c r="F7">
        <f t="shared" si="0"/>
        <v>25</v>
      </c>
      <c r="G7">
        <f t="shared" si="1"/>
        <v>6.25</v>
      </c>
      <c r="H7">
        <f t="shared" si="2"/>
        <v>31.25</v>
      </c>
      <c r="I7">
        <f t="shared" si="3"/>
        <v>25</v>
      </c>
      <c r="J7">
        <f t="shared" si="4"/>
        <v>1.665</v>
      </c>
      <c r="K7">
        <f t="shared" si="5"/>
        <v>16</v>
      </c>
      <c r="N7">
        <f>J7*('Device Calculator'!E$102)</f>
        <v>133.19999999999999</v>
      </c>
      <c r="O7">
        <f>G7*4*10^6*'Device Calculator'!E$114*10^-6</f>
        <v>1250</v>
      </c>
      <c r="P7">
        <f t="shared" si="6"/>
        <v>5</v>
      </c>
      <c r="R7">
        <f t="shared" ref="R7:R17" si="7">R3*2</f>
        <v>550</v>
      </c>
    </row>
    <row r="8" spans="1:21" ht="15" x14ac:dyDescent="0.25">
      <c r="F8">
        <f t="shared" si="0"/>
        <v>30</v>
      </c>
      <c r="G8">
        <f t="shared" si="1"/>
        <v>7.5</v>
      </c>
      <c r="H8">
        <f t="shared" si="2"/>
        <v>37.5</v>
      </c>
      <c r="I8">
        <f t="shared" si="3"/>
        <v>30</v>
      </c>
      <c r="J8">
        <f t="shared" si="4"/>
        <v>1.998</v>
      </c>
      <c r="K8">
        <f t="shared" si="5"/>
        <v>19.2</v>
      </c>
      <c r="N8">
        <f>J8*('Device Calculator'!E$102)</f>
        <v>159.84</v>
      </c>
      <c r="O8">
        <f>G8*4*10^6*'Device Calculator'!E$114*10^-6</f>
        <v>1500</v>
      </c>
      <c r="P8">
        <f t="shared" si="6"/>
        <v>6</v>
      </c>
      <c r="R8">
        <f t="shared" si="7"/>
        <v>650</v>
      </c>
    </row>
    <row r="9" spans="1:21" ht="15" x14ac:dyDescent="0.25">
      <c r="F9">
        <f t="shared" si="0"/>
        <v>35</v>
      </c>
      <c r="G9">
        <f t="shared" si="1"/>
        <v>8.75</v>
      </c>
      <c r="H9">
        <f t="shared" si="2"/>
        <v>43.75</v>
      </c>
      <c r="I9">
        <f t="shared" si="3"/>
        <v>35</v>
      </c>
      <c r="J9">
        <f t="shared" si="4"/>
        <v>2.331</v>
      </c>
      <c r="K9">
        <f t="shared" si="5"/>
        <v>22.4</v>
      </c>
      <c r="N9">
        <f>J9*('Device Calculator'!E$102)</f>
        <v>186.48</v>
      </c>
      <c r="O9">
        <f>G9*4*10^6*'Device Calculator'!E$114*10^-6</f>
        <v>1750</v>
      </c>
      <c r="P9">
        <f t="shared" si="6"/>
        <v>7</v>
      </c>
      <c r="R9">
        <f t="shared" si="7"/>
        <v>750</v>
      </c>
    </row>
    <row r="10" spans="1:21" ht="15" x14ac:dyDescent="0.25">
      <c r="F10">
        <f t="shared" si="0"/>
        <v>40</v>
      </c>
      <c r="G10">
        <f t="shared" si="1"/>
        <v>10</v>
      </c>
      <c r="H10">
        <f t="shared" si="2"/>
        <v>50</v>
      </c>
      <c r="I10">
        <f t="shared" si="3"/>
        <v>40</v>
      </c>
      <c r="J10">
        <f t="shared" si="4"/>
        <v>2.6640000000000001</v>
      </c>
      <c r="K10">
        <f t="shared" si="5"/>
        <v>25.599999999999998</v>
      </c>
      <c r="N10">
        <f>J10*('Device Calculator'!E$102)</f>
        <v>213.12</v>
      </c>
      <c r="O10">
        <f>G10*4*10^6*'Device Calculator'!E$114*10^-6</f>
        <v>2000</v>
      </c>
      <c r="P10">
        <f t="shared" si="6"/>
        <v>8</v>
      </c>
      <c r="R10">
        <f t="shared" si="7"/>
        <v>900</v>
      </c>
    </row>
    <row r="11" spans="1:21" ht="15" x14ac:dyDescent="0.25">
      <c r="F11">
        <f t="shared" si="0"/>
        <v>45</v>
      </c>
      <c r="G11">
        <f t="shared" si="1"/>
        <v>11.25</v>
      </c>
      <c r="H11">
        <f t="shared" si="2"/>
        <v>56.25</v>
      </c>
      <c r="I11">
        <f t="shared" si="3"/>
        <v>45</v>
      </c>
      <c r="J11">
        <f t="shared" si="4"/>
        <v>2.9970000000000003</v>
      </c>
      <c r="K11">
        <f t="shared" si="5"/>
        <v>28.799999999999997</v>
      </c>
      <c r="N11">
        <f>J11*('Device Calculator'!E$102)</f>
        <v>239.76000000000002</v>
      </c>
      <c r="O11">
        <f>G11*4*10^6*'Device Calculator'!E$114*10^-6</f>
        <v>2250</v>
      </c>
      <c r="P11">
        <f t="shared" si="6"/>
        <v>9</v>
      </c>
      <c r="R11">
        <f t="shared" si="7"/>
        <v>1100</v>
      </c>
    </row>
    <row r="12" spans="1:21" ht="15" x14ac:dyDescent="0.25">
      <c r="F12">
        <f t="shared" si="0"/>
        <v>50</v>
      </c>
      <c r="G12">
        <f t="shared" si="1"/>
        <v>12.5</v>
      </c>
      <c r="H12">
        <f t="shared" si="2"/>
        <v>62.5</v>
      </c>
      <c r="I12">
        <f t="shared" si="3"/>
        <v>50</v>
      </c>
      <c r="J12">
        <f t="shared" si="4"/>
        <v>3.3300000000000005</v>
      </c>
      <c r="K12">
        <f t="shared" si="5"/>
        <v>31.999999999999996</v>
      </c>
      <c r="N12">
        <f>J12*('Device Calculator'!E$102)</f>
        <v>266.40000000000003</v>
      </c>
      <c r="O12">
        <f>G12*4*10^6*'Device Calculator'!E$114*10^-6</f>
        <v>2500</v>
      </c>
      <c r="P12">
        <f t="shared" si="6"/>
        <v>10</v>
      </c>
      <c r="R12">
        <f t="shared" si="7"/>
        <v>1300</v>
      </c>
    </row>
    <row r="13" spans="1:21" ht="15" x14ac:dyDescent="0.25">
      <c r="F13">
        <f t="shared" si="0"/>
        <v>55</v>
      </c>
      <c r="G13">
        <f t="shared" si="1"/>
        <v>13.75</v>
      </c>
      <c r="H13">
        <f t="shared" si="2"/>
        <v>68.75</v>
      </c>
      <c r="I13">
        <f t="shared" si="3"/>
        <v>55</v>
      </c>
      <c r="J13">
        <f t="shared" si="4"/>
        <v>3.6630000000000007</v>
      </c>
      <c r="K13">
        <f t="shared" si="5"/>
        <v>35.199999999999996</v>
      </c>
      <c r="N13">
        <f>J13*('Device Calculator'!E$102)</f>
        <v>293.04000000000008</v>
      </c>
      <c r="O13">
        <f>G13*4*10^6*'Device Calculator'!E$114*10^-6</f>
        <v>2750</v>
      </c>
      <c r="P13">
        <f t="shared" si="6"/>
        <v>11</v>
      </c>
      <c r="R13">
        <f t="shared" si="7"/>
        <v>1500</v>
      </c>
    </row>
    <row r="14" spans="1:21" ht="15" x14ac:dyDescent="0.25">
      <c r="F14">
        <f t="shared" si="0"/>
        <v>60</v>
      </c>
      <c r="G14">
        <f t="shared" si="1"/>
        <v>15</v>
      </c>
      <c r="H14">
        <f t="shared" si="2"/>
        <v>75</v>
      </c>
      <c r="I14">
        <f t="shared" si="3"/>
        <v>60</v>
      </c>
      <c r="J14">
        <f t="shared" si="4"/>
        <v>3.9960000000000009</v>
      </c>
      <c r="K14">
        <f t="shared" si="5"/>
        <v>38.4</v>
      </c>
      <c r="N14">
        <f>J14*('Device Calculator'!E$102)</f>
        <v>319.68000000000006</v>
      </c>
      <c r="O14">
        <f>G14*4*10^6*'Device Calculator'!E$114*10^-6</f>
        <v>3000</v>
      </c>
      <c r="P14">
        <f t="shared" si="6"/>
        <v>12</v>
      </c>
      <c r="R14">
        <f t="shared" si="7"/>
        <v>1800</v>
      </c>
    </row>
    <row r="15" spans="1:21" ht="15" x14ac:dyDescent="0.25">
      <c r="F15">
        <f t="shared" si="0"/>
        <v>65</v>
      </c>
      <c r="G15">
        <f t="shared" si="1"/>
        <v>16.25</v>
      </c>
      <c r="H15">
        <f t="shared" si="2"/>
        <v>81.25</v>
      </c>
      <c r="I15">
        <f t="shared" si="3"/>
        <v>65</v>
      </c>
      <c r="J15">
        <f t="shared" si="4"/>
        <v>4.3290000000000006</v>
      </c>
      <c r="K15">
        <f t="shared" si="5"/>
        <v>41.6</v>
      </c>
      <c r="N15">
        <f>J15*('Device Calculator'!E$102)</f>
        <v>346.32000000000005</v>
      </c>
      <c r="O15">
        <f>G15*4*10^6*'Device Calculator'!E$114*10^-6</f>
        <v>3250</v>
      </c>
      <c r="P15">
        <f t="shared" si="6"/>
        <v>13</v>
      </c>
      <c r="R15">
        <f t="shared" si="7"/>
        <v>2200</v>
      </c>
    </row>
    <row r="16" spans="1:21" ht="15" x14ac:dyDescent="0.25">
      <c r="F16">
        <f t="shared" si="0"/>
        <v>70</v>
      </c>
      <c r="G16">
        <f t="shared" si="1"/>
        <v>17.5</v>
      </c>
      <c r="H16">
        <f t="shared" si="2"/>
        <v>87.5</v>
      </c>
      <c r="I16">
        <f t="shared" si="3"/>
        <v>70</v>
      </c>
      <c r="J16">
        <f t="shared" si="4"/>
        <v>4.6620000000000008</v>
      </c>
      <c r="K16">
        <f t="shared" si="5"/>
        <v>44.800000000000004</v>
      </c>
      <c r="N16">
        <f>J16*('Device Calculator'!E$102)</f>
        <v>372.96000000000004</v>
      </c>
      <c r="O16">
        <f>G16*4*10^6*'Device Calculator'!E$114*10^-6</f>
        <v>3500</v>
      </c>
      <c r="P16">
        <f t="shared" si="6"/>
        <v>14</v>
      </c>
      <c r="R16">
        <f t="shared" si="7"/>
        <v>2600</v>
      </c>
    </row>
    <row r="17" spans="6:18" ht="15" x14ac:dyDescent="0.25">
      <c r="F17">
        <f t="shared" si="0"/>
        <v>75</v>
      </c>
      <c r="G17">
        <f t="shared" si="1"/>
        <v>18.75</v>
      </c>
      <c r="H17">
        <f t="shared" si="2"/>
        <v>93.75</v>
      </c>
      <c r="I17">
        <f t="shared" si="3"/>
        <v>75</v>
      </c>
      <c r="J17">
        <f t="shared" si="4"/>
        <v>4.995000000000001</v>
      </c>
      <c r="K17">
        <f t="shared" si="5"/>
        <v>48.000000000000007</v>
      </c>
      <c r="N17">
        <f>J17*('Device Calculator'!E$102)</f>
        <v>399.60000000000008</v>
      </c>
      <c r="O17">
        <f>G17*4*10^6*'Device Calculator'!E$114*10^-6</f>
        <v>3750</v>
      </c>
      <c r="P17">
        <f t="shared" si="6"/>
        <v>15</v>
      </c>
      <c r="R17">
        <f t="shared" si="7"/>
        <v>3000</v>
      </c>
    </row>
    <row r="18" spans="6:18" ht="15" x14ac:dyDescent="0.25">
      <c r="F18">
        <f t="shared" si="0"/>
        <v>80</v>
      </c>
      <c r="H18">
        <f t="shared" si="2"/>
        <v>100</v>
      </c>
      <c r="I18">
        <f t="shared" si="3"/>
        <v>80</v>
      </c>
      <c r="K18">
        <f t="shared" si="5"/>
        <v>51.20000000000001</v>
      </c>
      <c r="P18">
        <f t="shared" si="6"/>
        <v>16</v>
      </c>
    </row>
    <row r="19" spans="6:18" ht="15" x14ac:dyDescent="0.25">
      <c r="F19">
        <f t="shared" si="0"/>
        <v>85</v>
      </c>
      <c r="H19">
        <f t="shared" si="2"/>
        <v>106.25</v>
      </c>
      <c r="I19">
        <f t="shared" si="3"/>
        <v>85</v>
      </c>
      <c r="K19">
        <f t="shared" si="5"/>
        <v>54.400000000000013</v>
      </c>
      <c r="P19">
        <f t="shared" si="6"/>
        <v>17</v>
      </c>
    </row>
    <row r="20" spans="6:18" ht="15" x14ac:dyDescent="0.25">
      <c r="F20">
        <f t="shared" si="0"/>
        <v>90</v>
      </c>
      <c r="H20">
        <f t="shared" si="2"/>
        <v>112.5</v>
      </c>
      <c r="I20">
        <f t="shared" si="3"/>
        <v>90</v>
      </c>
      <c r="K20">
        <f t="shared" si="5"/>
        <v>57.600000000000016</v>
      </c>
      <c r="P20">
        <f t="shared" si="6"/>
        <v>18</v>
      </c>
    </row>
    <row r="21" spans="6:18" ht="15" x14ac:dyDescent="0.25">
      <c r="F21">
        <f t="shared" si="0"/>
        <v>95</v>
      </c>
      <c r="H21">
        <f t="shared" si="2"/>
        <v>118.75</v>
      </c>
      <c r="I21">
        <f t="shared" si="3"/>
        <v>95</v>
      </c>
      <c r="K21">
        <f t="shared" si="5"/>
        <v>60.800000000000018</v>
      </c>
      <c r="P21">
        <f t="shared" si="6"/>
        <v>19</v>
      </c>
    </row>
    <row r="22" spans="6:18" ht="15" x14ac:dyDescent="0.25">
      <c r="F22">
        <f t="shared" si="0"/>
        <v>100</v>
      </c>
      <c r="H22">
        <f t="shared" si="2"/>
        <v>125</v>
      </c>
      <c r="I22">
        <f t="shared" si="3"/>
        <v>100</v>
      </c>
      <c r="K22">
        <f t="shared" si="5"/>
        <v>64.000000000000014</v>
      </c>
      <c r="P22">
        <f t="shared" si="6"/>
        <v>20</v>
      </c>
    </row>
    <row r="23" spans="6:18" ht="15" x14ac:dyDescent="0.25">
      <c r="F23">
        <f t="shared" si="0"/>
        <v>105</v>
      </c>
      <c r="H23">
        <f t="shared" si="2"/>
        <v>131.25</v>
      </c>
      <c r="I23">
        <f t="shared" si="3"/>
        <v>105</v>
      </c>
      <c r="K23">
        <f t="shared" si="5"/>
        <v>67.200000000000017</v>
      </c>
      <c r="P23">
        <f t="shared" si="6"/>
        <v>21</v>
      </c>
    </row>
    <row r="24" spans="6:18" ht="15" x14ac:dyDescent="0.25">
      <c r="F24">
        <f t="shared" si="0"/>
        <v>110</v>
      </c>
      <c r="H24">
        <f t="shared" si="2"/>
        <v>137.5</v>
      </c>
      <c r="I24">
        <f t="shared" si="3"/>
        <v>110</v>
      </c>
      <c r="K24">
        <f t="shared" si="5"/>
        <v>70.40000000000002</v>
      </c>
      <c r="P24">
        <f t="shared" si="6"/>
        <v>22</v>
      </c>
    </row>
    <row r="25" spans="6:18" ht="15" x14ac:dyDescent="0.25">
      <c r="F25">
        <f t="shared" si="0"/>
        <v>115</v>
      </c>
      <c r="H25">
        <f t="shared" si="2"/>
        <v>143.75</v>
      </c>
      <c r="I25">
        <f t="shared" si="3"/>
        <v>115</v>
      </c>
      <c r="K25">
        <f t="shared" si="5"/>
        <v>73.600000000000023</v>
      </c>
      <c r="P25">
        <f t="shared" si="6"/>
        <v>23</v>
      </c>
    </row>
    <row r="26" spans="6:18" ht="15" x14ac:dyDescent="0.25">
      <c r="F26">
        <f t="shared" si="0"/>
        <v>120</v>
      </c>
      <c r="H26">
        <f t="shared" si="2"/>
        <v>150</v>
      </c>
      <c r="I26">
        <f t="shared" si="3"/>
        <v>120</v>
      </c>
      <c r="K26">
        <f t="shared" si="5"/>
        <v>76.800000000000026</v>
      </c>
      <c r="P26">
        <f t="shared" si="6"/>
        <v>24</v>
      </c>
    </row>
    <row r="27" spans="6:18" ht="15" x14ac:dyDescent="0.25">
      <c r="F27">
        <f t="shared" si="0"/>
        <v>125</v>
      </c>
      <c r="H27">
        <f t="shared" si="2"/>
        <v>156.25</v>
      </c>
      <c r="I27">
        <f t="shared" si="3"/>
        <v>125</v>
      </c>
      <c r="K27">
        <f t="shared" si="5"/>
        <v>80.000000000000028</v>
      </c>
      <c r="P27">
        <f t="shared" si="6"/>
        <v>25</v>
      </c>
    </row>
    <row r="28" spans="6:18" ht="15" x14ac:dyDescent="0.25">
      <c r="F28">
        <f t="shared" si="0"/>
        <v>130</v>
      </c>
      <c r="H28">
        <f t="shared" si="2"/>
        <v>162.5</v>
      </c>
      <c r="I28">
        <f t="shared" si="3"/>
        <v>130</v>
      </c>
      <c r="K28">
        <f t="shared" si="5"/>
        <v>83.200000000000031</v>
      </c>
      <c r="P28">
        <f t="shared" si="6"/>
        <v>26</v>
      </c>
    </row>
    <row r="29" spans="6:18" ht="15" x14ac:dyDescent="0.25">
      <c r="F29">
        <f t="shared" si="0"/>
        <v>135</v>
      </c>
      <c r="H29">
        <f t="shared" si="2"/>
        <v>168.75</v>
      </c>
      <c r="I29">
        <f t="shared" si="3"/>
        <v>135</v>
      </c>
      <c r="K29">
        <f t="shared" si="5"/>
        <v>86.400000000000034</v>
      </c>
      <c r="P29">
        <f t="shared" si="6"/>
        <v>27</v>
      </c>
    </row>
    <row r="30" spans="6:18" ht="15" x14ac:dyDescent="0.25">
      <c r="F30">
        <f t="shared" si="0"/>
        <v>140</v>
      </c>
      <c r="H30">
        <f t="shared" si="2"/>
        <v>175</v>
      </c>
      <c r="I30">
        <f t="shared" si="3"/>
        <v>140</v>
      </c>
      <c r="K30">
        <f t="shared" si="5"/>
        <v>89.600000000000037</v>
      </c>
      <c r="P30">
        <f t="shared" si="6"/>
        <v>28</v>
      </c>
    </row>
    <row r="31" spans="6:18" ht="15" x14ac:dyDescent="0.25">
      <c r="F31">
        <f t="shared" si="0"/>
        <v>145</v>
      </c>
      <c r="H31">
        <f t="shared" si="2"/>
        <v>181.25</v>
      </c>
      <c r="I31">
        <f t="shared" si="3"/>
        <v>145</v>
      </c>
      <c r="K31">
        <f t="shared" si="5"/>
        <v>92.80000000000004</v>
      </c>
      <c r="P31">
        <f t="shared" si="6"/>
        <v>29</v>
      </c>
    </row>
    <row r="32" spans="6:18" ht="15" x14ac:dyDescent="0.25">
      <c r="F32">
        <f t="shared" si="0"/>
        <v>150</v>
      </c>
      <c r="H32">
        <f t="shared" si="2"/>
        <v>187.5</v>
      </c>
      <c r="I32">
        <f t="shared" si="3"/>
        <v>150</v>
      </c>
      <c r="K32">
        <f t="shared" si="5"/>
        <v>96.000000000000043</v>
      </c>
      <c r="P32">
        <f t="shared" si="6"/>
        <v>30</v>
      </c>
    </row>
    <row r="33" spans="6:16" ht="15" x14ac:dyDescent="0.25">
      <c r="F33">
        <f t="shared" si="0"/>
        <v>155</v>
      </c>
      <c r="H33">
        <f t="shared" si="2"/>
        <v>193.75</v>
      </c>
      <c r="I33">
        <f t="shared" si="3"/>
        <v>155</v>
      </c>
      <c r="K33">
        <f t="shared" si="5"/>
        <v>99.200000000000045</v>
      </c>
      <c r="P33">
        <f t="shared" si="6"/>
        <v>31</v>
      </c>
    </row>
    <row r="34" spans="6:16" ht="15" x14ac:dyDescent="0.25">
      <c r="F34">
        <f t="shared" si="0"/>
        <v>160</v>
      </c>
      <c r="I34">
        <f t="shared" si="3"/>
        <v>160</v>
      </c>
      <c r="P34">
        <f t="shared" si="6"/>
        <v>32</v>
      </c>
    </row>
    <row r="35" spans="6:16" ht="15" x14ac:dyDescent="0.25">
      <c r="F35">
        <f t="shared" si="0"/>
        <v>165</v>
      </c>
      <c r="I35">
        <f t="shared" si="3"/>
        <v>165</v>
      </c>
      <c r="P35">
        <f t="shared" si="6"/>
        <v>33</v>
      </c>
    </row>
    <row r="36" spans="6:16" x14ac:dyDescent="0.35">
      <c r="F36">
        <f t="shared" si="0"/>
        <v>170</v>
      </c>
      <c r="I36">
        <f t="shared" si="3"/>
        <v>170</v>
      </c>
      <c r="P36">
        <f t="shared" si="6"/>
        <v>34</v>
      </c>
    </row>
    <row r="37" spans="6:16" x14ac:dyDescent="0.35">
      <c r="F37">
        <f t="shared" si="0"/>
        <v>175</v>
      </c>
      <c r="I37">
        <f t="shared" si="3"/>
        <v>175</v>
      </c>
      <c r="P37">
        <f t="shared" si="6"/>
        <v>35</v>
      </c>
    </row>
    <row r="38" spans="6:16" x14ac:dyDescent="0.35">
      <c r="F38">
        <f t="shared" si="0"/>
        <v>180</v>
      </c>
      <c r="I38">
        <f t="shared" si="3"/>
        <v>180</v>
      </c>
      <c r="P38">
        <f t="shared" si="6"/>
        <v>36</v>
      </c>
    </row>
    <row r="39" spans="6:16" x14ac:dyDescent="0.35">
      <c r="F39">
        <f t="shared" si="0"/>
        <v>185</v>
      </c>
      <c r="I39">
        <f t="shared" si="3"/>
        <v>185</v>
      </c>
      <c r="P39">
        <f t="shared" si="6"/>
        <v>37</v>
      </c>
    </row>
    <row r="40" spans="6:16" x14ac:dyDescent="0.35">
      <c r="F40">
        <f t="shared" si="0"/>
        <v>190</v>
      </c>
      <c r="I40">
        <f t="shared" si="3"/>
        <v>190</v>
      </c>
      <c r="P40">
        <f t="shared" si="6"/>
        <v>38</v>
      </c>
    </row>
    <row r="41" spans="6:16" x14ac:dyDescent="0.35">
      <c r="F41">
        <f t="shared" si="0"/>
        <v>195</v>
      </c>
      <c r="I41">
        <f t="shared" si="3"/>
        <v>195</v>
      </c>
      <c r="P41">
        <f t="shared" si="6"/>
        <v>39</v>
      </c>
    </row>
    <row r="42" spans="6:16" x14ac:dyDescent="0.35">
      <c r="F42">
        <f t="shared" si="0"/>
        <v>200</v>
      </c>
      <c r="I42">
        <f t="shared" si="3"/>
        <v>200</v>
      </c>
      <c r="P42">
        <f t="shared" si="6"/>
        <v>40</v>
      </c>
    </row>
    <row r="43" spans="6:16" x14ac:dyDescent="0.35">
      <c r="F43">
        <f t="shared" si="0"/>
        <v>205</v>
      </c>
      <c r="I43">
        <f t="shared" si="3"/>
        <v>205</v>
      </c>
      <c r="P43">
        <f t="shared" si="6"/>
        <v>41</v>
      </c>
    </row>
    <row r="44" spans="6:16" x14ac:dyDescent="0.35">
      <c r="F44">
        <f t="shared" si="0"/>
        <v>210</v>
      </c>
      <c r="I44">
        <f t="shared" si="3"/>
        <v>210</v>
      </c>
      <c r="P44">
        <f t="shared" si="6"/>
        <v>42</v>
      </c>
    </row>
    <row r="45" spans="6:16" x14ac:dyDescent="0.35">
      <c r="F45">
        <f t="shared" si="0"/>
        <v>215</v>
      </c>
      <c r="I45">
        <f t="shared" si="3"/>
        <v>215</v>
      </c>
      <c r="P45">
        <f t="shared" si="6"/>
        <v>43</v>
      </c>
    </row>
    <row r="46" spans="6:16" x14ac:dyDescent="0.35">
      <c r="F46">
        <f t="shared" si="0"/>
        <v>220</v>
      </c>
      <c r="I46">
        <f t="shared" si="3"/>
        <v>220</v>
      </c>
      <c r="P46">
        <f t="shared" si="6"/>
        <v>44</v>
      </c>
    </row>
    <row r="47" spans="6:16" x14ac:dyDescent="0.35">
      <c r="F47">
        <f t="shared" si="0"/>
        <v>225</v>
      </c>
      <c r="I47">
        <f t="shared" si="3"/>
        <v>225</v>
      </c>
      <c r="P47">
        <f t="shared" si="6"/>
        <v>45</v>
      </c>
    </row>
    <row r="48" spans="6:16" x14ac:dyDescent="0.35">
      <c r="F48">
        <f t="shared" si="0"/>
        <v>230</v>
      </c>
      <c r="I48">
        <f t="shared" si="3"/>
        <v>230</v>
      </c>
      <c r="P48">
        <f t="shared" si="6"/>
        <v>46</v>
      </c>
    </row>
    <row r="49" spans="6:16" x14ac:dyDescent="0.35">
      <c r="F49">
        <f t="shared" si="0"/>
        <v>235</v>
      </c>
      <c r="I49">
        <f t="shared" si="3"/>
        <v>235</v>
      </c>
      <c r="P49">
        <f t="shared" si="6"/>
        <v>47</v>
      </c>
    </row>
    <row r="50" spans="6:16" x14ac:dyDescent="0.35">
      <c r="F50">
        <f t="shared" si="0"/>
        <v>240</v>
      </c>
      <c r="I50">
        <f t="shared" si="3"/>
        <v>240</v>
      </c>
      <c r="P50">
        <f t="shared" si="6"/>
        <v>48</v>
      </c>
    </row>
    <row r="51" spans="6:16" x14ac:dyDescent="0.35">
      <c r="F51">
        <f t="shared" si="0"/>
        <v>245</v>
      </c>
      <c r="I51">
        <f t="shared" si="3"/>
        <v>245</v>
      </c>
      <c r="P51">
        <f t="shared" si="6"/>
        <v>49</v>
      </c>
    </row>
    <row r="52" spans="6:16" x14ac:dyDescent="0.35">
      <c r="F52">
        <f t="shared" si="0"/>
        <v>250</v>
      </c>
      <c r="I52">
        <f t="shared" si="3"/>
        <v>250</v>
      </c>
      <c r="P52">
        <f t="shared" si="6"/>
        <v>50</v>
      </c>
    </row>
    <row r="53" spans="6:16" x14ac:dyDescent="0.35">
      <c r="F53">
        <f t="shared" si="0"/>
        <v>255</v>
      </c>
      <c r="I53">
        <f t="shared" si="3"/>
        <v>255</v>
      </c>
      <c r="P53">
        <f t="shared" si="6"/>
        <v>51</v>
      </c>
    </row>
    <row r="54" spans="6:16" x14ac:dyDescent="0.35">
      <c r="F54">
        <f t="shared" si="0"/>
        <v>260</v>
      </c>
      <c r="I54">
        <f t="shared" si="3"/>
        <v>260</v>
      </c>
      <c r="P54">
        <f t="shared" si="6"/>
        <v>52</v>
      </c>
    </row>
    <row r="55" spans="6:16" x14ac:dyDescent="0.35">
      <c r="F55">
        <f t="shared" si="0"/>
        <v>265</v>
      </c>
      <c r="I55">
        <f t="shared" si="3"/>
        <v>265</v>
      </c>
      <c r="P55">
        <f t="shared" si="6"/>
        <v>53</v>
      </c>
    </row>
    <row r="56" spans="6:16" x14ac:dyDescent="0.35">
      <c r="F56">
        <f t="shared" si="0"/>
        <v>270</v>
      </c>
      <c r="I56">
        <f t="shared" si="3"/>
        <v>270</v>
      </c>
      <c r="P56">
        <f t="shared" si="6"/>
        <v>54</v>
      </c>
    </row>
    <row r="57" spans="6:16" x14ac:dyDescent="0.35">
      <c r="F57">
        <f t="shared" si="0"/>
        <v>275</v>
      </c>
      <c r="I57">
        <f t="shared" si="3"/>
        <v>275</v>
      </c>
      <c r="P57">
        <f t="shared" si="6"/>
        <v>55</v>
      </c>
    </row>
    <row r="58" spans="6:16" x14ac:dyDescent="0.35">
      <c r="F58">
        <f t="shared" si="0"/>
        <v>280</v>
      </c>
      <c r="I58">
        <f t="shared" si="3"/>
        <v>280</v>
      </c>
      <c r="P58">
        <f t="shared" si="6"/>
        <v>56</v>
      </c>
    </row>
    <row r="59" spans="6:16" x14ac:dyDescent="0.35">
      <c r="F59">
        <f t="shared" si="0"/>
        <v>285</v>
      </c>
      <c r="I59">
        <f t="shared" si="3"/>
        <v>285</v>
      </c>
      <c r="P59">
        <f t="shared" si="6"/>
        <v>57</v>
      </c>
    </row>
    <row r="60" spans="6:16" x14ac:dyDescent="0.35">
      <c r="F60">
        <f t="shared" si="0"/>
        <v>290</v>
      </c>
      <c r="I60">
        <f t="shared" si="3"/>
        <v>290</v>
      </c>
      <c r="P60">
        <f t="shared" si="6"/>
        <v>58</v>
      </c>
    </row>
    <row r="61" spans="6:16" x14ac:dyDescent="0.35">
      <c r="F61">
        <f t="shared" si="0"/>
        <v>295</v>
      </c>
      <c r="I61">
        <f t="shared" si="3"/>
        <v>295</v>
      </c>
      <c r="P61">
        <f t="shared" si="6"/>
        <v>59</v>
      </c>
    </row>
    <row r="62" spans="6:16" x14ac:dyDescent="0.35">
      <c r="F62">
        <f t="shared" si="0"/>
        <v>300</v>
      </c>
      <c r="I62">
        <f t="shared" si="3"/>
        <v>300</v>
      </c>
      <c r="P62">
        <f t="shared" si="6"/>
        <v>60</v>
      </c>
    </row>
    <row r="63" spans="6:16" x14ac:dyDescent="0.35">
      <c r="F63">
        <f t="shared" si="0"/>
        <v>305</v>
      </c>
      <c r="I63">
        <f t="shared" si="3"/>
        <v>305</v>
      </c>
      <c r="P63">
        <f t="shared" si="6"/>
        <v>61</v>
      </c>
    </row>
    <row r="64" spans="6:16" x14ac:dyDescent="0.35">
      <c r="F64">
        <f t="shared" si="0"/>
        <v>310</v>
      </c>
      <c r="I64">
        <f t="shared" si="3"/>
        <v>310</v>
      </c>
      <c r="P64">
        <f t="shared" si="6"/>
        <v>62</v>
      </c>
    </row>
    <row r="65" spans="6:16" x14ac:dyDescent="0.35">
      <c r="F65">
        <f t="shared" si="0"/>
        <v>315</v>
      </c>
      <c r="I65">
        <f t="shared" si="3"/>
        <v>315</v>
      </c>
      <c r="P65">
        <f t="shared" si="6"/>
        <v>63</v>
      </c>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Ver_x002e_ xmlns="3c78f53b-1e1a-4bd0-bde5-8f4af4b526cf">1</Ver_x002e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B57CC44EE9C9449C2A26F40A8282C4" ma:contentTypeVersion="1" ma:contentTypeDescription="Create a new document." ma:contentTypeScope="" ma:versionID="b6ef5f7a1601679a84dbf06269006c08">
  <xsd:schema xmlns:xsd="http://www.w3.org/2001/XMLSchema" xmlns:xs="http://www.w3.org/2001/XMLSchema" xmlns:p="http://schemas.microsoft.com/office/2006/metadata/properties" xmlns:ns2="3c78f53b-1e1a-4bd0-bde5-8f4af4b526cf" targetNamespace="http://schemas.microsoft.com/office/2006/metadata/properties" ma:root="true" ma:fieldsID="02ecee3fe3ac56addc47ae9c7087b6a0" ns2:_="">
    <xsd:import namespace="3c78f53b-1e1a-4bd0-bde5-8f4af4b526cf"/>
    <xsd:element name="properties">
      <xsd:complexType>
        <xsd:sequence>
          <xsd:element name="documentManagement">
            <xsd:complexType>
              <xsd:all>
                <xsd:element ref="ns2:Ver_x002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78f53b-1e1a-4bd0-bde5-8f4af4b526cf" elementFormDefault="qualified">
    <xsd:import namespace="http://schemas.microsoft.com/office/2006/documentManagement/types"/>
    <xsd:import namespace="http://schemas.microsoft.com/office/infopath/2007/PartnerControls"/>
    <xsd:element name="Ver_x002e_" ma:index="8" ma:displayName="Ver." ma:description="Document version" ma:list="{3c78f53b-1e1a-4bd0-bde5-8f4af4b526cf}" ma:internalName="Ver_x002e_" ma:showField="_UIVersionString">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96E7A8-5D77-46DF-BE6D-4ED3D887F47D}">
  <ds:schemaRefs>
    <ds:schemaRef ds:uri="http://schemas.microsoft.com/sharepoint/v3/contenttype/forms"/>
  </ds:schemaRefs>
</ds:datastoreItem>
</file>

<file path=customXml/itemProps2.xml><?xml version="1.0" encoding="utf-8"?>
<ds:datastoreItem xmlns:ds="http://schemas.openxmlformats.org/officeDocument/2006/customXml" ds:itemID="{44B62997-24DA-40E7-8841-8284CD6E7114}">
  <ds:schemaRefs>
    <ds:schemaRef ds:uri="3c78f53b-1e1a-4bd0-bde5-8f4af4b526c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48285369-BA58-4D2A-9658-B4FC5C66DE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78f53b-1e1a-4bd0-bde5-8f4af4b526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Device Calculator</vt:lpstr>
      <vt:lpstr>Pin Detect Programming</vt:lpstr>
      <vt:lpstr>Schematic Checklist</vt:lpstr>
      <vt:lpstr>Layout Checklist</vt:lpstr>
      <vt:lpstr>Extra</vt:lpstr>
      <vt:lpstr>Pin Detect Programming (2)</vt:lpstr>
      <vt:lpstr>COMP_DECODE</vt:lpstr>
      <vt:lpstr>Pinstrap Reverse Lookup</vt:lpstr>
      <vt:lpstr>Compensation References</vt:lpstr>
      <vt:lpstr>Resistor References</vt:lpstr>
      <vt:lpstr>Resistor Selection</vt:lpstr>
      <vt:lpstr>Sheet2</vt:lpstr>
      <vt:lpstr>Concatenation</vt:lpstr>
      <vt:lpstr>Cin_cer</vt:lpstr>
      <vt:lpstr>Comp_Code</vt:lpstr>
      <vt:lpstr>Cout_bulk</vt:lpstr>
      <vt:lpstr>Cout_cer</vt:lpstr>
      <vt:lpstr>Cout_max</vt:lpstr>
      <vt:lpstr>Cout_total</vt:lpstr>
      <vt:lpstr>CSA</vt:lpstr>
      <vt:lpstr>ESR_bulk</vt:lpstr>
      <vt:lpstr>ESR_cer</vt:lpstr>
      <vt:lpstr>fcoi_trgt</vt:lpstr>
      <vt:lpstr>fcov_trgt</vt:lpstr>
      <vt:lpstr>fpi_trgt</vt:lpstr>
      <vt:lpstr>fsw</vt:lpstr>
      <vt:lpstr>fzi_trgt</vt:lpstr>
      <vt:lpstr>GM_PS</vt:lpstr>
      <vt:lpstr>ILOOP</vt:lpstr>
      <vt:lpstr>ILOOP_trgt</vt:lpstr>
      <vt:lpstr>Iout</vt:lpstr>
      <vt:lpstr>Iphase</vt:lpstr>
      <vt:lpstr>Iripple</vt:lpstr>
      <vt:lpstr>Lout</vt:lpstr>
      <vt:lpstr>Mod_ratio</vt:lpstr>
      <vt:lpstr>Phases</vt:lpstr>
      <vt:lpstr>Pvin</vt:lpstr>
      <vt:lpstr>VLOOP</vt:lpstr>
      <vt:lpstr>VLOOP_trgt</vt:lpstr>
      <vt:lpstr>VOSL</vt:lpstr>
      <vt:lpstr>Vout</vt:lpstr>
      <vt:lpstr>Vref</vt:lpstr>
      <vt:lpstr>Zout_fco_trgt</vt:lpstr>
    </vt:vector>
  </TitlesOfParts>
  <Company>Texas Instruments Incorporated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Peter</dc:creator>
  <cp:lastModifiedBy>Dhanabalan, Gerold</cp:lastModifiedBy>
  <dcterms:created xsi:type="dcterms:W3CDTF">2017-09-08T18:35:14Z</dcterms:created>
  <dcterms:modified xsi:type="dcterms:W3CDTF">2020-04-23T15:25:12Z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0x01010015B57CC44EE9C9449C2A26F40A8282C4</vt:lpwstr>
  </property>
</Properties>
</file>