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-15" windowWidth="14520" windowHeight="12180" tabRatio="587"/>
  </bookViews>
  <sheets>
    <sheet name="designCalculations" sheetId="8" r:id="rId1"/>
    <sheet name="partData" sheetId="7" r:id="rId2"/>
  </sheets>
  <definedNames>
    <definedName name="Cboot">designCalculations!$E$136</definedName>
    <definedName name="Cff">designCalculations!$E$116</definedName>
    <definedName name="Cin">designCalculations!$E$96</definedName>
    <definedName name="Cout">designCalculations!$F$82</definedName>
    <definedName name="Cout_derating">designCalculations!$E$81</definedName>
    <definedName name="Cout_F">Cout*0.000001</definedName>
    <definedName name="Cout_nominal">designCalculations!$E$78</definedName>
    <definedName name="Cscap">designCalculations!$E$104</definedName>
    <definedName name="Cvg">designCalculations!$E$132</definedName>
    <definedName name="DCR">designCalculations!$E$42</definedName>
    <definedName name="DCR_Ohm">DCR*0.001</definedName>
    <definedName name="dVo_dc">designCalculations!$C$68</definedName>
    <definedName name="dVo_trans">designCalculations!$C$67</definedName>
    <definedName name="ESR">designCalculations!$F$83</definedName>
    <definedName name="ESR_nominal">designCalculations!$E$79</definedName>
    <definedName name="ESR_Ohm">ESR*0.001</definedName>
    <definedName name="f_LC">designCalculations!$F$87</definedName>
    <definedName name="fsw_Hz">fsw_select*1000000</definedName>
    <definedName name="fsw_select">designCalculations!$F$33</definedName>
    <definedName name="IEN_H">designCalculations!$C$14</definedName>
    <definedName name="IEN_L">designCalculations!$C$13</definedName>
    <definedName name="Io_max_IC">designCalculations!$C$11</definedName>
    <definedName name="Io_max_select">designCalculations!$C$54</definedName>
    <definedName name="Io_step">designCalculations!$C$65</definedName>
    <definedName name="Iout">designCalculations!$C$26</definedName>
    <definedName name="Iripple_max">designCalculations!$F$44</definedName>
    <definedName name="Iripple_min">designCalculations!$F$47</definedName>
    <definedName name="Ivalley">designCalculations!$F$48</definedName>
    <definedName name="Kind">designCalculations!$C$37</definedName>
    <definedName name="Lout">designCalculations!$E$41</definedName>
    <definedName name="Lout_H">Lout*0.000001</definedName>
    <definedName name="N_Cout">designCalculations!$E$80</definedName>
    <definedName name="R_ssfsel">designCalculations!$E$31</definedName>
    <definedName name="Rdson_HS">designCalculations!$C$18</definedName>
    <definedName name="Rdson_HS_Ohm">Rdson_HS*0.001</definedName>
    <definedName name="Rdson_LS">designCalculations!$C$19</definedName>
    <definedName name="Rdson_LS_Ohm">Rdson_LS*0.001</definedName>
    <definedName name="Ren_b">designCalculations!$E$127</definedName>
    <definedName name="Ren_t">designCalculations!$E$125</definedName>
    <definedName name="Rfb_b">designCalculations!$E$109</definedName>
    <definedName name="Rfb_t">designCalculations!$E$111</definedName>
    <definedName name="Rff">designCalculations!$E$114</definedName>
    <definedName name="Rilim">designCalculations!$E$56</definedName>
    <definedName name="Rpg">designCalculations!$E$138</definedName>
    <definedName name="toff_min_max">designCalculations!$C$17</definedName>
    <definedName name="toff_min_max_sec">toff_min_max*0.000000001</definedName>
    <definedName name="Tol_L">designCalculations!$E$43</definedName>
    <definedName name="ton_min_max">designCalculations!$C$16</definedName>
    <definedName name="tss">designCalculations!$F$34</definedName>
    <definedName name="VEN_th">designCalculations!$C$12</definedName>
    <definedName name="Vi_ripple_target">designCalculations!$C$94</definedName>
    <definedName name="Vin_max">designCalculations!$C$24</definedName>
    <definedName name="Vin_min">designCalculations!$C$22</definedName>
    <definedName name="Vin_nom">designCalculations!$C$23</definedName>
    <definedName name="Vout">designCalculations!$C$25</definedName>
    <definedName name="Vref">designCalculations!$C$10</definedName>
    <definedName name="Vscap_ripple_target">designCalculations!$C$102</definedName>
    <definedName name="Vstart_target">designCalculations!$C$122</definedName>
    <definedName name="Vstop_target">designCalculations!$C$123</definedName>
    <definedName name="Vstop_typ">designCalculations!$F$128</definedName>
  </definedNames>
  <calcPr calcId="145621"/>
</workbook>
</file>

<file path=xl/calcChain.xml><?xml version="1.0" encoding="utf-8"?>
<calcChain xmlns="http://schemas.openxmlformats.org/spreadsheetml/2006/main">
  <c r="E114" i="8" l="1"/>
  <c r="E96" i="8" l="1"/>
  <c r="C22" i="8" l="1"/>
  <c r="C24" i="8"/>
  <c r="D53" i="8" l="1"/>
  <c r="C14" i="8"/>
  <c r="C13" i="8"/>
  <c r="C12" i="8"/>
  <c r="D126" i="8" l="1"/>
  <c r="D124" i="8"/>
  <c r="F128" i="8"/>
  <c r="F129" i="8" s="1"/>
  <c r="D119" i="8"/>
  <c r="F117" i="8"/>
  <c r="D115" i="8"/>
  <c r="D113" i="8"/>
  <c r="D101" i="8"/>
  <c r="C102" i="8" s="1"/>
  <c r="F98" i="8"/>
  <c r="C17" i="8" l="1"/>
  <c r="C16" i="8"/>
  <c r="C68" i="8"/>
  <c r="D55" i="8"/>
  <c r="E56" i="8" s="1"/>
  <c r="F58" i="8" s="1"/>
  <c r="B13" i="7"/>
  <c r="D23" i="7"/>
  <c r="J23" i="7"/>
  <c r="D22" i="7"/>
  <c r="J22" i="7"/>
  <c r="I17" i="7"/>
  <c r="I18" i="7"/>
  <c r="I19" i="7"/>
  <c r="I20" i="7"/>
  <c r="I21" i="7"/>
  <c r="I22" i="7"/>
  <c r="I23" i="7"/>
  <c r="H23" i="7"/>
  <c r="H22" i="7"/>
  <c r="D17" i="7"/>
  <c r="H17" i="7"/>
  <c r="C20" i="8"/>
  <c r="C19" i="8"/>
  <c r="C18" i="8"/>
  <c r="C10" i="8"/>
  <c r="C15" i="8"/>
  <c r="F57" i="8" l="1"/>
  <c r="F59" i="8"/>
  <c r="D93" i="8" l="1"/>
  <c r="C94" i="8" s="1"/>
  <c r="C67" i="8" l="1"/>
  <c r="J15" i="7" l="1"/>
  <c r="H15" i="7"/>
  <c r="J17" i="7"/>
  <c r="J18" i="7"/>
  <c r="J19" i="7"/>
  <c r="J20" i="7"/>
  <c r="J21" i="7"/>
  <c r="J16" i="7"/>
  <c r="F83" i="8" l="1"/>
  <c r="F82" i="8"/>
  <c r="C65" i="8"/>
  <c r="F87" i="8" l="1"/>
  <c r="F84" i="8"/>
  <c r="F88" i="8"/>
  <c r="D71" i="8"/>
  <c r="D70" i="8"/>
  <c r="F85" i="8"/>
  <c r="C11" i="8" l="1"/>
  <c r="C9" i="8"/>
  <c r="C8" i="8"/>
  <c r="B12" i="7"/>
  <c r="A16" i="7" s="1"/>
  <c r="F112" i="8" l="1"/>
  <c r="D110" i="8"/>
  <c r="D75" i="8"/>
  <c r="A18" i="7"/>
  <c r="A17" i="7"/>
  <c r="B18" i="7" s="1"/>
  <c r="B17" i="7" l="1"/>
  <c r="B16" i="7"/>
  <c r="E16" i="7"/>
  <c r="I16" i="7" s="1"/>
  <c r="D20" i="7" l="1"/>
  <c r="H20" i="7"/>
  <c r="D19" i="7"/>
  <c r="H19" i="7"/>
  <c r="D18" i="7"/>
  <c r="H18" i="7"/>
  <c r="D21" i="7"/>
  <c r="H21" i="7"/>
  <c r="D16" i="7"/>
  <c r="D30" i="8" s="1"/>
  <c r="H16" i="7"/>
  <c r="E31" i="8" l="1"/>
  <c r="F32" i="8" l="1"/>
  <c r="F33" i="8"/>
  <c r="F34" i="8"/>
  <c r="F89" i="8" s="1"/>
  <c r="D74" i="8" l="1"/>
  <c r="D72" i="8"/>
  <c r="D103" i="8"/>
  <c r="F105" i="8"/>
  <c r="D95" i="8"/>
  <c r="F97" i="8"/>
  <c r="F47" i="8"/>
  <c r="D38" i="8"/>
  <c r="F44" i="8"/>
  <c r="F106" i="8" s="1"/>
  <c r="D39" i="8"/>
  <c r="D40" i="8"/>
  <c r="F48" i="8" l="1"/>
  <c r="D69" i="8"/>
  <c r="D73" i="8" s="1"/>
  <c r="F86" i="8"/>
  <c r="F46" i="8"/>
  <c r="F45" i="8"/>
  <c r="D76" i="8"/>
  <c r="D77" i="8" s="1"/>
</calcChain>
</file>

<file path=xl/sharedStrings.xml><?xml version="1.0" encoding="utf-8"?>
<sst xmlns="http://schemas.openxmlformats.org/spreadsheetml/2006/main" count="411" uniqueCount="302">
  <si>
    <t>A</t>
  </si>
  <si>
    <t>V</t>
  </si>
  <si>
    <t>mV</t>
  </si>
  <si>
    <t>Vref</t>
  </si>
  <si>
    <t>Vout</t>
  </si>
  <si>
    <t>pF</t>
  </si>
  <si>
    <t>kHz</t>
  </si>
  <si>
    <t>Iout</t>
  </si>
  <si>
    <t>MHz</t>
  </si>
  <si>
    <t>Key</t>
  </si>
  <si>
    <t>Recommended Component Value</t>
  </si>
  <si>
    <t>Design Caution</t>
  </si>
  <si>
    <t>Part number</t>
  </si>
  <si>
    <t>Part #</t>
  </si>
  <si>
    <t>tonmin</t>
  </si>
  <si>
    <t>VIN_min</t>
  </si>
  <si>
    <t>VIN_max</t>
  </si>
  <si>
    <t>Io,rated</t>
  </si>
  <si>
    <t>Fsw_1</t>
  </si>
  <si>
    <t>Fsw_2</t>
  </si>
  <si>
    <t>Fsw_3</t>
  </si>
  <si>
    <t>OC Fault</t>
  </si>
  <si>
    <t>Hiccup</t>
  </si>
  <si>
    <t>OV Fault</t>
  </si>
  <si>
    <t>Latch Off</t>
  </si>
  <si>
    <t>Parameter</t>
  </si>
  <si>
    <t>Units</t>
  </si>
  <si>
    <t>Description</t>
  </si>
  <si>
    <t>Internal voltage reference</t>
  </si>
  <si>
    <t>Over current fault response</t>
  </si>
  <si>
    <t>OCF_response</t>
  </si>
  <si>
    <t>Select IC part number</t>
  </si>
  <si>
    <t>Io_step</t>
  </si>
  <si>
    <t>Iout load transient step</t>
  </si>
  <si>
    <t>Maximum output current</t>
  </si>
  <si>
    <t>IC rated maximum output current</t>
  </si>
  <si>
    <t>IC rated maximum input voltage</t>
  </si>
  <si>
    <t>IC rated minimum input voltage with internal bias</t>
  </si>
  <si>
    <t>Vin_min_IC</t>
  </si>
  <si>
    <t>Vin_max_IC</t>
  </si>
  <si>
    <t>Io_max_IC</t>
  </si>
  <si>
    <t>dVo_trans</t>
  </si>
  <si>
    <t>Selected device</t>
  </si>
  <si>
    <t>toffmin</t>
  </si>
  <si>
    <t>kΩ</t>
  </si>
  <si>
    <t>Choose Device</t>
  </si>
  <si>
    <t>Input System Parameters</t>
  </si>
  <si>
    <t>fsw_select</t>
  </si>
  <si>
    <t>dVo_dc</t>
  </si>
  <si>
    <t>ton_min_max</t>
  </si>
  <si>
    <t>toff_min_max</t>
  </si>
  <si>
    <t>ns</t>
  </si>
  <si>
    <t>DCR</t>
  </si>
  <si>
    <t>µH</t>
  </si>
  <si>
    <t>mΩ</t>
  </si>
  <si>
    <t>R_HS</t>
  </si>
  <si>
    <t>Rdson_HS</t>
  </si>
  <si>
    <t>High-side FET Rdson</t>
  </si>
  <si>
    <t>Low-side FET Rdson</t>
  </si>
  <si>
    <t>L_min</t>
  </si>
  <si>
    <t>L_max</t>
  </si>
  <si>
    <t>Lout</t>
  </si>
  <si>
    <t>Selected inductance</t>
  </si>
  <si>
    <t>DC resistance of selected inductor</t>
  </si>
  <si>
    <t>Ivalley</t>
  </si>
  <si>
    <t>Ipeak</t>
  </si>
  <si>
    <t>Choose the Output Inductor (Lout)</t>
  </si>
  <si>
    <t>L_target</t>
  </si>
  <si>
    <t>Kind</t>
  </si>
  <si>
    <t>Target inductor value</t>
  </si>
  <si>
    <t>Choose the Output Capacitor (Cout)</t>
  </si>
  <si>
    <t>µF</t>
  </si>
  <si>
    <t>Maximum recommended inductance (ripple = 10% Iout_max_IC)</t>
  </si>
  <si>
    <t>Target ripple/Iout ratio (typically between 0.2 to 0.4)</t>
  </si>
  <si>
    <t>Fixed IC Parameter</t>
  </si>
  <si>
    <t>The inductance is selected based on a p-p ripple current target. Smaller L reduces solution size while larger L reduces AC loss.</t>
  </si>
  <si>
    <t>Cout_ripple</t>
  </si>
  <si>
    <t>Cout_undershoot</t>
  </si>
  <si>
    <t>Cout_overshoot</t>
  </si>
  <si>
    <t>Cout_stability</t>
  </si>
  <si>
    <t>Target Vout overshoot/undershoot after load step</t>
  </si>
  <si>
    <t>Target steady state Vout voltage ripple</t>
  </si>
  <si>
    <t>Min Cout for undershoot requirement</t>
  </si>
  <si>
    <t>Min Cout for overshoot requirement</t>
  </si>
  <si>
    <t>Cout_min</t>
  </si>
  <si>
    <t>ESR_ripple</t>
  </si>
  <si>
    <t>ESR_max</t>
  </si>
  <si>
    <t>ESR</t>
  </si>
  <si>
    <t>Cout_nominal</t>
  </si>
  <si>
    <t>Cout_derating</t>
  </si>
  <si>
    <t>Cout</t>
  </si>
  <si>
    <t>Max ESR to meet ripple requirement</t>
  </si>
  <si>
    <t>Max ESR to meet load step transient requirement</t>
  </si>
  <si>
    <t>ESR_trans</t>
  </si>
  <si>
    <t>Estimated overshoot</t>
  </si>
  <si>
    <t>Estimated undershoot</t>
  </si>
  <si>
    <t>f_LC</t>
  </si>
  <si>
    <t>f_ESR</t>
  </si>
  <si>
    <t>Vo_overshoot</t>
  </si>
  <si>
    <t>Vo_undershoot</t>
  </si>
  <si>
    <t>Vo_ripple</t>
  </si>
  <si>
    <t>Nominal value of single ceramic output capacitor</t>
  </si>
  <si>
    <t>ESR of output single ceramic output capacitor</t>
  </si>
  <si>
    <t>Number of output capacitors</t>
  </si>
  <si>
    <t>N_Cout</t>
  </si>
  <si>
    <t>ESR_nominal</t>
  </si>
  <si>
    <t>Effective ESR</t>
  </si>
  <si>
    <t>Remaining output capacitance after derating due to DC/AC bias, temp and/or tolerance</t>
  </si>
  <si>
    <t>Design Calculations</t>
  </si>
  <si>
    <t>Choose the Input Capacitor (Cin)</t>
  </si>
  <si>
    <t>Vi_ripple</t>
  </si>
  <si>
    <t>Target DC input voltage ripple</t>
  </si>
  <si>
    <t>Cin_min</t>
  </si>
  <si>
    <t>Cin</t>
  </si>
  <si>
    <t>Vi_ripple_target</t>
  </si>
  <si>
    <t>Iin_rms</t>
  </si>
  <si>
    <t>Input RMS current</t>
  </si>
  <si>
    <t>Input DC ripple</t>
  </si>
  <si>
    <r>
      <t xml:space="preserve">Effective input ceramic cap used </t>
    </r>
    <r>
      <rPr>
        <b/>
        <sz val="11"/>
        <color theme="1"/>
        <rFont val="Arial"/>
        <family val="2"/>
      </rPr>
      <t>(include derating)</t>
    </r>
  </si>
  <si>
    <r>
      <t xml:space="preserve">Minimum input capacitance required </t>
    </r>
    <r>
      <rPr>
        <b/>
        <sz val="11"/>
        <color theme="1"/>
        <rFont val="Arial"/>
        <family val="2"/>
      </rPr>
      <t>(include derating)</t>
    </r>
  </si>
  <si>
    <t>Calculated Vout (yellow if not within 1% of target Vout)</t>
  </si>
  <si>
    <t>Rfb_b</t>
  </si>
  <si>
    <t>Rfb_t_target</t>
  </si>
  <si>
    <t>Rfb_t</t>
  </si>
  <si>
    <t>Vout_calc</t>
  </si>
  <si>
    <t>Calculated top resistor</t>
  </si>
  <si>
    <t>fz_cff</t>
  </si>
  <si>
    <t>Cff</t>
  </si>
  <si>
    <t>Selected feedforward cap value</t>
  </si>
  <si>
    <t>Determine feedback network values (FB resistor divider and Cff)</t>
  </si>
  <si>
    <t>Tol_L</t>
  </si>
  <si>
    <t>Tolerance of inductance for selected inductor</t>
  </si>
  <si>
    <t>µA</t>
  </si>
  <si>
    <t>I_ss</t>
  </si>
  <si>
    <t>Selected top resistor</t>
  </si>
  <si>
    <t>Ren_t_calc</t>
  </si>
  <si>
    <t>Ren_t</t>
  </si>
  <si>
    <t>Vstart_target</t>
  </si>
  <si>
    <t>Ren_b</t>
  </si>
  <si>
    <t>Vstart_typ</t>
  </si>
  <si>
    <t>Vstop_typ</t>
  </si>
  <si>
    <t>EN pin resistor divider</t>
  </si>
  <si>
    <t>Cboot</t>
  </si>
  <si>
    <t>At least 1 µF required</t>
  </si>
  <si>
    <t>Selected bottom resistor (1k-100k recommended)</t>
  </si>
  <si>
    <t>LC resonant frequency 
(if yellow, feedforward cap recommended)</t>
  </si>
  <si>
    <t>ESR zero frequency 
(if yellow, ESR zero may affect loop stability)</t>
  </si>
  <si>
    <t>1k-100k recommended</t>
  </si>
  <si>
    <t>Rpg</t>
  </si>
  <si>
    <t>The output capacitance is deteremind based on the output ripple, transient and stability requirements. These calculations do not support mixed type output capacitors.</t>
  </si>
  <si>
    <t>Vin_min</t>
  </si>
  <si>
    <t>Vin_nom</t>
  </si>
  <si>
    <t>Vin_max</t>
  </si>
  <si>
    <t>Minimum input voltage</t>
  </si>
  <si>
    <t>Nominal input voltage</t>
  </si>
  <si>
    <t>Maximum input voltage</t>
  </si>
  <si>
    <t>Io_max_min</t>
  </si>
  <si>
    <t>Io_max_typ</t>
  </si>
  <si>
    <t>Io_max_max</t>
  </si>
  <si>
    <t>Estimated minimum Iout at current limit</t>
  </si>
  <si>
    <t>Estimated typical Iout at current limit</t>
  </si>
  <si>
    <t>Estimated maximum Iout at current limit</t>
  </si>
  <si>
    <t>Iripple_min</t>
  </si>
  <si>
    <t>Iripple_max</t>
  </si>
  <si>
    <t>Inductor ripple current at Vin_min (includes Tol_L)</t>
  </si>
  <si>
    <t>Estimated capacitive + resistive DC ripple (ignores ESL)</t>
  </si>
  <si>
    <t>Min Cout for DC ripple requirement (ignores ESR)</t>
  </si>
  <si>
    <t>Min Cout for stability (f_LC &lt; fsw/30)</t>
  </si>
  <si>
    <t>Irms</t>
  </si>
  <si>
    <t>Inductor rms current at Vin_max</t>
  </si>
  <si>
    <t>Recommended</t>
  </si>
  <si>
    <t>Calculated Parameter</t>
  </si>
  <si>
    <t>Selected Value</t>
  </si>
  <si>
    <t>Calculated with Selected Value</t>
  </si>
  <si>
    <t>Selected bottom feedback resistor</t>
  </si>
  <si>
    <t>Rfb_b_rec</t>
  </si>
  <si>
    <t>Selected Rpg</t>
  </si>
  <si>
    <t>Selected Cboot</t>
  </si>
  <si>
    <t>Cboot_rec</t>
  </si>
  <si>
    <t>Rpg_rec</t>
  </si>
  <si>
    <t>Input</t>
  </si>
  <si>
    <t>Vi_ripple_rec</t>
  </si>
  <si>
    <t>dVo percent</t>
  </si>
  <si>
    <t>dVo_perc</t>
  </si>
  <si>
    <t>Vi_ripple percent</t>
  </si>
  <si>
    <t>Recommended DC input voltage ripple (Vi_ripple_percent of min Vin)</t>
  </si>
  <si>
    <t>I_limval_rec</t>
  </si>
  <si>
    <t>Recommended feedforward cap value</t>
  </si>
  <si>
    <t>TPS54A20</t>
  </si>
  <si>
    <t>R_LSA</t>
  </si>
  <si>
    <t>R_LSB</t>
  </si>
  <si>
    <t>Rdson_LSA</t>
  </si>
  <si>
    <t>Rdson_LSB</t>
  </si>
  <si>
    <t>Select the Switching Frequency and SS Time (SS/FSEL pin)</t>
  </si>
  <si>
    <t>SS Time (us)</t>
  </si>
  <si>
    <t>FOSC(MHz)</t>
  </si>
  <si>
    <t>fsw(MHz)</t>
  </si>
  <si>
    <t>Open</t>
  </si>
  <si>
    <t>Ground</t>
  </si>
  <si>
    <t>Tss_input</t>
  </si>
  <si>
    <t>fosc_input</t>
  </si>
  <si>
    <t>Input desired oscillator frequency option</t>
  </si>
  <si>
    <t>Selected fosc</t>
  </si>
  <si>
    <t>fosc options</t>
  </si>
  <si>
    <t>SS Time inputs</t>
  </si>
  <si>
    <t>µs</t>
  </si>
  <si>
    <t>Input desired soft-start time</t>
  </si>
  <si>
    <t>Selected SS/FSEL pin connection or resistor to AGND</t>
  </si>
  <si>
    <t>SS/FSEL pin connection or resistor to AGND with input values</t>
  </si>
  <si>
    <t>Oscillator frequency with selected SS/FSEL configuration</t>
  </si>
  <si>
    <t>Per phase fsw with selected SS/FSEL configuration</t>
  </si>
  <si>
    <t>fosc_select</t>
  </si>
  <si>
    <t>Tss_select</t>
  </si>
  <si>
    <t>R_ssfsel_rec</t>
  </si>
  <si>
    <t>R_ssfsel</t>
  </si>
  <si>
    <t>Soft-start time with selected SS/FSEL configuration</t>
  </si>
  <si>
    <t>Output voltage (Red if less than Vin_min/5)</t>
  </si>
  <si>
    <t>Set current limit (ILIM)</t>
  </si>
  <si>
    <t>Io max</t>
  </si>
  <si>
    <t>LSA Ilim min</t>
  </si>
  <si>
    <t>LSB Ilim min</t>
  </si>
  <si>
    <r>
      <t>RSSFSEL(kΩ</t>
    </r>
    <r>
      <rPr>
        <sz val="11"/>
        <color theme="1"/>
        <rFont val="Calibri"/>
        <family val="2"/>
      </rPr>
      <t>)</t>
    </r>
  </si>
  <si>
    <t>RILIM (kΩ)</t>
  </si>
  <si>
    <t>Full load inductor valley current at Vin_min</t>
  </si>
  <si>
    <t>Full load inductor peak current at Vin_max</t>
  </si>
  <si>
    <t>tbd</t>
  </si>
  <si>
    <t>Selected current limit threshold</t>
  </si>
  <si>
    <t>Minimum LSB current limit threshold with selection</t>
  </si>
  <si>
    <t>Minimum LSA current limit threshold with selection</t>
  </si>
  <si>
    <t>Rilim_rec</t>
  </si>
  <si>
    <t>Rilim_select</t>
  </si>
  <si>
    <t>Io_max</t>
  </si>
  <si>
    <t>Io_max_rec</t>
  </si>
  <si>
    <t>Io_max_select</t>
  </si>
  <si>
    <t>Typical minimum on-time</t>
  </si>
  <si>
    <t>Typical minimum off-time</t>
  </si>
  <si>
    <t>VEN_th</t>
  </si>
  <si>
    <t>IEN_H</t>
  </si>
  <si>
    <t>EN voltage threshold</t>
  </si>
  <si>
    <t>EN pull-up current when below voltage threshold</t>
  </si>
  <si>
    <t>IEN_L</t>
  </si>
  <si>
    <t>EN pull-up current when above voltage threshold</t>
  </si>
  <si>
    <t>I_LSA</t>
  </si>
  <si>
    <t>Need to derive equation</t>
  </si>
  <si>
    <t>The input capacitance is deteremind based on the input ripple requirements. Additional bulk input capacitance may be needed for transients. 0.1µF high frequency bypass capacitors are recommended.</t>
  </si>
  <si>
    <t>Choose the Series Capacitor (SCAP)</t>
  </si>
  <si>
    <t>Vscap_ripple percent</t>
  </si>
  <si>
    <t>Vscap_ripple_rec</t>
  </si>
  <si>
    <t>Vscap_ripple_target</t>
  </si>
  <si>
    <t>Cscap_min</t>
  </si>
  <si>
    <t>Cscap</t>
  </si>
  <si>
    <t>Vscap_ripple</t>
  </si>
  <si>
    <t>Iscap_rms</t>
  </si>
  <si>
    <r>
      <t xml:space="preserve">Minimum scap capacitance required </t>
    </r>
    <r>
      <rPr>
        <b/>
        <sz val="11"/>
        <color theme="1"/>
        <rFont val="Arial"/>
        <family val="2"/>
      </rPr>
      <t>(include derating)</t>
    </r>
  </si>
  <si>
    <t>Recommended DC scap voltage ripple (Vscap_ripple_percent of Vin_min)</t>
  </si>
  <si>
    <t>Target DC scap voltage ripple</t>
  </si>
  <si>
    <r>
      <t xml:space="preserve">Effective scap ceramic cap used </t>
    </r>
    <r>
      <rPr>
        <b/>
        <sz val="11"/>
        <color theme="1"/>
        <rFont val="Arial"/>
        <family val="2"/>
      </rPr>
      <t>(include derating)</t>
    </r>
  </si>
  <si>
    <t>Scap DC ripple</t>
  </si>
  <si>
    <t>Scap RMS current</t>
  </si>
  <si>
    <t>Bottom feedback resistor (10k-20k recommended)</t>
  </si>
  <si>
    <t>Rff_rec</t>
  </si>
  <si>
    <t>Rff</t>
  </si>
  <si>
    <t>Selected feedforward resistor</t>
  </si>
  <si>
    <t>Feedforward resistor recommendation</t>
  </si>
  <si>
    <t>Cff_rec</t>
  </si>
  <si>
    <t>Frequency of zero added by the feedforward network</t>
  </si>
  <si>
    <t>Determine RTON</t>
  </si>
  <si>
    <t>Rton_rec</t>
  </si>
  <si>
    <t>Rton</t>
  </si>
  <si>
    <t>Calculated RTON recommendation</t>
  </si>
  <si>
    <t>Selected RTON (Yellow if greater than nearest E12 resistor to recommendation)</t>
  </si>
  <si>
    <t>Iout_ss</t>
  </si>
  <si>
    <t>Recommended max effective ESR</t>
  </si>
  <si>
    <t>Recommended max Cout for stability (f_LC &gt; fsw/100) 
(Exceeding this may be ok but validation of transient response is required)</t>
  </si>
  <si>
    <t>Cout_max_stabilty</t>
  </si>
  <si>
    <t>IEN_high</t>
  </si>
  <si>
    <t>IEN_low</t>
  </si>
  <si>
    <t>Other bypass capacitor, PGOOD resistor</t>
  </si>
  <si>
    <t>Recommended current limit value
(Includes margin  for Tol_L)</t>
  </si>
  <si>
    <t>Recommended current limit setting</t>
  </si>
  <si>
    <t xml:space="preserve">Input target current limit setting </t>
  </si>
  <si>
    <t>Selected ILIM setting</t>
  </si>
  <si>
    <t>Target turn on voltage set by EN resistor divider (yellow if greater than min Vin)</t>
  </si>
  <si>
    <t>Vstop_target</t>
  </si>
  <si>
    <t>Target turn off voltage set by EN resistor divider (red if greater than min Vin)</t>
  </si>
  <si>
    <t>Ren_b_calc</t>
  </si>
  <si>
    <t>Estimated typical turn off voltage with selected resistors
(Red if above Vin_min)</t>
  </si>
  <si>
    <t>Estimated typical turn on voltage with selected resistors
(Yellow if above Vin_min)</t>
  </si>
  <si>
    <t>Cvga_rec</t>
  </si>
  <si>
    <t>Selected Cvga</t>
  </si>
  <si>
    <t>Cvga</t>
  </si>
  <si>
    <t>At least 0.047µF required</t>
  </si>
  <si>
    <t>Cvg</t>
  </si>
  <si>
    <t>Cvg_rec</t>
  </si>
  <si>
    <t>Selected Cvg</t>
  </si>
  <si>
    <t>Inductor ripple current at Vin_max 
(Includes Tol_L. Used for DC ripple calculations)</t>
  </si>
  <si>
    <t>Recommended min Cout 
(must include any derating due to DC/AC bias, temp and/or tolerance)</t>
  </si>
  <si>
    <t>Effective Cout (If red, below recommended min capacitance. 
If yellow, capacitance is large so check transient response for stability)</t>
  </si>
  <si>
    <t>Calculated current needed to charge output cap during startup 
(Yellow if greater than 20% IC current rating)</t>
  </si>
  <si>
    <t>Minimum recommended inductance (ripple = 50% Iout_max_IC)</t>
  </si>
  <si>
    <t>Ilim_LSA_min</t>
  </si>
  <si>
    <t>Ilim_LSB_min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</si>
</sst>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b/>
      <u/>
      <sz val="18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color rgb="FFFF0000"/>
      <name val="Arial"/>
      <family val="2"/>
    </font>
    <font>
      <sz val="11"/>
      <color theme="0"/>
      <name val="Arial"/>
      <family val="2"/>
    </font>
    <font>
      <sz val="11"/>
      <name val="Calibri"/>
      <family val="2"/>
      <scheme val="minor"/>
    </font>
    <font>
      <sz val="11"/>
      <color rgb="FFCC99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8F57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150">
    <xf numFmtId="0" fontId="0" fillId="0" borderId="0" xfId="0"/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hidden="1"/>
    </xf>
    <xf numFmtId="11" fontId="0" fillId="0" borderId="0" xfId="0" applyNumberFormat="1" applyFill="1" applyAlignment="1" applyProtection="1">
      <alignment horizontal="center" vertical="center"/>
      <protection hidden="1"/>
    </xf>
    <xf numFmtId="2" fontId="0" fillId="0" borderId="0" xfId="0" applyNumberFormat="1" applyFill="1" applyAlignment="1" applyProtection="1">
      <alignment horizontal="center" vertical="center"/>
      <protection hidden="1"/>
    </xf>
    <xf numFmtId="165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NumberFormat="1" applyFill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locked="0"/>
    </xf>
    <xf numFmtId="0" fontId="0" fillId="4" borderId="13" xfId="0" applyFont="1" applyFill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164" fontId="4" fillId="2" borderId="13" xfId="0" applyNumberFormat="1" applyFont="1" applyFill="1" applyBorder="1" applyAlignment="1" applyProtection="1">
      <alignment horizontal="center" vertical="center"/>
      <protection locked="0"/>
    </xf>
    <xf numFmtId="164" fontId="4" fillId="2" borderId="15" xfId="0" applyNumberFormat="1" applyFont="1" applyFill="1" applyBorder="1" applyAlignment="1" applyProtection="1">
      <alignment horizontal="center" vertical="center"/>
      <protection locked="0"/>
    </xf>
    <xf numFmtId="164" fontId="4" fillId="4" borderId="13" xfId="0" applyNumberFormat="1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165" fontId="4" fillId="4" borderId="13" xfId="0" applyNumberFormat="1" applyFont="1" applyFill="1" applyBorder="1" applyAlignment="1" applyProtection="1">
      <alignment horizontal="center" vertical="center"/>
    </xf>
    <xf numFmtId="164" fontId="4" fillId="4" borderId="15" xfId="0" applyNumberFormat="1" applyFont="1" applyFill="1" applyBorder="1" applyAlignment="1" applyProtection="1">
      <alignment horizontal="center" vertical="center"/>
    </xf>
    <xf numFmtId="2" fontId="4" fillId="2" borderId="13" xfId="0" applyNumberFormat="1" applyFont="1" applyFill="1" applyBorder="1" applyAlignment="1" applyProtection="1">
      <alignment horizontal="center" vertical="center"/>
      <protection locked="0"/>
    </xf>
    <xf numFmtId="2" fontId="4" fillId="4" borderId="13" xfId="0" applyNumberFormat="1" applyFont="1" applyFill="1" applyBorder="1" applyAlignment="1" applyProtection="1">
      <alignment horizontal="center" vertical="center"/>
    </xf>
    <xf numFmtId="2" fontId="4" fillId="4" borderId="15" xfId="0" applyNumberFormat="1" applyFont="1" applyFill="1" applyBorder="1" applyAlignment="1" applyProtection="1">
      <alignment horizontal="center" vertical="center"/>
    </xf>
    <xf numFmtId="164" fontId="4" fillId="4" borderId="13" xfId="0" applyNumberFormat="1" applyFont="1" applyFill="1" applyBorder="1" applyAlignment="1" applyProtection="1">
      <alignment horizontal="center" vertical="center" wrapText="1"/>
    </xf>
    <xf numFmtId="2" fontId="4" fillId="4" borderId="13" xfId="0" applyNumberFormat="1" applyFont="1" applyFill="1" applyBorder="1" applyAlignment="1" applyProtection="1">
      <alignment horizontal="center" vertical="center" wrapText="1"/>
    </xf>
    <xf numFmtId="165" fontId="4" fillId="4" borderId="13" xfId="0" applyNumberFormat="1" applyFont="1" applyFill="1" applyBorder="1" applyAlignment="1" applyProtection="1">
      <alignment horizontal="center" vertical="center" wrapText="1"/>
    </xf>
    <xf numFmtId="2" fontId="4" fillId="5" borderId="13" xfId="0" applyNumberFormat="1" applyFont="1" applyFill="1" applyBorder="1" applyAlignment="1" applyProtection="1">
      <alignment horizontal="center" vertical="center" wrapText="1"/>
    </xf>
    <xf numFmtId="165" fontId="4" fillId="5" borderId="13" xfId="0" applyNumberFormat="1" applyFont="1" applyFill="1" applyBorder="1" applyAlignment="1" applyProtection="1">
      <alignment horizontal="center" vertical="center" wrapText="1"/>
    </xf>
    <xf numFmtId="9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3" xfId="0" applyNumberFormat="1" applyFont="1" applyFill="1" applyBorder="1" applyAlignment="1" applyProtection="1">
      <alignment horizontal="center" vertical="center" wrapText="1"/>
    </xf>
    <xf numFmtId="0" fontId="4" fillId="8" borderId="0" xfId="0" applyFont="1" applyFill="1" applyAlignment="1" applyProtection="1">
      <alignment horizontal="center" vertical="center"/>
    </xf>
    <xf numFmtId="0" fontId="8" fillId="8" borderId="0" xfId="0" applyFont="1" applyFill="1" applyAlignment="1" applyProtection="1">
      <alignment horizontal="center" vertical="center"/>
    </xf>
    <xf numFmtId="0" fontId="8" fillId="8" borderId="0" xfId="0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left" vertical="center" wrapText="1"/>
    </xf>
    <xf numFmtId="0" fontId="4" fillId="0" borderId="13" xfId="0" applyFont="1" applyFill="1" applyBorder="1" applyAlignment="1" applyProtection="1">
      <alignment horizontal="left" vertical="center" wrapText="1"/>
    </xf>
    <xf numFmtId="0" fontId="4" fillId="7" borderId="14" xfId="0" applyFont="1" applyFill="1" applyBorder="1" applyAlignment="1" applyProtection="1">
      <alignment horizontal="center" vertical="center"/>
    </xf>
    <xf numFmtId="0" fontId="4" fillId="8" borderId="0" xfId="0" applyFont="1" applyFill="1" applyBorder="1" applyAlignment="1" applyProtection="1">
      <alignment horizontal="center" vertical="center" wrapText="1"/>
    </xf>
    <xf numFmtId="0" fontId="4" fillId="0" borderId="15" xfId="0" applyFont="1" applyFill="1" applyBorder="1" applyAlignment="1" applyProtection="1">
      <alignment horizontal="left" vertical="center" wrapText="1"/>
    </xf>
    <xf numFmtId="0" fontId="4" fillId="8" borderId="0" xfId="0" applyFont="1" applyFill="1" applyBorder="1" applyAlignment="1" applyProtection="1">
      <alignment horizontal="left" vertical="center" wrapText="1"/>
    </xf>
    <xf numFmtId="164" fontId="4" fillId="8" borderId="0" xfId="0" applyNumberFormat="1" applyFont="1" applyFill="1" applyBorder="1" applyAlignment="1" applyProtection="1">
      <alignment horizontal="center" vertical="center"/>
    </xf>
    <xf numFmtId="49" fontId="4" fillId="8" borderId="0" xfId="0" applyNumberFormat="1" applyFont="1" applyFill="1" applyBorder="1" applyAlignment="1" applyProtection="1">
      <alignment horizontal="center" vertical="center"/>
    </xf>
    <xf numFmtId="164" fontId="4" fillId="5" borderId="13" xfId="0" applyNumberFormat="1" applyFont="1" applyFill="1" applyBorder="1" applyAlignment="1" applyProtection="1">
      <alignment horizontal="center" vertical="center"/>
    </xf>
    <xf numFmtId="0" fontId="14" fillId="8" borderId="0" xfId="0" applyFont="1" applyFill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8" borderId="0" xfId="0" applyNumberFormat="1" applyFont="1" applyFill="1" applyAlignment="1" applyProtection="1">
      <alignment horizontal="center" vertical="center"/>
    </xf>
    <xf numFmtId="0" fontId="4" fillId="0" borderId="15" xfId="0" applyFont="1" applyBorder="1" applyAlignment="1" applyProtection="1">
      <alignment horizontal="left" vertical="center" wrapText="1"/>
    </xf>
    <xf numFmtId="49" fontId="8" fillId="8" borderId="0" xfId="0" applyNumberFormat="1" applyFont="1" applyFill="1" applyBorder="1" applyAlignment="1" applyProtection="1">
      <alignment horizontal="center" vertical="center"/>
    </xf>
    <xf numFmtId="165" fontId="4" fillId="4" borderId="12" xfId="0" applyNumberFormat="1" applyFont="1" applyFill="1" applyBorder="1" applyAlignment="1" applyProtection="1">
      <alignment horizontal="center" vertical="center"/>
    </xf>
    <xf numFmtId="165" fontId="4" fillId="5" borderId="13" xfId="0" applyNumberFormat="1" applyFont="1" applyFill="1" applyBorder="1" applyAlignment="1" applyProtection="1">
      <alignment horizontal="center" vertical="center"/>
    </xf>
    <xf numFmtId="0" fontId="4" fillId="8" borderId="0" xfId="0" applyFont="1" applyFill="1" applyAlignment="1" applyProtection="1">
      <alignment horizontal="left" vertical="center"/>
    </xf>
    <xf numFmtId="0" fontId="4" fillId="8" borderId="0" xfId="0" applyFont="1" applyFill="1" applyBorder="1" applyAlignment="1" applyProtection="1">
      <alignment vertical="center" wrapText="1"/>
    </xf>
    <xf numFmtId="2" fontId="4" fillId="8" borderId="0" xfId="0" applyNumberFormat="1" applyFont="1" applyFill="1" applyBorder="1" applyAlignment="1" applyProtection="1">
      <alignment horizontal="center" vertical="center"/>
    </xf>
    <xf numFmtId="165" fontId="4" fillId="8" borderId="0" xfId="0" applyNumberFormat="1" applyFont="1" applyFill="1" applyBorder="1" applyAlignment="1" applyProtection="1">
      <alignment horizontal="center" vertical="center"/>
    </xf>
    <xf numFmtId="9" fontId="4" fillId="2" borderId="13" xfId="1" applyFont="1" applyFill="1" applyBorder="1" applyAlignment="1" applyProtection="1">
      <alignment horizontal="center" vertical="center"/>
      <protection locked="0"/>
    </xf>
    <xf numFmtId="2" fontId="4" fillId="4" borderId="1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164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hidden="1"/>
    </xf>
    <xf numFmtId="11" fontId="0" fillId="0" borderId="0" xfId="0" applyNumberFormat="1" applyFill="1" applyAlignment="1" applyProtection="1">
      <alignment vertical="center"/>
      <protection hidden="1"/>
    </xf>
    <xf numFmtId="2" fontId="0" fillId="0" borderId="0" xfId="0" applyNumberFormat="1" applyFill="1" applyAlignment="1" applyProtection="1">
      <alignment vertical="center"/>
      <protection hidden="1"/>
    </xf>
    <xf numFmtId="165" fontId="0" fillId="0" borderId="0" xfId="0" applyNumberFormat="1" applyFill="1" applyAlignment="1" applyProtection="1">
      <alignment vertical="center"/>
      <protection hidden="1"/>
    </xf>
    <xf numFmtId="0" fontId="15" fillId="8" borderId="0" xfId="0" applyFont="1" applyFill="1" applyBorder="1" applyAlignment="1" applyProtection="1">
      <alignment horizontal="center" vertical="center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16" fillId="0" borderId="0" xfId="0" applyFont="1" applyProtection="1">
      <protection hidden="1"/>
    </xf>
    <xf numFmtId="0" fontId="16" fillId="0" borderId="0" xfId="0" applyFont="1"/>
    <xf numFmtId="1" fontId="4" fillId="4" borderId="16" xfId="0" applyNumberFormat="1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left" vertical="center" wrapText="1"/>
    </xf>
    <xf numFmtId="0" fontId="4" fillId="0" borderId="21" xfId="0" applyFont="1" applyFill="1" applyBorder="1" applyAlignment="1" applyProtection="1">
      <alignment horizontal="left" vertical="center" wrapText="1"/>
    </xf>
    <xf numFmtId="0" fontId="4" fillId="0" borderId="24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0" fontId="4" fillId="8" borderId="12" xfId="0" applyFont="1" applyFill="1" applyBorder="1" applyAlignment="1" applyProtection="1">
      <alignment horizontal="center" vertical="center"/>
      <protection locked="0"/>
    </xf>
    <xf numFmtId="0" fontId="4" fillId="8" borderId="14" xfId="0" applyFont="1" applyFill="1" applyBorder="1" applyAlignment="1" applyProtection="1">
      <alignment horizontal="center" vertical="center"/>
    </xf>
    <xf numFmtId="0" fontId="4" fillId="8" borderId="13" xfId="0" applyFont="1" applyFill="1" applyBorder="1" applyAlignment="1" applyProtection="1">
      <alignment horizontal="center" vertical="center"/>
    </xf>
    <xf numFmtId="0" fontId="4" fillId="8" borderId="15" xfId="0" applyFont="1" applyFill="1" applyBorder="1" applyAlignment="1" applyProtection="1">
      <alignment horizontal="center" vertical="center"/>
    </xf>
    <xf numFmtId="165" fontId="4" fillId="4" borderId="15" xfId="0" applyNumberFormat="1" applyFont="1" applyFill="1" applyBorder="1" applyAlignment="1" applyProtection="1">
      <alignment horizontal="center" vertical="center" wrapText="1"/>
    </xf>
    <xf numFmtId="0" fontId="4" fillId="0" borderId="26" xfId="0" applyFont="1" applyFill="1" applyBorder="1" applyAlignment="1" applyProtection="1">
      <alignment horizontal="left" vertical="center" wrapText="1"/>
    </xf>
    <xf numFmtId="0" fontId="4" fillId="0" borderId="27" xfId="0" applyFont="1" applyFill="1" applyBorder="1" applyAlignment="1" applyProtection="1">
      <alignment horizontal="left" vertical="center" wrapText="1"/>
    </xf>
    <xf numFmtId="0" fontId="4" fillId="0" borderId="29" xfId="0" applyFont="1" applyFill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28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4" fillId="0" borderId="22" xfId="0" applyFont="1" applyBorder="1" applyAlignment="1" applyProtection="1">
      <alignment horizontal="left" vertical="center" wrapText="1"/>
    </xf>
    <xf numFmtId="0" fontId="4" fillId="8" borderId="23" xfId="0" applyFont="1" applyFill="1" applyBorder="1" applyAlignment="1" applyProtection="1">
      <alignment horizontal="center" vertical="center"/>
    </xf>
    <xf numFmtId="0" fontId="4" fillId="2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24" xfId="0" applyFont="1" applyBorder="1" applyAlignment="1" applyProtection="1">
      <alignment horizontal="left" vertical="center" wrapText="1"/>
    </xf>
    <xf numFmtId="0" fontId="4" fillId="8" borderId="14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8" borderId="0" xfId="0" applyFont="1" applyFill="1" applyAlignment="1" applyProtection="1">
      <alignment horizontal="center" vertical="center" wrapText="1"/>
    </xf>
    <xf numFmtId="1" fontId="4" fillId="5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Border="1"/>
    <xf numFmtId="164" fontId="8" fillId="8" borderId="0" xfId="0" applyNumberFormat="1" applyFon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NumberFormat="1" applyFill="1" applyAlignment="1" applyProtection="1">
      <alignment vertical="center"/>
      <protection hidden="1"/>
    </xf>
    <xf numFmtId="0" fontId="0" fillId="0" borderId="0" xfId="0" applyNumberFormat="1" applyAlignment="1">
      <alignment horizontal="center" vertical="center"/>
    </xf>
    <xf numFmtId="0" fontId="4" fillId="8" borderId="17" xfId="0" applyFont="1" applyFill="1" applyBorder="1" applyAlignment="1" applyProtection="1">
      <alignment horizontal="left" vertical="center" wrapText="1"/>
    </xf>
    <xf numFmtId="0" fontId="4" fillId="8" borderId="18" xfId="0" applyFont="1" applyFill="1" applyBorder="1" applyAlignment="1" applyProtection="1">
      <alignment horizontal="left" vertical="center" wrapText="1"/>
    </xf>
    <xf numFmtId="0" fontId="4" fillId="8" borderId="19" xfId="0" applyFont="1" applyFill="1" applyBorder="1" applyAlignment="1" applyProtection="1">
      <alignment horizontal="left" vertical="center" wrapText="1"/>
    </xf>
    <xf numFmtId="0" fontId="4" fillId="8" borderId="30" xfId="0" applyFont="1" applyFill="1" applyBorder="1" applyAlignment="1" applyProtection="1">
      <alignment horizontal="center" vertical="center"/>
    </xf>
    <xf numFmtId="164" fontId="4" fillId="4" borderId="23" xfId="0" applyNumberFormat="1" applyFont="1" applyFill="1" applyBorder="1" applyAlignment="1" applyProtection="1">
      <alignment horizontal="center" vertical="center" wrapText="1"/>
    </xf>
    <xf numFmtId="166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166" fontId="4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Border="1" applyAlignment="1" applyProtection="1">
      <alignment horizontal="left" vertical="center" wrapText="1"/>
    </xf>
    <xf numFmtId="164" fontId="0" fillId="0" borderId="0" xfId="0" applyNumberFormat="1" applyFill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horizontal="right" vertical="center" wrapText="1"/>
      <protection locked="0"/>
    </xf>
    <xf numFmtId="165" fontId="4" fillId="4" borderId="16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horizontal="center" vertical="center"/>
      <protection hidden="1"/>
    </xf>
    <xf numFmtId="2" fontId="4" fillId="4" borderId="25" xfId="1" applyNumberFormat="1" applyFont="1" applyFill="1" applyBorder="1" applyAlignment="1" applyProtection="1">
      <alignment horizontal="center" vertical="center"/>
    </xf>
    <xf numFmtId="165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2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9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164" fontId="4" fillId="5" borderId="13" xfId="0" applyNumberFormat="1" applyFont="1" applyFill="1" applyBorder="1" applyAlignment="1" applyProtection="1">
      <alignment horizontal="center" vertical="center" wrapText="1"/>
    </xf>
    <xf numFmtId="0" fontId="11" fillId="3" borderId="34" xfId="0" applyFont="1" applyFill="1" applyBorder="1" applyAlignment="1" applyProtection="1">
      <alignment horizontal="center" vertical="center"/>
    </xf>
    <xf numFmtId="0" fontId="4" fillId="7" borderId="35" xfId="0" applyFont="1" applyFill="1" applyBorder="1" applyAlignment="1" applyProtection="1">
      <alignment horizontal="left" vertical="center"/>
    </xf>
    <xf numFmtId="0" fontId="4" fillId="4" borderId="35" xfId="0" applyFont="1" applyFill="1" applyBorder="1" applyAlignment="1" applyProtection="1">
      <alignment horizontal="left" vertical="center"/>
    </xf>
    <xf numFmtId="0" fontId="4" fillId="5" borderId="35" xfId="0" applyFont="1" applyFill="1" applyBorder="1" applyAlignment="1" applyProtection="1">
      <alignment horizontal="left" vertical="center"/>
    </xf>
    <xf numFmtId="0" fontId="17" fillId="6" borderId="36" xfId="0" applyFont="1" applyFill="1" applyBorder="1" applyAlignment="1" applyProtection="1">
      <alignment horizontal="left" vertical="center"/>
    </xf>
    <xf numFmtId="0" fontId="10" fillId="8" borderId="10" xfId="0" applyFont="1" applyFill="1" applyBorder="1" applyAlignment="1" applyProtection="1">
      <alignment vertical="center" wrapText="1"/>
    </xf>
    <xf numFmtId="0" fontId="10" fillId="8" borderId="11" xfId="0" applyFont="1" applyFill="1" applyBorder="1" applyAlignment="1" applyProtection="1">
      <alignment vertical="center" wrapText="1"/>
    </xf>
    <xf numFmtId="0" fontId="10" fillId="8" borderId="1" xfId="0" applyFont="1" applyFill="1" applyBorder="1" applyAlignment="1" applyProtection="1">
      <alignment vertical="center" wrapText="1"/>
    </xf>
    <xf numFmtId="0" fontId="4" fillId="8" borderId="8" xfId="0" applyFont="1" applyFill="1" applyBorder="1" applyAlignment="1" applyProtection="1">
      <alignment horizontal="left" vertical="center" wrapText="1"/>
    </xf>
    <xf numFmtId="0" fontId="4" fillId="8" borderId="9" xfId="0" applyFont="1" applyFill="1" applyBorder="1" applyAlignment="1" applyProtection="1">
      <alignment horizontal="left" vertical="center" wrapText="1"/>
    </xf>
    <xf numFmtId="0" fontId="4" fillId="8" borderId="2" xfId="0" applyFont="1" applyFill="1" applyBorder="1" applyAlignment="1" applyProtection="1">
      <alignment horizontal="left" vertical="center" wrapText="1"/>
    </xf>
    <xf numFmtId="0" fontId="10" fillId="8" borderId="3" xfId="0" applyFont="1" applyFill="1" applyBorder="1" applyAlignment="1" applyProtection="1">
      <alignment vertical="center" wrapText="1"/>
    </xf>
    <xf numFmtId="0" fontId="10" fillId="8" borderId="4" xfId="0" applyFont="1" applyFill="1" applyBorder="1" applyAlignment="1" applyProtection="1">
      <alignment vertical="center" wrapText="1"/>
    </xf>
    <xf numFmtId="0" fontId="10" fillId="8" borderId="5" xfId="0" applyFont="1" applyFill="1" applyBorder="1" applyAlignment="1" applyProtection="1">
      <alignment vertical="center" wrapText="1"/>
    </xf>
    <xf numFmtId="0" fontId="4" fillId="8" borderId="6" xfId="0" applyFont="1" applyFill="1" applyBorder="1" applyAlignment="1" applyProtection="1">
      <alignment horizontal="left" vertical="center" wrapText="1"/>
    </xf>
    <xf numFmtId="0" fontId="4" fillId="8" borderId="0" xfId="0" applyFont="1" applyFill="1" applyBorder="1" applyAlignment="1" applyProtection="1">
      <alignment horizontal="left" vertical="center" wrapText="1"/>
    </xf>
    <xf numFmtId="0" fontId="4" fillId="8" borderId="7" xfId="0" applyFont="1" applyFill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vertical="center" wrapText="1"/>
    </xf>
    <xf numFmtId="0" fontId="10" fillId="0" borderId="11" xfId="0" applyFont="1" applyFill="1" applyBorder="1" applyAlignment="1" applyProtection="1">
      <alignment vertical="center" wrapText="1"/>
    </xf>
    <xf numFmtId="0" fontId="10" fillId="0" borderId="1" xfId="0" applyFont="1" applyFill="1" applyBorder="1" applyAlignment="1" applyProtection="1">
      <alignment vertical="center" wrapText="1"/>
    </xf>
    <xf numFmtId="0" fontId="12" fillId="0" borderId="3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8" xfId="0" applyFont="1" applyFill="1" applyBorder="1" applyAlignment="1" applyProtection="1">
      <alignment horizontal="left" vertical="center" wrapText="1"/>
    </xf>
    <xf numFmtId="0" fontId="12" fillId="0" borderId="31" xfId="0" applyFont="1" applyFill="1" applyBorder="1" applyAlignment="1" applyProtection="1">
      <alignment horizontal="left" vertical="center" wrapText="1"/>
    </xf>
    <xf numFmtId="0" fontId="12" fillId="0" borderId="32" xfId="0" applyFont="1" applyFill="1" applyBorder="1" applyAlignment="1" applyProtection="1">
      <alignment horizontal="left" vertical="center" wrapText="1"/>
    </xf>
    <xf numFmtId="0" fontId="12" fillId="0" borderId="33" xfId="0" applyFont="1" applyFill="1" applyBorder="1" applyAlignment="1" applyProtection="1">
      <alignment horizontal="left" vertical="center" wrapText="1"/>
    </xf>
  </cellXfs>
  <cellStyles count="3">
    <cellStyle name="Normal" xfId="0" builtinId="0"/>
    <cellStyle name="Normal 2" xfId="2"/>
    <cellStyle name="Percent" xfId="1" builtinId="5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CC99FF"/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W175"/>
  <sheetViews>
    <sheetView tabSelected="1" zoomScale="85" zoomScaleNormal="85" workbookViewId="0">
      <pane ySplit="5" topLeftCell="A96" activePane="bottomLeft" state="frozen"/>
      <selection pane="bottomLeft" activeCell="E113" sqref="E113"/>
    </sheetView>
  </sheetViews>
  <sheetFormatPr defaultColWidth="9.140625" defaultRowHeight="14.25" x14ac:dyDescent="0.25"/>
  <cols>
    <col min="1" max="1" width="2.7109375" style="34" customWidth="1"/>
    <col min="2" max="2" width="21" style="34" bestFit="1" customWidth="1"/>
    <col min="3" max="3" width="12.7109375" style="34" customWidth="1"/>
    <col min="4" max="6" width="16.7109375" style="34" customWidth="1"/>
    <col min="7" max="7" width="8.7109375" style="34" customWidth="1"/>
    <col min="8" max="8" width="80.7109375" style="34" customWidth="1"/>
    <col min="9" max="10" width="37.85546875" style="34" bestFit="1" customWidth="1"/>
    <col min="11" max="11" width="8.5703125" style="34" bestFit="1" customWidth="1"/>
    <col min="12" max="12" width="6.42578125" style="34" bestFit="1" customWidth="1"/>
    <col min="13" max="13" width="3.85546875" style="34" bestFit="1" customWidth="1"/>
    <col min="14" max="14" width="8.28515625" style="34" bestFit="1" customWidth="1"/>
    <col min="15" max="15" width="7.85546875" style="34" bestFit="1" customWidth="1"/>
    <col min="16" max="16" width="7.42578125" style="34" bestFit="1" customWidth="1"/>
    <col min="17" max="17" width="16.28515625" style="34" bestFit="1" customWidth="1"/>
    <col min="18" max="18" width="3.85546875" style="34" bestFit="1" customWidth="1"/>
    <col min="19" max="16384" width="9.140625" style="34"/>
  </cols>
  <sheetData>
    <row r="1" spans="2:18" ht="24" thickBot="1" x14ac:dyDescent="0.3">
      <c r="B1" s="140" t="s">
        <v>108</v>
      </c>
      <c r="C1" s="140"/>
      <c r="D1" s="140"/>
      <c r="E1" s="140"/>
      <c r="F1" s="140"/>
      <c r="G1" s="140"/>
      <c r="H1" s="140"/>
      <c r="I1" s="123" t="s">
        <v>9</v>
      </c>
    </row>
    <row r="2" spans="2:18" x14ac:dyDescent="0.25">
      <c r="B2" s="147" t="s">
        <v>25</v>
      </c>
      <c r="C2" s="147" t="s">
        <v>180</v>
      </c>
      <c r="D2" s="147" t="s">
        <v>170</v>
      </c>
      <c r="E2" s="147" t="s">
        <v>172</v>
      </c>
      <c r="F2" s="147" t="s">
        <v>173</v>
      </c>
      <c r="G2" s="147" t="s">
        <v>26</v>
      </c>
      <c r="H2" s="144" t="s">
        <v>27</v>
      </c>
      <c r="I2" s="124" t="s">
        <v>74</v>
      </c>
    </row>
    <row r="3" spans="2:18" x14ac:dyDescent="0.25">
      <c r="B3" s="148"/>
      <c r="C3" s="148"/>
      <c r="D3" s="148"/>
      <c r="E3" s="148"/>
      <c r="F3" s="148"/>
      <c r="G3" s="148"/>
      <c r="H3" s="145"/>
      <c r="I3" s="125" t="s">
        <v>171</v>
      </c>
    </row>
    <row r="4" spans="2:18" x14ac:dyDescent="0.25">
      <c r="B4" s="148"/>
      <c r="C4" s="148"/>
      <c r="D4" s="148"/>
      <c r="E4" s="148"/>
      <c r="F4" s="148"/>
      <c r="G4" s="148"/>
      <c r="H4" s="145"/>
      <c r="I4" s="126" t="s">
        <v>10</v>
      </c>
    </row>
    <row r="5" spans="2:18" ht="15" thickBot="1" x14ac:dyDescent="0.3">
      <c r="B5" s="149"/>
      <c r="C5" s="149"/>
      <c r="D5" s="149"/>
      <c r="E5" s="149"/>
      <c r="F5" s="149"/>
      <c r="G5" s="149"/>
      <c r="H5" s="146"/>
      <c r="I5" s="127" t="s">
        <v>11</v>
      </c>
    </row>
    <row r="6" spans="2:18" s="35" customFormat="1" ht="16.5" thickBot="1" x14ac:dyDescent="0.3">
      <c r="B6" s="141" t="s">
        <v>45</v>
      </c>
      <c r="C6" s="142"/>
      <c r="D6" s="142"/>
      <c r="E6" s="142"/>
      <c r="F6" s="142"/>
      <c r="G6" s="142"/>
      <c r="H6" s="143"/>
      <c r="J6" s="34"/>
      <c r="K6" s="34"/>
      <c r="L6" s="34"/>
      <c r="M6" s="34"/>
      <c r="N6" s="34"/>
      <c r="O6" s="34"/>
      <c r="P6" s="34"/>
      <c r="Q6" s="34"/>
      <c r="R6" s="34"/>
    </row>
    <row r="7" spans="2:18" ht="15" x14ac:dyDescent="0.25">
      <c r="B7" s="84" t="s">
        <v>12</v>
      </c>
      <c r="C7" s="13" t="s">
        <v>188</v>
      </c>
      <c r="D7" s="79"/>
      <c r="E7" s="79"/>
      <c r="F7" s="79"/>
      <c r="G7" s="78"/>
      <c r="H7" s="85" t="s">
        <v>31</v>
      </c>
      <c r="K7" s="36"/>
      <c r="L7" s="36"/>
      <c r="M7" s="36"/>
      <c r="N7" s="36"/>
      <c r="O7" s="36"/>
      <c r="P7" s="35"/>
      <c r="Q7" s="35"/>
      <c r="R7" s="35"/>
    </row>
    <row r="8" spans="2:18" ht="15" x14ac:dyDescent="0.25">
      <c r="B8" s="75" t="s">
        <v>38</v>
      </c>
      <c r="C8" s="41">
        <f>VLOOKUP($C$7,partData!$A$3:$N$10,2,FALSE)</f>
        <v>8</v>
      </c>
      <c r="D8" s="80"/>
      <c r="E8" s="80"/>
      <c r="F8" s="80"/>
      <c r="G8" s="40" t="s">
        <v>1</v>
      </c>
      <c r="H8" s="76" t="s">
        <v>37</v>
      </c>
      <c r="K8" s="36"/>
      <c r="L8" s="36"/>
      <c r="M8" s="37"/>
      <c r="N8" s="37"/>
      <c r="O8" s="38"/>
    </row>
    <row r="9" spans="2:18" ht="15" x14ac:dyDescent="0.25">
      <c r="B9" s="75" t="s">
        <v>39</v>
      </c>
      <c r="C9" s="41">
        <f>VLOOKUP($C$7,partData!$A$3:$N$10,3,FALSE)</f>
        <v>14</v>
      </c>
      <c r="D9" s="80"/>
      <c r="E9" s="80"/>
      <c r="F9" s="80"/>
      <c r="G9" s="40" t="s">
        <v>1</v>
      </c>
      <c r="H9" s="76" t="s">
        <v>36</v>
      </c>
      <c r="K9" s="36"/>
      <c r="L9" s="36"/>
      <c r="M9" s="38"/>
      <c r="N9" s="38"/>
      <c r="O9" s="38"/>
    </row>
    <row r="10" spans="2:18" ht="15" x14ac:dyDescent="0.25">
      <c r="B10" s="75" t="s">
        <v>3</v>
      </c>
      <c r="C10" s="41">
        <f>VLOOKUP($C$7,partData!$A$3:$N$10,9,FALSE)</f>
        <v>0.50800000000000001</v>
      </c>
      <c r="D10" s="80"/>
      <c r="E10" s="80"/>
      <c r="F10" s="80"/>
      <c r="G10" s="40" t="s">
        <v>1</v>
      </c>
      <c r="H10" s="76" t="s">
        <v>28</v>
      </c>
      <c r="K10" s="36"/>
      <c r="L10" s="36"/>
    </row>
    <row r="11" spans="2:18" x14ac:dyDescent="0.25">
      <c r="B11" s="75" t="s">
        <v>40</v>
      </c>
      <c r="C11" s="41">
        <f>VLOOKUP($C$7,partData!$A$3:$N$10,4,FALSE)</f>
        <v>10</v>
      </c>
      <c r="D11" s="80"/>
      <c r="E11" s="80"/>
      <c r="F11" s="80"/>
      <c r="G11" s="40" t="s">
        <v>0</v>
      </c>
      <c r="H11" s="76" t="s">
        <v>35</v>
      </c>
    </row>
    <row r="12" spans="2:18" x14ac:dyDescent="0.25">
      <c r="B12" s="75" t="s">
        <v>236</v>
      </c>
      <c r="C12" s="41">
        <f>VLOOKUP($C$7,partData!$A$3:$U$10,17,FALSE)</f>
        <v>1.23</v>
      </c>
      <c r="D12" s="80"/>
      <c r="E12" s="80"/>
      <c r="F12" s="80"/>
      <c r="G12" s="40" t="s">
        <v>1</v>
      </c>
      <c r="H12" s="76" t="s">
        <v>238</v>
      </c>
    </row>
    <row r="13" spans="2:18" x14ac:dyDescent="0.25">
      <c r="B13" s="75" t="s">
        <v>240</v>
      </c>
      <c r="C13" s="41">
        <f>VLOOKUP($C$7,partData!$A$3:$U$10,19,FALSE)</f>
        <v>1</v>
      </c>
      <c r="D13" s="80"/>
      <c r="E13" s="80"/>
      <c r="F13" s="80"/>
      <c r="G13" s="40" t="s">
        <v>132</v>
      </c>
      <c r="H13" s="76" t="s">
        <v>239</v>
      </c>
    </row>
    <row r="14" spans="2:18" x14ac:dyDescent="0.25">
      <c r="B14" s="75" t="s">
        <v>237</v>
      </c>
      <c r="C14" s="41">
        <f>VLOOKUP($C$7,partData!$A$3:$U$10,18,FALSE)</f>
        <v>4</v>
      </c>
      <c r="D14" s="80"/>
      <c r="E14" s="80"/>
      <c r="F14" s="80"/>
      <c r="G14" s="40" t="s">
        <v>132</v>
      </c>
      <c r="H14" s="76" t="s">
        <v>241</v>
      </c>
    </row>
    <row r="15" spans="2:18" x14ac:dyDescent="0.25">
      <c r="B15" s="75" t="s">
        <v>30</v>
      </c>
      <c r="C15" s="41" t="str">
        <f>VLOOKUP($C$7,partData!$A$3:$N$10,10,FALSE)</f>
        <v>Hiccup</v>
      </c>
      <c r="D15" s="80"/>
      <c r="E15" s="80"/>
      <c r="F15" s="80"/>
      <c r="G15" s="40"/>
      <c r="H15" s="76" t="s">
        <v>29</v>
      </c>
    </row>
    <row r="16" spans="2:18" x14ac:dyDescent="0.25">
      <c r="B16" s="75" t="s">
        <v>49</v>
      </c>
      <c r="C16" s="41">
        <f>VLOOKUP($C$7,partData!$A$3:$P$10,8,FALSE)</f>
        <v>14</v>
      </c>
      <c r="D16" s="80"/>
      <c r="E16" s="80"/>
      <c r="F16" s="80"/>
      <c r="G16" s="40" t="s">
        <v>51</v>
      </c>
      <c r="H16" s="76" t="s">
        <v>234</v>
      </c>
    </row>
    <row r="17" spans="2:13" x14ac:dyDescent="0.25">
      <c r="B17" s="75" t="s">
        <v>50</v>
      </c>
      <c r="C17" s="41">
        <f>VLOOKUP($C$7,partData!$A$3:$P$10,12,FALSE)</f>
        <v>10</v>
      </c>
      <c r="D17" s="80"/>
      <c r="E17" s="80"/>
      <c r="F17" s="80"/>
      <c r="G17" s="40" t="s">
        <v>51</v>
      </c>
      <c r="H17" s="76" t="s">
        <v>235</v>
      </c>
    </row>
    <row r="18" spans="2:13" x14ac:dyDescent="0.25">
      <c r="B18" s="75" t="s">
        <v>56</v>
      </c>
      <c r="C18" s="41">
        <f>VLOOKUP($C$7,partData!$A$3:$Q$10,13,FALSE)</f>
        <v>27</v>
      </c>
      <c r="D18" s="80"/>
      <c r="E18" s="80"/>
      <c r="F18" s="80"/>
      <c r="G18" s="40" t="s">
        <v>54</v>
      </c>
      <c r="H18" s="76" t="s">
        <v>57</v>
      </c>
    </row>
    <row r="19" spans="2:13" x14ac:dyDescent="0.25">
      <c r="B19" s="75" t="s">
        <v>191</v>
      </c>
      <c r="C19" s="41">
        <f>VLOOKUP($C$7,partData!$A$3:$Q$10,14,FALSE)</f>
        <v>6.8</v>
      </c>
      <c r="D19" s="80"/>
      <c r="E19" s="80"/>
      <c r="F19" s="80"/>
      <c r="G19" s="40" t="s">
        <v>54</v>
      </c>
      <c r="H19" s="76" t="s">
        <v>58</v>
      </c>
    </row>
    <row r="20" spans="2:13" ht="15" thickBot="1" x14ac:dyDescent="0.3">
      <c r="B20" s="75" t="s">
        <v>192</v>
      </c>
      <c r="C20" s="41">
        <f>VLOOKUP($C$7,partData!$A$3:$Q$10,15,FALSE)</f>
        <v>9.3000000000000007</v>
      </c>
      <c r="D20" s="80"/>
      <c r="E20" s="80"/>
      <c r="F20" s="80"/>
      <c r="G20" s="40" t="s">
        <v>54</v>
      </c>
      <c r="H20" s="76" t="s">
        <v>58</v>
      </c>
    </row>
    <row r="21" spans="2:13" ht="16.5" thickBot="1" x14ac:dyDescent="0.3">
      <c r="B21" s="141" t="s">
        <v>46</v>
      </c>
      <c r="C21" s="142"/>
      <c r="D21" s="142"/>
      <c r="E21" s="142"/>
      <c r="F21" s="142"/>
      <c r="G21" s="142"/>
      <c r="H21" s="143"/>
    </row>
    <row r="22" spans="2:13" x14ac:dyDescent="0.25">
      <c r="B22" s="75" t="s">
        <v>150</v>
      </c>
      <c r="C22" s="14">
        <f>Vin_nom*0.9</f>
        <v>10.8</v>
      </c>
      <c r="D22" s="80"/>
      <c r="E22" s="80"/>
      <c r="F22" s="80"/>
      <c r="G22" s="40" t="s">
        <v>1</v>
      </c>
      <c r="H22" s="76" t="s">
        <v>153</v>
      </c>
    </row>
    <row r="23" spans="2:13" x14ac:dyDescent="0.25">
      <c r="B23" s="75" t="s">
        <v>151</v>
      </c>
      <c r="C23" s="14">
        <v>12</v>
      </c>
      <c r="D23" s="80"/>
      <c r="E23" s="80"/>
      <c r="F23" s="80"/>
      <c r="G23" s="40" t="s">
        <v>1</v>
      </c>
      <c r="H23" s="76" t="s">
        <v>154</v>
      </c>
    </row>
    <row r="24" spans="2:13" x14ac:dyDescent="0.25">
      <c r="B24" s="75" t="s">
        <v>152</v>
      </c>
      <c r="C24" s="14">
        <f>Vin_nom*1.1</f>
        <v>13.200000000000001</v>
      </c>
      <c r="D24" s="80"/>
      <c r="E24" s="80"/>
      <c r="F24" s="80"/>
      <c r="G24" s="40" t="s">
        <v>1</v>
      </c>
      <c r="H24" s="76" t="s">
        <v>155</v>
      </c>
    </row>
    <row r="25" spans="2:13" x14ac:dyDescent="0.25">
      <c r="B25" s="75" t="s">
        <v>4</v>
      </c>
      <c r="C25" s="14">
        <v>0.9</v>
      </c>
      <c r="D25" s="80"/>
      <c r="E25" s="80"/>
      <c r="F25" s="80"/>
      <c r="G25" s="40" t="s">
        <v>1</v>
      </c>
      <c r="H25" s="76" t="s">
        <v>216</v>
      </c>
    </row>
    <row r="26" spans="2:13" ht="15" thickBot="1" x14ac:dyDescent="0.3">
      <c r="B26" s="75" t="s">
        <v>7</v>
      </c>
      <c r="C26" s="14">
        <v>2</v>
      </c>
      <c r="D26" s="80"/>
      <c r="E26" s="80"/>
      <c r="F26" s="80"/>
      <c r="G26" s="40" t="s">
        <v>0</v>
      </c>
      <c r="H26" s="76" t="s">
        <v>34</v>
      </c>
    </row>
    <row r="27" spans="2:13" ht="16.5" thickBot="1" x14ac:dyDescent="0.3">
      <c r="B27" s="141" t="s">
        <v>193</v>
      </c>
      <c r="C27" s="142"/>
      <c r="D27" s="142"/>
      <c r="E27" s="142"/>
      <c r="F27" s="142"/>
      <c r="G27" s="142"/>
      <c r="H27" s="143"/>
    </row>
    <row r="28" spans="2:13" x14ac:dyDescent="0.25">
      <c r="B28" s="75" t="s">
        <v>200</v>
      </c>
      <c r="C28" s="14">
        <v>4</v>
      </c>
      <c r="D28" s="80"/>
      <c r="E28" s="80"/>
      <c r="F28" s="80"/>
      <c r="G28" s="40" t="s">
        <v>8</v>
      </c>
      <c r="H28" s="76" t="s">
        <v>201</v>
      </c>
    </row>
    <row r="29" spans="2:13" x14ac:dyDescent="0.25">
      <c r="B29" s="75" t="s">
        <v>199</v>
      </c>
      <c r="C29" s="14">
        <v>512</v>
      </c>
      <c r="D29" s="80"/>
      <c r="E29" s="80"/>
      <c r="F29" s="80"/>
      <c r="G29" s="40"/>
      <c r="H29" s="76" t="s">
        <v>206</v>
      </c>
      <c r="I29" s="45"/>
    </row>
    <row r="30" spans="2:13" s="98" customFormat="1" x14ac:dyDescent="0.25">
      <c r="B30" s="75" t="s">
        <v>213</v>
      </c>
      <c r="C30" s="96"/>
      <c r="D30" s="97" t="str">
        <f>VLOOKUP(CONCATENATE(C28,C29),partData!D16:G23,4,0)</f>
        <v>Open</v>
      </c>
      <c r="E30" s="80"/>
      <c r="F30" s="80"/>
      <c r="G30" s="40" t="s">
        <v>44</v>
      </c>
      <c r="H30" s="76" t="s">
        <v>208</v>
      </c>
      <c r="J30" s="42"/>
      <c r="K30" s="42"/>
      <c r="L30" s="42"/>
      <c r="M30" s="42"/>
    </row>
    <row r="31" spans="2:13" s="98" customFormat="1" x14ac:dyDescent="0.25">
      <c r="B31" s="75" t="s">
        <v>214</v>
      </c>
      <c r="C31" s="80"/>
      <c r="D31" s="80"/>
      <c r="E31" s="14" t="str">
        <f>D30</f>
        <v>Open</v>
      </c>
      <c r="F31" s="80"/>
      <c r="G31" s="40" t="s">
        <v>44</v>
      </c>
      <c r="H31" s="76" t="s">
        <v>207</v>
      </c>
      <c r="J31" s="42"/>
      <c r="K31" s="42"/>
      <c r="L31" s="42"/>
      <c r="M31" s="42"/>
    </row>
    <row r="32" spans="2:13" x14ac:dyDescent="0.25">
      <c r="B32" s="75" t="s">
        <v>211</v>
      </c>
      <c r="C32" s="80"/>
      <c r="D32" s="80"/>
      <c r="E32" s="80"/>
      <c r="F32" s="74">
        <f>VLOOKUP(R_ssfsel,partData!G16:J23,2,0)</f>
        <v>4</v>
      </c>
      <c r="G32" s="40" t="s">
        <v>8</v>
      </c>
      <c r="H32" s="76" t="s">
        <v>209</v>
      </c>
    </row>
    <row r="33" spans="2:23" x14ac:dyDescent="0.25">
      <c r="B33" s="75" t="s">
        <v>47</v>
      </c>
      <c r="C33" s="80"/>
      <c r="D33" s="80"/>
      <c r="E33" s="80"/>
      <c r="F33" s="116">
        <f>VLOOKUP(R_ssfsel,partData!G16:J23,3,0)</f>
        <v>2</v>
      </c>
      <c r="G33" s="40" t="s">
        <v>8</v>
      </c>
      <c r="H33" s="76" t="s">
        <v>210</v>
      </c>
    </row>
    <row r="34" spans="2:23" ht="15" thickBot="1" x14ac:dyDescent="0.3">
      <c r="B34" s="75" t="s">
        <v>212</v>
      </c>
      <c r="D34" s="80"/>
      <c r="E34" s="80"/>
      <c r="F34" s="74">
        <f>VLOOKUP(R_ssfsel,partData!G16:J21,4,0)</f>
        <v>512</v>
      </c>
      <c r="G34" s="40" t="s">
        <v>205</v>
      </c>
      <c r="H34" s="76" t="s">
        <v>215</v>
      </c>
      <c r="I34" s="45"/>
      <c r="J34" s="42"/>
      <c r="K34" s="42"/>
      <c r="L34" s="42"/>
    </row>
    <row r="35" spans="2:23" ht="15.75" x14ac:dyDescent="0.25">
      <c r="B35" s="134" t="s">
        <v>66</v>
      </c>
      <c r="C35" s="135"/>
      <c r="D35" s="135"/>
      <c r="E35" s="135"/>
      <c r="F35" s="135"/>
      <c r="G35" s="135"/>
      <c r="H35" s="136"/>
    </row>
    <row r="36" spans="2:23" ht="15" thickBot="1" x14ac:dyDescent="0.3">
      <c r="B36" s="131" t="s">
        <v>75</v>
      </c>
      <c r="C36" s="132"/>
      <c r="D36" s="132"/>
      <c r="E36" s="132"/>
      <c r="F36" s="132"/>
      <c r="G36" s="132"/>
      <c r="H36" s="133"/>
      <c r="S36" s="38"/>
      <c r="T36" s="38"/>
      <c r="U36" s="38"/>
      <c r="V36" s="38"/>
      <c r="W36" s="38"/>
    </row>
    <row r="37" spans="2:23" x14ac:dyDescent="0.25">
      <c r="B37" s="87" t="s">
        <v>68</v>
      </c>
      <c r="C37" s="13">
        <v>0.3</v>
      </c>
      <c r="D37" s="80"/>
      <c r="E37" s="80"/>
      <c r="F37" s="80"/>
      <c r="G37" s="39"/>
      <c r="H37" s="85" t="s">
        <v>73</v>
      </c>
      <c r="I37" s="38"/>
      <c r="S37" s="38"/>
      <c r="T37" s="38"/>
      <c r="U37" s="38"/>
    </row>
    <row r="38" spans="2:23" x14ac:dyDescent="0.25">
      <c r="B38" s="87" t="s">
        <v>67</v>
      </c>
      <c r="C38" s="80"/>
      <c r="D38" s="47">
        <f>(2*Vout*(Vin_max-2*Vout))/(Iout*Kind*Vin_max*fsw_Hz)*10^6</f>
        <v>1.2954545454545454</v>
      </c>
      <c r="E38" s="80"/>
      <c r="F38" s="80"/>
      <c r="G38" s="40" t="s">
        <v>53</v>
      </c>
      <c r="H38" s="76" t="s">
        <v>69</v>
      </c>
      <c r="P38" s="38"/>
      <c r="Q38" s="38"/>
      <c r="R38" s="38"/>
      <c r="S38" s="38"/>
      <c r="T38" s="38"/>
      <c r="U38" s="38"/>
      <c r="V38" s="38"/>
      <c r="W38" s="38"/>
    </row>
    <row r="39" spans="2:23" x14ac:dyDescent="0.25">
      <c r="B39" s="87" t="s">
        <v>59</v>
      </c>
      <c r="C39" s="80"/>
      <c r="D39" s="47">
        <f>(2*Vout*(Vin_max-2*Vout))/(Io_max_IC*0.5*Vin_max*fsw_Hz)*10^6</f>
        <v>0.15545454545454546</v>
      </c>
      <c r="E39" s="80"/>
      <c r="F39" s="80"/>
      <c r="G39" s="40" t="s">
        <v>53</v>
      </c>
      <c r="H39" s="76" t="s">
        <v>299</v>
      </c>
      <c r="M39" s="38"/>
      <c r="N39" s="38"/>
      <c r="O39" s="46"/>
      <c r="P39" s="38"/>
      <c r="Q39" s="46"/>
      <c r="R39" s="46"/>
      <c r="S39" s="38"/>
      <c r="T39" s="38"/>
      <c r="U39" s="38"/>
      <c r="V39" s="38"/>
      <c r="W39" s="38"/>
    </row>
    <row r="40" spans="2:23" ht="18" x14ac:dyDescent="0.25">
      <c r="B40" s="87" t="s">
        <v>60</v>
      </c>
      <c r="C40" s="80"/>
      <c r="D40" s="47">
        <f>(2*Vout*(Vin_max-2*Vout))/(Io_max_IC*0.1*Vin_max*fsw_Hz)*10^6</f>
        <v>0.77727272727272712</v>
      </c>
      <c r="E40" s="80"/>
      <c r="F40" s="80"/>
      <c r="G40" s="40" t="s">
        <v>53</v>
      </c>
      <c r="H40" s="76" t="s">
        <v>72</v>
      </c>
      <c r="I40" s="48"/>
      <c r="P40" s="38"/>
      <c r="Q40" s="38"/>
      <c r="R40" s="38"/>
      <c r="S40" s="38"/>
      <c r="T40" s="38"/>
      <c r="U40" s="38"/>
      <c r="V40" s="38"/>
      <c r="W40" s="38"/>
    </row>
    <row r="41" spans="2:23" ht="18" x14ac:dyDescent="0.25">
      <c r="B41" s="87" t="s">
        <v>61</v>
      </c>
      <c r="C41" s="80"/>
      <c r="D41" s="80"/>
      <c r="E41" s="14">
        <v>0.22</v>
      </c>
      <c r="F41" s="80"/>
      <c r="G41" s="40" t="s">
        <v>53</v>
      </c>
      <c r="H41" s="76" t="s">
        <v>62</v>
      </c>
      <c r="I41" s="48"/>
      <c r="P41" s="38"/>
      <c r="Q41" s="38"/>
      <c r="R41" s="38"/>
      <c r="S41" s="38"/>
      <c r="T41" s="38"/>
      <c r="U41" s="38"/>
      <c r="V41" s="38"/>
      <c r="W41" s="38"/>
    </row>
    <row r="42" spans="2:23" ht="18" x14ac:dyDescent="0.25">
      <c r="B42" s="87" t="s">
        <v>52</v>
      </c>
      <c r="C42" s="80"/>
      <c r="D42" s="80"/>
      <c r="E42" s="14">
        <v>7.5</v>
      </c>
      <c r="F42" s="80"/>
      <c r="G42" s="40" t="s">
        <v>54</v>
      </c>
      <c r="H42" s="76" t="s">
        <v>63</v>
      </c>
      <c r="I42" s="48"/>
      <c r="M42" s="38"/>
      <c r="N42" s="38"/>
      <c r="O42" s="46"/>
      <c r="P42" s="38"/>
      <c r="Q42" s="38"/>
      <c r="R42" s="38"/>
      <c r="S42" s="38"/>
      <c r="T42" s="38"/>
      <c r="U42" s="38"/>
      <c r="V42" s="38"/>
      <c r="W42" s="38"/>
    </row>
    <row r="43" spans="2:23" ht="18" x14ac:dyDescent="0.25">
      <c r="B43" s="87" t="s">
        <v>130</v>
      </c>
      <c r="C43" s="80"/>
      <c r="D43" s="80"/>
      <c r="E43" s="59">
        <v>0.2</v>
      </c>
      <c r="F43" s="80"/>
      <c r="G43" s="40"/>
      <c r="H43" s="76" t="s">
        <v>131</v>
      </c>
      <c r="I43" s="48"/>
      <c r="M43" s="38"/>
      <c r="N43" s="38"/>
      <c r="O43" s="46"/>
      <c r="P43" s="38"/>
      <c r="Q43" s="38"/>
      <c r="R43" s="38"/>
      <c r="S43" s="38"/>
      <c r="T43" s="38"/>
      <c r="U43" s="38"/>
      <c r="V43" s="38"/>
      <c r="W43" s="38"/>
    </row>
    <row r="44" spans="2:23" ht="28.5" x14ac:dyDescent="0.25">
      <c r="B44" s="88" t="s">
        <v>163</v>
      </c>
      <c r="C44" s="80"/>
      <c r="D44" s="80"/>
      <c r="E44" s="80"/>
      <c r="F44" s="17">
        <f>((Vin_max-2*Vout)*2*Vout)/(Lout_H*(1-Tol_L)*Vin_max*fsw_Hz)</f>
        <v>4.4163223140495864</v>
      </c>
      <c r="G44" s="40" t="s">
        <v>0</v>
      </c>
      <c r="H44" s="76" t="s">
        <v>295</v>
      </c>
      <c r="I44" s="48"/>
      <c r="M44" s="38"/>
      <c r="N44" s="38"/>
      <c r="O44" s="46"/>
      <c r="P44" s="38"/>
      <c r="Q44" s="38"/>
      <c r="R44" s="38"/>
      <c r="S44" s="38"/>
      <c r="T44" s="38"/>
      <c r="U44" s="38"/>
      <c r="V44" s="38"/>
      <c r="W44" s="38"/>
    </row>
    <row r="45" spans="2:23" ht="18" x14ac:dyDescent="0.25">
      <c r="B45" s="88" t="s">
        <v>65</v>
      </c>
      <c r="C45" s="80"/>
      <c r="D45" s="80"/>
      <c r="E45" s="80"/>
      <c r="F45" s="17">
        <f>Iout/2+(Iripple_max/2)</f>
        <v>3.2081611570247932</v>
      </c>
      <c r="G45" s="40" t="s">
        <v>0</v>
      </c>
      <c r="H45" s="76" t="s">
        <v>224</v>
      </c>
      <c r="I45" s="48"/>
      <c r="O45" s="50"/>
      <c r="P45" s="38"/>
      <c r="Q45" s="38"/>
      <c r="R45" s="38"/>
      <c r="S45" s="38"/>
      <c r="T45" s="38"/>
      <c r="U45" s="38"/>
      <c r="V45" s="38"/>
      <c r="W45" s="38"/>
    </row>
    <row r="46" spans="2:23" ht="18" x14ac:dyDescent="0.25">
      <c r="B46" s="88" t="s">
        <v>168</v>
      </c>
      <c r="C46" s="80"/>
      <c r="D46" s="80"/>
      <c r="E46" s="80"/>
      <c r="F46" s="17">
        <f>SQRT((Iout)/2^2+(Iripple_max^2)/12)</f>
        <v>1.4578495230296202</v>
      </c>
      <c r="G46" s="40" t="s">
        <v>0</v>
      </c>
      <c r="H46" s="76" t="s">
        <v>169</v>
      </c>
      <c r="I46" s="48"/>
      <c r="O46" s="50"/>
      <c r="P46" s="38"/>
      <c r="Q46" s="38"/>
      <c r="R46" s="38"/>
      <c r="S46" s="42"/>
      <c r="T46" s="42"/>
      <c r="U46" s="42"/>
      <c r="V46" s="38"/>
      <c r="W46" s="38"/>
    </row>
    <row r="47" spans="2:23" ht="18" x14ac:dyDescent="0.25">
      <c r="B47" s="89" t="s">
        <v>162</v>
      </c>
      <c r="C47" s="80"/>
      <c r="D47" s="80"/>
      <c r="E47" s="80"/>
      <c r="F47" s="17">
        <f>((Vin_min-2*Vout)*2*Vout)/(Lout_H*(1-Tol_L)*Vin_min*fsw_Hz)</f>
        <v>4.2613636363636358</v>
      </c>
      <c r="G47" s="43" t="s">
        <v>0</v>
      </c>
      <c r="H47" s="86" t="s">
        <v>164</v>
      </c>
      <c r="I47" s="48"/>
      <c r="O47" s="50"/>
      <c r="P47" s="38"/>
      <c r="Q47" s="38"/>
      <c r="R47" s="38"/>
      <c r="S47" s="42"/>
      <c r="T47" s="42"/>
      <c r="U47" s="42"/>
      <c r="V47" s="38"/>
      <c r="W47" s="38"/>
    </row>
    <row r="48" spans="2:23" ht="18" x14ac:dyDescent="0.25">
      <c r="B48" s="89" t="s">
        <v>64</v>
      </c>
      <c r="C48" s="80"/>
      <c r="D48" s="80"/>
      <c r="E48" s="80"/>
      <c r="F48" s="20">
        <f>Iout/2-(Iripple_min/2)</f>
        <v>-1.1306818181818179</v>
      </c>
      <c r="G48" s="43" t="s">
        <v>0</v>
      </c>
      <c r="H48" s="86" t="s">
        <v>223</v>
      </c>
      <c r="I48" s="48"/>
      <c r="O48" s="50"/>
      <c r="P48" s="42"/>
      <c r="Q48" s="42"/>
      <c r="R48" s="42"/>
      <c r="S48" s="42"/>
      <c r="T48" s="42"/>
      <c r="U48" s="42"/>
      <c r="V48" s="38"/>
      <c r="W48" s="38"/>
    </row>
    <row r="49" spans="2:23" ht="18" x14ac:dyDescent="0.25">
      <c r="B49" s="89" t="s">
        <v>242</v>
      </c>
      <c r="C49" s="80"/>
      <c r="D49" s="80"/>
      <c r="E49" s="80"/>
      <c r="F49" s="20" t="s">
        <v>225</v>
      </c>
      <c r="G49" s="43" t="s">
        <v>0</v>
      </c>
      <c r="H49" s="86" t="s">
        <v>243</v>
      </c>
      <c r="I49" s="48"/>
      <c r="O49" s="50"/>
      <c r="P49" s="42"/>
      <c r="Q49" s="42"/>
      <c r="R49" s="42"/>
      <c r="S49" s="42"/>
      <c r="T49" s="42"/>
      <c r="U49" s="42"/>
      <c r="V49" s="38"/>
      <c r="W49" s="38"/>
    </row>
    <row r="50" spans="2:23" ht="18.75" thickBot="1" x14ac:dyDescent="0.3">
      <c r="B50" s="89" t="s">
        <v>242</v>
      </c>
      <c r="C50" s="80"/>
      <c r="D50" s="80"/>
      <c r="E50" s="80"/>
      <c r="F50" s="20" t="s">
        <v>225</v>
      </c>
      <c r="G50" s="43" t="s">
        <v>0</v>
      </c>
      <c r="H50" s="86" t="s">
        <v>243</v>
      </c>
      <c r="I50" s="48"/>
      <c r="O50" s="50"/>
      <c r="P50" s="42"/>
      <c r="Q50" s="42"/>
      <c r="R50" s="42"/>
      <c r="S50" s="42"/>
      <c r="T50" s="42"/>
      <c r="U50" s="42"/>
      <c r="V50" s="38"/>
      <c r="W50" s="38"/>
    </row>
    <row r="51" spans="2:23" ht="18.75" thickBot="1" x14ac:dyDescent="0.3">
      <c r="B51" s="128" t="s">
        <v>217</v>
      </c>
      <c r="C51" s="129"/>
      <c r="D51" s="129"/>
      <c r="E51" s="129"/>
      <c r="F51" s="129"/>
      <c r="G51" s="129"/>
      <c r="H51" s="130"/>
      <c r="I51" s="48"/>
      <c r="J51" s="48"/>
      <c r="P51" s="42"/>
      <c r="Q51" s="42"/>
      <c r="R51" s="42"/>
      <c r="S51" s="38"/>
      <c r="T51" s="38"/>
      <c r="U51" s="38"/>
      <c r="V51" s="38"/>
      <c r="W51" s="38"/>
    </row>
    <row r="52" spans="2:23" ht="28.5" x14ac:dyDescent="0.25">
      <c r="B52" s="87" t="s">
        <v>186</v>
      </c>
      <c r="C52" s="80"/>
      <c r="D52" s="60" t="s">
        <v>225</v>
      </c>
      <c r="E52" s="80"/>
      <c r="F52" s="80"/>
      <c r="G52" s="39" t="s">
        <v>0</v>
      </c>
      <c r="H52" s="85" t="s">
        <v>278</v>
      </c>
      <c r="I52" s="48"/>
      <c r="O52" s="42"/>
      <c r="P52" s="42"/>
      <c r="Q52" s="42"/>
      <c r="R52" s="42"/>
      <c r="S52" s="38"/>
      <c r="T52" s="38"/>
      <c r="U52" s="38"/>
    </row>
    <row r="53" spans="2:23" ht="18" x14ac:dyDescent="0.25">
      <c r="B53" s="87" t="s">
        <v>232</v>
      </c>
      <c r="C53" s="80"/>
      <c r="D53" s="118">
        <f>IF(Iout*1.5&lt;11.25,11.25,15)</f>
        <v>11.25</v>
      </c>
      <c r="E53" s="80"/>
      <c r="F53" s="80"/>
      <c r="G53" s="39"/>
      <c r="H53" s="85" t="s">
        <v>279</v>
      </c>
      <c r="I53" s="48"/>
      <c r="O53" s="42"/>
      <c r="P53" s="42"/>
      <c r="Q53" s="42"/>
      <c r="R53" s="42"/>
      <c r="S53" s="38"/>
      <c r="T53" s="38"/>
      <c r="U53" s="38"/>
    </row>
    <row r="54" spans="2:23" ht="18" x14ac:dyDescent="0.25">
      <c r="B54" s="87" t="s">
        <v>233</v>
      </c>
      <c r="C54" s="21">
        <v>11.25</v>
      </c>
      <c r="D54" s="80"/>
      <c r="E54" s="80"/>
      <c r="F54" s="80"/>
      <c r="G54" s="39" t="s">
        <v>0</v>
      </c>
      <c r="H54" s="85" t="s">
        <v>280</v>
      </c>
      <c r="I54" s="48"/>
      <c r="J54" s="35"/>
      <c r="K54" s="35"/>
      <c r="L54" s="35"/>
      <c r="M54" s="35"/>
      <c r="N54" s="35"/>
      <c r="O54" s="35"/>
      <c r="P54" s="42"/>
      <c r="Q54" s="42"/>
      <c r="R54" s="42"/>
      <c r="S54" s="38"/>
      <c r="T54" s="38"/>
      <c r="U54" s="38"/>
    </row>
    <row r="55" spans="2:23" ht="18" x14ac:dyDescent="0.25">
      <c r="B55" s="87" t="s">
        <v>229</v>
      </c>
      <c r="C55" s="80"/>
      <c r="D55" s="97">
        <f>VLOOKUP(Io_max_select,partData!F26:I27,4,0)</f>
        <v>47</v>
      </c>
      <c r="E55" s="80"/>
      <c r="F55" s="80"/>
      <c r="G55" s="39"/>
      <c r="H55" s="85"/>
      <c r="I55" s="48"/>
      <c r="J55" s="35"/>
      <c r="K55" s="35"/>
      <c r="L55" s="35"/>
      <c r="M55" s="35"/>
      <c r="N55" s="35"/>
      <c r="O55" s="35"/>
      <c r="P55" s="42"/>
      <c r="Q55" s="42"/>
      <c r="R55" s="42"/>
      <c r="S55" s="38"/>
      <c r="T55" s="38"/>
      <c r="U55" s="38"/>
    </row>
    <row r="56" spans="2:23" x14ac:dyDescent="0.25">
      <c r="B56" s="88" t="s">
        <v>230</v>
      </c>
      <c r="C56" s="80"/>
      <c r="D56" s="80"/>
      <c r="E56" s="21">
        <f>D55</f>
        <v>47</v>
      </c>
      <c r="F56" s="80"/>
      <c r="G56" s="40" t="s">
        <v>44</v>
      </c>
      <c r="H56" s="76" t="s">
        <v>281</v>
      </c>
      <c r="O56" s="42"/>
      <c r="P56" s="38"/>
      <c r="Q56" s="38"/>
      <c r="R56" s="38"/>
      <c r="S56" s="38"/>
      <c r="T56" s="38"/>
      <c r="U56" s="38"/>
      <c r="V56" s="38"/>
      <c r="W56" s="38"/>
    </row>
    <row r="57" spans="2:23" ht="15" x14ac:dyDescent="0.25">
      <c r="B57" s="88" t="s">
        <v>231</v>
      </c>
      <c r="C57" s="80"/>
      <c r="D57" s="80"/>
      <c r="E57" s="80"/>
      <c r="F57" s="22">
        <f>VLOOKUP(Rilim,partData!E26:H27,2,0)</f>
        <v>11.25</v>
      </c>
      <c r="G57" s="40" t="s">
        <v>0</v>
      </c>
      <c r="H57" s="76" t="s">
        <v>226</v>
      </c>
      <c r="O57" s="42"/>
      <c r="P57" s="36"/>
      <c r="Q57" s="52"/>
      <c r="R57" s="52"/>
      <c r="S57" s="38"/>
      <c r="T57" s="38"/>
      <c r="U57" s="38"/>
      <c r="V57" s="38"/>
      <c r="W57" s="38"/>
    </row>
    <row r="58" spans="2:23" x14ac:dyDescent="0.25">
      <c r="B58" s="89" t="s">
        <v>300</v>
      </c>
      <c r="C58" s="80"/>
      <c r="D58" s="80"/>
      <c r="E58" s="80"/>
      <c r="F58" s="23">
        <f>VLOOKUP(Rilim,partData!E26:H27,3,0)</f>
        <v>9.9</v>
      </c>
      <c r="G58" s="43" t="s">
        <v>0</v>
      </c>
      <c r="H58" s="86" t="s">
        <v>228</v>
      </c>
      <c r="O58" s="42"/>
      <c r="P58" s="38"/>
      <c r="Q58" s="38"/>
      <c r="R58" s="38"/>
      <c r="S58" s="38"/>
      <c r="T58" s="38"/>
      <c r="U58" s="38"/>
      <c r="V58" s="38"/>
      <c r="W58" s="38"/>
    </row>
    <row r="59" spans="2:23" x14ac:dyDescent="0.25">
      <c r="B59" s="89" t="s">
        <v>301</v>
      </c>
      <c r="C59" s="80"/>
      <c r="D59" s="80"/>
      <c r="E59" s="80"/>
      <c r="F59" s="23">
        <f>VLOOKUP(Rilim,partData!E26:H27,4,0)</f>
        <v>5.3</v>
      </c>
      <c r="G59" s="43" t="s">
        <v>0</v>
      </c>
      <c r="H59" s="86" t="s">
        <v>227</v>
      </c>
      <c r="O59" s="42"/>
      <c r="P59" s="38"/>
      <c r="Q59" s="38"/>
      <c r="R59" s="38"/>
      <c r="S59" s="38"/>
      <c r="T59" s="38"/>
      <c r="U59" s="38"/>
      <c r="V59" s="38"/>
      <c r="W59" s="38"/>
    </row>
    <row r="60" spans="2:23" x14ac:dyDescent="0.25">
      <c r="B60" s="89" t="s">
        <v>156</v>
      </c>
      <c r="C60" s="80"/>
      <c r="D60" s="80"/>
      <c r="E60" s="80"/>
      <c r="F60" s="23" t="s">
        <v>225</v>
      </c>
      <c r="G60" s="43" t="s">
        <v>0</v>
      </c>
      <c r="H60" s="86" t="s">
        <v>159</v>
      </c>
      <c r="O60" s="42"/>
      <c r="P60" s="38"/>
      <c r="Q60" s="38"/>
      <c r="R60" s="38"/>
      <c r="S60" s="38"/>
      <c r="T60" s="38"/>
      <c r="U60" s="38"/>
      <c r="V60" s="38"/>
      <c r="W60" s="38"/>
    </row>
    <row r="61" spans="2:23" x14ac:dyDescent="0.25">
      <c r="B61" s="89" t="s">
        <v>157</v>
      </c>
      <c r="C61" s="80"/>
      <c r="D61" s="80"/>
      <c r="E61" s="80"/>
      <c r="F61" s="23" t="s">
        <v>225</v>
      </c>
      <c r="G61" s="43"/>
      <c r="H61" s="86" t="s">
        <v>160</v>
      </c>
      <c r="O61" s="42"/>
      <c r="P61" s="38"/>
      <c r="Q61" s="38"/>
      <c r="R61" s="38"/>
      <c r="S61" s="38"/>
      <c r="T61" s="38"/>
      <c r="U61" s="38"/>
      <c r="V61" s="38"/>
      <c r="W61" s="38"/>
    </row>
    <row r="62" spans="2:23" ht="15" thickBot="1" x14ac:dyDescent="0.3">
      <c r="B62" s="89" t="s">
        <v>158</v>
      </c>
      <c r="C62" s="80"/>
      <c r="D62" s="80"/>
      <c r="E62" s="80"/>
      <c r="F62" s="23" t="s">
        <v>225</v>
      </c>
      <c r="G62" s="43"/>
      <c r="H62" s="86" t="s">
        <v>161</v>
      </c>
      <c r="O62" s="42"/>
      <c r="P62" s="38"/>
      <c r="Q62" s="38"/>
      <c r="R62" s="38"/>
      <c r="S62" s="38"/>
      <c r="T62" s="38"/>
      <c r="U62" s="38"/>
      <c r="V62" s="38"/>
      <c r="W62" s="38"/>
    </row>
    <row r="63" spans="2:23" ht="15.75" x14ac:dyDescent="0.25">
      <c r="B63" s="134" t="s">
        <v>70</v>
      </c>
      <c r="C63" s="135"/>
      <c r="D63" s="135"/>
      <c r="E63" s="135"/>
      <c r="F63" s="135"/>
      <c r="G63" s="135"/>
      <c r="H63" s="136"/>
      <c r="P63" s="38"/>
      <c r="Q63" s="38"/>
      <c r="R63" s="38"/>
      <c r="S63" s="38"/>
      <c r="T63" s="38"/>
      <c r="U63" s="38"/>
      <c r="V63" s="38"/>
      <c r="W63" s="38"/>
    </row>
    <row r="64" spans="2:23" ht="18.75" thickBot="1" x14ac:dyDescent="0.3">
      <c r="B64" s="131" t="s">
        <v>149</v>
      </c>
      <c r="C64" s="132"/>
      <c r="D64" s="132"/>
      <c r="E64" s="132"/>
      <c r="F64" s="132"/>
      <c r="G64" s="132"/>
      <c r="H64" s="133"/>
      <c r="I64" s="48"/>
      <c r="P64" s="38"/>
      <c r="Q64" s="38"/>
      <c r="R64" s="38"/>
      <c r="S64" s="38"/>
      <c r="T64" s="38"/>
      <c r="U64" s="38"/>
    </row>
    <row r="65" spans="2:21" x14ac:dyDescent="0.25">
      <c r="B65" s="88" t="s">
        <v>32</v>
      </c>
      <c r="C65" s="14">
        <f>C26/2</f>
        <v>1</v>
      </c>
      <c r="D65" s="80"/>
      <c r="E65" s="80"/>
      <c r="F65" s="80"/>
      <c r="G65" s="49" t="s">
        <v>0</v>
      </c>
      <c r="H65" s="90" t="s">
        <v>33</v>
      </c>
      <c r="I65" s="38"/>
      <c r="P65" s="38"/>
      <c r="Q65" s="38"/>
      <c r="R65" s="38"/>
      <c r="S65" s="38"/>
      <c r="T65" s="38"/>
      <c r="U65" s="38"/>
    </row>
    <row r="66" spans="2:21" x14ac:dyDescent="0.25">
      <c r="B66" s="88" t="s">
        <v>183</v>
      </c>
      <c r="C66" s="112">
        <v>0.03</v>
      </c>
      <c r="D66" s="80"/>
      <c r="E66" s="80"/>
      <c r="F66" s="80"/>
      <c r="G66" s="49"/>
      <c r="H66" s="90" t="s">
        <v>182</v>
      </c>
      <c r="I66" s="38"/>
      <c r="P66" s="38"/>
      <c r="Q66" s="38"/>
      <c r="R66" s="38"/>
      <c r="S66" s="38"/>
      <c r="T66" s="38"/>
      <c r="U66" s="38"/>
    </row>
    <row r="67" spans="2:21" ht="18" x14ac:dyDescent="0.25">
      <c r="B67" s="88" t="s">
        <v>41</v>
      </c>
      <c r="C67" s="15">
        <f>C25*C66</f>
        <v>2.7E-2</v>
      </c>
      <c r="D67" s="80"/>
      <c r="E67" s="80"/>
      <c r="F67" s="80"/>
      <c r="G67" s="49" t="s">
        <v>1</v>
      </c>
      <c r="H67" s="90" t="s">
        <v>80</v>
      </c>
      <c r="I67" s="42"/>
      <c r="J67" s="48"/>
    </row>
    <row r="68" spans="2:21" x14ac:dyDescent="0.25">
      <c r="B68" s="88" t="s">
        <v>48</v>
      </c>
      <c r="C68" s="16">
        <f>Vout*0.01</f>
        <v>9.0000000000000011E-3</v>
      </c>
      <c r="D68" s="80"/>
      <c r="E68" s="80"/>
      <c r="F68" s="80"/>
      <c r="G68" s="49" t="s">
        <v>1</v>
      </c>
      <c r="H68" s="90" t="s">
        <v>81</v>
      </c>
      <c r="I68" s="42"/>
      <c r="J68" s="42"/>
      <c r="K68" s="38"/>
      <c r="L68" s="38"/>
      <c r="M68" s="38"/>
      <c r="N68" s="38"/>
      <c r="O68" s="46"/>
    </row>
    <row r="69" spans="2:21" ht="15" x14ac:dyDescent="0.25">
      <c r="B69" s="88" t="s">
        <v>76</v>
      </c>
      <c r="C69" s="80"/>
      <c r="D69" s="53">
        <f>Iripple_max/(16*dVo_dc*fsw_Hz)*10^6</f>
        <v>15.334452479338838</v>
      </c>
      <c r="E69" s="80"/>
      <c r="F69" s="80"/>
      <c r="G69" s="49" t="s">
        <v>71</v>
      </c>
      <c r="H69" s="90" t="s">
        <v>166</v>
      </c>
      <c r="I69" s="42"/>
      <c r="J69" s="35"/>
      <c r="K69" s="35"/>
      <c r="L69" s="35"/>
      <c r="M69" s="35"/>
      <c r="N69" s="35"/>
      <c r="O69" s="35"/>
    </row>
    <row r="70" spans="2:21" s="35" customFormat="1" ht="15" x14ac:dyDescent="0.25">
      <c r="B70" s="88" t="s">
        <v>77</v>
      </c>
      <c r="C70" s="80"/>
      <c r="D70" s="19">
        <f>(2*Lout*Io_step^2)/((Vin_min-4*Vout)*dVo_trans)</f>
        <v>2.2633744855967075</v>
      </c>
      <c r="E70" s="80"/>
      <c r="F70" s="80"/>
      <c r="G70" s="49" t="s">
        <v>71</v>
      </c>
      <c r="H70" s="90" t="s">
        <v>82</v>
      </c>
      <c r="I70" s="101"/>
      <c r="P70" s="38"/>
      <c r="Q70" s="46"/>
      <c r="R70" s="46"/>
      <c r="S70" s="36"/>
      <c r="T70" s="36"/>
      <c r="U70" s="36"/>
    </row>
    <row r="71" spans="2:21" s="35" customFormat="1" ht="15" x14ac:dyDescent="0.25">
      <c r="B71" s="88" t="s">
        <v>78</v>
      </c>
      <c r="C71" s="80"/>
      <c r="D71" s="19">
        <f>Lout*Io_step^2/(4*Vout*dVo_trans)</f>
        <v>2.263374485596708</v>
      </c>
      <c r="E71" s="80"/>
      <c r="F71" s="80"/>
      <c r="G71" s="49" t="s">
        <v>71</v>
      </c>
      <c r="H71" s="90" t="s">
        <v>83</v>
      </c>
      <c r="P71" s="38"/>
      <c r="Q71" s="46"/>
      <c r="R71" s="46"/>
      <c r="S71" s="36"/>
      <c r="T71" s="36"/>
      <c r="U71" s="36"/>
    </row>
    <row r="72" spans="2:21" s="35" customFormat="1" ht="15" x14ac:dyDescent="0.25">
      <c r="B72" s="88" t="s">
        <v>79</v>
      </c>
      <c r="C72" s="80"/>
      <c r="D72" s="19">
        <f>2*(15/(PI()*fsw_Hz))^2*1/Lout_H*1000000</f>
        <v>51.811968908013647</v>
      </c>
      <c r="E72" s="80"/>
      <c r="F72" s="80"/>
      <c r="G72" s="49" t="s">
        <v>71</v>
      </c>
      <c r="H72" s="90" t="s">
        <v>167</v>
      </c>
      <c r="P72" s="36"/>
      <c r="Q72" s="52"/>
      <c r="R72" s="52"/>
      <c r="S72" s="36"/>
      <c r="T72" s="36"/>
      <c r="U72" s="36"/>
    </row>
    <row r="73" spans="2:21" s="35" customFormat="1" ht="28.5" x14ac:dyDescent="0.25">
      <c r="B73" s="88" t="s">
        <v>84</v>
      </c>
      <c r="C73" s="80"/>
      <c r="D73" s="54">
        <f>(MAX(D69:D72))</f>
        <v>51.811968908013647</v>
      </c>
      <c r="E73" s="80"/>
      <c r="F73" s="80"/>
      <c r="G73" s="49" t="s">
        <v>71</v>
      </c>
      <c r="H73" s="90" t="s">
        <v>296</v>
      </c>
      <c r="P73" s="36"/>
      <c r="Q73" s="52"/>
      <c r="R73" s="52"/>
      <c r="S73" s="36"/>
      <c r="T73" s="36"/>
      <c r="U73" s="36"/>
    </row>
    <row r="74" spans="2:21" s="35" customFormat="1" ht="28.5" x14ac:dyDescent="0.25">
      <c r="B74" s="88" t="s">
        <v>274</v>
      </c>
      <c r="C74" s="80"/>
      <c r="D74" s="54">
        <f>2*2500/(PI()^2*fsw_Hz^2*Lout_H)*1000000</f>
        <v>575.68854342237387</v>
      </c>
      <c r="E74" s="80"/>
      <c r="F74" s="80"/>
      <c r="G74" s="49" t="s">
        <v>71</v>
      </c>
      <c r="H74" s="90" t="s">
        <v>273</v>
      </c>
      <c r="P74" s="36"/>
      <c r="Q74" s="52"/>
      <c r="R74" s="52"/>
      <c r="S74" s="36"/>
      <c r="T74" s="36"/>
      <c r="U74" s="36"/>
    </row>
    <row r="75" spans="2:21" s="35" customFormat="1" ht="15" x14ac:dyDescent="0.25">
      <c r="B75" s="88" t="s">
        <v>93</v>
      </c>
      <c r="C75" s="80"/>
      <c r="D75" s="19">
        <f>dVo_trans/Io_step*1000</f>
        <v>27</v>
      </c>
      <c r="E75" s="80"/>
      <c r="F75" s="80"/>
      <c r="G75" s="49" t="s">
        <v>54</v>
      </c>
      <c r="H75" s="90" t="s">
        <v>92</v>
      </c>
      <c r="J75" s="55"/>
      <c r="K75" s="34"/>
      <c r="L75" s="44"/>
      <c r="M75" s="34"/>
      <c r="N75" s="34"/>
      <c r="O75" s="34"/>
      <c r="P75" s="36"/>
      <c r="Q75" s="52"/>
      <c r="R75" s="52"/>
      <c r="S75" s="36"/>
      <c r="T75" s="36"/>
      <c r="U75" s="36"/>
    </row>
    <row r="76" spans="2:21" ht="15" x14ac:dyDescent="0.25">
      <c r="B76" s="88" t="s">
        <v>85</v>
      </c>
      <c r="C76" s="80"/>
      <c r="D76" s="19">
        <f>dVo_dc/Iripple_max*1000</f>
        <v>2.0378947368421056</v>
      </c>
      <c r="E76" s="80"/>
      <c r="F76" s="80"/>
      <c r="G76" s="49" t="s">
        <v>54</v>
      </c>
      <c r="H76" s="90" t="s">
        <v>91</v>
      </c>
      <c r="J76" s="55"/>
      <c r="L76" s="44"/>
      <c r="P76" s="36"/>
      <c r="Q76" s="52"/>
      <c r="R76" s="52"/>
      <c r="S76" s="38"/>
      <c r="T76" s="38"/>
      <c r="U76" s="38"/>
    </row>
    <row r="77" spans="2:21" ht="15" x14ac:dyDescent="0.25">
      <c r="B77" s="88" t="s">
        <v>86</v>
      </c>
      <c r="C77" s="80"/>
      <c r="D77" s="54">
        <f>MIN(D75:D76)</f>
        <v>2.0378947368421056</v>
      </c>
      <c r="E77" s="80"/>
      <c r="F77" s="80"/>
      <c r="G77" s="49" t="s">
        <v>54</v>
      </c>
      <c r="H77" s="90" t="s">
        <v>272</v>
      </c>
      <c r="J77" s="55"/>
      <c r="L77" s="44"/>
      <c r="P77" s="36"/>
      <c r="Q77" s="52"/>
      <c r="R77" s="52"/>
      <c r="S77" s="38"/>
      <c r="T77" s="38"/>
      <c r="U77" s="38"/>
    </row>
    <row r="78" spans="2:21" x14ac:dyDescent="0.25">
      <c r="B78" s="88" t="s">
        <v>88</v>
      </c>
      <c r="C78" s="80"/>
      <c r="D78" s="80"/>
      <c r="E78" s="30">
        <v>47</v>
      </c>
      <c r="F78" s="80"/>
      <c r="G78" s="49" t="s">
        <v>71</v>
      </c>
      <c r="H78" s="90" t="s">
        <v>101</v>
      </c>
      <c r="P78" s="38"/>
      <c r="Q78" s="46"/>
      <c r="R78" s="46"/>
      <c r="S78" s="38"/>
      <c r="T78" s="38"/>
      <c r="U78" s="38"/>
    </row>
    <row r="79" spans="2:21" x14ac:dyDescent="0.25">
      <c r="B79" s="88" t="s">
        <v>105</v>
      </c>
      <c r="C79" s="80"/>
      <c r="D79" s="80"/>
      <c r="E79" s="30">
        <v>3</v>
      </c>
      <c r="F79" s="80"/>
      <c r="G79" s="49" t="s">
        <v>54</v>
      </c>
      <c r="H79" s="90" t="s">
        <v>102</v>
      </c>
      <c r="I79" s="44"/>
      <c r="P79" s="38"/>
      <c r="Q79" s="46"/>
      <c r="R79" s="46"/>
      <c r="S79" s="38"/>
      <c r="T79" s="38"/>
      <c r="U79" s="38"/>
    </row>
    <row r="80" spans="2:21" x14ac:dyDescent="0.25">
      <c r="B80" s="88" t="s">
        <v>104</v>
      </c>
      <c r="C80" s="80"/>
      <c r="D80" s="80"/>
      <c r="E80" s="14">
        <v>5</v>
      </c>
      <c r="F80" s="80"/>
      <c r="G80" s="49"/>
      <c r="H80" s="76" t="s">
        <v>103</v>
      </c>
      <c r="I80" s="44"/>
      <c r="J80" s="55"/>
      <c r="L80" s="44"/>
      <c r="P80" s="38"/>
      <c r="Q80" s="46"/>
      <c r="R80" s="46"/>
      <c r="S80" s="38"/>
      <c r="T80" s="38"/>
      <c r="U80" s="38"/>
    </row>
    <row r="81" spans="2:23" ht="28.5" x14ac:dyDescent="0.25">
      <c r="B81" s="88" t="s">
        <v>89</v>
      </c>
      <c r="C81" s="80"/>
      <c r="D81" s="80"/>
      <c r="E81" s="29">
        <v>0.8</v>
      </c>
      <c r="F81" s="80"/>
      <c r="G81" s="49"/>
      <c r="H81" s="76" t="s">
        <v>107</v>
      </c>
      <c r="J81" s="44"/>
      <c r="P81" s="38"/>
      <c r="Q81" s="46"/>
      <c r="R81" s="46"/>
      <c r="S81" s="38"/>
      <c r="T81" s="38"/>
      <c r="U81" s="38"/>
    </row>
    <row r="82" spans="2:23" ht="28.5" x14ac:dyDescent="0.25">
      <c r="B82" s="88" t="s">
        <v>90</v>
      </c>
      <c r="C82" s="80"/>
      <c r="D82" s="80"/>
      <c r="E82" s="80"/>
      <c r="F82" s="18">
        <f>Cout_nominal*N_Cout*Cout_derating</f>
        <v>188</v>
      </c>
      <c r="G82" s="49" t="s">
        <v>71</v>
      </c>
      <c r="H82" s="76" t="s">
        <v>297</v>
      </c>
      <c r="I82" s="44"/>
      <c r="J82" s="44"/>
      <c r="P82" s="38"/>
      <c r="Q82" s="46"/>
      <c r="R82" s="46"/>
      <c r="S82" s="38"/>
      <c r="T82" s="38"/>
      <c r="U82" s="38"/>
    </row>
    <row r="83" spans="2:23" x14ac:dyDescent="0.25">
      <c r="B83" s="88" t="s">
        <v>87</v>
      </c>
      <c r="C83" s="80"/>
      <c r="D83" s="80"/>
      <c r="E83" s="80"/>
      <c r="F83" s="19">
        <f>ESR_nominal/N_Cout</f>
        <v>0.6</v>
      </c>
      <c r="G83" s="49" t="s">
        <v>54</v>
      </c>
      <c r="H83" s="76" t="s">
        <v>106</v>
      </c>
      <c r="I83" s="44"/>
      <c r="J83" s="44"/>
      <c r="P83" s="38"/>
      <c r="Q83" s="46"/>
      <c r="R83" s="46"/>
      <c r="S83" s="38"/>
      <c r="T83" s="38"/>
      <c r="U83" s="38"/>
    </row>
    <row r="84" spans="2:23" x14ac:dyDescent="0.25">
      <c r="B84" s="88" t="s">
        <v>99</v>
      </c>
      <c r="C84" s="80"/>
      <c r="D84" s="80"/>
      <c r="E84" s="80"/>
      <c r="F84" s="19">
        <f>SQRT((Io_step*ESR_Ohm)^2+((2*Lout_H*Io_step^2)/((Vin_min-4*Vout)*Cout_F))^2)*10^3</f>
        <v>0.6823953542988519</v>
      </c>
      <c r="G84" s="49" t="s">
        <v>2</v>
      </c>
      <c r="H84" s="76" t="s">
        <v>95</v>
      </c>
      <c r="I84" s="44"/>
      <c r="J84" s="44"/>
      <c r="P84" s="38"/>
      <c r="Q84" s="46"/>
      <c r="R84" s="46"/>
      <c r="S84" s="38"/>
      <c r="T84" s="38"/>
      <c r="U84" s="38"/>
    </row>
    <row r="85" spans="2:23" x14ac:dyDescent="0.25">
      <c r="B85" s="88" t="s">
        <v>98</v>
      </c>
      <c r="C85" s="80"/>
      <c r="D85" s="80"/>
      <c r="E85" s="80"/>
      <c r="F85" s="19">
        <f>SQRT((Io_step*ESR_Ohm)^2+(Lout_H*Io_step^2/(4*Vout*Cout_F))^2)*10^3</f>
        <v>0.6823953542988519</v>
      </c>
      <c r="G85" s="49" t="s">
        <v>2</v>
      </c>
      <c r="H85" s="76" t="s">
        <v>94</v>
      </c>
      <c r="I85" s="44"/>
      <c r="J85" s="44"/>
      <c r="P85" s="38"/>
      <c r="Q85" s="46"/>
      <c r="R85" s="46"/>
      <c r="S85" s="38"/>
      <c r="T85" s="38"/>
      <c r="U85" s="38"/>
    </row>
    <row r="86" spans="2:23" x14ac:dyDescent="0.25">
      <c r="B86" s="88" t="s">
        <v>100</v>
      </c>
      <c r="C86" s="80"/>
      <c r="D86" s="80"/>
      <c r="E86" s="80"/>
      <c r="F86" s="19">
        <f>SQRT((ESR_Ohm*Iripple_max)^2+(Iripple_max/(8*Cout_F*fsw_Hz))^2)*10^3</f>
        <v>3.029355296058136</v>
      </c>
      <c r="G86" s="49" t="s">
        <v>2</v>
      </c>
      <c r="H86" s="76" t="s">
        <v>165</v>
      </c>
      <c r="I86" s="44"/>
      <c r="J86" s="44"/>
      <c r="P86" s="38"/>
      <c r="Q86" s="46"/>
      <c r="R86" s="46"/>
      <c r="S86" s="38"/>
      <c r="T86" s="38"/>
      <c r="U86" s="38"/>
    </row>
    <row r="87" spans="2:23" ht="28.5" x14ac:dyDescent="0.25">
      <c r="B87" s="88" t="s">
        <v>96</v>
      </c>
      <c r="C87" s="80"/>
      <c r="D87" s="80"/>
      <c r="E87" s="80"/>
      <c r="F87" s="19">
        <f>1/(2*PI()*SQRT(Lout_H*Cout_F/2))*10^-3</f>
        <v>34.99813196906657</v>
      </c>
      <c r="G87" s="49" t="s">
        <v>6</v>
      </c>
      <c r="H87" s="76" t="s">
        <v>145</v>
      </c>
      <c r="I87" s="44"/>
      <c r="J87" s="44"/>
      <c r="P87" s="38"/>
      <c r="Q87" s="46"/>
      <c r="R87" s="46"/>
      <c r="S87" s="38"/>
      <c r="T87" s="38"/>
      <c r="U87" s="38"/>
    </row>
    <row r="88" spans="2:23" ht="28.5" x14ac:dyDescent="0.25">
      <c r="B88" s="88" t="s">
        <v>97</v>
      </c>
      <c r="C88" s="80"/>
      <c r="D88" s="80"/>
      <c r="E88" s="80"/>
      <c r="F88" s="19">
        <f>1/(2*PI()*Cout_F*ESR_Ohm)*10^-3</f>
        <v>1410.9480770558098</v>
      </c>
      <c r="G88" s="49" t="s">
        <v>6</v>
      </c>
      <c r="H88" s="76" t="s">
        <v>146</v>
      </c>
      <c r="I88" s="44"/>
      <c r="O88" s="42"/>
      <c r="P88" s="38"/>
      <c r="Q88" s="46"/>
      <c r="R88" s="46"/>
      <c r="S88" s="38"/>
      <c r="T88" s="38"/>
      <c r="U88" s="38"/>
    </row>
    <row r="89" spans="2:23" ht="29.25" thickBot="1" x14ac:dyDescent="0.3">
      <c r="B89" s="88" t="s">
        <v>271</v>
      </c>
      <c r="C89" s="80"/>
      <c r="D89" s="80"/>
      <c r="E89" s="80"/>
      <c r="F89" s="19">
        <f>Cout_F*Vout/(tss*10^-6)</f>
        <v>0.33046874999999998</v>
      </c>
      <c r="G89" s="49" t="s">
        <v>0</v>
      </c>
      <c r="H89" s="76" t="s">
        <v>298</v>
      </c>
      <c r="I89" s="113"/>
      <c r="O89" s="42"/>
      <c r="P89" s="38"/>
      <c r="Q89" s="46"/>
      <c r="R89" s="46"/>
      <c r="S89" s="38"/>
      <c r="T89" s="38"/>
      <c r="U89" s="38"/>
    </row>
    <row r="90" spans="2:23" ht="15.75" x14ac:dyDescent="0.25">
      <c r="B90" s="134" t="s">
        <v>109</v>
      </c>
      <c r="C90" s="135"/>
      <c r="D90" s="135"/>
      <c r="E90" s="135"/>
      <c r="F90" s="135"/>
      <c r="G90" s="135"/>
      <c r="H90" s="136"/>
      <c r="O90" s="42"/>
      <c r="P90" s="38"/>
      <c r="Q90" s="46"/>
      <c r="R90" s="46"/>
      <c r="S90" s="38"/>
      <c r="T90" s="38"/>
      <c r="U90" s="38"/>
      <c r="V90" s="38"/>
      <c r="W90" s="38"/>
    </row>
    <row r="91" spans="2:23" ht="15" thickBot="1" x14ac:dyDescent="0.3">
      <c r="B91" s="137" t="s">
        <v>244</v>
      </c>
      <c r="C91" s="138"/>
      <c r="D91" s="138"/>
      <c r="E91" s="138"/>
      <c r="F91" s="138"/>
      <c r="G91" s="138"/>
      <c r="H91" s="139"/>
      <c r="I91" s="44"/>
      <c r="J91" s="44"/>
      <c r="P91" s="38"/>
      <c r="Q91" s="46"/>
      <c r="R91" s="46"/>
      <c r="S91" s="38"/>
      <c r="T91" s="38"/>
      <c r="U91" s="38"/>
    </row>
    <row r="92" spans="2:23" x14ac:dyDescent="0.25">
      <c r="B92" s="106" t="s">
        <v>184</v>
      </c>
      <c r="C92" s="111">
        <v>0.02</v>
      </c>
      <c r="D92" s="107"/>
      <c r="E92" s="107"/>
      <c r="F92" s="107"/>
      <c r="G92" s="107"/>
      <c r="H92" s="108" t="s">
        <v>184</v>
      </c>
      <c r="I92" s="44"/>
      <c r="J92" s="44"/>
      <c r="P92" s="38"/>
      <c r="Q92" s="46"/>
      <c r="R92" s="46"/>
      <c r="S92" s="38"/>
      <c r="T92" s="38"/>
      <c r="U92" s="38"/>
    </row>
    <row r="93" spans="2:23" x14ac:dyDescent="0.25">
      <c r="B93" s="88" t="s">
        <v>181</v>
      </c>
      <c r="C93" s="81"/>
      <c r="D93" s="33">
        <f>Vin_min*C92*1000</f>
        <v>216.00000000000003</v>
      </c>
      <c r="E93" s="81"/>
      <c r="F93" s="81"/>
      <c r="G93" s="49" t="s">
        <v>2</v>
      </c>
      <c r="H93" s="76" t="s">
        <v>185</v>
      </c>
      <c r="P93" s="38"/>
      <c r="Q93" s="38"/>
      <c r="R93" s="38"/>
    </row>
    <row r="94" spans="2:23" x14ac:dyDescent="0.25">
      <c r="B94" s="88" t="s">
        <v>114</v>
      </c>
      <c r="C94" s="31">
        <f>D93</f>
        <v>216.00000000000003</v>
      </c>
      <c r="D94" s="80"/>
      <c r="E94" s="80"/>
      <c r="F94" s="80"/>
      <c r="G94" s="49" t="s">
        <v>2</v>
      </c>
      <c r="H94" s="76" t="s">
        <v>111</v>
      </c>
      <c r="P94" s="38"/>
      <c r="Q94" s="38"/>
      <c r="R94" s="38"/>
    </row>
    <row r="95" spans="2:23" ht="15" x14ac:dyDescent="0.25">
      <c r="B95" s="88" t="s">
        <v>112</v>
      </c>
      <c r="C95" s="80"/>
      <c r="D95" s="28">
        <f>MAX(4.7,(2*Iout*Vout*(Vin_min-2*Vout))/(fsw_Hz*Vin_min^2*Vi_ripple_target*10^-3)*10^6)</f>
        <v>4.7</v>
      </c>
      <c r="E95" s="80"/>
      <c r="F95" s="80"/>
      <c r="G95" s="49" t="s">
        <v>71</v>
      </c>
      <c r="H95" s="76" t="s">
        <v>119</v>
      </c>
    </row>
    <row r="96" spans="2:23" ht="15" x14ac:dyDescent="0.25">
      <c r="B96" s="88" t="s">
        <v>113</v>
      </c>
      <c r="C96" s="80"/>
      <c r="D96" s="80"/>
      <c r="E96" s="31">
        <f>2*10*0.5+22*0.33</f>
        <v>17.260000000000002</v>
      </c>
      <c r="F96" s="80"/>
      <c r="G96" s="49" t="s">
        <v>71</v>
      </c>
      <c r="H96" s="76" t="s">
        <v>118</v>
      </c>
      <c r="J96" s="56"/>
    </row>
    <row r="97" spans="2:23" x14ac:dyDescent="0.25">
      <c r="B97" s="88" t="s">
        <v>110</v>
      </c>
      <c r="C97" s="80"/>
      <c r="D97" s="80"/>
      <c r="E97" s="80"/>
      <c r="F97" s="26">
        <f>(2*Iout*Vout*(Vin_min-2*Vout))/(fsw_Hz*Vin_min^2*Cin*10^-6)*10^3</f>
        <v>8.0468649414188196</v>
      </c>
      <c r="G97" s="49" t="s">
        <v>2</v>
      </c>
      <c r="H97" s="76" t="s">
        <v>117</v>
      </c>
      <c r="I97" s="56"/>
      <c r="J97" s="56"/>
      <c r="O97" s="50"/>
    </row>
    <row r="98" spans="2:23" ht="15" thickBot="1" x14ac:dyDescent="0.3">
      <c r="B98" s="91" t="s">
        <v>115</v>
      </c>
      <c r="C98" s="109"/>
      <c r="D98" s="109"/>
      <c r="E98" s="109"/>
      <c r="F98" s="110">
        <f>Iout/2*SQRT(2*Vout/Vin_min*(1-2*Vout/Vin_min))</f>
        <v>0.37267799624996495</v>
      </c>
      <c r="G98" s="94" t="s">
        <v>0</v>
      </c>
      <c r="H98" s="77" t="s">
        <v>116</v>
      </c>
      <c r="I98" s="56"/>
      <c r="J98" s="56"/>
      <c r="O98" s="50"/>
    </row>
    <row r="99" spans="2:23" ht="16.5" thickBot="1" x14ac:dyDescent="0.3">
      <c r="B99" s="134" t="s">
        <v>245</v>
      </c>
      <c r="C99" s="135"/>
      <c r="D99" s="135"/>
      <c r="E99" s="135"/>
      <c r="F99" s="135"/>
      <c r="G99" s="135"/>
      <c r="H99" s="136"/>
      <c r="O99" s="42"/>
      <c r="P99" s="38"/>
      <c r="Q99" s="46"/>
      <c r="R99" s="46"/>
      <c r="S99" s="38"/>
      <c r="T99" s="38"/>
      <c r="U99" s="38"/>
      <c r="V99" s="38"/>
      <c r="W99" s="38"/>
    </row>
    <row r="100" spans="2:23" x14ac:dyDescent="0.25">
      <c r="B100" s="106" t="s">
        <v>246</v>
      </c>
      <c r="C100" s="121">
        <v>0.1</v>
      </c>
      <c r="D100" s="107"/>
      <c r="E100" s="107"/>
      <c r="F100" s="107"/>
      <c r="G100" s="107"/>
      <c r="H100" s="108" t="s">
        <v>246</v>
      </c>
      <c r="I100" s="113"/>
      <c r="J100" s="113"/>
      <c r="P100" s="38"/>
      <c r="Q100" s="46"/>
      <c r="R100" s="46"/>
      <c r="S100" s="38"/>
      <c r="T100" s="38"/>
      <c r="U100" s="38"/>
    </row>
    <row r="101" spans="2:23" x14ac:dyDescent="0.25">
      <c r="B101" s="88" t="s">
        <v>247</v>
      </c>
      <c r="C101" s="81"/>
      <c r="D101" s="33">
        <f>Vin_min*C100*1000</f>
        <v>1080</v>
      </c>
      <c r="E101" s="81"/>
      <c r="F101" s="81"/>
      <c r="G101" s="49" t="s">
        <v>2</v>
      </c>
      <c r="H101" s="76" t="s">
        <v>254</v>
      </c>
      <c r="P101" s="38"/>
      <c r="Q101" s="38"/>
      <c r="R101" s="38"/>
    </row>
    <row r="102" spans="2:23" x14ac:dyDescent="0.25">
      <c r="B102" s="88" t="s">
        <v>248</v>
      </c>
      <c r="C102" s="31">
        <f>D101</f>
        <v>1080</v>
      </c>
      <c r="D102" s="80"/>
      <c r="E102" s="80"/>
      <c r="F102" s="80"/>
      <c r="G102" s="49" t="s">
        <v>2</v>
      </c>
      <c r="H102" s="76" t="s">
        <v>255</v>
      </c>
      <c r="P102" s="38"/>
      <c r="Q102" s="38"/>
      <c r="R102" s="38"/>
    </row>
    <row r="103" spans="2:23" ht="15" x14ac:dyDescent="0.25">
      <c r="B103" s="88" t="s">
        <v>249</v>
      </c>
      <c r="C103" s="80"/>
      <c r="D103" s="28">
        <f>2*Vout*Iout/(Vscap_ripple_target*10^-3*fsw_Hz*Vin_min)*10^6</f>
        <v>0.15432098765432098</v>
      </c>
      <c r="E103" s="80"/>
      <c r="F103" s="80"/>
      <c r="G103" s="49" t="s">
        <v>71</v>
      </c>
      <c r="H103" s="76" t="s">
        <v>253</v>
      </c>
    </row>
    <row r="104" spans="2:23" ht="15" x14ac:dyDescent="0.25">
      <c r="B104" s="88" t="s">
        <v>250</v>
      </c>
      <c r="C104" s="80"/>
      <c r="D104" s="80"/>
      <c r="E104" s="31">
        <v>2.2000000000000002</v>
      </c>
      <c r="F104" s="80"/>
      <c r="G104" s="49" t="s">
        <v>71</v>
      </c>
      <c r="H104" s="76" t="s">
        <v>256</v>
      </c>
      <c r="J104" s="56"/>
    </row>
    <row r="105" spans="2:23" x14ac:dyDescent="0.25">
      <c r="B105" s="88" t="s">
        <v>251</v>
      </c>
      <c r="C105" s="80"/>
      <c r="D105" s="80"/>
      <c r="E105" s="80"/>
      <c r="F105" s="26">
        <f>2*Vout*Iout/(Cscap*10^-6*fsw_Hz*Vin_min)*10^3</f>
        <v>75.757575757575751</v>
      </c>
      <c r="G105" s="49" t="s">
        <v>2</v>
      </c>
      <c r="H105" s="76" t="s">
        <v>257</v>
      </c>
      <c r="I105" s="56"/>
      <c r="J105" s="56"/>
      <c r="O105" s="50"/>
    </row>
    <row r="106" spans="2:23" ht="15" thickBot="1" x14ac:dyDescent="0.3">
      <c r="B106" s="91" t="s">
        <v>252</v>
      </c>
      <c r="C106" s="109"/>
      <c r="D106" s="109"/>
      <c r="E106" s="109"/>
      <c r="F106" s="110">
        <f>SQRT(4*Vout/Vin_min*((Iout/2)^2+(Iripple_max/12)^2))</f>
        <v>0.61520830329151499</v>
      </c>
      <c r="G106" s="94" t="s">
        <v>0</v>
      </c>
      <c r="H106" s="77" t="s">
        <v>258</v>
      </c>
      <c r="I106" s="56"/>
      <c r="J106" s="56"/>
      <c r="O106" s="50"/>
    </row>
    <row r="107" spans="2:23" ht="16.5" thickBot="1" x14ac:dyDescent="0.3">
      <c r="B107" s="128" t="s">
        <v>129</v>
      </c>
      <c r="C107" s="129"/>
      <c r="D107" s="129"/>
      <c r="E107" s="129"/>
      <c r="F107" s="129"/>
      <c r="G107" s="129"/>
      <c r="H107" s="130"/>
      <c r="I107" s="56"/>
    </row>
    <row r="108" spans="2:23" x14ac:dyDescent="0.25">
      <c r="B108" s="88" t="s">
        <v>175</v>
      </c>
      <c r="C108" s="81"/>
      <c r="D108" s="99">
        <v>10</v>
      </c>
      <c r="E108" s="81"/>
      <c r="F108" s="81"/>
      <c r="G108" s="49" t="s">
        <v>44</v>
      </c>
      <c r="H108" s="76" t="s">
        <v>259</v>
      </c>
      <c r="I108" s="56"/>
    </row>
    <row r="109" spans="2:23" x14ac:dyDescent="0.25">
      <c r="B109" s="88" t="s">
        <v>121</v>
      </c>
      <c r="C109" s="81"/>
      <c r="D109" s="81"/>
      <c r="E109" s="119">
        <v>1.3</v>
      </c>
      <c r="F109" s="81"/>
      <c r="G109" s="49" t="s">
        <v>44</v>
      </c>
      <c r="H109" s="76" t="s">
        <v>174</v>
      </c>
      <c r="I109" s="56"/>
    </row>
    <row r="110" spans="2:23" x14ac:dyDescent="0.25">
      <c r="B110" s="88" t="s">
        <v>122</v>
      </c>
      <c r="C110" s="81"/>
      <c r="D110" s="27">
        <f>Rfb_b*(Vout/Vref-1)</f>
        <v>1.0031496062992127</v>
      </c>
      <c r="E110" s="81"/>
      <c r="F110" s="81"/>
      <c r="G110" s="49" t="s">
        <v>44</v>
      </c>
      <c r="H110" s="76" t="s">
        <v>125</v>
      </c>
      <c r="I110" s="56"/>
    </row>
    <row r="111" spans="2:23" x14ac:dyDescent="0.25">
      <c r="B111" s="88" t="s">
        <v>123</v>
      </c>
      <c r="C111" s="81"/>
      <c r="D111" s="81"/>
      <c r="E111" s="119">
        <v>1</v>
      </c>
      <c r="F111" s="81"/>
      <c r="G111" s="49" t="s">
        <v>44</v>
      </c>
      <c r="H111" s="76" t="s">
        <v>134</v>
      </c>
      <c r="I111" s="56"/>
    </row>
    <row r="112" spans="2:23" x14ac:dyDescent="0.25">
      <c r="B112" s="88" t="s">
        <v>124</v>
      </c>
      <c r="C112" s="81"/>
      <c r="D112" s="81"/>
      <c r="E112" s="81"/>
      <c r="F112" s="24">
        <f>Vref*(1+Rfb_t/Rfb_b)</f>
        <v>0.89876923076923076</v>
      </c>
      <c r="G112" s="49" t="s">
        <v>1</v>
      </c>
      <c r="H112" s="76" t="s">
        <v>120</v>
      </c>
      <c r="I112" s="56"/>
    </row>
    <row r="113" spans="2:15" x14ac:dyDescent="0.25">
      <c r="B113" s="88" t="s">
        <v>260</v>
      </c>
      <c r="C113" s="81"/>
      <c r="D113" s="27">
        <f>Rfb_b/4</f>
        <v>0.32500000000000001</v>
      </c>
      <c r="E113" s="81"/>
      <c r="F113" s="81"/>
      <c r="G113" s="49" t="s">
        <v>44</v>
      </c>
      <c r="H113" s="76" t="s">
        <v>263</v>
      </c>
      <c r="I113" s="56"/>
    </row>
    <row r="114" spans="2:15" x14ac:dyDescent="0.25">
      <c r="B114" s="88" t="s">
        <v>261</v>
      </c>
      <c r="C114" s="81"/>
      <c r="D114" s="81"/>
      <c r="E114" s="120">
        <f>D113</f>
        <v>0.32500000000000001</v>
      </c>
      <c r="F114" s="81"/>
      <c r="G114" s="49" t="s">
        <v>44</v>
      </c>
      <c r="H114" s="76" t="s">
        <v>262</v>
      </c>
      <c r="I114" s="56"/>
    </row>
    <row r="115" spans="2:15" x14ac:dyDescent="0.25">
      <c r="B115" s="88" t="s">
        <v>264</v>
      </c>
      <c r="C115" s="81"/>
      <c r="D115" s="28">
        <f>1/(2*PI()*(Rff+Rfb_t)*10^3*300000)*10^12</f>
        <v>400.38979394187515</v>
      </c>
      <c r="E115" s="81"/>
      <c r="F115" s="81"/>
      <c r="G115" s="49" t="s">
        <v>5</v>
      </c>
      <c r="H115" s="76" t="s">
        <v>187</v>
      </c>
      <c r="I115" s="44"/>
    </row>
    <row r="116" spans="2:15" x14ac:dyDescent="0.25">
      <c r="B116" s="88" t="s">
        <v>127</v>
      </c>
      <c r="C116" s="81"/>
      <c r="D116" s="81"/>
      <c r="E116" s="31">
        <v>1000</v>
      </c>
      <c r="F116" s="81"/>
      <c r="G116" s="49" t="s">
        <v>5</v>
      </c>
      <c r="H116" s="76" t="s">
        <v>128</v>
      </c>
      <c r="I116" s="44"/>
    </row>
    <row r="117" spans="2:15" ht="15" thickBot="1" x14ac:dyDescent="0.3">
      <c r="B117" s="89" t="s">
        <v>126</v>
      </c>
      <c r="C117" s="82"/>
      <c r="D117" s="82"/>
      <c r="E117" s="82"/>
      <c r="F117" s="83">
        <f>IF(Cff&lt;&gt;0,1/(2*PI()*Cff*10^-12*(Rfb_t+Rff)*10^3)*10^-3,"N/A")</f>
        <v>120.11693818256252</v>
      </c>
      <c r="G117" s="51" t="s">
        <v>6</v>
      </c>
      <c r="H117" s="86" t="s">
        <v>265</v>
      </c>
      <c r="I117" s="44"/>
    </row>
    <row r="118" spans="2:15" ht="16.5" thickBot="1" x14ac:dyDescent="0.3">
      <c r="B118" s="128" t="s">
        <v>266</v>
      </c>
      <c r="C118" s="129"/>
      <c r="D118" s="129"/>
      <c r="E118" s="129"/>
      <c r="F118" s="129"/>
      <c r="G118" s="129"/>
      <c r="H118" s="130"/>
      <c r="I118" s="56"/>
    </row>
    <row r="119" spans="2:15" x14ac:dyDescent="0.25">
      <c r="B119" s="88" t="s">
        <v>267</v>
      </c>
      <c r="C119" s="81"/>
      <c r="D119" s="27">
        <f>(3000+15000*Vout)*10^-3</f>
        <v>16.5</v>
      </c>
      <c r="E119" s="81"/>
      <c r="F119" s="81"/>
      <c r="G119" s="49" t="s">
        <v>44</v>
      </c>
      <c r="H119" s="76" t="s">
        <v>269</v>
      </c>
      <c r="I119" s="56"/>
    </row>
    <row r="120" spans="2:15" ht="15" thickBot="1" x14ac:dyDescent="0.3">
      <c r="B120" s="88" t="s">
        <v>268</v>
      </c>
      <c r="C120" s="81"/>
      <c r="D120" s="81"/>
      <c r="E120" s="120">
        <v>10</v>
      </c>
      <c r="F120" s="81"/>
      <c r="G120" s="49" t="s">
        <v>44</v>
      </c>
      <c r="H120" s="76" t="s">
        <v>270</v>
      </c>
      <c r="I120" s="56"/>
    </row>
    <row r="121" spans="2:15" ht="16.5" thickBot="1" x14ac:dyDescent="0.3">
      <c r="B121" s="128" t="s">
        <v>141</v>
      </c>
      <c r="C121" s="129"/>
      <c r="D121" s="129"/>
      <c r="E121" s="129"/>
      <c r="F121" s="129"/>
      <c r="G121" s="129"/>
      <c r="H121" s="130"/>
      <c r="I121" s="38"/>
    </row>
    <row r="122" spans="2:15" x14ac:dyDescent="0.25">
      <c r="B122" s="88" t="s">
        <v>137</v>
      </c>
      <c r="C122" s="32">
        <v>9.4</v>
      </c>
      <c r="D122" s="81"/>
      <c r="E122" s="81"/>
      <c r="F122" s="81"/>
      <c r="G122" s="49" t="s">
        <v>1</v>
      </c>
      <c r="H122" s="76" t="s">
        <v>282</v>
      </c>
      <c r="I122" s="38"/>
    </row>
    <row r="123" spans="2:15" x14ac:dyDescent="0.25">
      <c r="B123" s="88" t="s">
        <v>283</v>
      </c>
      <c r="C123" s="32">
        <v>9.1999999999999993</v>
      </c>
      <c r="D123" s="81"/>
      <c r="E123" s="81"/>
      <c r="F123" s="81"/>
      <c r="G123" s="49" t="s">
        <v>1</v>
      </c>
      <c r="H123" s="76" t="s">
        <v>284</v>
      </c>
      <c r="I123" s="38"/>
    </row>
    <row r="124" spans="2:15" ht="18" x14ac:dyDescent="0.25">
      <c r="B124" s="88" t="s">
        <v>135</v>
      </c>
      <c r="C124" s="81"/>
      <c r="D124" s="28">
        <f>(Vstart_target-Vstop_target)/((IEN_H-IEN_L)*10^-6)*10^-3</f>
        <v>66.666666666667027</v>
      </c>
      <c r="E124" s="81"/>
      <c r="F124" s="81"/>
      <c r="G124" s="49" t="s">
        <v>44</v>
      </c>
      <c r="H124" s="90" t="s">
        <v>125</v>
      </c>
      <c r="I124" s="48"/>
      <c r="J124" s="38"/>
      <c r="K124" s="38"/>
      <c r="L124" s="38"/>
      <c r="M124" s="38"/>
      <c r="N124" s="38"/>
      <c r="O124" s="38"/>
    </row>
    <row r="125" spans="2:15" x14ac:dyDescent="0.25">
      <c r="B125" s="88" t="s">
        <v>136</v>
      </c>
      <c r="C125" s="81"/>
      <c r="D125" s="81"/>
      <c r="E125" s="32">
        <v>80.599999999999994</v>
      </c>
      <c r="F125" s="81"/>
      <c r="G125" s="49" t="s">
        <v>44</v>
      </c>
      <c r="H125" s="90" t="s">
        <v>134</v>
      </c>
      <c r="J125" s="38"/>
      <c r="K125" s="38"/>
      <c r="L125" s="38"/>
      <c r="M125" s="38"/>
      <c r="N125" s="38"/>
      <c r="O125" s="38"/>
    </row>
    <row r="126" spans="2:15" x14ac:dyDescent="0.25">
      <c r="B126" s="88" t="s">
        <v>285</v>
      </c>
      <c r="C126" s="81"/>
      <c r="D126" s="99">
        <f>Ren_t*VEN_th/(Vstop_target-VEN_th+Ren_t*10^3*IEN_H*10^-6)</f>
        <v>11.955284356760407</v>
      </c>
      <c r="E126" s="81"/>
      <c r="F126" s="81"/>
      <c r="G126" s="49"/>
      <c r="H126" s="76"/>
      <c r="I126" s="38"/>
      <c r="O126" s="50"/>
    </row>
    <row r="127" spans="2:15" x14ac:dyDescent="0.25">
      <c r="B127" s="88" t="s">
        <v>138</v>
      </c>
      <c r="C127" s="81"/>
      <c r="D127" s="81"/>
      <c r="E127" s="32">
        <v>12.4</v>
      </c>
      <c r="F127" s="81"/>
      <c r="G127" s="49" t="s">
        <v>44</v>
      </c>
      <c r="H127" s="90" t="s">
        <v>144</v>
      </c>
      <c r="J127" s="38"/>
      <c r="K127" s="38"/>
      <c r="L127" s="38"/>
      <c r="M127" s="38"/>
      <c r="N127" s="38"/>
      <c r="O127" s="38"/>
    </row>
    <row r="128" spans="2:15" ht="28.5" x14ac:dyDescent="0.25">
      <c r="B128" s="88" t="s">
        <v>140</v>
      </c>
      <c r="C128" s="81"/>
      <c r="D128" s="81"/>
      <c r="E128" s="81"/>
      <c r="F128" s="25">
        <f>VEN_th-IEN_H*10^-6*Ren_t*10^3+Ren_t*VEN_th/Ren_b</f>
        <v>8.9025999999999996</v>
      </c>
      <c r="G128" s="49" t="s">
        <v>1</v>
      </c>
      <c r="H128" s="90" t="s">
        <v>286</v>
      </c>
      <c r="I128" s="38"/>
      <c r="J128" s="38"/>
      <c r="K128" s="38"/>
      <c r="L128" s="38"/>
      <c r="M128" s="38"/>
      <c r="N128" s="38"/>
      <c r="O128" s="38"/>
    </row>
    <row r="129" spans="2:18" ht="29.25" thickBot="1" x14ac:dyDescent="0.3">
      <c r="B129" s="88" t="s">
        <v>139</v>
      </c>
      <c r="C129" s="81"/>
      <c r="D129" s="81"/>
      <c r="E129" s="81"/>
      <c r="F129" s="25">
        <f>Vstop_typ+IEN_H*10^-6*Ren_t*10^3-IEN_L*10^-6*Ren_t*10^3</f>
        <v>9.1443999999999992</v>
      </c>
      <c r="G129" s="49" t="s">
        <v>1</v>
      </c>
      <c r="H129" s="90" t="s">
        <v>287</v>
      </c>
      <c r="I129" s="38"/>
      <c r="J129" s="38"/>
      <c r="K129" s="38"/>
      <c r="L129" s="38"/>
      <c r="M129" s="38"/>
      <c r="N129" s="38"/>
      <c r="O129" s="38"/>
    </row>
    <row r="130" spans="2:18" ht="16.5" thickBot="1" x14ac:dyDescent="0.3">
      <c r="B130" s="128" t="s">
        <v>277</v>
      </c>
      <c r="C130" s="129"/>
      <c r="D130" s="129"/>
      <c r="E130" s="129"/>
      <c r="F130" s="129"/>
      <c r="G130" s="129"/>
      <c r="H130" s="130"/>
      <c r="I130" s="38"/>
      <c r="J130" s="38"/>
      <c r="K130" s="38"/>
      <c r="L130" s="38"/>
      <c r="M130" s="38"/>
      <c r="N130" s="38"/>
      <c r="O130" s="38"/>
    </row>
    <row r="131" spans="2:18" x14ac:dyDescent="0.25">
      <c r="B131" s="88" t="s">
        <v>288</v>
      </c>
      <c r="C131" s="81"/>
      <c r="D131" s="28">
        <v>1</v>
      </c>
      <c r="E131" s="81"/>
      <c r="F131" s="81"/>
      <c r="G131" s="49" t="s">
        <v>71</v>
      </c>
      <c r="H131" s="76" t="s">
        <v>143</v>
      </c>
      <c r="I131" s="38"/>
      <c r="J131" s="38"/>
      <c r="K131" s="38"/>
      <c r="L131" s="38"/>
      <c r="M131" s="38"/>
      <c r="N131" s="38"/>
      <c r="O131" s="38"/>
    </row>
    <row r="132" spans="2:18" x14ac:dyDescent="0.25">
      <c r="B132" s="88" t="s">
        <v>290</v>
      </c>
      <c r="C132" s="81"/>
      <c r="D132" s="81"/>
      <c r="E132" s="119">
        <v>1</v>
      </c>
      <c r="F132" s="81"/>
      <c r="G132" s="49" t="s">
        <v>71</v>
      </c>
      <c r="H132" s="76" t="s">
        <v>289</v>
      </c>
      <c r="I132" s="38"/>
      <c r="J132" s="38"/>
      <c r="K132" s="38"/>
      <c r="L132" s="38"/>
      <c r="M132" s="38"/>
      <c r="N132" s="38"/>
      <c r="O132" s="38"/>
    </row>
    <row r="133" spans="2:18" x14ac:dyDescent="0.25">
      <c r="B133" s="88" t="s">
        <v>293</v>
      </c>
      <c r="C133" s="81"/>
      <c r="D133" s="28">
        <v>1</v>
      </c>
      <c r="E133" s="81"/>
      <c r="F133" s="81"/>
      <c r="G133" s="49" t="s">
        <v>71</v>
      </c>
      <c r="H133" s="76" t="s">
        <v>143</v>
      </c>
      <c r="I133" s="38"/>
      <c r="J133" s="38"/>
      <c r="K133" s="38"/>
      <c r="L133" s="38"/>
      <c r="M133" s="38"/>
      <c r="N133" s="38"/>
      <c r="O133" s="38"/>
    </row>
    <row r="134" spans="2:18" x14ac:dyDescent="0.25">
      <c r="B134" s="88" t="s">
        <v>292</v>
      </c>
      <c r="C134" s="81"/>
      <c r="D134" s="81"/>
      <c r="E134" s="119">
        <v>1</v>
      </c>
      <c r="F134" s="81"/>
      <c r="G134" s="49" t="s">
        <v>71</v>
      </c>
      <c r="H134" s="76" t="s">
        <v>294</v>
      </c>
      <c r="I134" s="38"/>
      <c r="J134" s="38"/>
      <c r="K134" s="38"/>
      <c r="L134" s="38"/>
      <c r="M134" s="38"/>
      <c r="N134" s="38"/>
      <c r="O134" s="38"/>
    </row>
    <row r="135" spans="2:18" x14ac:dyDescent="0.25">
      <c r="B135" s="88" t="s">
        <v>178</v>
      </c>
      <c r="C135" s="81"/>
      <c r="D135" s="122">
        <v>4.7E-2</v>
      </c>
      <c r="E135" s="81"/>
      <c r="F135" s="81"/>
      <c r="G135" s="49" t="s">
        <v>71</v>
      </c>
      <c r="H135" s="90" t="s">
        <v>291</v>
      </c>
      <c r="I135" s="38"/>
      <c r="J135" s="38"/>
      <c r="K135" s="38"/>
      <c r="L135" s="38"/>
      <c r="M135" s="38"/>
      <c r="N135" s="38"/>
      <c r="O135" s="38"/>
    </row>
    <row r="136" spans="2:18" x14ac:dyDescent="0.25">
      <c r="B136" s="88" t="s">
        <v>142</v>
      </c>
      <c r="C136" s="81"/>
      <c r="D136" s="81"/>
      <c r="E136" s="32">
        <v>4.7E-2</v>
      </c>
      <c r="F136" s="81"/>
      <c r="G136" s="49" t="s">
        <v>71</v>
      </c>
      <c r="H136" s="90" t="s">
        <v>177</v>
      </c>
      <c r="I136" s="38"/>
      <c r="J136" s="38"/>
      <c r="K136" s="38"/>
      <c r="L136" s="38"/>
      <c r="M136" s="38"/>
      <c r="N136" s="38"/>
      <c r="O136" s="38"/>
    </row>
    <row r="137" spans="2:18" x14ac:dyDescent="0.25">
      <c r="B137" s="89" t="s">
        <v>179</v>
      </c>
      <c r="C137" s="81"/>
      <c r="D137" s="28">
        <v>10</v>
      </c>
      <c r="E137" s="81"/>
      <c r="F137" s="81"/>
      <c r="G137" s="49" t="s">
        <v>44</v>
      </c>
      <c r="H137" s="90" t="s">
        <v>147</v>
      </c>
      <c r="I137" s="38"/>
      <c r="J137" s="38"/>
      <c r="K137" s="38"/>
      <c r="L137" s="38"/>
      <c r="M137" s="38"/>
      <c r="N137" s="38"/>
      <c r="O137" s="38"/>
    </row>
    <row r="138" spans="2:18" ht="15" thickBot="1" x14ac:dyDescent="0.3">
      <c r="B138" s="91" t="s">
        <v>148</v>
      </c>
      <c r="C138" s="92"/>
      <c r="D138" s="92"/>
      <c r="E138" s="93">
        <v>47.5</v>
      </c>
      <c r="F138" s="92"/>
      <c r="G138" s="94" t="s">
        <v>44</v>
      </c>
      <c r="H138" s="95" t="s">
        <v>176</v>
      </c>
      <c r="I138" s="38"/>
      <c r="J138" s="38"/>
      <c r="K138" s="38"/>
      <c r="L138" s="38"/>
      <c r="M138" s="38"/>
      <c r="N138" s="38"/>
      <c r="O138" s="38"/>
    </row>
    <row r="139" spans="2:18" x14ac:dyDescent="0.25">
      <c r="B139" s="38"/>
      <c r="C139" s="57"/>
      <c r="D139" s="57"/>
      <c r="E139" s="57"/>
      <c r="F139" s="57"/>
      <c r="G139" s="38"/>
      <c r="H139" s="38"/>
      <c r="I139" s="38"/>
      <c r="J139" s="38"/>
      <c r="K139" s="38"/>
      <c r="L139" s="38"/>
      <c r="M139" s="38"/>
      <c r="N139" s="38"/>
      <c r="O139" s="38"/>
    </row>
    <row r="140" spans="2:18" x14ac:dyDescent="0.25">
      <c r="B140" s="38"/>
      <c r="C140" s="38"/>
      <c r="D140" s="38"/>
      <c r="E140" s="38"/>
      <c r="F140" s="38"/>
      <c r="G140" s="38"/>
      <c r="H140" s="38"/>
      <c r="I140" s="38"/>
      <c r="J140" s="69"/>
      <c r="K140" s="69"/>
      <c r="L140" s="69"/>
      <c r="M140" s="69"/>
      <c r="N140" s="69"/>
      <c r="O140" s="69"/>
    </row>
    <row r="141" spans="2:18" s="70" customFormat="1" x14ac:dyDescent="0.25">
      <c r="B141" s="38"/>
      <c r="C141" s="38"/>
      <c r="D141" s="38"/>
      <c r="E141" s="38"/>
      <c r="F141" s="38"/>
      <c r="G141" s="38"/>
      <c r="H141" s="38"/>
      <c r="I141" s="69"/>
      <c r="J141" s="38"/>
      <c r="K141" s="38"/>
      <c r="L141" s="38"/>
      <c r="M141" s="38"/>
      <c r="N141" s="38"/>
      <c r="O141" s="38"/>
      <c r="P141" s="34"/>
      <c r="Q141" s="34"/>
      <c r="R141" s="34"/>
    </row>
    <row r="142" spans="2:18" x14ac:dyDescent="0.25"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</row>
    <row r="143" spans="2:18" x14ac:dyDescent="0.25"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70"/>
      <c r="Q143" s="70"/>
      <c r="R143" s="70"/>
    </row>
    <row r="144" spans="2:18" x14ac:dyDescent="0.25"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</row>
    <row r="145" spans="2:15" x14ac:dyDescent="0.25"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</row>
    <row r="146" spans="2:15" x14ac:dyDescent="0.25"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</row>
    <row r="147" spans="2:15" x14ac:dyDescent="0.25">
      <c r="B147" s="38"/>
      <c r="C147" s="57"/>
      <c r="D147" s="57"/>
      <c r="E147" s="57"/>
      <c r="F147" s="57"/>
      <c r="G147" s="38"/>
      <c r="H147" s="38"/>
      <c r="I147" s="38"/>
      <c r="J147" s="38"/>
      <c r="K147" s="38"/>
      <c r="L147" s="38"/>
      <c r="M147" s="38"/>
      <c r="N147" s="38"/>
      <c r="O147" s="38"/>
    </row>
    <row r="148" spans="2:15" x14ac:dyDescent="0.25">
      <c r="B148" s="38"/>
      <c r="C148" s="58"/>
      <c r="D148" s="58"/>
      <c r="E148" s="58"/>
      <c r="F148" s="58"/>
      <c r="G148" s="38"/>
      <c r="H148" s="38"/>
      <c r="I148" s="38"/>
      <c r="J148" s="38"/>
      <c r="K148" s="38"/>
      <c r="L148" s="38"/>
      <c r="M148" s="38"/>
      <c r="N148" s="38"/>
      <c r="O148" s="38"/>
    </row>
    <row r="149" spans="2:15" x14ac:dyDescent="0.25">
      <c r="B149" s="38"/>
      <c r="C149" s="57"/>
      <c r="D149" s="57"/>
      <c r="E149" s="57"/>
      <c r="F149" s="57"/>
      <c r="G149" s="38"/>
      <c r="H149" s="38"/>
      <c r="I149" s="38"/>
      <c r="J149" s="38"/>
      <c r="K149" s="38"/>
      <c r="L149" s="38"/>
      <c r="M149" s="38"/>
      <c r="N149" s="38"/>
      <c r="O149" s="38"/>
    </row>
    <row r="150" spans="2:15" x14ac:dyDescent="0.25"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</row>
    <row r="151" spans="2:15" x14ac:dyDescent="0.25">
      <c r="B151" s="57"/>
      <c r="C151" s="57"/>
      <c r="D151" s="57"/>
      <c r="E151" s="57"/>
      <c r="F151" s="57"/>
      <c r="G151" s="57"/>
      <c r="H151" s="57"/>
      <c r="I151" s="38"/>
      <c r="J151" s="38"/>
      <c r="K151" s="38"/>
      <c r="L151" s="38"/>
      <c r="M151" s="38"/>
      <c r="N151" s="38"/>
      <c r="O151" s="38"/>
    </row>
    <row r="152" spans="2:15" x14ac:dyDescent="0.25">
      <c r="B152" s="57"/>
      <c r="C152" s="57"/>
      <c r="D152" s="57"/>
      <c r="E152" s="57"/>
      <c r="F152" s="57"/>
      <c r="G152" s="57"/>
      <c r="H152" s="57"/>
      <c r="I152" s="38"/>
      <c r="J152" s="38"/>
      <c r="K152" s="38"/>
      <c r="L152" s="38"/>
      <c r="M152" s="38"/>
      <c r="N152" s="38"/>
      <c r="O152" s="38"/>
    </row>
    <row r="153" spans="2:15" x14ac:dyDescent="0.25">
      <c r="B153" s="57"/>
      <c r="C153" s="57"/>
      <c r="D153" s="57"/>
      <c r="E153" s="57"/>
      <c r="F153" s="57"/>
      <c r="G153" s="57"/>
      <c r="H153" s="57"/>
      <c r="I153" s="38"/>
      <c r="J153" s="38"/>
      <c r="K153" s="38"/>
      <c r="L153" s="38"/>
      <c r="M153" s="38"/>
      <c r="N153" s="38"/>
      <c r="O153" s="38"/>
    </row>
    <row r="154" spans="2:15" x14ac:dyDescent="0.25">
      <c r="B154" s="57"/>
      <c r="C154" s="57"/>
      <c r="D154" s="57"/>
      <c r="E154" s="57"/>
      <c r="F154" s="57"/>
      <c r="G154" s="57"/>
      <c r="H154" s="57"/>
      <c r="I154" s="38"/>
      <c r="J154" s="38"/>
      <c r="K154" s="38"/>
      <c r="L154" s="38"/>
      <c r="M154" s="38"/>
      <c r="N154" s="38"/>
      <c r="O154" s="38"/>
    </row>
    <row r="155" spans="2:15" x14ac:dyDescent="0.25">
      <c r="B155" s="57"/>
      <c r="C155" s="57"/>
      <c r="D155" s="57"/>
      <c r="E155" s="57"/>
      <c r="F155" s="57"/>
      <c r="G155" s="57"/>
      <c r="H155" s="57"/>
      <c r="I155" s="38"/>
      <c r="J155" s="38"/>
      <c r="K155" s="38"/>
      <c r="L155" s="38"/>
      <c r="M155" s="38"/>
      <c r="N155" s="38"/>
      <c r="O155" s="38"/>
    </row>
    <row r="156" spans="2:15" x14ac:dyDescent="0.25">
      <c r="B156" s="57"/>
      <c r="C156" s="57"/>
      <c r="D156" s="57"/>
      <c r="E156" s="57"/>
      <c r="F156" s="57"/>
      <c r="G156" s="57"/>
      <c r="H156" s="57"/>
      <c r="I156" s="38"/>
      <c r="J156" s="38"/>
      <c r="K156" s="38"/>
      <c r="L156" s="38"/>
      <c r="M156" s="38"/>
      <c r="N156" s="38"/>
      <c r="O156" s="38"/>
    </row>
    <row r="157" spans="2:15" x14ac:dyDescent="0.25">
      <c r="B157" s="57"/>
      <c r="C157" s="57"/>
      <c r="D157" s="57"/>
      <c r="E157" s="57"/>
      <c r="F157" s="57"/>
      <c r="G157" s="57"/>
      <c r="H157" s="57"/>
      <c r="I157" s="38"/>
      <c r="J157" s="38"/>
      <c r="K157" s="38"/>
      <c r="L157" s="38"/>
      <c r="M157" s="38"/>
      <c r="N157" s="38"/>
      <c r="O157" s="38"/>
    </row>
    <row r="158" spans="2:15" x14ac:dyDescent="0.25">
      <c r="B158" s="57"/>
      <c r="C158" s="57"/>
      <c r="D158" s="57"/>
      <c r="E158" s="57"/>
      <c r="F158" s="57"/>
      <c r="G158" s="57"/>
      <c r="H158" s="57"/>
      <c r="I158" s="38"/>
      <c r="J158" s="38"/>
      <c r="K158" s="38"/>
      <c r="L158" s="38"/>
      <c r="M158" s="38"/>
      <c r="N158" s="38"/>
      <c r="O158" s="38"/>
    </row>
    <row r="159" spans="2:15" x14ac:dyDescent="0.25">
      <c r="B159" s="57"/>
      <c r="C159" s="57"/>
      <c r="D159" s="57"/>
      <c r="E159" s="57"/>
      <c r="F159" s="57"/>
      <c r="G159" s="57"/>
      <c r="H159" s="57"/>
      <c r="I159" s="38"/>
      <c r="J159" s="38"/>
      <c r="K159" s="38"/>
      <c r="L159" s="38"/>
      <c r="M159" s="38"/>
      <c r="N159" s="38"/>
      <c r="O159" s="38"/>
    </row>
    <row r="160" spans="2:15" x14ac:dyDescent="0.25">
      <c r="B160" s="57"/>
      <c r="C160" s="57"/>
      <c r="D160" s="57"/>
      <c r="E160" s="57"/>
      <c r="F160" s="57"/>
      <c r="G160" s="57"/>
      <c r="H160" s="57"/>
      <c r="I160" s="38"/>
      <c r="J160" s="38"/>
      <c r="K160" s="38"/>
      <c r="L160" s="38"/>
      <c r="M160" s="38"/>
      <c r="N160" s="38"/>
      <c r="O160" s="38"/>
    </row>
    <row r="161" spans="2:15" x14ac:dyDescent="0.25">
      <c r="B161" s="57"/>
      <c r="C161" s="57"/>
      <c r="D161" s="57"/>
      <c r="E161" s="57"/>
      <c r="F161" s="57"/>
      <c r="G161" s="57"/>
      <c r="H161" s="57"/>
      <c r="I161" s="38"/>
      <c r="J161" s="38"/>
      <c r="K161" s="38"/>
      <c r="L161" s="38"/>
      <c r="M161" s="38"/>
      <c r="N161" s="38"/>
      <c r="O161" s="38"/>
    </row>
    <row r="162" spans="2:15" x14ac:dyDescent="0.25">
      <c r="B162" s="57"/>
      <c r="C162" s="57"/>
      <c r="D162" s="57"/>
      <c r="E162" s="57"/>
      <c r="F162" s="57"/>
      <c r="G162" s="57"/>
      <c r="H162" s="57"/>
      <c r="I162" s="38"/>
      <c r="J162" s="38"/>
      <c r="K162" s="38"/>
      <c r="L162" s="38"/>
      <c r="M162" s="38"/>
      <c r="N162" s="38"/>
      <c r="O162" s="38"/>
    </row>
    <row r="163" spans="2:15" x14ac:dyDescent="0.25">
      <c r="B163" s="57"/>
      <c r="C163" s="57"/>
      <c r="D163" s="57"/>
      <c r="E163" s="57"/>
      <c r="F163" s="57"/>
      <c r="G163" s="57"/>
      <c r="H163" s="57"/>
      <c r="I163" s="38"/>
      <c r="J163" s="38"/>
      <c r="K163" s="38"/>
      <c r="L163" s="38"/>
      <c r="M163" s="38"/>
      <c r="N163" s="38"/>
      <c r="O163" s="38"/>
    </row>
    <row r="164" spans="2:15" x14ac:dyDescent="0.25">
      <c r="B164" s="57"/>
      <c r="C164" s="57"/>
      <c r="D164" s="57"/>
      <c r="E164" s="57"/>
      <c r="F164" s="57"/>
      <c r="G164" s="57"/>
      <c r="H164" s="57"/>
      <c r="I164" s="38"/>
      <c r="J164" s="38"/>
      <c r="K164" s="38"/>
      <c r="L164" s="38"/>
      <c r="M164" s="38"/>
      <c r="N164" s="38"/>
      <c r="O164" s="38"/>
    </row>
    <row r="165" spans="2:15" x14ac:dyDescent="0.25">
      <c r="B165" s="57"/>
      <c r="C165" s="57"/>
      <c r="D165" s="57"/>
      <c r="E165" s="57"/>
      <c r="F165" s="57"/>
      <c r="G165" s="57"/>
      <c r="H165" s="57"/>
      <c r="I165" s="38"/>
      <c r="J165" s="38"/>
      <c r="K165" s="38"/>
      <c r="L165" s="38"/>
      <c r="M165" s="38"/>
      <c r="N165" s="38"/>
      <c r="O165" s="38"/>
    </row>
    <row r="166" spans="2:15" x14ac:dyDescent="0.25">
      <c r="B166" s="57"/>
      <c r="C166" s="57"/>
      <c r="D166" s="57"/>
      <c r="E166" s="57"/>
      <c r="F166" s="57"/>
      <c r="G166" s="57"/>
      <c r="H166" s="57"/>
      <c r="I166" s="38"/>
      <c r="J166" s="38"/>
      <c r="K166" s="38"/>
      <c r="L166" s="38"/>
      <c r="M166" s="38"/>
      <c r="N166" s="38"/>
      <c r="O166" s="38"/>
    </row>
    <row r="167" spans="2:15" x14ac:dyDescent="0.25">
      <c r="B167" s="57"/>
      <c r="C167" s="57"/>
      <c r="D167" s="57"/>
      <c r="E167" s="57"/>
      <c r="F167" s="57"/>
      <c r="G167" s="57"/>
      <c r="H167" s="57"/>
      <c r="I167" s="38"/>
      <c r="J167" s="38"/>
      <c r="K167" s="38"/>
      <c r="L167" s="38"/>
      <c r="M167" s="38"/>
      <c r="N167" s="38"/>
      <c r="O167" s="38"/>
    </row>
    <row r="168" spans="2:15" x14ac:dyDescent="0.25">
      <c r="B168" s="57"/>
      <c r="C168" s="57"/>
      <c r="D168" s="57"/>
      <c r="E168" s="57"/>
      <c r="F168" s="57"/>
      <c r="G168" s="57"/>
      <c r="H168" s="57"/>
      <c r="I168" s="38"/>
      <c r="J168" s="38"/>
      <c r="K168" s="38"/>
      <c r="L168" s="38"/>
      <c r="M168" s="38"/>
      <c r="N168" s="38"/>
      <c r="O168" s="38"/>
    </row>
    <row r="169" spans="2:15" x14ac:dyDescent="0.25">
      <c r="B169" s="57"/>
      <c r="C169" s="57"/>
      <c r="D169" s="57"/>
      <c r="E169" s="57"/>
      <c r="F169" s="57"/>
      <c r="G169" s="57"/>
      <c r="H169" s="57"/>
      <c r="I169" s="38"/>
      <c r="J169" s="38"/>
      <c r="K169" s="38"/>
      <c r="L169" s="38"/>
      <c r="M169" s="38"/>
      <c r="N169" s="38"/>
      <c r="O169" s="38"/>
    </row>
    <row r="170" spans="2:15" x14ac:dyDescent="0.25">
      <c r="B170" s="57"/>
      <c r="C170" s="57"/>
      <c r="D170" s="57"/>
      <c r="E170" s="57"/>
      <c r="F170" s="57"/>
      <c r="G170" s="57"/>
      <c r="H170" s="57"/>
      <c r="I170" s="38"/>
      <c r="J170" s="38"/>
      <c r="K170" s="38"/>
      <c r="L170" s="38"/>
      <c r="M170" s="38"/>
      <c r="N170" s="38"/>
      <c r="O170" s="38"/>
    </row>
    <row r="171" spans="2:15" x14ac:dyDescent="0.25">
      <c r="B171" s="57"/>
      <c r="C171" s="57"/>
      <c r="D171" s="57"/>
      <c r="E171" s="57"/>
      <c r="F171" s="57"/>
      <c r="G171" s="57"/>
      <c r="H171" s="57"/>
      <c r="I171" s="38"/>
    </row>
    <row r="172" spans="2:15" x14ac:dyDescent="0.25">
      <c r="B172" s="57"/>
      <c r="C172" s="57"/>
      <c r="D172" s="57"/>
      <c r="E172" s="57"/>
      <c r="F172" s="57"/>
      <c r="G172" s="57"/>
      <c r="H172" s="57"/>
    </row>
    <row r="173" spans="2:15" x14ac:dyDescent="0.25">
      <c r="B173" s="57"/>
      <c r="C173" s="57"/>
      <c r="D173" s="57"/>
      <c r="E173" s="57"/>
      <c r="F173" s="57"/>
      <c r="G173" s="57"/>
      <c r="H173" s="57"/>
    </row>
    <row r="174" spans="2:15" x14ac:dyDescent="0.25">
      <c r="B174" s="38"/>
      <c r="C174" s="38"/>
      <c r="D174" s="38"/>
      <c r="E174" s="38"/>
      <c r="F174" s="38"/>
      <c r="G174" s="38"/>
      <c r="H174" s="38"/>
    </row>
    <row r="175" spans="2:15" x14ac:dyDescent="0.25">
      <c r="B175" s="38"/>
      <c r="C175" s="38"/>
      <c r="D175" s="38"/>
      <c r="E175" s="38"/>
      <c r="F175" s="38"/>
      <c r="G175" s="38"/>
      <c r="H175" s="38"/>
    </row>
  </sheetData>
  <protectedRanges>
    <protectedRange password="CD94" sqref="J140:O140 B140 G140:H140 S141:XFD141 I141 A141 P143:R143" name="Range1"/>
  </protectedRanges>
  <mergeCells count="23">
    <mergeCell ref="B1:H1"/>
    <mergeCell ref="B27:H27"/>
    <mergeCell ref="B21:H21"/>
    <mergeCell ref="B6:H6"/>
    <mergeCell ref="B35:H35"/>
    <mergeCell ref="H2:H5"/>
    <mergeCell ref="G2:G5"/>
    <mergeCell ref="F2:F5"/>
    <mergeCell ref="E2:E5"/>
    <mergeCell ref="D2:D5"/>
    <mergeCell ref="C2:C5"/>
    <mergeCell ref="B2:B5"/>
    <mergeCell ref="B121:H121"/>
    <mergeCell ref="B130:H130"/>
    <mergeCell ref="B118:H118"/>
    <mergeCell ref="B107:H107"/>
    <mergeCell ref="B36:H36"/>
    <mergeCell ref="B64:H64"/>
    <mergeCell ref="B63:H63"/>
    <mergeCell ref="B51:H51"/>
    <mergeCell ref="B90:H90"/>
    <mergeCell ref="B91:H91"/>
    <mergeCell ref="B99:H99"/>
  </mergeCells>
  <conditionalFormatting sqref="C163:F163">
    <cfRule type="cellIs" dxfId="44" priority="144" operator="greaterThan">
      <formula>$C$162</formula>
    </cfRule>
  </conditionalFormatting>
  <conditionalFormatting sqref="C141:F142">
    <cfRule type="cellIs" dxfId="43" priority="141" operator="lessThan">
      <formula>50</formula>
    </cfRule>
    <cfRule type="cellIs" dxfId="42" priority="142" operator="greaterThan">
      <formula>100</formula>
    </cfRule>
  </conditionalFormatting>
  <conditionalFormatting sqref="C147:F147">
    <cfRule type="cellIs" dxfId="41" priority="138" operator="lessThan">
      <formula>$C$146</formula>
    </cfRule>
  </conditionalFormatting>
  <conditionalFormatting sqref="C139:F139">
    <cfRule type="cellIs" dxfId="40" priority="137" operator="greaterThan">
      <formula>4</formula>
    </cfRule>
  </conditionalFormatting>
  <conditionalFormatting sqref="D44">
    <cfRule type="cellIs" dxfId="39" priority="131" operator="greaterThan">
      <formula>6</formula>
    </cfRule>
  </conditionalFormatting>
  <conditionalFormatting sqref="C143:F143">
    <cfRule type="cellIs" dxfId="38" priority="146" operator="greaterThan">
      <formula>#REF!</formula>
    </cfRule>
  </conditionalFormatting>
  <conditionalFormatting sqref="C154:F154">
    <cfRule type="cellIs" dxfId="37" priority="147" operator="lessThan">
      <formula>#REF!</formula>
    </cfRule>
    <cfRule type="cellIs" dxfId="36" priority="148" operator="greaterThan">
      <formula>#REF!</formula>
    </cfRule>
  </conditionalFormatting>
  <conditionalFormatting sqref="F88">
    <cfRule type="cellIs" dxfId="35" priority="65" operator="lessThan">
      <formula>fsw_select/10</formula>
    </cfRule>
  </conditionalFormatting>
  <conditionalFormatting sqref="F87">
    <cfRule type="cellIs" dxfId="34" priority="59" operator="lessThan">
      <formula>fsw_select/60</formula>
    </cfRule>
  </conditionalFormatting>
  <conditionalFormatting sqref="E109">
    <cfRule type="cellIs" dxfId="33" priority="58" operator="notBetween">
      <formula>1</formula>
      <formula>20</formula>
    </cfRule>
  </conditionalFormatting>
  <conditionalFormatting sqref="F112">
    <cfRule type="cellIs" dxfId="32" priority="57" operator="notBetween">
      <formula>Vout*0.99</formula>
      <formula>Vout*1.01</formula>
    </cfRule>
  </conditionalFormatting>
  <conditionalFormatting sqref="F60">
    <cfRule type="cellIs" dxfId="31" priority="52" operator="lessThan">
      <formula>$C$26</formula>
    </cfRule>
  </conditionalFormatting>
  <conditionalFormatting sqref="F129">
    <cfRule type="cellIs" dxfId="30" priority="49" operator="greaterThan">
      <formula>Vin_min</formula>
    </cfRule>
  </conditionalFormatting>
  <conditionalFormatting sqref="E127 E138">
    <cfRule type="cellIs" dxfId="29" priority="45" operator="notBetween">
      <formula>1</formula>
      <formula>100</formula>
    </cfRule>
  </conditionalFormatting>
  <conditionalFormatting sqref="E132">
    <cfRule type="cellIs" dxfId="28" priority="38" operator="lessThan">
      <formula>1</formula>
    </cfRule>
  </conditionalFormatting>
  <conditionalFormatting sqref="E136">
    <cfRule type="cellIs" dxfId="27" priority="39" operator="lessThan">
      <formula>$D$135</formula>
    </cfRule>
  </conditionalFormatting>
  <conditionalFormatting sqref="C122">
    <cfRule type="cellIs" dxfId="26" priority="150" operator="greaterThan">
      <formula>$C$22</formula>
    </cfRule>
  </conditionalFormatting>
  <conditionalFormatting sqref="D30">
    <cfRule type="containsErrors" dxfId="25" priority="151">
      <formula>ISERROR(D30)</formula>
    </cfRule>
  </conditionalFormatting>
  <conditionalFormatting sqref="F84:F85">
    <cfRule type="cellIs" dxfId="24" priority="152" operator="greaterThan">
      <formula>$C$67*1000</formula>
    </cfRule>
  </conditionalFormatting>
  <conditionalFormatting sqref="D39">
    <cfRule type="cellIs" dxfId="23" priority="159" operator="greaterThan">
      <formula>$E$41</formula>
    </cfRule>
  </conditionalFormatting>
  <conditionalFormatting sqref="D40">
    <cfRule type="cellIs" dxfId="22" priority="160" operator="lessThan">
      <formula>$E$41</formula>
    </cfRule>
  </conditionalFormatting>
  <conditionalFormatting sqref="F38:F43">
    <cfRule type="cellIs" dxfId="21" priority="33" operator="greaterThan">
      <formula>6</formula>
    </cfRule>
  </conditionalFormatting>
  <conditionalFormatting sqref="F82">
    <cfRule type="cellIs" dxfId="20" priority="161" operator="greaterThan">
      <formula>$D$74</formula>
    </cfRule>
    <cfRule type="cellIs" dxfId="19" priority="162" operator="lessThan">
      <formula>$D$73</formula>
    </cfRule>
  </conditionalFormatting>
  <conditionalFormatting sqref="F83">
    <cfRule type="cellIs" dxfId="18" priority="163" operator="greaterThan">
      <formula>$D$77</formula>
    </cfRule>
  </conditionalFormatting>
  <conditionalFormatting sqref="F33">
    <cfRule type="cellIs" dxfId="17" priority="23" operator="notEqual">
      <formula>$C$28/2</formula>
    </cfRule>
  </conditionalFormatting>
  <conditionalFormatting sqref="F34">
    <cfRule type="cellIs" dxfId="16" priority="22" operator="notEqual">
      <formula>$C$29</formula>
    </cfRule>
  </conditionalFormatting>
  <conditionalFormatting sqref="C28">
    <cfRule type="cellIs" dxfId="15" priority="166" operator="greaterThan">
      <formula>#REF!</formula>
    </cfRule>
    <cfRule type="cellIs" dxfId="14" priority="167" operator="notEqual">
      <formula>#REF!</formula>
    </cfRule>
  </conditionalFormatting>
  <conditionalFormatting sqref="F32">
    <cfRule type="cellIs" dxfId="13" priority="20" operator="notEqual">
      <formula>$C$28</formula>
    </cfRule>
  </conditionalFormatting>
  <conditionalFormatting sqref="C24">
    <cfRule type="cellIs" dxfId="12" priority="19" operator="greaterThan">
      <formula>$C$9</formula>
    </cfRule>
  </conditionalFormatting>
  <conditionalFormatting sqref="C22">
    <cfRule type="cellIs" dxfId="11" priority="18" operator="lessThan">
      <formula>$C$8</formula>
    </cfRule>
  </conditionalFormatting>
  <conditionalFormatting sqref="C23">
    <cfRule type="cellIs" dxfId="10" priority="17" operator="notBetween">
      <formula>$C$8</formula>
      <formula>$C$9</formula>
    </cfRule>
  </conditionalFormatting>
  <conditionalFormatting sqref="C25">
    <cfRule type="cellIs" dxfId="9" priority="16" operator="greaterThan">
      <formula>$C$22/5</formula>
    </cfRule>
  </conditionalFormatting>
  <conditionalFormatting sqref="C26">
    <cfRule type="cellIs" dxfId="8" priority="15" operator="greaterThan">
      <formula>Io_max_IC</formula>
    </cfRule>
  </conditionalFormatting>
  <conditionalFormatting sqref="D55">
    <cfRule type="containsErrors" dxfId="7" priority="13">
      <formula>ISERROR(D55)</formula>
    </cfRule>
  </conditionalFormatting>
  <conditionalFormatting sqref="F59">
    <cfRule type="cellIs" dxfId="6" priority="12" operator="lessThan">
      <formula>$F$48</formula>
    </cfRule>
  </conditionalFormatting>
  <conditionalFormatting sqref="E114">
    <cfRule type="cellIs" dxfId="5" priority="11" operator="lessThan">
      <formula>$D$113/1.13</formula>
    </cfRule>
  </conditionalFormatting>
  <conditionalFormatting sqref="E120">
    <cfRule type="cellIs" dxfId="4" priority="7" operator="greaterThan">
      <formula>$D$119*1.13</formula>
    </cfRule>
  </conditionalFormatting>
  <conditionalFormatting sqref="F89">
    <cfRule type="cellIs" dxfId="3" priority="6" operator="greaterThan">
      <formula>Io_max_IC*0.2</formula>
    </cfRule>
  </conditionalFormatting>
  <conditionalFormatting sqref="C123">
    <cfRule type="cellIs" dxfId="2" priority="3" operator="greaterThan">
      <formula>Vin_min</formula>
    </cfRule>
  </conditionalFormatting>
  <conditionalFormatting sqref="F128">
    <cfRule type="cellIs" dxfId="1" priority="2" operator="greaterThan">
      <formula>Vin_min</formula>
    </cfRule>
  </conditionalFormatting>
  <conditionalFormatting sqref="E134">
    <cfRule type="cellIs" dxfId="0" priority="1" operator="lessThan">
      <formula>1</formula>
    </cfRule>
  </conditionalFormatting>
  <dataValidations xWindow="303" yWindow="344" count="2">
    <dataValidation type="list" allowBlank="1" showInputMessage="1" showErrorMessage="1" sqref="C171:F172">
      <formula1>$K$36:$K$127</formula1>
    </dataValidation>
    <dataValidation type="list" allowBlank="1" showInputMessage="1" showErrorMessage="1" sqref="C121:F121 C130:F130">
      <formula1>$L$7:$L$34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xWindow="303" yWindow="344" count="8">
        <x14:dataValidation type="list" allowBlank="1" showInputMessage="1" showErrorMessage="1">
          <x14:formula1>
            <xm:f>partData!$A$16:$A$18</xm:f>
          </x14:formula1>
          <xm:sqref>C28</xm:sqref>
        </x14:dataValidation>
        <x14:dataValidation type="list" allowBlank="1" showInputMessage="1" showErrorMessage="1">
          <x14:formula1>
            <xm:f>partData!$B$16:$B$18</xm:f>
          </x14:formula1>
          <xm:sqref>C29</xm:sqref>
        </x14:dataValidation>
        <x14:dataValidation type="list" allowBlank="1" showInputMessage="1" showErrorMessage="1">
          <x14:formula1>
            <xm:f>partData!$G$16:$G$23</xm:f>
          </x14:formula1>
          <xm:sqref>E31</xm:sqref>
        </x14:dataValidation>
        <x14:dataValidation type="list" allowBlank="1" showInputMessage="1" showErrorMessage="1">
          <x14:formula1>
            <xm:f>partData!$A$3:$A$10</xm:f>
          </x14:formula1>
          <xm:sqref>C7</xm:sqref>
        </x14:dataValidation>
        <x14:dataValidation type="list" allowBlank="1" showInputMessage="1" showErrorMessage="1">
          <x14:formula1>
            <xm:f>partData!$F$26:$F$27</xm:f>
          </x14:formula1>
          <xm:sqref>C54</xm:sqref>
        </x14:dataValidation>
        <x14:dataValidation type="list" allowBlank="1" showInputMessage="1" showErrorMessage="1">
          <x14:formula1>
            <xm:f>partData!$I$26:$I$27</xm:f>
          </x14:formula1>
          <xm:sqref>E56</xm:sqref>
        </x14:dataValidation>
        <x14:dataValidation type="decimal" operator="lessThanOrEqual" allowBlank="1" showErrorMessage="1" error="Minimum Input Voltage" promptTitle="Minimum Input Voltage" prompt="Minimum Input Voltage">
          <x14:formula1>
            <xm:f>VLOOKUP(E7,partData!C3:O1048569,2,FALSE)</xm:f>
          </x14:formula1>
          <xm:sqref>E8:F8</xm:sqref>
        </x14:dataValidation>
        <x14:dataValidation type="decimal" operator="lessThanOrEqual" allowBlank="1" showErrorMessage="1" error="Minimum Input Voltage" promptTitle="Minimum Input Voltage" prompt="Minimum Input Voltage">
          <x14:formula1>
            <xm:f>VLOOKUP(C7,partData!B3:N1048569,2,FALSE)</xm:f>
          </x14:formula1>
          <xm:sqref>C8:D8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W48"/>
  <sheetViews>
    <sheetView workbookViewId="0">
      <selection activeCell="G16" sqref="G16"/>
    </sheetView>
  </sheetViews>
  <sheetFormatPr defaultRowHeight="15" x14ac:dyDescent="0.25"/>
  <cols>
    <col min="1" max="1" width="15.140625" bestFit="1" customWidth="1"/>
    <col min="2" max="2" width="14" bestFit="1" customWidth="1"/>
    <col min="3" max="3" width="8.5703125" bestFit="1" customWidth="1"/>
    <col min="4" max="4" width="10.140625" bestFit="1" customWidth="1"/>
    <col min="5" max="5" width="10.85546875" bestFit="1" customWidth="1"/>
    <col min="6" max="7" width="11.85546875" bestFit="1" customWidth="1"/>
    <col min="8" max="8" width="10.85546875" bestFit="1" customWidth="1"/>
    <col min="9" max="9" width="9.42578125" bestFit="1" customWidth="1"/>
    <col min="10" max="10" width="11.7109375" bestFit="1" customWidth="1"/>
    <col min="11" max="11" width="8.85546875" bestFit="1" customWidth="1"/>
    <col min="12" max="12" width="6.42578125" bestFit="1" customWidth="1"/>
    <col min="13" max="13" width="5.85546875" bestFit="1" customWidth="1"/>
    <col min="14" max="15" width="6.85546875" bestFit="1" customWidth="1"/>
    <col min="16" max="16" width="4.42578125" bestFit="1" customWidth="1"/>
    <col min="17" max="17" width="7.5703125" bestFit="1" customWidth="1"/>
    <col min="18" max="18" width="8.42578125" bestFit="1" customWidth="1"/>
    <col min="19" max="19" width="7.7109375" bestFit="1" customWidth="1"/>
    <col min="20" max="20" width="7.5703125" bestFit="1" customWidth="1"/>
    <col min="21" max="21" width="6.85546875" bestFit="1" customWidth="1"/>
    <col min="22" max="22" width="3" style="73" bestFit="1" customWidth="1"/>
  </cols>
  <sheetData>
    <row r="1" spans="1:23" x14ac:dyDescent="0.25">
      <c r="A1" s="62">
        <v>1</v>
      </c>
      <c r="B1" s="62">
        <v>2</v>
      </c>
      <c r="C1" s="62">
        <v>3</v>
      </c>
      <c r="D1" s="62">
        <v>4</v>
      </c>
      <c r="E1" s="62">
        <v>5</v>
      </c>
      <c r="F1" s="62">
        <v>6</v>
      </c>
      <c r="G1" s="62">
        <v>7</v>
      </c>
      <c r="H1" s="62">
        <v>8</v>
      </c>
      <c r="I1" s="62">
        <v>9</v>
      </c>
      <c r="J1" s="62">
        <v>10</v>
      </c>
      <c r="K1" s="62">
        <v>11</v>
      </c>
      <c r="L1" s="62">
        <v>12</v>
      </c>
      <c r="M1" s="62">
        <v>13</v>
      </c>
      <c r="N1" s="62">
        <v>14</v>
      </c>
      <c r="O1" s="62">
        <v>15</v>
      </c>
      <c r="P1" s="62">
        <v>16</v>
      </c>
      <c r="Q1" s="62">
        <v>17</v>
      </c>
      <c r="R1" s="62">
        <v>18</v>
      </c>
      <c r="S1" s="62">
        <v>19</v>
      </c>
      <c r="T1" s="62"/>
      <c r="U1" s="62"/>
      <c r="V1" s="71"/>
    </row>
    <row r="2" spans="1:23" x14ac:dyDescent="0.25">
      <c r="A2" s="63" t="s">
        <v>13</v>
      </c>
      <c r="B2" s="63" t="s">
        <v>15</v>
      </c>
      <c r="C2" s="63" t="s">
        <v>16</v>
      </c>
      <c r="D2" s="63" t="s">
        <v>17</v>
      </c>
      <c r="E2" s="63" t="s">
        <v>18</v>
      </c>
      <c r="F2" s="63" t="s">
        <v>19</v>
      </c>
      <c r="G2" s="63" t="s">
        <v>20</v>
      </c>
      <c r="H2" s="63" t="s">
        <v>14</v>
      </c>
      <c r="I2" s="63" t="s">
        <v>3</v>
      </c>
      <c r="J2" s="63" t="s">
        <v>21</v>
      </c>
      <c r="K2" s="63" t="s">
        <v>23</v>
      </c>
      <c r="L2" s="63" t="s">
        <v>43</v>
      </c>
      <c r="M2" s="64" t="s">
        <v>55</v>
      </c>
      <c r="N2" s="64" t="s">
        <v>189</v>
      </c>
      <c r="O2" s="63" t="s">
        <v>190</v>
      </c>
      <c r="P2" s="64" t="s">
        <v>133</v>
      </c>
      <c r="Q2" s="64" t="s">
        <v>236</v>
      </c>
      <c r="R2" s="64" t="s">
        <v>275</v>
      </c>
      <c r="S2" s="64" t="s">
        <v>276</v>
      </c>
      <c r="V2"/>
    </row>
    <row r="3" spans="1:23" x14ac:dyDescent="0.25">
      <c r="A3" s="65" t="s">
        <v>188</v>
      </c>
      <c r="B3" s="65">
        <v>8</v>
      </c>
      <c r="C3" s="65">
        <v>14</v>
      </c>
      <c r="D3" s="65">
        <v>10</v>
      </c>
      <c r="E3" s="65">
        <v>4</v>
      </c>
      <c r="F3" s="65">
        <v>7</v>
      </c>
      <c r="G3" s="65">
        <v>10</v>
      </c>
      <c r="H3" s="104">
        <v>14</v>
      </c>
      <c r="I3" s="114">
        <v>0.50800000000000001</v>
      </c>
      <c r="J3" s="66" t="s">
        <v>22</v>
      </c>
      <c r="K3" s="66" t="s">
        <v>24</v>
      </c>
      <c r="L3" s="104">
        <v>10</v>
      </c>
      <c r="M3" s="104">
        <v>27</v>
      </c>
      <c r="N3" s="104">
        <v>6.8</v>
      </c>
      <c r="O3" s="104">
        <v>9.3000000000000007</v>
      </c>
      <c r="P3" s="104">
        <v>36</v>
      </c>
      <c r="Q3" s="61">
        <v>1.23</v>
      </c>
      <c r="R3" s="61">
        <v>4</v>
      </c>
      <c r="S3" s="72">
        <v>1</v>
      </c>
      <c r="V3"/>
    </row>
    <row r="4" spans="1:23" x14ac:dyDescent="0.25">
      <c r="A4" s="65"/>
      <c r="B4" s="65"/>
      <c r="C4" s="65"/>
      <c r="D4" s="65"/>
      <c r="E4" s="65"/>
      <c r="F4" s="65"/>
      <c r="G4" s="65"/>
      <c r="H4" s="65"/>
      <c r="I4" s="104"/>
      <c r="J4" s="67"/>
      <c r="K4" s="66"/>
      <c r="L4" s="66"/>
      <c r="M4" s="8"/>
      <c r="N4" s="10"/>
      <c r="O4" s="104"/>
      <c r="P4" s="104"/>
      <c r="Q4" s="104"/>
      <c r="R4" s="61"/>
      <c r="S4" s="104"/>
      <c r="T4" s="61"/>
      <c r="U4" s="61"/>
      <c r="V4" s="72"/>
    </row>
    <row r="5" spans="1:23" x14ac:dyDescent="0.25">
      <c r="A5" s="65"/>
      <c r="B5" s="65"/>
      <c r="C5" s="65"/>
      <c r="D5" s="65"/>
      <c r="E5" s="65"/>
      <c r="F5" s="65"/>
      <c r="G5" s="65"/>
      <c r="H5" s="65"/>
      <c r="I5" s="104"/>
      <c r="J5" s="67"/>
      <c r="K5" s="66"/>
      <c r="L5" s="66"/>
      <c r="M5" s="8"/>
      <c r="N5" s="10"/>
      <c r="O5" s="104"/>
      <c r="P5" s="103"/>
      <c r="Q5" s="103"/>
      <c r="R5" s="61"/>
      <c r="S5" s="104"/>
      <c r="T5" s="61"/>
      <c r="U5" s="61"/>
      <c r="V5" s="72"/>
    </row>
    <row r="6" spans="1:23" x14ac:dyDescent="0.25">
      <c r="A6" s="65"/>
      <c r="B6" s="65"/>
      <c r="C6" s="65"/>
      <c r="D6" s="65"/>
      <c r="E6" s="65"/>
      <c r="F6" s="65"/>
      <c r="G6" s="65"/>
      <c r="H6" s="65"/>
      <c r="I6" s="104"/>
      <c r="J6" s="67"/>
      <c r="K6" s="66"/>
      <c r="L6" s="66"/>
      <c r="M6" s="8"/>
      <c r="N6" s="10"/>
      <c r="O6" s="104"/>
      <c r="P6" s="103"/>
      <c r="Q6" s="103"/>
      <c r="R6" s="61"/>
      <c r="S6" s="104"/>
      <c r="T6" s="61"/>
      <c r="U6" s="61"/>
      <c r="V6" s="72"/>
    </row>
    <row r="7" spans="1:23" x14ac:dyDescent="0.25">
      <c r="A7" s="65"/>
      <c r="B7" s="61"/>
      <c r="C7" s="61"/>
      <c r="D7" s="61"/>
      <c r="E7" s="61"/>
      <c r="F7" s="61"/>
      <c r="G7" s="61"/>
      <c r="H7" s="61"/>
      <c r="I7" s="103"/>
      <c r="J7" s="67"/>
      <c r="K7" s="66"/>
      <c r="L7" s="66"/>
      <c r="M7" s="102"/>
      <c r="N7" s="105"/>
      <c r="O7" s="103"/>
      <c r="P7" s="103"/>
      <c r="Q7" s="103"/>
      <c r="R7" s="61"/>
      <c r="S7" s="103"/>
      <c r="T7" s="61"/>
      <c r="U7" s="61"/>
      <c r="V7" s="72"/>
    </row>
    <row r="8" spans="1:23" x14ac:dyDescent="0.25">
      <c r="A8" s="65"/>
      <c r="B8" s="61"/>
      <c r="C8" s="61"/>
      <c r="D8" s="61"/>
      <c r="E8" s="61"/>
      <c r="F8" s="61"/>
      <c r="G8" s="61"/>
      <c r="H8" s="61"/>
      <c r="I8" s="103"/>
      <c r="J8" s="67"/>
      <c r="K8" s="66"/>
      <c r="L8" s="66"/>
      <c r="M8" s="102"/>
      <c r="N8" s="105"/>
      <c r="O8" s="103"/>
      <c r="P8" s="103"/>
      <c r="Q8" s="103"/>
      <c r="R8" s="61"/>
      <c r="S8" s="103"/>
      <c r="T8" s="61"/>
      <c r="U8" s="61"/>
      <c r="V8" s="72"/>
    </row>
    <row r="9" spans="1:23" x14ac:dyDescent="0.25">
      <c r="A9" s="65"/>
      <c r="B9" s="65"/>
      <c r="C9" s="65"/>
      <c r="D9" s="65"/>
      <c r="E9" s="65"/>
      <c r="F9" s="65"/>
      <c r="G9" s="65"/>
      <c r="H9" s="65"/>
      <c r="I9" s="104"/>
      <c r="J9" s="67"/>
      <c r="K9" s="66"/>
      <c r="L9" s="66"/>
      <c r="M9" s="8"/>
      <c r="N9" s="10"/>
      <c r="O9" s="104"/>
      <c r="P9" s="104"/>
      <c r="Q9" s="104"/>
      <c r="R9" s="61"/>
      <c r="S9" s="104"/>
      <c r="T9" s="61"/>
      <c r="U9" s="61"/>
      <c r="V9" s="72"/>
    </row>
    <row r="10" spans="1:23" x14ac:dyDescent="0.25">
      <c r="A10" s="65"/>
      <c r="B10" s="65"/>
      <c r="C10" s="65"/>
      <c r="D10" s="65"/>
      <c r="E10" s="65"/>
      <c r="F10" s="65"/>
      <c r="G10" s="65"/>
      <c r="H10" s="65"/>
      <c r="I10" s="104"/>
      <c r="J10" s="67"/>
      <c r="K10" s="66"/>
      <c r="L10" s="66"/>
      <c r="M10" s="8"/>
      <c r="N10" s="10"/>
      <c r="O10" s="104"/>
      <c r="P10" s="103"/>
      <c r="Q10" s="103"/>
      <c r="R10" s="61"/>
      <c r="S10" s="104"/>
      <c r="T10" s="61"/>
      <c r="U10" s="61"/>
      <c r="V10" s="72"/>
    </row>
    <row r="11" spans="1:23" x14ac:dyDescent="0.25">
      <c r="A11" s="65"/>
      <c r="B11" s="65"/>
      <c r="C11" s="65"/>
      <c r="D11" s="65"/>
      <c r="E11" s="65"/>
      <c r="F11" s="65"/>
      <c r="G11" s="65"/>
      <c r="H11" s="65"/>
      <c r="I11" s="66"/>
      <c r="J11" s="67"/>
      <c r="K11" s="66"/>
      <c r="L11" s="66"/>
      <c r="M11" s="68"/>
      <c r="N11" s="65"/>
      <c r="O11" s="66"/>
      <c r="P11" s="66"/>
      <c r="Q11" s="66"/>
      <c r="R11" s="61"/>
      <c r="S11" s="67"/>
      <c r="T11" s="61"/>
      <c r="U11" s="61"/>
      <c r="V11" s="72"/>
    </row>
    <row r="12" spans="1:23" x14ac:dyDescent="0.25">
      <c r="A12" s="5" t="s">
        <v>42</v>
      </c>
      <c r="B12" s="12" t="str">
        <f>designCalculations!C7</f>
        <v>TPS54A20</v>
      </c>
      <c r="C12" s="5"/>
      <c r="D12" s="5"/>
      <c r="E12" s="5"/>
      <c r="F12" s="5"/>
      <c r="G12" s="5"/>
      <c r="H12" s="5"/>
      <c r="I12" s="6"/>
      <c r="J12" s="6"/>
      <c r="K12" s="6"/>
      <c r="L12" s="6"/>
      <c r="M12" s="6"/>
      <c r="N12" s="6"/>
      <c r="O12" s="6"/>
      <c r="P12" s="6"/>
      <c r="Q12" s="6"/>
      <c r="R12" s="7"/>
      <c r="S12" s="7"/>
      <c r="V12" s="72"/>
    </row>
    <row r="13" spans="1:23" x14ac:dyDescent="0.25">
      <c r="A13" s="5" t="s">
        <v>202</v>
      </c>
      <c r="B13" s="5">
        <f>designCalculations!C28</f>
        <v>4</v>
      </c>
      <c r="C13" s="5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6"/>
      <c r="P13" s="6"/>
      <c r="Q13" s="6"/>
      <c r="R13" s="7"/>
      <c r="S13" s="7"/>
    </row>
    <row r="14" spans="1:23" x14ac:dyDescent="0.25">
      <c r="A14" s="5"/>
      <c r="B14" s="5"/>
      <c r="C14" s="5"/>
      <c r="D14" s="5"/>
      <c r="E14" s="5"/>
      <c r="F14" s="5"/>
      <c r="G14" s="5"/>
      <c r="H14" s="5"/>
      <c r="I14" s="6"/>
      <c r="J14" s="6"/>
      <c r="K14" s="6"/>
      <c r="L14" s="6"/>
      <c r="M14" s="6"/>
      <c r="N14" s="6"/>
      <c r="O14" s="6"/>
      <c r="P14" s="6"/>
      <c r="Q14" s="6"/>
      <c r="R14" s="7"/>
      <c r="S14" s="7"/>
    </row>
    <row r="15" spans="1:23" x14ac:dyDescent="0.25">
      <c r="A15" t="s">
        <v>203</v>
      </c>
      <c r="B15" t="s">
        <v>204</v>
      </c>
      <c r="D15" s="2"/>
      <c r="E15" s="1" t="s">
        <v>195</v>
      </c>
      <c r="F15" s="1" t="s">
        <v>194</v>
      </c>
      <c r="G15" s="11" t="s">
        <v>221</v>
      </c>
      <c r="H15" s="100" t="str">
        <f t="shared" ref="H15:H23" si="0">E15</f>
        <v>FOSC(MHz)</v>
      </c>
      <c r="I15" s="1" t="s">
        <v>196</v>
      </c>
      <c r="J15" s="100" t="str">
        <f>F15</f>
        <v>SS Time (us)</v>
      </c>
      <c r="L15" s="6"/>
      <c r="M15" s="6"/>
      <c r="T15" s="7"/>
      <c r="V15"/>
      <c r="W15" s="73"/>
    </row>
    <row r="16" spans="1:23" x14ac:dyDescent="0.25">
      <c r="A16" s="9">
        <f>VLOOKUP($B$12,partData!$A$3:$N$10,5,FALSE)</f>
        <v>4</v>
      </c>
      <c r="B16" s="2">
        <f>IF(B$13=A$16,F16,IF(B$13=A$17,F19,F21))</f>
        <v>64</v>
      </c>
      <c r="D16" s="7" t="str">
        <f t="shared" ref="D16:D23" si="1">CONCATENATE(E16&amp;F16)</f>
        <v>464</v>
      </c>
      <c r="E16" s="1">
        <f>A16</f>
        <v>4</v>
      </c>
      <c r="F16" s="1">
        <v>64</v>
      </c>
      <c r="G16" s="3">
        <v>71.5</v>
      </c>
      <c r="H16" s="100">
        <f t="shared" si="0"/>
        <v>4</v>
      </c>
      <c r="I16" s="1">
        <f t="shared" ref="I16:I23" si="2">E16/2</f>
        <v>2</v>
      </c>
      <c r="J16" s="100">
        <f>F16</f>
        <v>64</v>
      </c>
      <c r="L16" s="6"/>
      <c r="M16" s="6"/>
      <c r="T16" s="7"/>
      <c r="V16"/>
      <c r="W16" s="73"/>
    </row>
    <row r="17" spans="1:23" x14ac:dyDescent="0.25">
      <c r="A17" s="10">
        <f>VLOOKUP($B$12,partData!$A$3:$N$10,6,FALSE)</f>
        <v>7</v>
      </c>
      <c r="B17" s="2">
        <f>IF(B$13=A$16,F17,IF(B$13=A$17,F20,F22))</f>
        <v>512</v>
      </c>
      <c r="D17" s="7" t="str">
        <f t="shared" si="1"/>
        <v>4512</v>
      </c>
      <c r="E17" s="1">
        <v>4</v>
      </c>
      <c r="F17" s="1">
        <v>512</v>
      </c>
      <c r="G17" s="3" t="s">
        <v>197</v>
      </c>
      <c r="H17" s="100">
        <f t="shared" si="0"/>
        <v>4</v>
      </c>
      <c r="I17" s="1">
        <f t="shared" si="2"/>
        <v>2</v>
      </c>
      <c r="J17" s="100">
        <f t="shared" ref="J17:J23" si="3">F17</f>
        <v>512</v>
      </c>
      <c r="L17" s="6"/>
      <c r="M17" s="6"/>
      <c r="T17" s="7"/>
      <c r="V17"/>
      <c r="W17" s="73"/>
    </row>
    <row r="18" spans="1:23" x14ac:dyDescent="0.25">
      <c r="A18" s="10">
        <f>VLOOKUP($B$12,partData!$A$3:$N$10,7,FALSE)</f>
        <v>10</v>
      </c>
      <c r="B18" s="2">
        <f>IF(B$13=A$16,F18,IF(B$13=A$17,"N/A",F23))</f>
        <v>4096</v>
      </c>
      <c r="D18" s="7" t="str">
        <f t="shared" si="1"/>
        <v>44096</v>
      </c>
      <c r="E18" s="1">
        <v>4</v>
      </c>
      <c r="F18" s="1">
        <v>4096</v>
      </c>
      <c r="G18" s="3">
        <v>48.7</v>
      </c>
      <c r="H18" s="100">
        <f t="shared" si="0"/>
        <v>4</v>
      </c>
      <c r="I18" s="1">
        <f t="shared" si="2"/>
        <v>2</v>
      </c>
      <c r="J18" s="100">
        <f t="shared" si="3"/>
        <v>4096</v>
      </c>
      <c r="L18" s="6"/>
      <c r="M18" s="6"/>
      <c r="T18" s="7"/>
      <c r="V18"/>
      <c r="W18" s="73"/>
    </row>
    <row r="19" spans="1:23" x14ac:dyDescent="0.25">
      <c r="A19" s="6"/>
      <c r="B19" s="6"/>
      <c r="D19" s="7" t="str">
        <f t="shared" si="1"/>
        <v>736.6</v>
      </c>
      <c r="E19" s="1">
        <v>7</v>
      </c>
      <c r="F19" s="1">
        <v>36.6</v>
      </c>
      <c r="G19" s="3">
        <v>35.700000000000003</v>
      </c>
      <c r="H19" s="100">
        <f t="shared" si="0"/>
        <v>7</v>
      </c>
      <c r="I19" s="1">
        <f t="shared" si="2"/>
        <v>3.5</v>
      </c>
      <c r="J19" s="100">
        <f t="shared" si="3"/>
        <v>36.6</v>
      </c>
      <c r="L19" s="6"/>
      <c r="M19" s="6"/>
      <c r="T19" s="7"/>
      <c r="V19"/>
      <c r="W19" s="73"/>
    </row>
    <row r="20" spans="1:23" x14ac:dyDescent="0.25">
      <c r="A20" s="6"/>
      <c r="B20" s="6"/>
      <c r="D20" s="7" t="str">
        <f t="shared" si="1"/>
        <v>7293</v>
      </c>
      <c r="E20" s="1">
        <v>7</v>
      </c>
      <c r="F20" s="1">
        <v>293</v>
      </c>
      <c r="G20" s="3" t="s">
        <v>198</v>
      </c>
      <c r="H20" s="100">
        <f t="shared" si="0"/>
        <v>7</v>
      </c>
      <c r="I20" s="1">
        <f t="shared" si="2"/>
        <v>3.5</v>
      </c>
      <c r="J20" s="100">
        <f t="shared" si="3"/>
        <v>293</v>
      </c>
      <c r="L20" s="6"/>
      <c r="M20" s="6"/>
      <c r="T20" s="7"/>
      <c r="V20"/>
      <c r="W20" s="73"/>
    </row>
    <row r="21" spans="1:23" x14ac:dyDescent="0.25">
      <c r="A21" s="6"/>
      <c r="B21" s="6"/>
      <c r="D21" s="7" t="str">
        <f t="shared" si="1"/>
        <v>1025.6</v>
      </c>
      <c r="E21" s="1">
        <v>10</v>
      </c>
      <c r="F21" s="1">
        <v>25.6</v>
      </c>
      <c r="G21" s="3">
        <v>21.5</v>
      </c>
      <c r="H21" s="100">
        <f t="shared" si="0"/>
        <v>10</v>
      </c>
      <c r="I21" s="1">
        <f t="shared" si="2"/>
        <v>5</v>
      </c>
      <c r="J21" s="100">
        <f t="shared" si="3"/>
        <v>25.6</v>
      </c>
      <c r="L21" s="6"/>
      <c r="M21" s="6"/>
      <c r="T21" s="7"/>
      <c r="V21"/>
      <c r="W21" s="73"/>
    </row>
    <row r="22" spans="1:23" x14ac:dyDescent="0.25">
      <c r="A22" s="4"/>
      <c r="B22" s="5"/>
      <c r="C22" s="5"/>
      <c r="D22" s="6" t="str">
        <f t="shared" si="1"/>
        <v>10205</v>
      </c>
      <c r="E22" s="1">
        <v>10</v>
      </c>
      <c r="F22" s="1">
        <v>205</v>
      </c>
      <c r="G22" s="1">
        <v>15.4</v>
      </c>
      <c r="H22" s="115">
        <f t="shared" si="0"/>
        <v>10</v>
      </c>
      <c r="I22" s="1">
        <f t="shared" si="2"/>
        <v>5</v>
      </c>
      <c r="J22" s="115">
        <f t="shared" si="3"/>
        <v>205</v>
      </c>
      <c r="L22" s="6"/>
      <c r="M22" s="6"/>
      <c r="N22" s="6"/>
      <c r="O22" s="6"/>
      <c r="P22" s="6"/>
      <c r="Q22" s="6"/>
      <c r="R22" s="6"/>
      <c r="S22" s="7"/>
      <c r="T22" s="7"/>
      <c r="V22"/>
      <c r="W22" s="73"/>
    </row>
    <row r="23" spans="1:23" x14ac:dyDescent="0.25">
      <c r="A23" s="5"/>
      <c r="B23" s="5"/>
      <c r="C23" s="5"/>
      <c r="D23" s="5" t="str">
        <f t="shared" si="1"/>
        <v>101638</v>
      </c>
      <c r="E23" s="1">
        <v>10</v>
      </c>
      <c r="F23" s="1">
        <v>1638</v>
      </c>
      <c r="G23" s="1">
        <v>8.66</v>
      </c>
      <c r="H23" s="115">
        <f t="shared" si="0"/>
        <v>10</v>
      </c>
      <c r="I23" s="1">
        <f t="shared" si="2"/>
        <v>5</v>
      </c>
      <c r="J23" s="115">
        <f t="shared" si="3"/>
        <v>1638</v>
      </c>
      <c r="K23" s="6"/>
      <c r="L23" s="6"/>
      <c r="M23" s="6"/>
      <c r="N23" s="6"/>
      <c r="O23" s="6"/>
      <c r="P23" s="6"/>
      <c r="Q23" s="6"/>
      <c r="R23" s="6"/>
      <c r="S23" s="7"/>
      <c r="T23" s="7"/>
      <c r="V23"/>
      <c r="W23" s="73"/>
    </row>
    <row r="24" spans="1:23" x14ac:dyDescent="0.25">
      <c r="A24" s="5"/>
      <c r="B24" s="5"/>
      <c r="C24" s="5"/>
      <c r="D24" s="5"/>
      <c r="E24" s="5"/>
      <c r="F24" s="5"/>
      <c r="G24" s="5"/>
      <c r="H24" s="5"/>
      <c r="I24" s="6"/>
      <c r="J24" s="6"/>
      <c r="K24" s="6"/>
      <c r="L24" s="6"/>
      <c r="M24" s="6"/>
      <c r="N24" s="6"/>
      <c r="O24" s="6"/>
      <c r="P24" s="6"/>
      <c r="Q24" s="6"/>
      <c r="R24" s="7"/>
      <c r="S24" s="7"/>
    </row>
    <row r="25" spans="1:23" x14ac:dyDescent="0.25">
      <c r="A25" s="8"/>
      <c r="B25" s="5"/>
      <c r="C25" s="5"/>
      <c r="E25" s="117" t="s">
        <v>222</v>
      </c>
      <c r="F25" s="117" t="s">
        <v>218</v>
      </c>
      <c r="G25" s="117" t="s">
        <v>219</v>
      </c>
      <c r="H25" s="117" t="s">
        <v>220</v>
      </c>
      <c r="I25" s="117" t="s">
        <v>222</v>
      </c>
      <c r="J25" s="6"/>
      <c r="K25" s="6"/>
      <c r="L25" s="6"/>
      <c r="M25" s="6"/>
      <c r="N25" s="6"/>
      <c r="O25" s="7"/>
      <c r="P25" s="7"/>
      <c r="S25" s="73"/>
      <c r="V25"/>
    </row>
    <row r="26" spans="1:23" x14ac:dyDescent="0.25">
      <c r="A26" s="5"/>
      <c r="B26" s="5"/>
      <c r="C26" s="5"/>
      <c r="E26" s="117" t="s">
        <v>197</v>
      </c>
      <c r="F26" s="117">
        <v>15</v>
      </c>
      <c r="G26" s="117">
        <v>12.7</v>
      </c>
      <c r="H26" s="117">
        <v>6.8</v>
      </c>
      <c r="I26" s="117" t="s">
        <v>197</v>
      </c>
      <c r="J26" s="6"/>
      <c r="K26" s="6"/>
      <c r="L26" s="6"/>
      <c r="M26" s="6"/>
      <c r="N26" s="6"/>
      <c r="O26" s="7"/>
      <c r="P26" s="7"/>
      <c r="S26" s="73"/>
      <c r="V26"/>
    </row>
    <row r="27" spans="1:23" x14ac:dyDescent="0.25">
      <c r="A27" s="5"/>
      <c r="B27" s="5"/>
      <c r="C27" s="5"/>
      <c r="E27" s="117">
        <v>47</v>
      </c>
      <c r="F27" s="117">
        <v>11.25</v>
      </c>
      <c r="G27" s="117">
        <v>9.9</v>
      </c>
      <c r="H27" s="117">
        <v>5.3</v>
      </c>
      <c r="I27" s="117">
        <v>47</v>
      </c>
      <c r="J27" s="6"/>
      <c r="K27" s="6"/>
      <c r="L27" s="6"/>
      <c r="M27" s="6"/>
      <c r="N27" s="6"/>
      <c r="O27" s="7"/>
      <c r="P27" s="7"/>
      <c r="S27" s="73"/>
      <c r="V27"/>
    </row>
    <row r="28" spans="1:23" x14ac:dyDescent="0.25">
      <c r="A28" s="5"/>
      <c r="B28" s="5"/>
      <c r="C28" s="5"/>
      <c r="D28" s="5"/>
      <c r="E28" s="5"/>
      <c r="F28" s="5"/>
      <c r="G28" s="5"/>
      <c r="H28" s="5"/>
      <c r="I28" s="6"/>
      <c r="J28" s="6"/>
      <c r="K28" s="6"/>
      <c r="L28" s="6"/>
      <c r="M28" s="6"/>
      <c r="N28" s="6"/>
      <c r="O28" s="6"/>
      <c r="P28" s="6"/>
      <c r="Q28" s="6"/>
      <c r="R28" s="7"/>
      <c r="S28" s="7"/>
    </row>
    <row r="30" spans="1:23" x14ac:dyDescent="0.25">
      <c r="A30" s="5"/>
      <c r="B30" s="5"/>
      <c r="C30" s="5"/>
      <c r="D30" s="5"/>
      <c r="E30" s="5"/>
      <c r="F30" s="5"/>
      <c r="G30" s="5"/>
      <c r="H30" s="5"/>
    </row>
    <row r="31" spans="1:23" x14ac:dyDescent="0.25">
      <c r="A31" s="5"/>
      <c r="B31" s="5"/>
      <c r="C31" s="5"/>
      <c r="D31" s="5"/>
      <c r="E31" s="5"/>
      <c r="F31" s="5"/>
      <c r="G31" s="5"/>
      <c r="H31" s="5"/>
    </row>
    <row r="32" spans="1:23" x14ac:dyDescent="0.25">
      <c r="A32" s="5"/>
      <c r="B32" s="5"/>
      <c r="C32" s="5"/>
      <c r="D32" s="5"/>
      <c r="E32" s="5"/>
      <c r="F32" s="5"/>
      <c r="G32" s="5"/>
      <c r="H32" s="5"/>
    </row>
    <row r="33" spans="1:8" x14ac:dyDescent="0.25">
      <c r="A33" s="5"/>
      <c r="B33" s="5"/>
      <c r="C33" s="5"/>
      <c r="D33" s="5"/>
      <c r="E33" s="5"/>
      <c r="F33" s="5"/>
      <c r="G33" s="5"/>
      <c r="H33" s="5"/>
    </row>
    <row r="34" spans="1:8" x14ac:dyDescent="0.25">
      <c r="A34" s="5"/>
      <c r="B34" s="5"/>
      <c r="C34" s="5"/>
      <c r="D34" s="5"/>
      <c r="E34" s="5"/>
      <c r="F34" s="5"/>
      <c r="G34" s="5"/>
      <c r="H34" s="5"/>
    </row>
    <row r="35" spans="1:8" x14ac:dyDescent="0.25">
      <c r="A35" s="5"/>
      <c r="B35" s="5"/>
      <c r="C35" s="5"/>
      <c r="D35" s="5"/>
      <c r="E35" s="5"/>
      <c r="F35" s="5"/>
      <c r="G35" s="5"/>
      <c r="H35" s="5"/>
    </row>
    <row r="36" spans="1:8" x14ac:dyDescent="0.25">
      <c r="A36" s="5"/>
      <c r="B36" s="5"/>
      <c r="C36" s="5"/>
      <c r="D36" s="5"/>
      <c r="E36" s="5"/>
      <c r="F36" s="5"/>
      <c r="G36" s="5"/>
      <c r="H36" s="5"/>
    </row>
    <row r="37" spans="1:8" x14ac:dyDescent="0.25">
      <c r="A37" s="5"/>
      <c r="B37" s="5"/>
      <c r="C37" s="5"/>
      <c r="D37" s="5"/>
      <c r="E37" s="5"/>
      <c r="F37" s="5"/>
      <c r="G37" s="5"/>
      <c r="H37" s="5"/>
    </row>
    <row r="38" spans="1:8" x14ac:dyDescent="0.25">
      <c r="A38" s="5"/>
      <c r="B38" s="5"/>
      <c r="C38" s="5"/>
      <c r="D38" s="5"/>
      <c r="E38" s="5"/>
      <c r="F38" s="5"/>
      <c r="G38" s="5"/>
      <c r="H38" s="5"/>
    </row>
    <row r="39" spans="1:8" x14ac:dyDescent="0.25">
      <c r="A39" s="5"/>
      <c r="B39" s="5"/>
      <c r="C39" s="5"/>
      <c r="D39" s="5"/>
      <c r="E39" s="5"/>
      <c r="F39" s="5"/>
      <c r="G39" s="5"/>
      <c r="H39" s="5"/>
    </row>
    <row r="40" spans="1:8" x14ac:dyDescent="0.25">
      <c r="A40" s="5"/>
      <c r="B40" s="5"/>
      <c r="C40" s="5"/>
      <c r="D40" s="5"/>
      <c r="E40" s="5"/>
      <c r="F40" s="5"/>
      <c r="G40" s="5"/>
      <c r="H40" s="5"/>
    </row>
    <row r="41" spans="1:8" x14ac:dyDescent="0.25">
      <c r="A41" s="5"/>
      <c r="B41" s="5"/>
      <c r="C41" s="5"/>
      <c r="D41" s="5"/>
      <c r="E41" s="5"/>
      <c r="F41" s="5"/>
      <c r="G41" s="5"/>
      <c r="H41" s="5"/>
    </row>
    <row r="42" spans="1:8" x14ac:dyDescent="0.25">
      <c r="A42" s="5"/>
      <c r="B42" s="5"/>
      <c r="C42" s="5"/>
      <c r="D42" s="5"/>
      <c r="E42" s="5"/>
      <c r="F42" s="5"/>
      <c r="G42" s="5"/>
      <c r="H42" s="5"/>
    </row>
    <row r="43" spans="1:8" x14ac:dyDescent="0.25">
      <c r="A43" s="5"/>
      <c r="B43" s="5"/>
      <c r="C43" s="5"/>
      <c r="D43" s="5"/>
      <c r="E43" s="5"/>
      <c r="F43" s="5"/>
      <c r="G43" s="5"/>
      <c r="H43" s="5"/>
    </row>
    <row r="44" spans="1:8" x14ac:dyDescent="0.25">
      <c r="A44" s="5"/>
      <c r="B44" s="5"/>
      <c r="C44" s="5"/>
      <c r="D44" s="5"/>
      <c r="E44" s="5"/>
      <c r="F44" s="5"/>
      <c r="G44" s="5"/>
      <c r="H44" s="5"/>
    </row>
    <row r="45" spans="1:8" x14ac:dyDescent="0.25">
      <c r="A45" s="5"/>
      <c r="B45" s="5"/>
      <c r="C45" s="5"/>
      <c r="D45" s="5"/>
      <c r="E45" s="5"/>
      <c r="F45" s="5"/>
      <c r="G45" s="5"/>
      <c r="H45" s="5"/>
    </row>
    <row r="46" spans="1:8" x14ac:dyDescent="0.25">
      <c r="A46" s="5"/>
      <c r="B46" s="5"/>
      <c r="C46" s="5"/>
      <c r="D46" s="5"/>
      <c r="E46" s="5"/>
      <c r="F46" s="5"/>
      <c r="G46" s="5"/>
      <c r="H46" s="5"/>
    </row>
    <row r="47" spans="1:8" x14ac:dyDescent="0.25">
      <c r="A47" s="5"/>
      <c r="B47" s="5"/>
      <c r="C47" s="5"/>
      <c r="D47" s="5"/>
      <c r="E47" s="5"/>
      <c r="F47" s="5"/>
      <c r="G47" s="5"/>
      <c r="H47" s="5"/>
    </row>
    <row r="48" spans="1:8" x14ac:dyDescent="0.25">
      <c r="A48" s="5"/>
      <c r="B48" s="5"/>
      <c r="C48" s="5"/>
      <c r="D48" s="5"/>
      <c r="E48" s="5"/>
      <c r="F48" s="5"/>
      <c r="G48" s="5"/>
      <c r="H48" s="5"/>
    </row>
  </sheetData>
  <sheetProtection sheet="1" objects="1" scenarios="1"/>
  <protectedRanges>
    <protectedRange password="CD94" sqref="S3 V4:V12" name="Range1"/>
    <protectedRange password="CD94" sqref="S2 V1" name="Range1_1"/>
  </protectedRanges>
  <sortState ref="A3:O11">
    <sortCondition ref="A3:A1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52</vt:i4>
      </vt:variant>
    </vt:vector>
  </HeadingPairs>
  <TitlesOfParts>
    <vt:vector size="54" baseType="lpstr">
      <vt:lpstr>designCalculations</vt:lpstr>
      <vt:lpstr>partData</vt:lpstr>
      <vt:lpstr>Cboot</vt:lpstr>
      <vt:lpstr>Cff</vt:lpstr>
      <vt:lpstr>Cin</vt:lpstr>
      <vt:lpstr>Cout</vt:lpstr>
      <vt:lpstr>Cout_derating</vt:lpstr>
      <vt:lpstr>Cout_nominal</vt:lpstr>
      <vt:lpstr>Cscap</vt:lpstr>
      <vt:lpstr>Cvg</vt:lpstr>
      <vt:lpstr>DCR</vt:lpstr>
      <vt:lpstr>dVo_dc</vt:lpstr>
      <vt:lpstr>dVo_trans</vt:lpstr>
      <vt:lpstr>ESR</vt:lpstr>
      <vt:lpstr>ESR_nominal</vt:lpstr>
      <vt:lpstr>f_LC</vt:lpstr>
      <vt:lpstr>fsw_select</vt:lpstr>
      <vt:lpstr>IEN_H</vt:lpstr>
      <vt:lpstr>IEN_L</vt:lpstr>
      <vt:lpstr>Io_max_IC</vt:lpstr>
      <vt:lpstr>Io_max_select</vt:lpstr>
      <vt:lpstr>Io_step</vt:lpstr>
      <vt:lpstr>Iout</vt:lpstr>
      <vt:lpstr>Iripple_max</vt:lpstr>
      <vt:lpstr>Iripple_min</vt:lpstr>
      <vt:lpstr>Ivalley</vt:lpstr>
      <vt:lpstr>Kind</vt:lpstr>
      <vt:lpstr>Lout</vt:lpstr>
      <vt:lpstr>N_Cout</vt:lpstr>
      <vt:lpstr>R_ssfsel</vt:lpstr>
      <vt:lpstr>Rdson_HS</vt:lpstr>
      <vt:lpstr>Rdson_LS</vt:lpstr>
      <vt:lpstr>Ren_b</vt:lpstr>
      <vt:lpstr>Ren_t</vt:lpstr>
      <vt:lpstr>Rfb_b</vt:lpstr>
      <vt:lpstr>Rfb_t</vt:lpstr>
      <vt:lpstr>Rff</vt:lpstr>
      <vt:lpstr>Rilim</vt:lpstr>
      <vt:lpstr>Rpg</vt:lpstr>
      <vt:lpstr>toff_min_max</vt:lpstr>
      <vt:lpstr>Tol_L</vt:lpstr>
      <vt:lpstr>ton_min_max</vt:lpstr>
      <vt:lpstr>tss</vt:lpstr>
      <vt:lpstr>VEN_th</vt:lpstr>
      <vt:lpstr>Vi_ripple_target</vt:lpstr>
      <vt:lpstr>Vin_max</vt:lpstr>
      <vt:lpstr>Vin_min</vt:lpstr>
      <vt:lpstr>Vin_nom</vt:lpstr>
      <vt:lpstr>Vout</vt:lpstr>
      <vt:lpstr>Vref</vt:lpstr>
      <vt:lpstr>Vscap_ripple_target</vt:lpstr>
      <vt:lpstr>Vstart_target</vt:lpstr>
      <vt:lpstr>Vstop_target</vt:lpstr>
      <vt:lpstr>Vstop_typ</vt:lpstr>
    </vt:vector>
  </TitlesOfParts>
  <Company>Texas Instruments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Wu, Carl;a-fagnani@ti.com</dc:creator>
  <cp:lastModifiedBy>Fagnani, Anthony</cp:lastModifiedBy>
  <dcterms:created xsi:type="dcterms:W3CDTF">2018-01-24T20:09:27Z</dcterms:created>
  <dcterms:modified xsi:type="dcterms:W3CDTF">2020-09-01T21:05:42Z</dcterms:modified>
</cp:coreProperties>
</file>