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Calculators\Aries Alcor\TPS54x60\"/>
    </mc:Choice>
  </mc:AlternateContent>
  <xr:revisionPtr revIDLastSave="0" documentId="13_ncr:40009_{022B633C-16C5-446D-89CF-793F65F51CC6}" xr6:coauthVersionLast="36" xr6:coauthVersionMax="36" xr10:uidLastSave="{00000000-0000-0000-0000-000000000000}"/>
  <bookViews>
    <workbookView xWindow="3890" yWindow="32760" windowWidth="9290" windowHeight="7740"/>
  </bookViews>
  <sheets>
    <sheet name="Worksheet" sheetId="5" r:id="rId1"/>
    <sheet name="Small Signal" sheetId="8" r:id="rId2"/>
    <sheet name="data" sheetId="3" state="hidden" r:id="rId3"/>
    <sheet name="Std. R and C Values" sheetId="7" state="hidden" r:id="rId4"/>
  </sheets>
  <externalReferences>
    <externalReference r:id="rId5"/>
  </externalReferences>
  <definedNames>
    <definedName name="_xlnm._FilterDatabase" localSheetId="2" hidden="1">data!$A$2:$P$10</definedName>
    <definedName name="C_f1">'Std. R and C Values'!$K$18</definedName>
    <definedName name="C_f2">'Std. R and C Values'!$K$25</definedName>
    <definedName name="c_s1">'Std. R and C Values'!$J$7</definedName>
    <definedName name="C_s2">'Std. R and C Values'!$J$20</definedName>
    <definedName name="Ccomp">Worksheet!$C$137</definedName>
    <definedName name="Chf">Worksheet!$C$141</definedName>
    <definedName name="Cout">Worksheet!$C$107</definedName>
    <definedName name="Css">Worksheet!$C$116</definedName>
    <definedName name="E12_f">'Std. R and C Values'!$F$22</definedName>
    <definedName name="E12_s">'Std. R and C Values'!$E$11</definedName>
    <definedName name="E24_f">'Std. R and C Values'!$F$47</definedName>
    <definedName name="E24_s">'Std. R and C Values'!$E$24</definedName>
    <definedName name="E48_f">'Std. R and C Values'!$F$96</definedName>
    <definedName name="E48_s">'Std. R and C Values'!$E$49</definedName>
    <definedName name="E6_f">'Std. R and C Values'!$F$9</definedName>
    <definedName name="E6_s">'Std. R and C Values'!$E$4</definedName>
    <definedName name="E96_f">'Std. R and C Values'!$H$99</definedName>
    <definedName name="E96_s">'Std. R and C Values'!$G$4</definedName>
    <definedName name="ESR">Worksheet!$C$109</definedName>
    <definedName name="fco">Worksheet!$C$133</definedName>
    <definedName name="L">Worksheet!$C$95</definedName>
    <definedName name="_xlnm.Print_Area" localSheetId="3">'Std. R and C Values'!$A$2:$I$46</definedName>
    <definedName name="Rcomp">Worksheet!$C$135</definedName>
    <definedName name="Rdc">Worksheet!$C$96</definedName>
    <definedName name="Rfbb">Worksheet!$C$88</definedName>
    <definedName name="Rfbt">Worksheet!$C$90</definedName>
    <definedName name="RT">Worksheet!$C$122</definedName>
    <definedName name="RUVLO1">Worksheet!$C$119</definedName>
    <definedName name="RUVLO2">Worksheet!$C$120</definedName>
  </definedNames>
  <calcPr calcId="191029"/>
</workbook>
</file>

<file path=xl/calcChain.xml><?xml version="1.0" encoding="utf-8"?>
<calcChain xmlns="http://schemas.openxmlformats.org/spreadsheetml/2006/main">
  <c r="C141" i="5" l="1"/>
  <c r="C137" i="5"/>
  <c r="C75" i="5"/>
  <c r="C74" i="5"/>
  <c r="C109" i="5" l="1"/>
  <c r="C14" i="8"/>
  <c r="C10" i="8"/>
  <c r="B10" i="8" s="1"/>
  <c r="B23" i="8" s="1"/>
  <c r="B30" i="8"/>
  <c r="B27" i="8"/>
  <c r="B25" i="8"/>
  <c r="B24" i="8"/>
  <c r="C12" i="8"/>
  <c r="C11" i="8"/>
  <c r="B11" i="8" s="1"/>
  <c r="C6" i="8"/>
  <c r="C4" i="8"/>
  <c r="B4" i="8" s="1"/>
  <c r="C3" i="8"/>
  <c r="B3" i="8" s="1"/>
  <c r="B22" i="8" s="1"/>
  <c r="C2" i="8"/>
  <c r="B2" i="8" s="1"/>
  <c r="G2" i="8"/>
  <c r="H2" i="8" s="1"/>
  <c r="G3" i="8"/>
  <c r="H3" i="8" s="1"/>
  <c r="G4" i="8"/>
  <c r="H4" i="8"/>
  <c r="G5" i="8"/>
  <c r="H5" i="8" s="1"/>
  <c r="B6" i="8"/>
  <c r="G6" i="8"/>
  <c r="H6" i="8"/>
  <c r="G7" i="8"/>
  <c r="H7" i="8" s="1"/>
  <c r="G8" i="8"/>
  <c r="H8" i="8"/>
  <c r="G9" i="8"/>
  <c r="H9" i="8" s="1"/>
  <c r="G10" i="8"/>
  <c r="H10" i="8"/>
  <c r="G11" i="8"/>
  <c r="H11" i="8"/>
  <c r="B12" i="8"/>
  <c r="B20" i="8" s="1"/>
  <c r="G12" i="8"/>
  <c r="H12" i="8"/>
  <c r="G13" i="8"/>
  <c r="H13" i="8"/>
  <c r="B14" i="8"/>
  <c r="B18" i="8" s="1"/>
  <c r="G14" i="8"/>
  <c r="H14" i="8" s="1"/>
  <c r="G15" i="8"/>
  <c r="H15" i="8" s="1"/>
  <c r="G16" i="8"/>
  <c r="H16" i="8" s="1"/>
  <c r="G17" i="8"/>
  <c r="H17" i="8" s="1"/>
  <c r="G18" i="8"/>
  <c r="H18" i="8" s="1"/>
  <c r="G19" i="8"/>
  <c r="H19" i="8"/>
  <c r="G20" i="8"/>
  <c r="H20" i="8" s="1"/>
  <c r="G21" i="8"/>
  <c r="H21" i="8" s="1"/>
  <c r="G22" i="8"/>
  <c r="H22" i="8" s="1"/>
  <c r="G23" i="8"/>
  <c r="H23" i="8"/>
  <c r="G24" i="8"/>
  <c r="H24" i="8"/>
  <c r="G25" i="8"/>
  <c r="H25" i="8"/>
  <c r="G26" i="8"/>
  <c r="H26" i="8"/>
  <c r="G27" i="8"/>
  <c r="H27" i="8"/>
  <c r="G28" i="8"/>
  <c r="H28" i="8"/>
  <c r="B29" i="8"/>
  <c r="G29" i="8"/>
  <c r="H29" i="8"/>
  <c r="B31" i="8"/>
  <c r="G30" i="8"/>
  <c r="H30" i="8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/>
  <c r="G38" i="8"/>
  <c r="H38" i="8"/>
  <c r="G39" i="8"/>
  <c r="H39" i="8"/>
  <c r="G40" i="8"/>
  <c r="H40" i="8" s="1"/>
  <c r="G41" i="8"/>
  <c r="H41" i="8"/>
  <c r="G42" i="8"/>
  <c r="H42" i="8"/>
  <c r="G43" i="8"/>
  <c r="H43" i="8" s="1"/>
  <c r="G44" i="8"/>
  <c r="H44" i="8" s="1"/>
  <c r="G45" i="8"/>
  <c r="H45" i="8"/>
  <c r="G46" i="8"/>
  <c r="H46" i="8" s="1"/>
  <c r="G47" i="8"/>
  <c r="H47" i="8"/>
  <c r="G48" i="8"/>
  <c r="H48" i="8"/>
  <c r="G49" i="8"/>
  <c r="H49" i="8"/>
  <c r="G50" i="8"/>
  <c r="H50" i="8"/>
  <c r="G51" i="8"/>
  <c r="H51" i="8"/>
  <c r="G52" i="8"/>
  <c r="H52" i="8" s="1"/>
  <c r="G53" i="8"/>
  <c r="H53" i="8"/>
  <c r="G54" i="8"/>
  <c r="H54" i="8" s="1"/>
  <c r="G55" i="8"/>
  <c r="H55" i="8"/>
  <c r="G56" i="8"/>
  <c r="H56" i="8"/>
  <c r="G57" i="8"/>
  <c r="H57" i="8" s="1"/>
  <c r="G58" i="8"/>
  <c r="H58" i="8" s="1"/>
  <c r="G59" i="8"/>
  <c r="H59" i="8" s="1"/>
  <c r="G60" i="8"/>
  <c r="H60" i="8" s="1"/>
  <c r="G61" i="8"/>
  <c r="H61" i="8" s="1"/>
  <c r="G62" i="8"/>
  <c r="H62" i="8" s="1"/>
  <c r="G63" i="8"/>
  <c r="H63" i="8"/>
  <c r="G64" i="8"/>
  <c r="H64" i="8"/>
  <c r="G65" i="8"/>
  <c r="H65" i="8" s="1"/>
  <c r="G66" i="8"/>
  <c r="H66" i="8" s="1"/>
  <c r="G67" i="8"/>
  <c r="H67" i="8" s="1"/>
  <c r="G68" i="8"/>
  <c r="H68" i="8"/>
  <c r="G69" i="8"/>
  <c r="H69" i="8"/>
  <c r="G70" i="8"/>
  <c r="H70" i="8" s="1"/>
  <c r="G71" i="8"/>
  <c r="H71" i="8" s="1"/>
  <c r="G72" i="8"/>
  <c r="H72" i="8" s="1"/>
  <c r="G73" i="8"/>
  <c r="H73" i="8" s="1"/>
  <c r="G74" i="8"/>
  <c r="H74" i="8"/>
  <c r="G75" i="8"/>
  <c r="H75" i="8"/>
  <c r="G76" i="8"/>
  <c r="H76" i="8"/>
  <c r="G77" i="8"/>
  <c r="H77" i="8" s="1"/>
  <c r="G78" i="8"/>
  <c r="H78" i="8"/>
  <c r="G79" i="8"/>
  <c r="H79" i="8"/>
  <c r="G80" i="8"/>
  <c r="H80" i="8"/>
  <c r="G81" i="8"/>
  <c r="H81" i="8" s="1"/>
  <c r="G82" i="8"/>
  <c r="H82" i="8"/>
  <c r="G83" i="8"/>
  <c r="H83" i="8"/>
  <c r="G84" i="8"/>
  <c r="H84" i="8" s="1"/>
  <c r="G85" i="8"/>
  <c r="H85" i="8" s="1"/>
  <c r="G86" i="8"/>
  <c r="H86" i="8" s="1"/>
  <c r="G87" i="8"/>
  <c r="H87" i="8"/>
  <c r="G88" i="8"/>
  <c r="H88" i="8"/>
  <c r="G89" i="8"/>
  <c r="H89" i="8" s="1"/>
  <c r="G90" i="8"/>
  <c r="H90" i="8" s="1"/>
  <c r="G91" i="8"/>
  <c r="H91" i="8"/>
  <c r="G92" i="8"/>
  <c r="H92" i="8" s="1"/>
  <c r="G93" i="8"/>
  <c r="H93" i="8"/>
  <c r="G94" i="8"/>
  <c r="H94" i="8" s="1"/>
  <c r="G95" i="8"/>
  <c r="H95" i="8"/>
  <c r="G96" i="8"/>
  <c r="H96" i="8"/>
  <c r="G97" i="8"/>
  <c r="H97" i="8" s="1"/>
  <c r="G98" i="8"/>
  <c r="H98" i="8"/>
  <c r="G99" i="8"/>
  <c r="H99" i="8"/>
  <c r="G100" i="8"/>
  <c r="H100" i="8"/>
  <c r="G101" i="8"/>
  <c r="H101" i="8" s="1"/>
  <c r="G102" i="8"/>
  <c r="H102" i="8"/>
  <c r="G103" i="8"/>
  <c r="H103" i="8"/>
  <c r="G104" i="8"/>
  <c r="H104" i="8" s="1"/>
  <c r="G105" i="8"/>
  <c r="H105" i="8" s="1"/>
  <c r="G106" i="8"/>
  <c r="H106" i="8" s="1"/>
  <c r="G107" i="8"/>
  <c r="H107" i="8"/>
  <c r="G108" i="8"/>
  <c r="H108" i="8"/>
  <c r="G109" i="8"/>
  <c r="H109" i="8" s="1"/>
  <c r="G110" i="8"/>
  <c r="H110" i="8"/>
  <c r="G111" i="8"/>
  <c r="H111" i="8" s="1"/>
  <c r="G112" i="8"/>
  <c r="H112" i="8"/>
  <c r="G113" i="8"/>
  <c r="H113" i="8"/>
  <c r="G114" i="8"/>
  <c r="H114" i="8" s="1"/>
  <c r="G115" i="8"/>
  <c r="H115" i="8" s="1"/>
  <c r="G116" i="8"/>
  <c r="H116" i="8" s="1"/>
  <c r="G117" i="8"/>
  <c r="H117" i="8"/>
  <c r="G118" i="8"/>
  <c r="H118" i="8" s="1"/>
  <c r="G119" i="8"/>
  <c r="H119" i="8" s="1"/>
  <c r="G120" i="8"/>
  <c r="H120" i="8"/>
  <c r="G121" i="8"/>
  <c r="H121" i="8" s="1"/>
  <c r="G122" i="8"/>
  <c r="H122" i="8" s="1"/>
  <c r="G123" i="8"/>
  <c r="H123" i="8" s="1"/>
  <c r="G124" i="8"/>
  <c r="H124" i="8" s="1"/>
  <c r="G125" i="8"/>
  <c r="H125" i="8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/>
  <c r="G132" i="8"/>
  <c r="H132" i="8" s="1"/>
  <c r="G133" i="8"/>
  <c r="H133" i="8" s="1"/>
  <c r="G134" i="8"/>
  <c r="H134" i="8" s="1"/>
  <c r="G135" i="8"/>
  <c r="H135" i="8"/>
  <c r="G136" i="8"/>
  <c r="H136" i="8"/>
  <c r="G137" i="8"/>
  <c r="H137" i="8" s="1"/>
  <c r="G138" i="8"/>
  <c r="H138" i="8" s="1"/>
  <c r="G139" i="8"/>
  <c r="H139" i="8" s="1"/>
  <c r="G140" i="8"/>
  <c r="H140" i="8"/>
  <c r="G141" i="8"/>
  <c r="H141" i="8"/>
  <c r="G142" i="8"/>
  <c r="H142" i="8" s="1"/>
  <c r="G143" i="8"/>
  <c r="H143" i="8"/>
  <c r="G144" i="8"/>
  <c r="H144" i="8" s="1"/>
  <c r="G145" i="8"/>
  <c r="H145" i="8"/>
  <c r="G146" i="8"/>
  <c r="H146" i="8" s="1"/>
  <c r="G147" i="8"/>
  <c r="H147" i="8" s="1"/>
  <c r="G148" i="8"/>
  <c r="H148" i="8"/>
  <c r="G149" i="8"/>
  <c r="H149" i="8" s="1"/>
  <c r="G150" i="8"/>
  <c r="H150" i="8" s="1"/>
  <c r="G151" i="8"/>
  <c r="H151" i="8"/>
  <c r="G152" i="8"/>
  <c r="H152" i="8"/>
  <c r="G153" i="8"/>
  <c r="H153" i="8"/>
  <c r="G154" i="8"/>
  <c r="H154" i="8" s="1"/>
  <c r="G155" i="8"/>
  <c r="H155" i="8" s="1"/>
  <c r="G156" i="8"/>
  <c r="H156" i="8"/>
  <c r="G157" i="8"/>
  <c r="H157" i="8"/>
  <c r="G158" i="8"/>
  <c r="H158" i="8" s="1"/>
  <c r="G159" i="8"/>
  <c r="H159" i="8"/>
  <c r="G160" i="8"/>
  <c r="H160" i="8" s="1"/>
  <c r="G161" i="8"/>
  <c r="H161" i="8" s="1"/>
  <c r="G162" i="8"/>
  <c r="H162" i="8" s="1"/>
  <c r="G163" i="8"/>
  <c r="H163" i="8"/>
  <c r="G164" i="8"/>
  <c r="H164" i="8"/>
  <c r="G165" i="8"/>
  <c r="H165" i="8" s="1"/>
  <c r="G166" i="8"/>
  <c r="H166" i="8"/>
  <c r="G167" i="8"/>
  <c r="H167" i="8" s="1"/>
  <c r="G168" i="8"/>
  <c r="H168" i="8"/>
  <c r="G169" i="8"/>
  <c r="H169" i="8" s="1"/>
  <c r="G170" i="8"/>
  <c r="H170" i="8"/>
  <c r="G171" i="8"/>
  <c r="H171" i="8" s="1"/>
  <c r="G172" i="8"/>
  <c r="H172" i="8" s="1"/>
  <c r="G173" i="8"/>
  <c r="H173" i="8" s="1"/>
  <c r="G174" i="8"/>
  <c r="H174" i="8"/>
  <c r="G175" i="8"/>
  <c r="H175" i="8" s="1"/>
  <c r="G176" i="8"/>
  <c r="H176" i="8"/>
  <c r="G177" i="8"/>
  <c r="H177" i="8" s="1"/>
  <c r="G178" i="8"/>
  <c r="H178" i="8"/>
  <c r="G179" i="8"/>
  <c r="H179" i="8" s="1"/>
  <c r="G180" i="8"/>
  <c r="H180" i="8" s="1"/>
  <c r="G181" i="8"/>
  <c r="H181" i="8" s="1"/>
  <c r="G182" i="8"/>
  <c r="H182" i="8"/>
  <c r="G183" i="8"/>
  <c r="H183" i="8" s="1"/>
  <c r="G184" i="8"/>
  <c r="H184" i="8"/>
  <c r="G185" i="8"/>
  <c r="H185" i="8"/>
  <c r="G186" i="8"/>
  <c r="H186" i="8"/>
  <c r="G187" i="8"/>
  <c r="H187" i="8" s="1"/>
  <c r="G188" i="8"/>
  <c r="H188" i="8" s="1"/>
  <c r="G189" i="8"/>
  <c r="H189" i="8" s="1"/>
  <c r="G190" i="8"/>
  <c r="H190" i="8"/>
  <c r="G191" i="8"/>
  <c r="H191" i="8"/>
  <c r="G192" i="8"/>
  <c r="H192" i="8" s="1"/>
  <c r="G193" i="8"/>
  <c r="H193" i="8"/>
  <c r="G194" i="8"/>
  <c r="H194" i="8"/>
  <c r="G195" i="8"/>
  <c r="H195" i="8"/>
  <c r="G196" i="8"/>
  <c r="H196" i="8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/>
  <c r="G203" i="8"/>
  <c r="H203" i="8" s="1"/>
  <c r="G204" i="8"/>
  <c r="H204" i="8"/>
  <c r="G205" i="8"/>
  <c r="H205" i="8" s="1"/>
  <c r="G206" i="8"/>
  <c r="H206" i="8" s="1"/>
  <c r="G207" i="8"/>
  <c r="H207" i="8"/>
  <c r="G208" i="8"/>
  <c r="H208" i="8" s="1"/>
  <c r="G209" i="8"/>
  <c r="H209" i="8" s="1"/>
  <c r="G210" i="8"/>
  <c r="H210" i="8"/>
  <c r="G211" i="8"/>
  <c r="H211" i="8" s="1"/>
  <c r="G212" i="8"/>
  <c r="H212" i="8" s="1"/>
  <c r="Q5" i="3"/>
  <c r="Q6" i="3"/>
  <c r="Q7" i="3"/>
  <c r="Q8" i="3"/>
  <c r="Q9" i="3"/>
  <c r="Q10" i="3"/>
  <c r="Q4" i="3"/>
  <c r="D117" i="5"/>
  <c r="C119" i="5" s="1"/>
  <c r="C118" i="5" s="1"/>
  <c r="D118" i="5" s="1"/>
  <c r="C120" i="5" s="1"/>
  <c r="C151" i="5" s="1"/>
  <c r="C112" i="5"/>
  <c r="L20" i="7"/>
  <c r="C9" i="7"/>
  <c r="C8" i="7"/>
  <c r="L7" i="7"/>
  <c r="C7" i="7"/>
  <c r="C6" i="7"/>
  <c r="C5" i="7"/>
  <c r="K4" i="7"/>
  <c r="C149" i="5"/>
  <c r="C147" i="5"/>
  <c r="C145" i="5"/>
  <c r="C144" i="5"/>
  <c r="C143" i="5"/>
  <c r="E138" i="5"/>
  <c r="C121" i="5"/>
  <c r="D121" i="5" s="1"/>
  <c r="C122" i="5" s="1"/>
  <c r="C152" i="5" s="1"/>
  <c r="C117" i="5"/>
  <c r="C113" i="5"/>
  <c r="C111" i="5"/>
  <c r="C110" i="5"/>
  <c r="C107" i="5"/>
  <c r="C146" i="5" s="1"/>
  <c r="C98" i="5"/>
  <c r="C97" i="5"/>
  <c r="C99" i="5" s="1"/>
  <c r="C94" i="5"/>
  <c r="E93" i="5"/>
  <c r="D93" i="5"/>
  <c r="C93" i="5"/>
  <c r="C92" i="5"/>
  <c r="C91" i="5"/>
  <c r="C86" i="5"/>
  <c r="C84" i="5"/>
  <c r="C80" i="5"/>
  <c r="C103" i="5"/>
  <c r="C79" i="5"/>
  <c r="C71" i="5"/>
  <c r="C70" i="5"/>
  <c r="C69" i="5"/>
  <c r="C68" i="5"/>
  <c r="C115" i="5" s="1"/>
  <c r="C67" i="5"/>
  <c r="C125" i="5"/>
  <c r="C66" i="5"/>
  <c r="C89" i="5" s="1"/>
  <c r="D89" i="5" s="1"/>
  <c r="C90" i="5" s="1"/>
  <c r="C65" i="5"/>
  <c r="J64" i="5"/>
  <c r="C64" i="5"/>
  <c r="J63" i="5"/>
  <c r="C63" i="5"/>
  <c r="C126" i="5" s="1"/>
  <c r="J62" i="5"/>
  <c r="C62" i="5"/>
  <c r="J61" i="5"/>
  <c r="C61" i="5"/>
  <c r="J60" i="5"/>
  <c r="C60" i="5"/>
  <c r="J59" i="5"/>
  <c r="C59" i="5"/>
  <c r="J58" i="5"/>
  <c r="C58" i="5"/>
  <c r="E92" i="5"/>
  <c r="C57" i="5"/>
  <c r="E91" i="5"/>
  <c r="C102" i="5"/>
  <c r="C153" i="5"/>
  <c r="C13" i="8" l="1"/>
  <c r="B13" i="8" s="1"/>
  <c r="C129" i="5"/>
  <c r="C138" i="5" s="1"/>
  <c r="C128" i="5"/>
  <c r="C131" i="5" s="1"/>
  <c r="C108" i="5"/>
  <c r="C104" i="5"/>
  <c r="C130" i="5"/>
  <c r="C132" i="5" s="1"/>
  <c r="C133" i="5" s="1"/>
  <c r="C134" i="5" s="1"/>
  <c r="D134" i="5" s="1"/>
  <c r="B41" i="8"/>
  <c r="C148" i="5"/>
  <c r="C5" i="8"/>
  <c r="B5" i="8" s="1"/>
  <c r="B34" i="8"/>
  <c r="B16" i="8"/>
  <c r="B32" i="8"/>
  <c r="B33" i="8"/>
  <c r="B17" i="8"/>
  <c r="B35" i="8"/>
  <c r="B46" i="8"/>
  <c r="B19" i="8"/>
  <c r="B37" i="8"/>
  <c r="B44" i="8"/>
  <c r="B39" i="8"/>
  <c r="B38" i="8" s="1"/>
  <c r="B42" i="8"/>
  <c r="B43" i="8" s="1"/>
  <c r="B21" i="8"/>
  <c r="C150" i="5"/>
  <c r="C155" i="5" l="1"/>
  <c r="C139" i="5"/>
  <c r="C136" i="5"/>
  <c r="D136" i="5" s="1"/>
  <c r="C156" i="5" s="1"/>
  <c r="C7" i="8"/>
  <c r="B7" i="8" s="1"/>
  <c r="C140" i="5"/>
  <c r="D140" i="5" s="1"/>
  <c r="C157" i="5" s="1"/>
  <c r="M18" i="8"/>
  <c r="N18" i="8" s="1"/>
  <c r="M20" i="8"/>
  <c r="O20" i="8" s="1"/>
  <c r="M19" i="8"/>
  <c r="N19" i="8" s="1"/>
  <c r="B51" i="8"/>
  <c r="M5" i="8"/>
  <c r="O5" i="8" s="1"/>
  <c r="M89" i="8"/>
  <c r="O89" i="8" s="1"/>
  <c r="M85" i="8"/>
  <c r="N85" i="8" s="1"/>
  <c r="M3" i="8"/>
  <c r="O3" i="8" s="1"/>
  <c r="M33" i="8"/>
  <c r="N33" i="8" s="1"/>
  <c r="M31" i="8"/>
  <c r="O31" i="8" s="1"/>
  <c r="B45" i="8"/>
  <c r="B52" i="8" s="1"/>
  <c r="M52" i="8"/>
  <c r="N52" i="8" s="1"/>
  <c r="M17" i="8"/>
  <c r="N17" i="8" s="1"/>
  <c r="M16" i="8"/>
  <c r="N16" i="8" s="1"/>
  <c r="M9" i="8"/>
  <c r="N9" i="8" s="1"/>
  <c r="M7" i="8"/>
  <c r="N7" i="8" s="1"/>
  <c r="M2" i="8"/>
  <c r="O2" i="8" s="1"/>
  <c r="M8" i="8"/>
  <c r="O8" i="8" s="1"/>
  <c r="M45" i="8"/>
  <c r="O45" i="8" s="1"/>
  <c r="M4" i="8"/>
  <c r="O4" i="8" s="1"/>
  <c r="M22" i="8"/>
  <c r="M30" i="8"/>
  <c r="M29" i="8"/>
  <c r="M38" i="8"/>
  <c r="M11" i="8"/>
  <c r="M32" i="8"/>
  <c r="M77" i="8"/>
  <c r="M21" i="8"/>
  <c r="M43" i="8"/>
  <c r="M68" i="8"/>
  <c r="M42" i="8"/>
  <c r="M10" i="8"/>
  <c r="M81" i="8"/>
  <c r="M39" i="8"/>
  <c r="M54" i="8"/>
  <c r="M34" i="8"/>
  <c r="M50" i="8"/>
  <c r="M28" i="8"/>
  <c r="M12" i="8"/>
  <c r="M73" i="8"/>
  <c r="M25" i="8"/>
  <c r="B49" i="8"/>
  <c r="M58" i="8"/>
  <c r="M93" i="8"/>
  <c r="M97" i="8"/>
  <c r="M101" i="8"/>
  <c r="M105" i="8"/>
  <c r="M109" i="8"/>
  <c r="M44" i="8"/>
  <c r="M60" i="8"/>
  <c r="M61" i="8"/>
  <c r="M86" i="8"/>
  <c r="M14" i="8"/>
  <c r="M41" i="8"/>
  <c r="M46" i="8"/>
  <c r="M47" i="8"/>
  <c r="M53" i="8"/>
  <c r="M62" i="8"/>
  <c r="M83" i="8"/>
  <c r="M51" i="8"/>
  <c r="M56" i="8"/>
  <c r="M57" i="8"/>
  <c r="M67" i="8"/>
  <c r="M78" i="8"/>
  <c r="M27" i="8"/>
  <c r="M23" i="8"/>
  <c r="M40" i="8"/>
  <c r="M64" i="8"/>
  <c r="M69" i="8"/>
  <c r="M15" i="8"/>
  <c r="M37" i="8"/>
  <c r="M99" i="8"/>
  <c r="M107" i="8"/>
  <c r="M91" i="8"/>
  <c r="M49" i="8"/>
  <c r="M87" i="8"/>
  <c r="M35" i="8"/>
  <c r="B48" i="8"/>
  <c r="M65" i="8"/>
  <c r="M88" i="8"/>
  <c r="M59" i="8"/>
  <c r="M110" i="8"/>
  <c r="M115" i="8"/>
  <c r="M117" i="8"/>
  <c r="M122" i="8"/>
  <c r="M127" i="8"/>
  <c r="M26" i="8"/>
  <c r="M36" i="8"/>
  <c r="M98" i="8"/>
  <c r="M55" i="8"/>
  <c r="M72" i="8"/>
  <c r="M76" i="8"/>
  <c r="M80" i="8"/>
  <c r="M113" i="8"/>
  <c r="M111" i="8"/>
  <c r="M124" i="8"/>
  <c r="M129" i="8"/>
  <c r="M134" i="8"/>
  <c r="M139" i="8"/>
  <c r="M168" i="8"/>
  <c r="M172" i="8"/>
  <c r="M176" i="8"/>
  <c r="M180" i="8"/>
  <c r="M184" i="8"/>
  <c r="M188" i="8"/>
  <c r="M192" i="8"/>
  <c r="M196" i="8"/>
  <c r="M106" i="8"/>
  <c r="M66" i="8"/>
  <c r="M75" i="8"/>
  <c r="M79" i="8"/>
  <c r="M84" i="8"/>
  <c r="M100" i="8"/>
  <c r="M121" i="8"/>
  <c r="M126" i="8"/>
  <c r="M131" i="8"/>
  <c r="M70" i="8"/>
  <c r="M82" i="8"/>
  <c r="M96" i="8"/>
  <c r="M74" i="8"/>
  <c r="M116" i="8"/>
  <c r="M132" i="8"/>
  <c r="M141" i="8"/>
  <c r="M162" i="8"/>
  <c r="M103" i="8"/>
  <c r="M136" i="8"/>
  <c r="M154" i="8"/>
  <c r="M156" i="8"/>
  <c r="M171" i="8"/>
  <c r="M179" i="8"/>
  <c r="M108" i="8"/>
  <c r="M71" i="8"/>
  <c r="M138" i="8"/>
  <c r="M90" i="8"/>
  <c r="M119" i="8"/>
  <c r="M123" i="8"/>
  <c r="M153" i="8"/>
  <c r="M166" i="8"/>
  <c r="M177" i="8"/>
  <c r="M187" i="8"/>
  <c r="M189" i="8"/>
  <c r="M191" i="8"/>
  <c r="M193" i="8"/>
  <c r="M207" i="8"/>
  <c r="M212" i="8"/>
  <c r="M95" i="8"/>
  <c r="M169" i="8"/>
  <c r="M185" i="8"/>
  <c r="M135" i="8"/>
  <c r="M112" i="8"/>
  <c r="M114" i="8"/>
  <c r="M137" i="8"/>
  <c r="M147" i="8"/>
  <c r="M155" i="8"/>
  <c r="M163" i="8"/>
  <c r="M183" i="8"/>
  <c r="M199" i="8"/>
  <c r="M204" i="8"/>
  <c r="M209" i="8"/>
  <c r="M102" i="8"/>
  <c r="M104" i="8"/>
  <c r="M118" i="8"/>
  <c r="M175" i="8"/>
  <c r="M130" i="8"/>
  <c r="M140" i="8"/>
  <c r="M142" i="8"/>
  <c r="M148" i="8"/>
  <c r="M167" i="8"/>
  <c r="M201" i="8"/>
  <c r="M206" i="8"/>
  <c r="M160" i="8"/>
  <c r="M182" i="8"/>
  <c r="M120" i="8"/>
  <c r="M145" i="8"/>
  <c r="M146" i="8"/>
  <c r="M161" i="8"/>
  <c r="M174" i="8"/>
  <c r="M150" i="8"/>
  <c r="M133" i="8"/>
  <c r="M152" i="8"/>
  <c r="M165" i="8"/>
  <c r="M197" i="8"/>
  <c r="M128" i="8"/>
  <c r="M149" i="8"/>
  <c r="M125" i="8"/>
  <c r="M94" i="8"/>
  <c r="M158" i="8"/>
  <c r="M194" i="8"/>
  <c r="M195" i="8"/>
  <c r="M144" i="8"/>
  <c r="M170" i="8"/>
  <c r="M178" i="8"/>
  <c r="M211" i="8"/>
  <c r="M151" i="8"/>
  <c r="M164" i="8"/>
  <c r="M186" i="8"/>
  <c r="M157" i="8"/>
  <c r="M208" i="8"/>
  <c r="M143" i="8"/>
  <c r="M190" i="8"/>
  <c r="M92" i="8"/>
  <c r="M159" i="8"/>
  <c r="M203" i="8"/>
  <c r="M205" i="8"/>
  <c r="M202" i="8"/>
  <c r="M173" i="8"/>
  <c r="M210" i="8"/>
  <c r="M200" i="8"/>
  <c r="M181" i="8"/>
  <c r="M198" i="8"/>
  <c r="M48" i="8"/>
  <c r="M6" i="8"/>
  <c r="M63" i="8"/>
  <c r="M13" i="8"/>
  <c r="M24" i="8"/>
  <c r="B50" i="8"/>
  <c r="C8" i="8" l="1"/>
  <c r="B8" i="8" s="1"/>
  <c r="C9" i="8"/>
  <c r="B9" i="8" s="1"/>
  <c r="S130" i="8" s="1"/>
  <c r="S189" i="8"/>
  <c r="U189" i="8" s="1"/>
  <c r="S93" i="8"/>
  <c r="V93" i="8" s="1"/>
  <c r="S191" i="8"/>
  <c r="V191" i="8" s="1"/>
  <c r="S36" i="8"/>
  <c r="U36" i="8" s="1"/>
  <c r="S187" i="8"/>
  <c r="V187" i="8" s="1"/>
  <c r="S24" i="8"/>
  <c r="T24" i="8" s="1"/>
  <c r="S45" i="8"/>
  <c r="U45" i="8" s="1"/>
  <c r="S204" i="8"/>
  <c r="T204" i="8" s="1"/>
  <c r="S120" i="8"/>
  <c r="U120" i="8" s="1"/>
  <c r="S141" i="8"/>
  <c r="T141" i="8" s="1"/>
  <c r="S180" i="8"/>
  <c r="T180" i="8" s="1"/>
  <c r="S146" i="8"/>
  <c r="V146" i="8" s="1"/>
  <c r="S54" i="8"/>
  <c r="V54" i="8" s="1"/>
  <c r="S176" i="8"/>
  <c r="V176" i="8" s="1"/>
  <c r="S136" i="8"/>
  <c r="U136" i="8" s="1"/>
  <c r="S76" i="8"/>
  <c r="T76" i="8" s="1"/>
  <c r="S48" i="8"/>
  <c r="V48" i="8" s="1"/>
  <c r="S80" i="8"/>
  <c r="U80" i="8" s="1"/>
  <c r="S192" i="8"/>
  <c r="V192" i="8" s="1"/>
  <c r="S153" i="8"/>
  <c r="T153" i="8" s="1"/>
  <c r="S74" i="8"/>
  <c r="V74" i="8" s="1"/>
  <c r="S128" i="8"/>
  <c r="T128" i="8" s="1"/>
  <c r="O18" i="8"/>
  <c r="S151" i="8"/>
  <c r="V151" i="8" s="1"/>
  <c r="S56" i="8"/>
  <c r="U56" i="8" s="1"/>
  <c r="S175" i="8"/>
  <c r="T175" i="8" s="1"/>
  <c r="S89" i="8"/>
  <c r="U89" i="8" s="1"/>
  <c r="S163" i="8"/>
  <c r="V163" i="8" s="1"/>
  <c r="S96" i="8"/>
  <c r="U96" i="8" s="1"/>
  <c r="S42" i="8"/>
  <c r="V42" i="8" s="1"/>
  <c r="S52" i="8"/>
  <c r="T52" i="8" s="1"/>
  <c r="S32" i="8"/>
  <c r="U32" i="8" s="1"/>
  <c r="S20" i="8"/>
  <c r="V20" i="8" s="1"/>
  <c r="S164" i="8"/>
  <c r="U164" i="8" s="1"/>
  <c r="S156" i="8"/>
  <c r="U156" i="8" s="1"/>
  <c r="S188" i="8"/>
  <c r="U188" i="8" s="1"/>
  <c r="S210" i="8"/>
  <c r="U210" i="8" s="1"/>
  <c r="S90" i="8"/>
  <c r="T90" i="8" s="1"/>
  <c r="S165" i="8"/>
  <c r="U165" i="8" s="1"/>
  <c r="S117" i="8"/>
  <c r="V117" i="8" s="1"/>
  <c r="S158" i="8"/>
  <c r="T158" i="8" s="1"/>
  <c r="S78" i="8"/>
  <c r="T78" i="8" s="1"/>
  <c r="S31" i="8"/>
  <c r="V31" i="8" s="1"/>
  <c r="S7" i="8"/>
  <c r="V7" i="8" s="1"/>
  <c r="S6" i="8"/>
  <c r="V6" i="8" s="1"/>
  <c r="S26" i="8"/>
  <c r="U26" i="8" s="1"/>
  <c r="S87" i="8"/>
  <c r="V87" i="8" s="1"/>
  <c r="S168" i="8"/>
  <c r="V168" i="8" s="1"/>
  <c r="S97" i="8"/>
  <c r="T97" i="8" s="1"/>
  <c r="S190" i="8"/>
  <c r="U190" i="8" s="1"/>
  <c r="S59" i="8"/>
  <c r="U59" i="8" s="1"/>
  <c r="S46" i="8"/>
  <c r="V46" i="8" s="1"/>
  <c r="S113" i="8"/>
  <c r="U113" i="8" s="1"/>
  <c r="S171" i="8"/>
  <c r="T171" i="8" s="1"/>
  <c r="S30" i="8"/>
  <c r="T30" i="8" s="1"/>
  <c r="S147" i="8"/>
  <c r="T147" i="8" s="1"/>
  <c r="S25" i="8"/>
  <c r="U25" i="8" s="1"/>
  <c r="S193" i="8"/>
  <c r="T193" i="8" s="1"/>
  <c r="S11" i="8"/>
  <c r="V11" i="8" s="1"/>
  <c r="S69" i="8"/>
  <c r="U69" i="8" s="1"/>
  <c r="S14" i="8"/>
  <c r="V14" i="8" s="1"/>
  <c r="S41" i="8"/>
  <c r="U41" i="8" s="1"/>
  <c r="S121" i="8"/>
  <c r="U121" i="8" s="1"/>
  <c r="S100" i="8"/>
  <c r="V100" i="8" s="1"/>
  <c r="S50" i="8"/>
  <c r="T50" i="8" s="1"/>
  <c r="S10" i="8"/>
  <c r="U10" i="8" s="1"/>
  <c r="S119" i="8"/>
  <c r="V119" i="8" s="1"/>
  <c r="S118" i="8"/>
  <c r="V118" i="8" s="1"/>
  <c r="S86" i="8"/>
  <c r="T86" i="8" s="1"/>
  <c r="S75" i="8"/>
  <c r="T75" i="8" s="1"/>
  <c r="S19" i="8"/>
  <c r="V19" i="8" s="1"/>
  <c r="X19" i="8" s="1"/>
  <c r="S132" i="8"/>
  <c r="T132" i="8" s="1"/>
  <c r="S13" i="8"/>
  <c r="V13" i="8" s="1"/>
  <c r="S133" i="8"/>
  <c r="U133" i="8" s="1"/>
  <c r="S181" i="8"/>
  <c r="T181" i="8" s="1"/>
  <c r="S194" i="8"/>
  <c r="U194" i="8" s="1"/>
  <c r="S66" i="8"/>
  <c r="U66" i="8" s="1"/>
  <c r="S83" i="8"/>
  <c r="U83" i="8" s="1"/>
  <c r="S114" i="8"/>
  <c r="V114" i="8" s="1"/>
  <c r="S160" i="8"/>
  <c r="U160" i="8" s="1"/>
  <c r="S58" i="8"/>
  <c r="V58" i="8" s="1"/>
  <c r="S79" i="8"/>
  <c r="V79" i="8" s="1"/>
  <c r="S134" i="8"/>
  <c r="T134" i="8" s="1"/>
  <c r="S115" i="8"/>
  <c r="T115" i="8" s="1"/>
  <c r="S122" i="8"/>
  <c r="V122" i="8" s="1"/>
  <c r="S144" i="8"/>
  <c r="V144" i="8" s="1"/>
  <c r="S182" i="8"/>
  <c r="T182" i="8" s="1"/>
  <c r="S70" i="8"/>
  <c r="T70" i="8" s="1"/>
  <c r="S29" i="8"/>
  <c r="T29" i="8" s="1"/>
  <c r="S209" i="8"/>
  <c r="V209" i="8" s="1"/>
  <c r="S195" i="8"/>
  <c r="T195" i="8" s="1"/>
  <c r="S71" i="8"/>
  <c r="T71" i="8" s="1"/>
  <c r="S82" i="8"/>
  <c r="U82" i="8" s="1"/>
  <c r="S23" i="8"/>
  <c r="T23" i="8" s="1"/>
  <c r="S196" i="8"/>
  <c r="U196" i="8" s="1"/>
  <c r="S169" i="8"/>
  <c r="T169" i="8" s="1"/>
  <c r="S203" i="8"/>
  <c r="V203" i="8" s="1"/>
  <c r="S157" i="8"/>
  <c r="U157" i="8" s="1"/>
  <c r="S99" i="8"/>
  <c r="V99" i="8" s="1"/>
  <c r="S5" i="8"/>
  <c r="V5" i="8" s="1"/>
  <c r="S211" i="8"/>
  <c r="U211" i="8" s="1"/>
  <c r="S155" i="8"/>
  <c r="T155" i="8" s="1"/>
  <c r="S137" i="8"/>
  <c r="U137" i="8" s="1"/>
  <c r="S162" i="8"/>
  <c r="U162" i="8" s="1"/>
  <c r="S179" i="8"/>
  <c r="T179" i="8" s="1"/>
  <c r="S198" i="8"/>
  <c r="T198" i="8" s="1"/>
  <c r="S105" i="8"/>
  <c r="U105" i="8" s="1"/>
  <c r="S61" i="8"/>
  <c r="V61" i="8" s="1"/>
  <c r="S110" i="8"/>
  <c r="V110" i="8" s="1"/>
  <c r="S67" i="8"/>
  <c r="U67" i="8" s="1"/>
  <c r="S21" i="8"/>
  <c r="V21" i="8" s="1"/>
  <c r="S95" i="8"/>
  <c r="V95" i="8" s="1"/>
  <c r="S62" i="8"/>
  <c r="V62" i="8" s="1"/>
  <c r="S34" i="8"/>
  <c r="T34" i="8" s="1"/>
  <c r="S39" i="8"/>
  <c r="U39" i="8" s="1"/>
  <c r="S3" i="8"/>
  <c r="T3" i="8" s="1"/>
  <c r="S172" i="8"/>
  <c r="T172" i="8" s="1"/>
  <c r="S149" i="8"/>
  <c r="V149" i="8" s="1"/>
  <c r="S15" i="8"/>
  <c r="V15" i="8" s="1"/>
  <c r="S152" i="8"/>
  <c r="T152" i="8" s="1"/>
  <c r="S88" i="8"/>
  <c r="T88" i="8" s="1"/>
  <c r="S60" i="8"/>
  <c r="U60" i="8" s="1"/>
  <c r="S43" i="8"/>
  <c r="V43" i="8" s="1"/>
  <c r="S201" i="8"/>
  <c r="U201" i="8" s="1"/>
  <c r="S112" i="8"/>
  <c r="T112" i="8" s="1"/>
  <c r="S94" i="8"/>
  <c r="U94" i="8" s="1"/>
  <c r="S77" i="8"/>
  <c r="V77" i="8" s="1"/>
  <c r="S17" i="8"/>
  <c r="V17" i="8" s="1"/>
  <c r="X17" i="8" s="1"/>
  <c r="S107" i="8"/>
  <c r="T107" i="8" s="1"/>
  <c r="S33" i="8"/>
  <c r="U33" i="8" s="1"/>
  <c r="S135" i="8"/>
  <c r="T135" i="8" s="1"/>
  <c r="S208" i="8"/>
  <c r="T208" i="8" s="1"/>
  <c r="S159" i="8"/>
  <c r="U159" i="8" s="1"/>
  <c r="S102" i="8"/>
  <c r="V102" i="8" s="1"/>
  <c r="S103" i="8"/>
  <c r="V103" i="8" s="1"/>
  <c r="S44" i="8"/>
  <c r="U44" i="8" s="1"/>
  <c r="S126" i="8"/>
  <c r="V126" i="8" s="1"/>
  <c r="S200" i="8"/>
  <c r="T200" i="8" s="1"/>
  <c r="S111" i="8"/>
  <c r="V111" i="8" s="1"/>
  <c r="S174" i="8"/>
  <c r="T174" i="8" s="1"/>
  <c r="S84" i="8"/>
  <c r="U84" i="8" s="1"/>
  <c r="S16" i="8"/>
  <c r="T16" i="8" s="1"/>
  <c r="S154" i="8"/>
  <c r="V154" i="8" s="1"/>
  <c r="S142" i="8"/>
  <c r="U142" i="8" s="1"/>
  <c r="S199" i="8"/>
  <c r="V199" i="8" s="1"/>
  <c r="S129" i="8"/>
  <c r="V129" i="8" s="1"/>
  <c r="S116" i="8"/>
  <c r="T116" i="8" s="1"/>
  <c r="S127" i="8"/>
  <c r="T127" i="8" s="1"/>
  <c r="S184" i="8"/>
  <c r="V184" i="8" s="1"/>
  <c r="S183" i="8"/>
  <c r="V183" i="8" s="1"/>
  <c r="S101" i="8"/>
  <c r="T101" i="8" s="1"/>
  <c r="S166" i="8"/>
  <c r="T166" i="8" s="1"/>
  <c r="S53" i="8"/>
  <c r="T53" i="8" s="1"/>
  <c r="S72" i="8"/>
  <c r="T72" i="8" s="1"/>
  <c r="S91" i="8"/>
  <c r="U91" i="8" s="1"/>
  <c r="S47" i="8"/>
  <c r="V47" i="8" s="1"/>
  <c r="S28" i="8"/>
  <c r="V28" i="8" s="1"/>
  <c r="S22" i="8"/>
  <c r="T22" i="8" s="1"/>
  <c r="O19" i="8"/>
  <c r="N5" i="8"/>
  <c r="N20" i="8"/>
  <c r="O85" i="8"/>
  <c r="N89" i="8"/>
  <c r="O16" i="8"/>
  <c r="N4" i="8"/>
  <c r="N3" i="8"/>
  <c r="N2" i="8"/>
  <c r="O7" i="8"/>
  <c r="O33" i="8"/>
  <c r="N8" i="8"/>
  <c r="N45" i="8"/>
  <c r="O9" i="8"/>
  <c r="O17" i="8"/>
  <c r="N31" i="8"/>
  <c r="O52" i="8"/>
  <c r="N202" i="8"/>
  <c r="O202" i="8"/>
  <c r="O66" i="8"/>
  <c r="N66" i="8"/>
  <c r="N207" i="8"/>
  <c r="O207" i="8"/>
  <c r="O51" i="8"/>
  <c r="N51" i="8"/>
  <c r="N165" i="8"/>
  <c r="O165" i="8"/>
  <c r="O122" i="8"/>
  <c r="N122" i="8"/>
  <c r="O71" i="8"/>
  <c r="N71" i="8"/>
  <c r="N109" i="8"/>
  <c r="O109" i="8"/>
  <c r="N170" i="8"/>
  <c r="O170" i="8"/>
  <c r="O96" i="8"/>
  <c r="N96" i="8"/>
  <c r="N105" i="8"/>
  <c r="O105" i="8"/>
  <c r="N138" i="8"/>
  <c r="O138" i="8"/>
  <c r="O10" i="8"/>
  <c r="N10" i="8"/>
  <c r="N178" i="8"/>
  <c r="O178" i="8"/>
  <c r="O106" i="8"/>
  <c r="N106" i="8"/>
  <c r="N133" i="8"/>
  <c r="O133" i="8"/>
  <c r="N111" i="8"/>
  <c r="O111" i="8"/>
  <c r="N144" i="8"/>
  <c r="O144" i="8"/>
  <c r="N155" i="8"/>
  <c r="O155" i="8"/>
  <c r="N192" i="8"/>
  <c r="O192" i="8"/>
  <c r="N62" i="8"/>
  <c r="O62" i="8"/>
  <c r="N116" i="8"/>
  <c r="O116" i="8"/>
  <c r="T189" i="8"/>
  <c r="N167" i="8"/>
  <c r="O167" i="8"/>
  <c r="O117" i="8"/>
  <c r="N117" i="8"/>
  <c r="N148" i="8"/>
  <c r="O148" i="8"/>
  <c r="N196" i="8"/>
  <c r="O196" i="8"/>
  <c r="N50" i="8"/>
  <c r="O50" i="8"/>
  <c r="N101" i="8"/>
  <c r="O101" i="8"/>
  <c r="N201" i="8"/>
  <c r="O201" i="8"/>
  <c r="O107" i="8"/>
  <c r="N107" i="8"/>
  <c r="N152" i="8"/>
  <c r="O152" i="8"/>
  <c r="N99" i="8"/>
  <c r="O99" i="8"/>
  <c r="N24" i="8"/>
  <c r="O24" i="8"/>
  <c r="N193" i="8"/>
  <c r="O193" i="8"/>
  <c r="N37" i="8"/>
  <c r="O37" i="8"/>
  <c r="N13" i="8"/>
  <c r="O13" i="8"/>
  <c r="O142" i="8"/>
  <c r="N142" i="8"/>
  <c r="O179" i="8"/>
  <c r="N179" i="8"/>
  <c r="N110" i="8"/>
  <c r="O110" i="8"/>
  <c r="N199" i="8"/>
  <c r="O199" i="8"/>
  <c r="O44" i="8"/>
  <c r="N44" i="8"/>
  <c r="N205" i="8"/>
  <c r="O205" i="8"/>
  <c r="O74" i="8"/>
  <c r="N74" i="8"/>
  <c r="N28" i="8"/>
  <c r="O28" i="8"/>
  <c r="N163" i="8"/>
  <c r="O163" i="8"/>
  <c r="O115" i="8"/>
  <c r="N115" i="8"/>
  <c r="O159" i="8"/>
  <c r="N159" i="8"/>
  <c r="N191" i="8"/>
  <c r="O191" i="8"/>
  <c r="N113" i="8"/>
  <c r="O113" i="8"/>
  <c r="N15" i="8"/>
  <c r="O15" i="8"/>
  <c r="N211" i="8"/>
  <c r="O211" i="8"/>
  <c r="N129" i="8"/>
  <c r="O129" i="8"/>
  <c r="N183" i="8"/>
  <c r="O183" i="8"/>
  <c r="N124" i="8"/>
  <c r="O124" i="8"/>
  <c r="N203" i="8"/>
  <c r="O203" i="8"/>
  <c r="O108" i="8"/>
  <c r="N108" i="8"/>
  <c r="O83" i="8"/>
  <c r="N83" i="8"/>
  <c r="O150" i="8"/>
  <c r="N150" i="8"/>
  <c r="O82" i="8"/>
  <c r="N82" i="8"/>
  <c r="N212" i="8"/>
  <c r="O212" i="8"/>
  <c r="N56" i="8"/>
  <c r="O56" i="8"/>
  <c r="O143" i="8"/>
  <c r="N143" i="8"/>
  <c r="N175" i="8"/>
  <c r="O175" i="8"/>
  <c r="N126" i="8"/>
  <c r="O126" i="8"/>
  <c r="N46" i="8"/>
  <c r="O46" i="8"/>
  <c r="O145" i="8"/>
  <c r="N145" i="8"/>
  <c r="N120" i="8"/>
  <c r="O120" i="8"/>
  <c r="N103" i="8"/>
  <c r="O103" i="8"/>
  <c r="N35" i="8"/>
  <c r="O35" i="8"/>
  <c r="N77" i="8"/>
  <c r="O77" i="8"/>
  <c r="N128" i="8"/>
  <c r="O128" i="8"/>
  <c r="N209" i="8"/>
  <c r="O209" i="8"/>
  <c r="N119" i="8"/>
  <c r="O119" i="8"/>
  <c r="N79" i="8"/>
  <c r="O79" i="8"/>
  <c r="N26" i="8"/>
  <c r="O26" i="8"/>
  <c r="N67" i="8"/>
  <c r="O67" i="8"/>
  <c r="O61" i="8"/>
  <c r="N61" i="8"/>
  <c r="O12" i="8"/>
  <c r="N12" i="8"/>
  <c r="N39" i="8"/>
  <c r="O39" i="8"/>
  <c r="N11" i="8"/>
  <c r="O11" i="8"/>
  <c r="N48" i="8"/>
  <c r="O48" i="8"/>
  <c r="N114" i="8"/>
  <c r="O114" i="8"/>
  <c r="N180" i="8"/>
  <c r="O180" i="8"/>
  <c r="O58" i="8"/>
  <c r="N58" i="8"/>
  <c r="O94" i="8"/>
  <c r="N94" i="8"/>
  <c r="N157" i="8"/>
  <c r="O157" i="8"/>
  <c r="O135" i="8"/>
  <c r="N135" i="8"/>
  <c r="N172" i="8"/>
  <c r="O172" i="8"/>
  <c r="O14" i="8"/>
  <c r="N14" i="8"/>
  <c r="N210" i="8"/>
  <c r="O210" i="8"/>
  <c r="N164" i="8"/>
  <c r="O164" i="8"/>
  <c r="N160" i="8"/>
  <c r="O160" i="8"/>
  <c r="N169" i="8"/>
  <c r="O169" i="8"/>
  <c r="O141" i="8"/>
  <c r="N141" i="8"/>
  <c r="N139" i="8"/>
  <c r="O139" i="8"/>
  <c r="N49" i="8"/>
  <c r="O49" i="8"/>
  <c r="N173" i="8"/>
  <c r="O173" i="8"/>
  <c r="O151" i="8"/>
  <c r="N151" i="8"/>
  <c r="N197" i="8"/>
  <c r="O197" i="8"/>
  <c r="N206" i="8"/>
  <c r="O206" i="8"/>
  <c r="N204" i="8"/>
  <c r="O204" i="8"/>
  <c r="O95" i="8"/>
  <c r="N95" i="8"/>
  <c r="V90" i="8"/>
  <c r="O90" i="8"/>
  <c r="N90" i="8"/>
  <c r="N132" i="8"/>
  <c r="O132" i="8"/>
  <c r="N75" i="8"/>
  <c r="O75" i="8"/>
  <c r="N134" i="8"/>
  <c r="O134" i="8"/>
  <c r="N127" i="8"/>
  <c r="O127" i="8"/>
  <c r="O91" i="8"/>
  <c r="N91" i="8"/>
  <c r="O57" i="8"/>
  <c r="N57" i="8"/>
  <c r="N60" i="8"/>
  <c r="O60" i="8"/>
  <c r="N81" i="8"/>
  <c r="O81" i="8"/>
  <c r="O42" i="8"/>
  <c r="N42" i="8"/>
  <c r="N29" i="8"/>
  <c r="O29" i="8"/>
  <c r="U204" i="8"/>
  <c r="T42" i="8"/>
  <c r="O38" i="8"/>
  <c r="N38" i="8"/>
  <c r="N63" i="8"/>
  <c r="O63" i="8"/>
  <c r="N92" i="8"/>
  <c r="O92" i="8"/>
  <c r="N195" i="8"/>
  <c r="O195" i="8"/>
  <c r="N174" i="8"/>
  <c r="O174" i="8"/>
  <c r="N140" i="8"/>
  <c r="O140" i="8"/>
  <c r="O147" i="8"/>
  <c r="N147" i="8"/>
  <c r="N189" i="8"/>
  <c r="O189" i="8"/>
  <c r="V189" i="8"/>
  <c r="N171" i="8"/>
  <c r="O171" i="8"/>
  <c r="N70" i="8"/>
  <c r="O70" i="8"/>
  <c r="N188" i="8"/>
  <c r="O188" i="8"/>
  <c r="N80" i="8"/>
  <c r="O80" i="8"/>
  <c r="N59" i="8"/>
  <c r="O59" i="8"/>
  <c r="O69" i="8"/>
  <c r="N69" i="8"/>
  <c r="O53" i="8"/>
  <c r="N53" i="8"/>
  <c r="O97" i="8"/>
  <c r="N97" i="8"/>
  <c r="N6" i="8"/>
  <c r="O6" i="8"/>
  <c r="N190" i="8"/>
  <c r="O190" i="8"/>
  <c r="O194" i="8"/>
  <c r="N194" i="8"/>
  <c r="N161" i="8"/>
  <c r="O161" i="8"/>
  <c r="O130" i="8"/>
  <c r="N130" i="8"/>
  <c r="O137" i="8"/>
  <c r="N137" i="8"/>
  <c r="N187" i="8"/>
  <c r="O187" i="8"/>
  <c r="N156" i="8"/>
  <c r="O156" i="8"/>
  <c r="O131" i="8"/>
  <c r="N131" i="8"/>
  <c r="O184" i="8"/>
  <c r="N184" i="8"/>
  <c r="N76" i="8"/>
  <c r="O76" i="8"/>
  <c r="O88" i="8"/>
  <c r="N88" i="8"/>
  <c r="N64" i="8"/>
  <c r="O64" i="8"/>
  <c r="N47" i="8"/>
  <c r="O47" i="8"/>
  <c r="O93" i="8"/>
  <c r="N93" i="8"/>
  <c r="N68" i="8"/>
  <c r="O68" i="8"/>
  <c r="N30" i="8"/>
  <c r="O30" i="8"/>
  <c r="T41" i="8"/>
  <c r="N22" i="8"/>
  <c r="O22" i="8"/>
  <c r="N208" i="8"/>
  <c r="O208" i="8"/>
  <c r="N112" i="8"/>
  <c r="O112" i="8"/>
  <c r="N166" i="8"/>
  <c r="O166" i="8"/>
  <c r="N136" i="8"/>
  <c r="O136" i="8"/>
  <c r="N121" i="8"/>
  <c r="O121" i="8"/>
  <c r="O176" i="8"/>
  <c r="N176" i="8"/>
  <c r="N55" i="8"/>
  <c r="O55" i="8"/>
  <c r="N23" i="8"/>
  <c r="O23" i="8"/>
  <c r="V41" i="8"/>
  <c r="O41" i="8"/>
  <c r="N41" i="8"/>
  <c r="P4" i="8"/>
  <c r="P22" i="8"/>
  <c r="P37" i="8"/>
  <c r="P2" i="8"/>
  <c r="P26" i="8"/>
  <c r="P7" i="8"/>
  <c r="P28" i="8"/>
  <c r="P39" i="8"/>
  <c r="P43" i="8"/>
  <c r="P55" i="8"/>
  <c r="P67" i="8"/>
  <c r="P47" i="8"/>
  <c r="P52" i="8"/>
  <c r="P85" i="8"/>
  <c r="P21" i="8"/>
  <c r="P54" i="8"/>
  <c r="P103" i="8"/>
  <c r="P53" i="8"/>
  <c r="P80" i="8"/>
  <c r="P99" i="8"/>
  <c r="P108" i="8"/>
  <c r="P112" i="8"/>
  <c r="P114" i="8"/>
  <c r="P68" i="8"/>
  <c r="P83" i="8"/>
  <c r="P79" i="8"/>
  <c r="P89" i="8"/>
  <c r="P100" i="8"/>
  <c r="P111" i="8"/>
  <c r="P138" i="8"/>
  <c r="P130" i="8"/>
  <c r="P140" i="8"/>
  <c r="P146" i="8"/>
  <c r="P93" i="8"/>
  <c r="P95" i="8"/>
  <c r="P116" i="8"/>
  <c r="P75" i="8"/>
  <c r="P126" i="8"/>
  <c r="P156" i="8"/>
  <c r="P141" i="8"/>
  <c r="P64" i="8"/>
  <c r="P34" i="8"/>
  <c r="P101" i="8"/>
  <c r="P148" i="8"/>
  <c r="P178" i="8"/>
  <c r="P142" i="8"/>
  <c r="P150" i="8"/>
  <c r="P176" i="8"/>
  <c r="P184" i="8"/>
  <c r="P175" i="8"/>
  <c r="P170" i="8"/>
  <c r="P107" i="8"/>
  <c r="P158" i="8"/>
  <c r="P134" i="8"/>
  <c r="P164" i="8"/>
  <c r="P192" i="8"/>
  <c r="P125" i="8"/>
  <c r="P209" i="8"/>
  <c r="P167" i="8"/>
  <c r="P194" i="8"/>
  <c r="P129" i="8"/>
  <c r="P143" i="8"/>
  <c r="P157" i="8"/>
  <c r="P163" i="8"/>
  <c r="P186" i="8"/>
  <c r="P204" i="8"/>
  <c r="P206" i="8"/>
  <c r="P190" i="8"/>
  <c r="P201" i="8"/>
  <c r="P203" i="8"/>
  <c r="P211" i="8"/>
  <c r="P208" i="8"/>
  <c r="P152" i="8"/>
  <c r="P169" i="8"/>
  <c r="P207" i="8"/>
  <c r="P153" i="8"/>
  <c r="P159" i="8"/>
  <c r="P121" i="8"/>
  <c r="P81" i="8"/>
  <c r="P84" i="8"/>
  <c r="P49" i="8"/>
  <c r="P44" i="8"/>
  <c r="P57" i="8"/>
  <c r="P18" i="8"/>
  <c r="P30" i="8"/>
  <c r="P11" i="8"/>
  <c r="P16" i="8"/>
  <c r="P40" i="8"/>
  <c r="P199" i="8"/>
  <c r="P86" i="8"/>
  <c r="P200" i="8"/>
  <c r="P181" i="8"/>
  <c r="P8" i="8"/>
  <c r="P91" i="8"/>
  <c r="P36" i="8"/>
  <c r="P132" i="8"/>
  <c r="P193" i="8"/>
  <c r="P205" i="8"/>
  <c r="P151" i="8"/>
  <c r="P185" i="8"/>
  <c r="P72" i="8"/>
  <c r="P66" i="8"/>
  <c r="P82" i="8"/>
  <c r="P45" i="8"/>
  <c r="P56" i="8"/>
  <c r="P5" i="8"/>
  <c r="P139" i="8"/>
  <c r="P29" i="8"/>
  <c r="P202" i="8"/>
  <c r="P109" i="8"/>
  <c r="P23" i="8"/>
  <c r="P161" i="8"/>
  <c r="P60" i="8"/>
  <c r="P179" i="8"/>
  <c r="P177" i="8"/>
  <c r="P115" i="8"/>
  <c r="P135" i="8"/>
  <c r="P42" i="8"/>
  <c r="P6" i="8"/>
  <c r="P137" i="8"/>
  <c r="P174" i="8"/>
  <c r="P110" i="8"/>
  <c r="P17" i="8"/>
  <c r="P124" i="8"/>
  <c r="P183" i="8"/>
  <c r="P191" i="8"/>
  <c r="P182" i="8"/>
  <c r="P155" i="8"/>
  <c r="P165" i="8"/>
  <c r="P96" i="8"/>
  <c r="P32" i="8"/>
  <c r="P102" i="8"/>
  <c r="P14" i="8"/>
  <c r="P10" i="8"/>
  <c r="P87" i="8"/>
  <c r="P120" i="8"/>
  <c r="P212" i="8"/>
  <c r="P154" i="8"/>
  <c r="P149" i="8"/>
  <c r="P128" i="8"/>
  <c r="P113" i="8"/>
  <c r="P88" i="8"/>
  <c r="P196" i="8"/>
  <c r="P19" i="8"/>
  <c r="P92" i="8"/>
  <c r="P61" i="8"/>
  <c r="P74" i="8"/>
  <c r="P25" i="8"/>
  <c r="P123" i="8"/>
  <c r="P136" i="8"/>
  <c r="P41" i="8"/>
  <c r="P180" i="8"/>
  <c r="P46" i="8"/>
  <c r="P20" i="8"/>
  <c r="P160" i="8"/>
  <c r="P198" i="8"/>
  <c r="P195" i="8"/>
  <c r="P147" i="8"/>
  <c r="P127" i="8"/>
  <c r="P97" i="8"/>
  <c r="P173" i="8"/>
  <c r="P122" i="8"/>
  <c r="P65" i="8"/>
  <c r="P71" i="8"/>
  <c r="P59" i="8"/>
  <c r="P31" i="8"/>
  <c r="P13" i="8"/>
  <c r="P117" i="8"/>
  <c r="P77" i="8"/>
  <c r="P70" i="8"/>
  <c r="P63" i="8"/>
  <c r="P9" i="8"/>
  <c r="P144" i="8"/>
  <c r="P197" i="8"/>
  <c r="P131" i="8"/>
  <c r="P48" i="8"/>
  <c r="P62" i="8"/>
  <c r="P188" i="8"/>
  <c r="P106" i="8"/>
  <c r="P76" i="8"/>
  <c r="P166" i="8"/>
  <c r="P38" i="8"/>
  <c r="P35" i="8"/>
  <c r="P12" i="8"/>
  <c r="P94" i="8"/>
  <c r="P50" i="8"/>
  <c r="P145" i="8"/>
  <c r="P27" i="8"/>
  <c r="P171" i="8"/>
  <c r="P168" i="8"/>
  <c r="P210" i="8"/>
  <c r="P162" i="8"/>
  <c r="P73" i="8"/>
  <c r="P104" i="8"/>
  <c r="P119" i="8"/>
  <c r="P78" i="8"/>
  <c r="P69" i="8"/>
  <c r="P3" i="8"/>
  <c r="P24" i="8"/>
  <c r="P187" i="8"/>
  <c r="P189" i="8"/>
  <c r="P172" i="8"/>
  <c r="P51" i="8"/>
  <c r="P133" i="8"/>
  <c r="P98" i="8"/>
  <c r="P105" i="8"/>
  <c r="P58" i="8"/>
  <c r="P33" i="8"/>
  <c r="P90" i="8"/>
  <c r="P15" i="8"/>
  <c r="P118" i="8"/>
  <c r="N21" i="8"/>
  <c r="O21" i="8"/>
  <c r="U93" i="8"/>
  <c r="N146" i="8"/>
  <c r="O146" i="8"/>
  <c r="N154" i="8"/>
  <c r="O154" i="8"/>
  <c r="N40" i="8"/>
  <c r="O40" i="8"/>
  <c r="N181" i="8"/>
  <c r="O181" i="8"/>
  <c r="O104" i="8"/>
  <c r="N104" i="8"/>
  <c r="O100" i="8"/>
  <c r="N100" i="8"/>
  <c r="N25" i="8"/>
  <c r="O25" i="8"/>
  <c r="N34" i="8"/>
  <c r="O34" i="8"/>
  <c r="N158" i="8"/>
  <c r="O158" i="8"/>
  <c r="N177" i="8"/>
  <c r="O177" i="8"/>
  <c r="O72" i="8"/>
  <c r="N72" i="8"/>
  <c r="O65" i="8"/>
  <c r="N65" i="8"/>
  <c r="N43" i="8"/>
  <c r="O43" i="8"/>
  <c r="O198" i="8"/>
  <c r="N198" i="8"/>
  <c r="N118" i="8"/>
  <c r="O118" i="8"/>
  <c r="O125" i="8"/>
  <c r="N125" i="8"/>
  <c r="O153" i="8"/>
  <c r="N153" i="8"/>
  <c r="O98" i="8"/>
  <c r="N98" i="8"/>
  <c r="N27" i="8"/>
  <c r="O27" i="8"/>
  <c r="N200" i="8"/>
  <c r="O200" i="8"/>
  <c r="N186" i="8"/>
  <c r="O186" i="8"/>
  <c r="O149" i="8"/>
  <c r="N149" i="8"/>
  <c r="N182" i="8"/>
  <c r="O182" i="8"/>
  <c r="O102" i="8"/>
  <c r="N102" i="8"/>
  <c r="N185" i="8"/>
  <c r="O185" i="8"/>
  <c r="O123" i="8"/>
  <c r="N123" i="8"/>
  <c r="N162" i="8"/>
  <c r="O162" i="8"/>
  <c r="N84" i="8"/>
  <c r="O84" i="8"/>
  <c r="O168" i="8"/>
  <c r="N168" i="8"/>
  <c r="N36" i="8"/>
  <c r="O36" i="8"/>
  <c r="O87" i="8"/>
  <c r="N87" i="8"/>
  <c r="O78" i="8"/>
  <c r="N78" i="8"/>
  <c r="O86" i="8"/>
  <c r="N86" i="8"/>
  <c r="O73" i="8"/>
  <c r="N73" i="8"/>
  <c r="N54" i="8"/>
  <c r="O54" i="8"/>
  <c r="O32" i="8"/>
  <c r="N32" i="8"/>
  <c r="U147" i="8" l="1"/>
  <c r="V60" i="8"/>
  <c r="V45" i="8"/>
  <c r="V165" i="8"/>
  <c r="V174" i="8"/>
  <c r="T45" i="8"/>
  <c r="V70" i="8"/>
  <c r="U42" i="8"/>
  <c r="S73" i="8"/>
  <c r="T73" i="8" s="1"/>
  <c r="S178" i="8"/>
  <c r="U178" i="8" s="1"/>
  <c r="S35" i="8"/>
  <c r="U35" i="8" s="1"/>
  <c r="S2" i="8"/>
  <c r="T2" i="8" s="1"/>
  <c r="S98" i="8"/>
  <c r="T98" i="8" s="1"/>
  <c r="S57" i="8"/>
  <c r="U57" i="8" s="1"/>
  <c r="S131" i="8"/>
  <c r="T131" i="8" s="1"/>
  <c r="S18" i="8"/>
  <c r="V18" i="8" s="1"/>
  <c r="W18" i="8" s="1"/>
  <c r="S202" i="8"/>
  <c r="V202" i="8" s="1"/>
  <c r="S8" i="8"/>
  <c r="U8" i="8" s="1"/>
  <c r="S109" i="8"/>
  <c r="T109" i="8" s="1"/>
  <c r="S123" i="8"/>
  <c r="S106" i="8"/>
  <c r="Y106" i="8" s="1"/>
  <c r="U87" i="8"/>
  <c r="S138" i="8"/>
  <c r="V138" i="8" s="1"/>
  <c r="W138" i="8" s="1"/>
  <c r="S145" i="8"/>
  <c r="V145" i="8" s="1"/>
  <c r="W145" i="8" s="1"/>
  <c r="S38" i="8"/>
  <c r="U38" i="8" s="1"/>
  <c r="S140" i="8"/>
  <c r="V140" i="8" s="1"/>
  <c r="X140" i="8" s="1"/>
  <c r="S186" i="8"/>
  <c r="V186" i="8" s="1"/>
  <c r="S139" i="8"/>
  <c r="T139" i="8" s="1"/>
  <c r="S55" i="8"/>
  <c r="V55" i="8" s="1"/>
  <c r="S37" i="8"/>
  <c r="V37" i="8" s="1"/>
  <c r="S9" i="8"/>
  <c r="U9" i="8" s="1"/>
  <c r="S40" i="8"/>
  <c r="T40" i="8" s="1"/>
  <c r="S108" i="8"/>
  <c r="Y108" i="8" s="1"/>
  <c r="S177" i="8"/>
  <c r="Y177" i="8" s="1"/>
  <c r="V121" i="8"/>
  <c r="X121" i="8" s="1"/>
  <c r="S143" i="8"/>
  <c r="V143" i="8" s="1"/>
  <c r="W143" i="8" s="1"/>
  <c r="S124" i="8"/>
  <c r="T124" i="8" s="1"/>
  <c r="S65" i="8"/>
  <c r="T65" i="8" s="1"/>
  <c r="S49" i="8"/>
  <c r="V49" i="8" s="1"/>
  <c r="S27" i="8"/>
  <c r="S150" i="8"/>
  <c r="T150" i="8" s="1"/>
  <c r="S197" i="8"/>
  <c r="U197" i="8" s="1"/>
  <c r="S207" i="8"/>
  <c r="T207" i="8" s="1"/>
  <c r="S205" i="8"/>
  <c r="Y205" i="8" s="1"/>
  <c r="T191" i="8"/>
  <c r="V195" i="8"/>
  <c r="W195" i="8" s="1"/>
  <c r="T93" i="8"/>
  <c r="S104" i="8"/>
  <c r="U104" i="8" s="1"/>
  <c r="S64" i="8"/>
  <c r="T64" i="8" s="1"/>
  <c r="S212" i="8"/>
  <c r="V212" i="8" s="1"/>
  <c r="W212" i="8" s="1"/>
  <c r="S68" i="8"/>
  <c r="S170" i="8"/>
  <c r="U170" i="8" s="1"/>
  <c r="S63" i="8"/>
  <c r="U63" i="8" s="1"/>
  <c r="S51" i="8"/>
  <c r="V51" i="8" s="1"/>
  <c r="S81" i="8"/>
  <c r="V81" i="8" s="1"/>
  <c r="X81" i="8" s="1"/>
  <c r="S206" i="8"/>
  <c r="S161" i="8"/>
  <c r="Y161" i="8" s="1"/>
  <c r="S148" i="8"/>
  <c r="Y148" i="8" s="1"/>
  <c r="S185" i="8"/>
  <c r="Y185" i="8" s="1"/>
  <c r="S167" i="8"/>
  <c r="U167" i="8" s="1"/>
  <c r="S85" i="8"/>
  <c r="Y85" i="8" s="1"/>
  <c r="S173" i="8"/>
  <c r="U173" i="8" s="1"/>
  <c r="S92" i="8"/>
  <c r="S125" i="8"/>
  <c r="U125" i="8" s="1"/>
  <c r="U191" i="8"/>
  <c r="T7" i="8"/>
  <c r="U31" i="8"/>
  <c r="U181" i="8"/>
  <c r="V156" i="8"/>
  <c r="X156" i="8" s="1"/>
  <c r="V194" i="8"/>
  <c r="W194" i="8" s="1"/>
  <c r="U61" i="8"/>
  <c r="V130" i="8"/>
  <c r="X130" i="8" s="1"/>
  <c r="U130" i="8"/>
  <c r="U46" i="8"/>
  <c r="V59" i="8"/>
  <c r="U7" i="8"/>
  <c r="T59" i="8"/>
  <c r="U11" i="8"/>
  <c r="V200" i="8"/>
  <c r="W200" i="8" s="1"/>
  <c r="V127" i="8"/>
  <c r="W127" i="8" s="1"/>
  <c r="V39" i="8"/>
  <c r="W39" i="8" s="1"/>
  <c r="T11" i="8"/>
  <c r="T149" i="8"/>
  <c r="T196" i="8"/>
  <c r="U180" i="8"/>
  <c r="T194" i="8"/>
  <c r="T74" i="8"/>
  <c r="V69" i="8"/>
  <c r="U74" i="8"/>
  <c r="T69" i="8"/>
  <c r="T31" i="8"/>
  <c r="U192" i="8"/>
  <c r="V66" i="8"/>
  <c r="W66" i="8" s="1"/>
  <c r="V141" i="8"/>
  <c r="W141" i="8" s="1"/>
  <c r="U141" i="8"/>
  <c r="T192" i="8"/>
  <c r="U187" i="8"/>
  <c r="T188" i="8"/>
  <c r="V89" i="8"/>
  <c r="T89" i="8"/>
  <c r="V3" i="8"/>
  <c r="W3" i="8" s="1"/>
  <c r="V23" i="8"/>
  <c r="T156" i="8"/>
  <c r="T77" i="8"/>
  <c r="U3" i="8"/>
  <c r="U77" i="8"/>
  <c r="U200" i="8"/>
  <c r="U179" i="8"/>
  <c r="T39" i="8"/>
  <c r="U146" i="8"/>
  <c r="T164" i="8"/>
  <c r="V180" i="8"/>
  <c r="U182" i="8"/>
  <c r="V83" i="8"/>
  <c r="U34" i="8"/>
  <c r="V36" i="8"/>
  <c r="W36" i="8" s="1"/>
  <c r="V86" i="8"/>
  <c r="X86" i="8" s="1"/>
  <c r="T119" i="8"/>
  <c r="V153" i="8"/>
  <c r="W153" i="8" s="1"/>
  <c r="T146" i="8"/>
  <c r="U119" i="8"/>
  <c r="T36" i="8"/>
  <c r="V160" i="8"/>
  <c r="U169" i="8"/>
  <c r="V44" i="8"/>
  <c r="X44" i="8" s="1"/>
  <c r="S12" i="8"/>
  <c r="S4" i="8"/>
  <c r="Y4" i="8" s="1"/>
  <c r="T87" i="8"/>
  <c r="U149" i="8"/>
  <c r="V26" i="8"/>
  <c r="X26" i="8" s="1"/>
  <c r="T176" i="8"/>
  <c r="U52" i="8"/>
  <c r="U128" i="8"/>
  <c r="V188" i="8"/>
  <c r="W188" i="8" s="1"/>
  <c r="T6" i="8"/>
  <c r="T210" i="8"/>
  <c r="U23" i="8"/>
  <c r="U70" i="8"/>
  <c r="U203" i="8"/>
  <c r="T162" i="8"/>
  <c r="V113" i="8"/>
  <c r="W113" i="8" s="1"/>
  <c r="U184" i="8"/>
  <c r="V96" i="8"/>
  <c r="W96" i="8" s="1"/>
  <c r="V136" i="8"/>
  <c r="X136" i="8" s="1"/>
  <c r="V30" i="8"/>
  <c r="W30" i="8" s="1"/>
  <c r="T136" i="8"/>
  <c r="U118" i="8"/>
  <c r="T96" i="8"/>
  <c r="T66" i="8"/>
  <c r="T121" i="8"/>
  <c r="T118" i="8"/>
  <c r="V198" i="8"/>
  <c r="X198" i="8" s="1"/>
  <c r="T46" i="8"/>
  <c r="U6" i="8"/>
  <c r="V172" i="8"/>
  <c r="W172" i="8" s="1"/>
  <c r="V128" i="8"/>
  <c r="W128" i="8" s="1"/>
  <c r="T203" i="8"/>
  <c r="T183" i="8"/>
  <c r="V196" i="8"/>
  <c r="X196" i="8" s="1"/>
  <c r="T184" i="8"/>
  <c r="T130" i="8"/>
  <c r="V33" i="8"/>
  <c r="X33" i="8" s="1"/>
  <c r="T33" i="8"/>
  <c r="U166" i="8"/>
  <c r="V166" i="8"/>
  <c r="X166" i="8" s="1"/>
  <c r="T54" i="8"/>
  <c r="T187" i="8"/>
  <c r="V24" i="8"/>
  <c r="W24" i="8" s="1"/>
  <c r="U198" i="8"/>
  <c r="U101" i="8"/>
  <c r="V52" i="8"/>
  <c r="X52" i="8" s="1"/>
  <c r="U19" i="8"/>
  <c r="T113" i="8"/>
  <c r="V84" i="8"/>
  <c r="X84" i="8" s="1"/>
  <c r="V182" i="8"/>
  <c r="W182" i="8" s="1"/>
  <c r="T160" i="8"/>
  <c r="T163" i="8"/>
  <c r="U24" i="8"/>
  <c r="U15" i="8"/>
  <c r="U171" i="8"/>
  <c r="V29" i="8"/>
  <c r="X29" i="8" s="1"/>
  <c r="T165" i="8"/>
  <c r="V210" i="8"/>
  <c r="W210" i="8" s="1"/>
  <c r="V157" i="8"/>
  <c r="X157" i="8" s="1"/>
  <c r="U29" i="8"/>
  <c r="T144" i="8"/>
  <c r="U174" i="8"/>
  <c r="V75" i="8"/>
  <c r="X75" i="8" s="1"/>
  <c r="U144" i="8"/>
  <c r="U127" i="8"/>
  <c r="V101" i="8"/>
  <c r="W101" i="8" s="1"/>
  <c r="U126" i="8"/>
  <c r="T61" i="8"/>
  <c r="U176" i="8"/>
  <c r="U30" i="8"/>
  <c r="T114" i="8"/>
  <c r="U153" i="8"/>
  <c r="U90" i="8"/>
  <c r="U14" i="8"/>
  <c r="U107" i="8"/>
  <c r="U122" i="8"/>
  <c r="T157" i="8"/>
  <c r="V179" i="8"/>
  <c r="X179" i="8" s="1"/>
  <c r="V105" i="8"/>
  <c r="X105" i="8" s="1"/>
  <c r="T126" i="8"/>
  <c r="V107" i="8"/>
  <c r="W107" i="8" s="1"/>
  <c r="T105" i="8"/>
  <c r="T19" i="8"/>
  <c r="V171" i="8"/>
  <c r="X171" i="8" s="1"/>
  <c r="T83" i="8"/>
  <c r="U172" i="8"/>
  <c r="T26" i="8"/>
  <c r="T14" i="8"/>
  <c r="V94" i="8"/>
  <c r="W94" i="8" s="1"/>
  <c r="U17" i="8"/>
  <c r="T122" i="8"/>
  <c r="U54" i="8"/>
  <c r="T94" i="8"/>
  <c r="T84" i="8"/>
  <c r="U75" i="8"/>
  <c r="V162" i="8"/>
  <c r="X162" i="8" s="1"/>
  <c r="U114" i="8"/>
  <c r="U163" i="8"/>
  <c r="T15" i="8"/>
  <c r="U86" i="8"/>
  <c r="V169" i="8"/>
  <c r="W169" i="8" s="1"/>
  <c r="T17" i="8"/>
  <c r="U111" i="8"/>
  <c r="V204" i="8"/>
  <c r="X204" i="8" s="1"/>
  <c r="V173" i="8"/>
  <c r="W173" i="8" s="1"/>
  <c r="T120" i="8"/>
  <c r="V134" i="8"/>
  <c r="W134" i="8" s="1"/>
  <c r="T27" i="8"/>
  <c r="V211" i="8"/>
  <c r="W211" i="8" s="1"/>
  <c r="V150" i="8"/>
  <c r="X150" i="8" s="1"/>
  <c r="T25" i="8"/>
  <c r="T60" i="8"/>
  <c r="U150" i="8"/>
  <c r="V158" i="8"/>
  <c r="W158" i="8" s="1"/>
  <c r="U195" i="8"/>
  <c r="U13" i="8"/>
  <c r="V120" i="8"/>
  <c r="W120" i="8" s="1"/>
  <c r="U183" i="8"/>
  <c r="U21" i="8"/>
  <c r="V97" i="8"/>
  <c r="W97" i="8" s="1"/>
  <c r="T13" i="8"/>
  <c r="V56" i="8"/>
  <c r="W56" i="8" s="1"/>
  <c r="V133" i="8"/>
  <c r="X133" i="8" s="1"/>
  <c r="T21" i="8"/>
  <c r="V25" i="8"/>
  <c r="X25" i="8" s="1"/>
  <c r="U71" i="8"/>
  <c r="T67" i="8"/>
  <c r="T56" i="8"/>
  <c r="V67" i="8"/>
  <c r="W67" i="8" s="1"/>
  <c r="V170" i="8"/>
  <c r="W170" i="8" s="1"/>
  <c r="U97" i="8"/>
  <c r="U51" i="8"/>
  <c r="V50" i="8"/>
  <c r="W50" i="8" s="1"/>
  <c r="U110" i="8"/>
  <c r="V159" i="8"/>
  <c r="W159" i="8" s="1"/>
  <c r="U81" i="8"/>
  <c r="V88" i="8"/>
  <c r="W88" i="8" s="1"/>
  <c r="T51" i="8"/>
  <c r="T111" i="8"/>
  <c r="T170" i="8"/>
  <c r="W5" i="8"/>
  <c r="X5" i="8"/>
  <c r="U202" i="8"/>
  <c r="V164" i="8"/>
  <c r="X164" i="8" s="1"/>
  <c r="V208" i="8"/>
  <c r="W208" i="8" s="1"/>
  <c r="U78" i="8"/>
  <c r="T159" i="8"/>
  <c r="V197" i="8"/>
  <c r="W197" i="8" s="1"/>
  <c r="T197" i="8"/>
  <c r="V115" i="8"/>
  <c r="W115" i="8" s="1"/>
  <c r="T211" i="8"/>
  <c r="T48" i="8"/>
  <c r="T110" i="8"/>
  <c r="V112" i="8"/>
  <c r="W112" i="8" s="1"/>
  <c r="V193" i="8"/>
  <c r="W193" i="8" s="1"/>
  <c r="U76" i="8"/>
  <c r="T79" i="8"/>
  <c r="V76" i="8"/>
  <c r="W76" i="8" s="1"/>
  <c r="U18" i="8"/>
  <c r="T209" i="8"/>
  <c r="U5" i="8"/>
  <c r="U48" i="8"/>
  <c r="T80" i="8"/>
  <c r="V80" i="8"/>
  <c r="X80" i="8" s="1"/>
  <c r="U134" i="8"/>
  <c r="V72" i="8"/>
  <c r="X72" i="8" s="1"/>
  <c r="U50" i="8"/>
  <c r="T10" i="8"/>
  <c r="V137" i="8"/>
  <c r="W137" i="8" s="1"/>
  <c r="T49" i="8"/>
  <c r="U20" i="8"/>
  <c r="T201" i="8"/>
  <c r="T5" i="8"/>
  <c r="U154" i="8"/>
  <c r="U22" i="8"/>
  <c r="V71" i="8"/>
  <c r="W71" i="8" s="1"/>
  <c r="T137" i="8"/>
  <c r="V10" i="8"/>
  <c r="W10" i="8" s="1"/>
  <c r="T82" i="8"/>
  <c r="V116" i="8"/>
  <c r="W116" i="8" s="1"/>
  <c r="U79" i="8"/>
  <c r="V22" i="8"/>
  <c r="X22" i="8" s="1"/>
  <c r="U49" i="8"/>
  <c r="U208" i="8"/>
  <c r="T20" i="8"/>
  <c r="U132" i="8"/>
  <c r="U115" i="8"/>
  <c r="U151" i="8"/>
  <c r="V175" i="8"/>
  <c r="W175" i="8" s="1"/>
  <c r="T99" i="8"/>
  <c r="V82" i="8"/>
  <c r="X82" i="8" s="1"/>
  <c r="T133" i="8"/>
  <c r="V142" i="8"/>
  <c r="W142" i="8" s="1"/>
  <c r="T154" i="8"/>
  <c r="U193" i="8"/>
  <c r="T190" i="8"/>
  <c r="T37" i="8"/>
  <c r="V91" i="8"/>
  <c r="W91" i="8" s="1"/>
  <c r="U88" i="8"/>
  <c r="U186" i="8"/>
  <c r="V78" i="8"/>
  <c r="W78" i="8" s="1"/>
  <c r="V181" i="8"/>
  <c r="W181" i="8" s="1"/>
  <c r="T8" i="8"/>
  <c r="U109" i="8"/>
  <c r="V190" i="8"/>
  <c r="W190" i="8" s="1"/>
  <c r="U158" i="8"/>
  <c r="T44" i="8"/>
  <c r="U175" i="8"/>
  <c r="T151" i="8"/>
  <c r="U99" i="8"/>
  <c r="U116" i="8"/>
  <c r="U72" i="8"/>
  <c r="U112" i="8"/>
  <c r="T142" i="8"/>
  <c r="U37" i="8"/>
  <c r="V8" i="8"/>
  <c r="X8" i="8" s="1"/>
  <c r="V34" i="8"/>
  <c r="X34" i="8" s="1"/>
  <c r="V32" i="8"/>
  <c r="W32" i="8" s="1"/>
  <c r="V131" i="8"/>
  <c r="W131" i="8" s="1"/>
  <c r="T32" i="8"/>
  <c r="U103" i="8"/>
  <c r="T55" i="8"/>
  <c r="T103" i="8"/>
  <c r="T129" i="8"/>
  <c r="V201" i="8"/>
  <c r="W201" i="8" s="1"/>
  <c r="V155" i="8"/>
  <c r="W155" i="8" s="1"/>
  <c r="T28" i="8"/>
  <c r="U43" i="8"/>
  <c r="T43" i="8"/>
  <c r="U55" i="8"/>
  <c r="U209" i="8"/>
  <c r="V132" i="8"/>
  <c r="X132" i="8" s="1"/>
  <c r="U129" i="8"/>
  <c r="U28" i="8"/>
  <c r="T18" i="8"/>
  <c r="T202" i="8"/>
  <c r="T186" i="8"/>
  <c r="T47" i="8"/>
  <c r="T62" i="8"/>
  <c r="U58" i="8"/>
  <c r="T168" i="8"/>
  <c r="V147" i="8"/>
  <c r="X147" i="8" s="1"/>
  <c r="V135" i="8"/>
  <c r="W135" i="8" s="1"/>
  <c r="V152" i="8"/>
  <c r="W152" i="8" s="1"/>
  <c r="T91" i="8"/>
  <c r="T199" i="8"/>
  <c r="U95" i="8"/>
  <c r="T58" i="8"/>
  <c r="T140" i="8"/>
  <c r="U100" i="8"/>
  <c r="V53" i="8"/>
  <c r="W53" i="8" s="1"/>
  <c r="U102" i="8"/>
  <c r="V139" i="8"/>
  <c r="W139" i="8" s="1"/>
  <c r="V16" i="8"/>
  <c r="W16" i="8" s="1"/>
  <c r="U155" i="8"/>
  <c r="U199" i="8"/>
  <c r="T95" i="8"/>
  <c r="U47" i="8"/>
  <c r="U139" i="8"/>
  <c r="U131" i="8"/>
  <c r="T100" i="8"/>
  <c r="T117" i="8"/>
  <c r="T102" i="8"/>
  <c r="U16" i="8"/>
  <c r="U168" i="8"/>
  <c r="U117" i="8"/>
  <c r="U135" i="8"/>
  <c r="U62" i="8"/>
  <c r="U152" i="8"/>
  <c r="U53" i="8"/>
  <c r="W19" i="8"/>
  <c r="W33" i="8"/>
  <c r="X18" i="8"/>
  <c r="W17" i="8"/>
  <c r="Y173" i="8"/>
  <c r="R173" i="8"/>
  <c r="J173" i="8" s="1"/>
  <c r="Q173" i="8"/>
  <c r="I173" i="8" s="1"/>
  <c r="R123" i="8"/>
  <c r="J123" i="8" s="1"/>
  <c r="Q123" i="8"/>
  <c r="I123" i="8" s="1"/>
  <c r="Q212" i="8"/>
  <c r="I212" i="8" s="1"/>
  <c r="R212" i="8"/>
  <c r="J212" i="8" s="1"/>
  <c r="Q183" i="8"/>
  <c r="I183" i="8" s="1"/>
  <c r="Y183" i="8"/>
  <c r="R183" i="8"/>
  <c r="J183" i="8" s="1"/>
  <c r="Q60" i="8"/>
  <c r="I60" i="8" s="1"/>
  <c r="R60" i="8"/>
  <c r="J60" i="8" s="1"/>
  <c r="Y60" i="8"/>
  <c r="Q72" i="8"/>
  <c r="I72" i="8" s="1"/>
  <c r="R72" i="8"/>
  <c r="J72" i="8" s="1"/>
  <c r="Y72" i="8"/>
  <c r="Y199" i="8"/>
  <c r="R199" i="8"/>
  <c r="J199" i="8" s="1"/>
  <c r="Q199" i="8"/>
  <c r="I199" i="8" s="1"/>
  <c r="Y159" i="8"/>
  <c r="R159" i="8"/>
  <c r="J159" i="8" s="1"/>
  <c r="Q159" i="8"/>
  <c r="I159" i="8" s="1"/>
  <c r="R186" i="8"/>
  <c r="J186" i="8" s="1"/>
  <c r="Q186" i="8"/>
  <c r="I186" i="8" s="1"/>
  <c r="Y186" i="8"/>
  <c r="Y158" i="8"/>
  <c r="R158" i="8"/>
  <c r="J158" i="8" s="1"/>
  <c r="Q158" i="8"/>
  <c r="I158" i="8" s="1"/>
  <c r="R64" i="8"/>
  <c r="J64" i="8" s="1"/>
  <c r="Q64" i="8"/>
  <c r="I64" i="8" s="1"/>
  <c r="Q111" i="8"/>
  <c r="I111" i="8" s="1"/>
  <c r="Y111" i="8"/>
  <c r="R111" i="8"/>
  <c r="J111" i="8" s="1"/>
  <c r="Y103" i="8"/>
  <c r="Q103" i="8"/>
  <c r="I103" i="8" s="1"/>
  <c r="R103" i="8"/>
  <c r="J103" i="8" s="1"/>
  <c r="Q26" i="8"/>
  <c r="I26" i="8" s="1"/>
  <c r="R26" i="8"/>
  <c r="J26" i="8" s="1"/>
  <c r="Y26" i="8"/>
  <c r="X187" i="8"/>
  <c r="W187" i="8"/>
  <c r="W114" i="8"/>
  <c r="X114" i="8"/>
  <c r="X183" i="8"/>
  <c r="W183" i="8"/>
  <c r="W13" i="8"/>
  <c r="X13" i="8"/>
  <c r="W62" i="8"/>
  <c r="X62" i="8"/>
  <c r="X154" i="8"/>
  <c r="W154" i="8"/>
  <c r="Q127" i="8"/>
  <c r="I127" i="8" s="1"/>
  <c r="R127" i="8"/>
  <c r="J127" i="8" s="1"/>
  <c r="Y127" i="8"/>
  <c r="Q207" i="8"/>
  <c r="I207" i="8" s="1"/>
  <c r="R207" i="8"/>
  <c r="J207" i="8" s="1"/>
  <c r="R104" i="8"/>
  <c r="J104" i="8" s="1"/>
  <c r="Q104" i="8"/>
  <c r="I104" i="8" s="1"/>
  <c r="Q205" i="8"/>
  <c r="I205" i="8" s="1"/>
  <c r="R205" i="8"/>
  <c r="J205" i="8" s="1"/>
  <c r="Y22" i="8"/>
  <c r="Q22" i="8"/>
  <c r="I22" i="8" s="1"/>
  <c r="R22" i="8"/>
  <c r="J22" i="8" s="1"/>
  <c r="X60" i="8"/>
  <c r="W60" i="8"/>
  <c r="Q195" i="8"/>
  <c r="I195" i="8" s="1"/>
  <c r="R195" i="8"/>
  <c r="J195" i="8" s="1"/>
  <c r="Y195" i="8"/>
  <c r="R152" i="8"/>
  <c r="J152" i="8" s="1"/>
  <c r="Q152" i="8"/>
  <c r="I152" i="8" s="1"/>
  <c r="Y152" i="8"/>
  <c r="R90" i="8"/>
  <c r="J90" i="8" s="1"/>
  <c r="Q90" i="8"/>
  <c r="I90" i="8" s="1"/>
  <c r="Y90" i="8"/>
  <c r="R69" i="8"/>
  <c r="J69" i="8" s="1"/>
  <c r="Q69" i="8"/>
  <c r="I69" i="8" s="1"/>
  <c r="Y69" i="8"/>
  <c r="Q94" i="8"/>
  <c r="I94" i="8" s="1"/>
  <c r="Y94" i="8"/>
  <c r="R94" i="8"/>
  <c r="J94" i="8" s="1"/>
  <c r="Y144" i="8"/>
  <c r="R144" i="8"/>
  <c r="J144" i="8" s="1"/>
  <c r="Q144" i="8"/>
  <c r="I144" i="8" s="1"/>
  <c r="Y33" i="8"/>
  <c r="Q33" i="8"/>
  <c r="I33" i="8" s="1"/>
  <c r="R33" i="8"/>
  <c r="J33" i="8" s="1"/>
  <c r="Q78" i="8"/>
  <c r="I78" i="8" s="1"/>
  <c r="R78" i="8"/>
  <c r="J78" i="8" s="1"/>
  <c r="Y78" i="8"/>
  <c r="Q12" i="8"/>
  <c r="I12" i="8" s="1"/>
  <c r="R12" i="8"/>
  <c r="J12" i="8" s="1"/>
  <c r="Q9" i="8"/>
  <c r="I9" i="8" s="1"/>
  <c r="R9" i="8"/>
  <c r="J9" i="8" s="1"/>
  <c r="Y97" i="8"/>
  <c r="Q97" i="8"/>
  <c r="I97" i="8" s="1"/>
  <c r="R97" i="8"/>
  <c r="J97" i="8" s="1"/>
  <c r="R25" i="8"/>
  <c r="J25" i="8" s="1"/>
  <c r="Y25" i="8"/>
  <c r="Q25" i="8"/>
  <c r="I25" i="8" s="1"/>
  <c r="R120" i="8"/>
  <c r="J120" i="8" s="1"/>
  <c r="Y120" i="8"/>
  <c r="Q120" i="8"/>
  <c r="I120" i="8" s="1"/>
  <c r="R124" i="8"/>
  <c r="J124" i="8" s="1"/>
  <c r="Q124" i="8"/>
  <c r="I124" i="8" s="1"/>
  <c r="Q161" i="8"/>
  <c r="I161" i="8" s="1"/>
  <c r="R161" i="8"/>
  <c r="J161" i="8" s="1"/>
  <c r="Q185" i="8"/>
  <c r="I185" i="8" s="1"/>
  <c r="R185" i="8"/>
  <c r="J185" i="8" s="1"/>
  <c r="Q40" i="8"/>
  <c r="I40" i="8" s="1"/>
  <c r="R40" i="8"/>
  <c r="J40" i="8" s="1"/>
  <c r="Q153" i="8"/>
  <c r="I153" i="8" s="1"/>
  <c r="R153" i="8"/>
  <c r="J153" i="8" s="1"/>
  <c r="Y153" i="8"/>
  <c r="Y163" i="8"/>
  <c r="Q163" i="8"/>
  <c r="I163" i="8" s="1"/>
  <c r="R163" i="8"/>
  <c r="J163" i="8" s="1"/>
  <c r="Y107" i="8"/>
  <c r="R107" i="8"/>
  <c r="J107" i="8" s="1"/>
  <c r="Q107" i="8"/>
  <c r="I107" i="8" s="1"/>
  <c r="Q141" i="8"/>
  <c r="I141" i="8" s="1"/>
  <c r="Y141" i="8"/>
  <c r="R141" i="8"/>
  <c r="J141" i="8" s="1"/>
  <c r="R100" i="8"/>
  <c r="J100" i="8" s="1"/>
  <c r="Y100" i="8"/>
  <c r="Q100" i="8"/>
  <c r="I100" i="8" s="1"/>
  <c r="R54" i="8"/>
  <c r="J54" i="8" s="1"/>
  <c r="Q54" i="8"/>
  <c r="I54" i="8" s="1"/>
  <c r="Y54" i="8"/>
  <c r="Q2" i="8"/>
  <c r="I2" i="8" s="1"/>
  <c r="R2" i="8"/>
  <c r="J2" i="8" s="1"/>
  <c r="W55" i="8"/>
  <c r="X55" i="8"/>
  <c r="W90" i="8"/>
  <c r="X90" i="8"/>
  <c r="W48" i="8"/>
  <c r="X48" i="8"/>
  <c r="W203" i="8"/>
  <c r="X203" i="8"/>
  <c r="W15" i="8"/>
  <c r="X15" i="8"/>
  <c r="Q74" i="8"/>
  <c r="I74" i="8" s="1"/>
  <c r="Y74" i="8"/>
  <c r="R74" i="8"/>
  <c r="J74" i="8" s="1"/>
  <c r="Q157" i="8"/>
  <c r="I157" i="8" s="1"/>
  <c r="R157" i="8"/>
  <c r="J157" i="8" s="1"/>
  <c r="Y157" i="8"/>
  <c r="Y105" i="8"/>
  <c r="Q105" i="8"/>
  <c r="I105" i="8" s="1"/>
  <c r="R105" i="8"/>
  <c r="J105" i="8" s="1"/>
  <c r="R110" i="8"/>
  <c r="J110" i="8" s="1"/>
  <c r="Q110" i="8"/>
  <c r="I110" i="8" s="1"/>
  <c r="Y110" i="8"/>
  <c r="Q85" i="8"/>
  <c r="I85" i="8" s="1"/>
  <c r="R85" i="8"/>
  <c r="J85" i="8" s="1"/>
  <c r="W46" i="8"/>
  <c r="X46" i="8"/>
  <c r="W129" i="8"/>
  <c r="X129" i="8"/>
  <c r="Q73" i="8"/>
  <c r="I73" i="8" s="1"/>
  <c r="R73" i="8"/>
  <c r="J73" i="8" s="1"/>
  <c r="Q202" i="8"/>
  <c r="I202" i="8" s="1"/>
  <c r="R202" i="8"/>
  <c r="J202" i="8" s="1"/>
  <c r="Y202" i="8"/>
  <c r="R83" i="8"/>
  <c r="J83" i="8" s="1"/>
  <c r="Q83" i="8"/>
  <c r="I83" i="8" s="1"/>
  <c r="Y83" i="8"/>
  <c r="X174" i="8"/>
  <c r="W174" i="8"/>
  <c r="W95" i="8"/>
  <c r="X95" i="8"/>
  <c r="X77" i="8"/>
  <c r="W77" i="8"/>
  <c r="Q133" i="8"/>
  <c r="I133" i="8" s="1"/>
  <c r="R133" i="8"/>
  <c r="J133" i="8" s="1"/>
  <c r="Y133" i="8"/>
  <c r="Q208" i="8"/>
  <c r="I208" i="8" s="1"/>
  <c r="Y208" i="8"/>
  <c r="R208" i="8"/>
  <c r="J208" i="8" s="1"/>
  <c r="Q160" i="8"/>
  <c r="I160" i="8" s="1"/>
  <c r="Y160" i="8"/>
  <c r="R160" i="8"/>
  <c r="J160" i="8" s="1"/>
  <c r="Q57" i="8"/>
  <c r="I57" i="8" s="1"/>
  <c r="R57" i="8"/>
  <c r="J57" i="8" s="1"/>
  <c r="Q67" i="8"/>
  <c r="I67" i="8" s="1"/>
  <c r="R67" i="8"/>
  <c r="J67" i="8" s="1"/>
  <c r="Y67" i="8"/>
  <c r="W119" i="8"/>
  <c r="X119" i="8"/>
  <c r="W163" i="8"/>
  <c r="X163" i="8"/>
  <c r="W37" i="8"/>
  <c r="X37" i="8"/>
  <c r="R58" i="8"/>
  <c r="J58" i="8" s="1"/>
  <c r="Q58" i="8"/>
  <c r="I58" i="8" s="1"/>
  <c r="Y58" i="8"/>
  <c r="Y17" i="8"/>
  <c r="R17" i="8"/>
  <c r="J17" i="8" s="1"/>
  <c r="Q17" i="8"/>
  <c r="I17" i="8" s="1"/>
  <c r="Y156" i="8"/>
  <c r="R156" i="8"/>
  <c r="J156" i="8" s="1"/>
  <c r="Q156" i="8"/>
  <c r="I156" i="8" s="1"/>
  <c r="W149" i="8"/>
  <c r="X149" i="8"/>
  <c r="Y10" i="8"/>
  <c r="Q10" i="8"/>
  <c r="I10" i="8" s="1"/>
  <c r="R10" i="8"/>
  <c r="J10" i="8" s="1"/>
  <c r="Q175" i="8"/>
  <c r="I175" i="8" s="1"/>
  <c r="Y175" i="8"/>
  <c r="R175" i="8"/>
  <c r="J175" i="8" s="1"/>
  <c r="X47" i="8"/>
  <c r="W47" i="8"/>
  <c r="Y92" i="8"/>
  <c r="Q92" i="8"/>
  <c r="I92" i="8" s="1"/>
  <c r="R92" i="8"/>
  <c r="J92" i="8" s="1"/>
  <c r="Q129" i="8"/>
  <c r="I129" i="8" s="1"/>
  <c r="Y129" i="8"/>
  <c r="R129" i="8"/>
  <c r="J129" i="8" s="1"/>
  <c r="X176" i="8"/>
  <c r="W176" i="8"/>
  <c r="Q117" i="8"/>
  <c r="I117" i="8" s="1"/>
  <c r="R117" i="8"/>
  <c r="J117" i="8" s="1"/>
  <c r="Y117" i="8"/>
  <c r="Q29" i="8"/>
  <c r="I29" i="8" s="1"/>
  <c r="R29" i="8"/>
  <c r="J29" i="8" s="1"/>
  <c r="Y29" i="8"/>
  <c r="Y116" i="8"/>
  <c r="R116" i="8"/>
  <c r="J116" i="8" s="1"/>
  <c r="Q116" i="8"/>
  <c r="I116" i="8" s="1"/>
  <c r="Q210" i="8"/>
  <c r="I210" i="8" s="1"/>
  <c r="R210" i="8"/>
  <c r="J210" i="8" s="1"/>
  <c r="Y210" i="8"/>
  <c r="Y6" i="8"/>
  <c r="R6" i="8"/>
  <c r="J6" i="8" s="1"/>
  <c r="Q6" i="8"/>
  <c r="I6" i="8" s="1"/>
  <c r="R114" i="8"/>
  <c r="J114" i="8" s="1"/>
  <c r="Y114" i="8"/>
  <c r="Q114" i="8"/>
  <c r="I114" i="8" s="1"/>
  <c r="X168" i="8"/>
  <c r="W168" i="8"/>
  <c r="W186" i="8"/>
  <c r="X186" i="8"/>
  <c r="W118" i="8"/>
  <c r="X118" i="8"/>
  <c r="W43" i="8"/>
  <c r="X43" i="8"/>
  <c r="W146" i="8"/>
  <c r="X146" i="8"/>
  <c r="X45" i="8"/>
  <c r="W45" i="8"/>
  <c r="Y172" i="8"/>
  <c r="R172" i="8"/>
  <c r="J172" i="8" s="1"/>
  <c r="Q172" i="8"/>
  <c r="I172" i="8" s="1"/>
  <c r="Y168" i="8"/>
  <c r="R168" i="8"/>
  <c r="J168" i="8" s="1"/>
  <c r="Q168" i="8"/>
  <c r="I168" i="8" s="1"/>
  <c r="Y188" i="8"/>
  <c r="Q188" i="8"/>
  <c r="I188" i="8" s="1"/>
  <c r="R188" i="8"/>
  <c r="J188" i="8" s="1"/>
  <c r="R31" i="8"/>
  <c r="J31" i="8" s="1"/>
  <c r="Q31" i="8"/>
  <c r="I31" i="8" s="1"/>
  <c r="Y31" i="8"/>
  <c r="R20" i="8"/>
  <c r="J20" i="8" s="1"/>
  <c r="Q20" i="8"/>
  <c r="I20" i="8" s="1"/>
  <c r="Y20" i="8"/>
  <c r="Y88" i="8"/>
  <c r="R88" i="8"/>
  <c r="J88" i="8" s="1"/>
  <c r="Q88" i="8"/>
  <c r="I88" i="8" s="1"/>
  <c r="Y96" i="8"/>
  <c r="R96" i="8"/>
  <c r="J96" i="8" s="1"/>
  <c r="Q96" i="8"/>
  <c r="I96" i="8" s="1"/>
  <c r="R42" i="8"/>
  <c r="J42" i="8" s="1"/>
  <c r="Y42" i="8"/>
  <c r="Q42" i="8"/>
  <c r="I42" i="8" s="1"/>
  <c r="R5" i="8"/>
  <c r="J5" i="8" s="1"/>
  <c r="Q5" i="8"/>
  <c r="I5" i="8" s="1"/>
  <c r="Y5" i="8"/>
  <c r="Q91" i="8"/>
  <c r="I91" i="8" s="1"/>
  <c r="R91" i="8"/>
  <c r="J91" i="8" s="1"/>
  <c r="Y91" i="8"/>
  <c r="Y44" i="8"/>
  <c r="Q44" i="8"/>
  <c r="I44" i="8" s="1"/>
  <c r="R44" i="8"/>
  <c r="J44" i="8" s="1"/>
  <c r="Q203" i="8"/>
  <c r="I203" i="8" s="1"/>
  <c r="Y203" i="8"/>
  <c r="R203" i="8"/>
  <c r="J203" i="8" s="1"/>
  <c r="Y209" i="8"/>
  <c r="Q209" i="8"/>
  <c r="I209" i="8" s="1"/>
  <c r="R209" i="8"/>
  <c r="J209" i="8" s="1"/>
  <c r="Y142" i="8"/>
  <c r="Q142" i="8"/>
  <c r="I142" i="8" s="1"/>
  <c r="R142" i="8"/>
  <c r="J142" i="8" s="1"/>
  <c r="Y93" i="8"/>
  <c r="Q93" i="8"/>
  <c r="I93" i="8" s="1"/>
  <c r="R93" i="8"/>
  <c r="J93" i="8" s="1"/>
  <c r="R112" i="8"/>
  <c r="J112" i="8" s="1"/>
  <c r="Q112" i="8"/>
  <c r="I112" i="8" s="1"/>
  <c r="Y112" i="8"/>
  <c r="R55" i="8"/>
  <c r="J55" i="8" s="1"/>
  <c r="Y55" i="8"/>
  <c r="Q55" i="8"/>
  <c r="I55" i="8" s="1"/>
  <c r="W41" i="8"/>
  <c r="X41" i="8"/>
  <c r="W189" i="8"/>
  <c r="X189" i="8"/>
  <c r="X180" i="8"/>
  <c r="W180" i="8"/>
  <c r="X61" i="8"/>
  <c r="W61" i="8"/>
  <c r="W191" i="8"/>
  <c r="X191" i="8"/>
  <c r="W202" i="8"/>
  <c r="X202" i="8"/>
  <c r="R63" i="8"/>
  <c r="J63" i="8" s="1"/>
  <c r="Y63" i="8"/>
  <c r="Q63" i="8"/>
  <c r="I63" i="8" s="1"/>
  <c r="Q151" i="8"/>
  <c r="I151" i="8" s="1"/>
  <c r="Y151" i="8"/>
  <c r="R151" i="8"/>
  <c r="J151" i="8" s="1"/>
  <c r="R170" i="8"/>
  <c r="J170" i="8" s="1"/>
  <c r="Y170" i="8"/>
  <c r="Q170" i="8"/>
  <c r="I170" i="8" s="1"/>
  <c r="W111" i="8"/>
  <c r="X111" i="8"/>
  <c r="R70" i="8"/>
  <c r="J70" i="8" s="1"/>
  <c r="Q70" i="8"/>
  <c r="I70" i="8" s="1"/>
  <c r="Y70" i="8"/>
  <c r="Q11" i="8"/>
  <c r="I11" i="8" s="1"/>
  <c r="R11" i="8"/>
  <c r="J11" i="8" s="1"/>
  <c r="Y11" i="8"/>
  <c r="Y126" i="8"/>
  <c r="Q126" i="8"/>
  <c r="I126" i="8" s="1"/>
  <c r="R126" i="8"/>
  <c r="J126" i="8" s="1"/>
  <c r="W74" i="8"/>
  <c r="X74" i="8"/>
  <c r="Y77" i="8"/>
  <c r="R77" i="8"/>
  <c r="J77" i="8" s="1"/>
  <c r="Q77" i="8"/>
  <c r="I77" i="8" s="1"/>
  <c r="Q193" i="8"/>
  <c r="I193" i="8" s="1"/>
  <c r="R193" i="8"/>
  <c r="J193" i="8" s="1"/>
  <c r="Y193" i="8"/>
  <c r="Q75" i="8"/>
  <c r="I75" i="8" s="1"/>
  <c r="Y75" i="8"/>
  <c r="R75" i="8"/>
  <c r="J75" i="8" s="1"/>
  <c r="W59" i="8"/>
  <c r="X59" i="8"/>
  <c r="R19" i="8"/>
  <c r="J19" i="8" s="1"/>
  <c r="Q19" i="8"/>
  <c r="I19" i="8" s="1"/>
  <c r="Y19" i="8"/>
  <c r="Q18" i="8"/>
  <c r="I18" i="8" s="1"/>
  <c r="Y18" i="8"/>
  <c r="R18" i="8"/>
  <c r="J18" i="8" s="1"/>
  <c r="Q68" i="8"/>
  <c r="I68" i="8" s="1"/>
  <c r="R68" i="8"/>
  <c r="J68" i="8" s="1"/>
  <c r="Y68" i="8"/>
  <c r="W14" i="8"/>
  <c r="X14" i="8"/>
  <c r="R13" i="8"/>
  <c r="J13" i="8" s="1"/>
  <c r="Y13" i="8"/>
  <c r="Q13" i="8"/>
  <c r="I13" i="8" s="1"/>
  <c r="Q36" i="8"/>
  <c r="I36" i="8" s="1"/>
  <c r="Y36" i="8"/>
  <c r="R36" i="8"/>
  <c r="J36" i="8" s="1"/>
  <c r="Q167" i="8"/>
  <c r="I167" i="8" s="1"/>
  <c r="R167" i="8"/>
  <c r="J167" i="8" s="1"/>
  <c r="W102" i="8"/>
  <c r="X102" i="8"/>
  <c r="W100" i="8"/>
  <c r="X100" i="8"/>
  <c r="Q171" i="8"/>
  <c r="I171" i="8" s="1"/>
  <c r="R171" i="8"/>
  <c r="J171" i="8" s="1"/>
  <c r="Y171" i="8"/>
  <c r="R62" i="8"/>
  <c r="J62" i="8" s="1"/>
  <c r="Q62" i="8"/>
  <c r="I62" i="8" s="1"/>
  <c r="Y62" i="8"/>
  <c r="Y59" i="8"/>
  <c r="R59" i="8"/>
  <c r="J59" i="8" s="1"/>
  <c r="Q59" i="8"/>
  <c r="I59" i="8" s="1"/>
  <c r="Q46" i="8"/>
  <c r="I46" i="8" s="1"/>
  <c r="Y46" i="8"/>
  <c r="R46" i="8"/>
  <c r="J46" i="8" s="1"/>
  <c r="Q113" i="8"/>
  <c r="I113" i="8" s="1"/>
  <c r="R113" i="8"/>
  <c r="J113" i="8" s="1"/>
  <c r="Y113" i="8"/>
  <c r="Y165" i="8"/>
  <c r="Q165" i="8"/>
  <c r="I165" i="8" s="1"/>
  <c r="R165" i="8"/>
  <c r="J165" i="8" s="1"/>
  <c r="R135" i="8"/>
  <c r="J135" i="8" s="1"/>
  <c r="Q135" i="8"/>
  <c r="I135" i="8" s="1"/>
  <c r="Y135" i="8"/>
  <c r="Q56" i="8"/>
  <c r="I56" i="8" s="1"/>
  <c r="Y56" i="8"/>
  <c r="R56" i="8"/>
  <c r="J56" i="8" s="1"/>
  <c r="Y8" i="8"/>
  <c r="Q8" i="8"/>
  <c r="I8" i="8" s="1"/>
  <c r="R8" i="8"/>
  <c r="J8" i="8" s="1"/>
  <c r="R49" i="8"/>
  <c r="J49" i="8" s="1"/>
  <c r="Q49" i="8"/>
  <c r="I49" i="8" s="1"/>
  <c r="Y49" i="8"/>
  <c r="Y201" i="8"/>
  <c r="Q201" i="8"/>
  <c r="I201" i="8" s="1"/>
  <c r="R201" i="8"/>
  <c r="J201" i="8" s="1"/>
  <c r="Q125" i="8"/>
  <c r="I125" i="8" s="1"/>
  <c r="Y125" i="8"/>
  <c r="R125" i="8"/>
  <c r="J125" i="8" s="1"/>
  <c r="R178" i="8"/>
  <c r="J178" i="8" s="1"/>
  <c r="Q178" i="8"/>
  <c r="I178" i="8" s="1"/>
  <c r="Q146" i="8"/>
  <c r="I146" i="8" s="1"/>
  <c r="R146" i="8"/>
  <c r="J146" i="8" s="1"/>
  <c r="Y146" i="8"/>
  <c r="R108" i="8"/>
  <c r="J108" i="8" s="1"/>
  <c r="Q108" i="8"/>
  <c r="I108" i="8" s="1"/>
  <c r="Q43" i="8"/>
  <c r="I43" i="8" s="1"/>
  <c r="Y43" i="8"/>
  <c r="R43" i="8"/>
  <c r="J43" i="8" s="1"/>
  <c r="X23" i="8"/>
  <c r="W23" i="8"/>
  <c r="X42" i="8"/>
  <c r="W42" i="8"/>
  <c r="X160" i="8"/>
  <c r="W160" i="8"/>
  <c r="X83" i="8"/>
  <c r="W83" i="8"/>
  <c r="X144" i="8"/>
  <c r="W144" i="8"/>
  <c r="Q87" i="8"/>
  <c r="I87" i="8" s="1"/>
  <c r="R87" i="8"/>
  <c r="J87" i="8" s="1"/>
  <c r="Y87" i="8"/>
  <c r="R21" i="8"/>
  <c r="J21" i="8" s="1"/>
  <c r="Y21" i="8"/>
  <c r="Q21" i="8"/>
  <c r="I21" i="8" s="1"/>
  <c r="W70" i="8"/>
  <c r="X70" i="8"/>
  <c r="Q147" i="8"/>
  <c r="I147" i="8" s="1"/>
  <c r="R147" i="8"/>
  <c r="J147" i="8" s="1"/>
  <c r="Y147" i="8"/>
  <c r="Q143" i="8"/>
  <c r="I143" i="8" s="1"/>
  <c r="R143" i="8"/>
  <c r="J143" i="8" s="1"/>
  <c r="W184" i="8"/>
  <c r="X184" i="8"/>
  <c r="Y174" i="8"/>
  <c r="Q174" i="8"/>
  <c r="I174" i="8" s="1"/>
  <c r="R174" i="8"/>
  <c r="J174" i="8" s="1"/>
  <c r="Q4" i="8"/>
  <c r="I4" i="8" s="1"/>
  <c r="R4" i="8"/>
  <c r="J4" i="8" s="1"/>
  <c r="Q162" i="8"/>
  <c r="I162" i="8" s="1"/>
  <c r="R162" i="8"/>
  <c r="J162" i="8" s="1"/>
  <c r="Y162" i="8"/>
  <c r="Q102" i="8"/>
  <c r="I102" i="8" s="1"/>
  <c r="Y102" i="8"/>
  <c r="R102" i="8"/>
  <c r="J102" i="8" s="1"/>
  <c r="Y176" i="8"/>
  <c r="Q176" i="8"/>
  <c r="I176" i="8" s="1"/>
  <c r="R176" i="8"/>
  <c r="J176" i="8" s="1"/>
  <c r="X58" i="8"/>
  <c r="W58" i="8"/>
  <c r="X126" i="8"/>
  <c r="W126" i="8"/>
  <c r="W99" i="8"/>
  <c r="X99" i="8"/>
  <c r="W20" i="8"/>
  <c r="X20" i="8"/>
  <c r="Y196" i="8"/>
  <c r="Q196" i="8"/>
  <c r="I196" i="8" s="1"/>
  <c r="R196" i="8"/>
  <c r="J196" i="8" s="1"/>
  <c r="Q150" i="8"/>
  <c r="I150" i="8" s="1"/>
  <c r="Y150" i="8"/>
  <c r="R150" i="8"/>
  <c r="J150" i="8" s="1"/>
  <c r="X200" i="8"/>
  <c r="W31" i="8"/>
  <c r="X31" i="8"/>
  <c r="Q187" i="8"/>
  <c r="I187" i="8" s="1"/>
  <c r="R187" i="8"/>
  <c r="J187" i="8" s="1"/>
  <c r="Y187" i="8"/>
  <c r="R27" i="8"/>
  <c r="J27" i="8" s="1"/>
  <c r="Q27" i="8"/>
  <c r="I27" i="8" s="1"/>
  <c r="Y27" i="8"/>
  <c r="Y48" i="8"/>
  <c r="R48" i="8"/>
  <c r="J48" i="8" s="1"/>
  <c r="Q48" i="8"/>
  <c r="I48" i="8" s="1"/>
  <c r="Q71" i="8"/>
  <c r="I71" i="8" s="1"/>
  <c r="R71" i="8"/>
  <c r="J71" i="8" s="1"/>
  <c r="Y71" i="8"/>
  <c r="Y180" i="8"/>
  <c r="R180" i="8"/>
  <c r="J180" i="8" s="1"/>
  <c r="Q180" i="8"/>
  <c r="I180" i="8" s="1"/>
  <c r="R128" i="8"/>
  <c r="J128" i="8" s="1"/>
  <c r="Y128" i="8"/>
  <c r="Q128" i="8"/>
  <c r="I128" i="8" s="1"/>
  <c r="Q155" i="8"/>
  <c r="I155" i="8" s="1"/>
  <c r="R155" i="8"/>
  <c r="J155" i="8" s="1"/>
  <c r="Y155" i="8"/>
  <c r="Q115" i="8"/>
  <c r="I115" i="8" s="1"/>
  <c r="R115" i="8"/>
  <c r="J115" i="8" s="1"/>
  <c r="Y115" i="8"/>
  <c r="Q45" i="8"/>
  <c r="I45" i="8" s="1"/>
  <c r="R45" i="8"/>
  <c r="J45" i="8" s="1"/>
  <c r="Y45" i="8"/>
  <c r="Y181" i="8"/>
  <c r="R181" i="8"/>
  <c r="J181" i="8" s="1"/>
  <c r="Q181" i="8"/>
  <c r="I181" i="8" s="1"/>
  <c r="R84" i="8"/>
  <c r="J84" i="8" s="1"/>
  <c r="Q84" i="8"/>
  <c r="I84" i="8" s="1"/>
  <c r="Y84" i="8"/>
  <c r="Y190" i="8"/>
  <c r="R190" i="8"/>
  <c r="J190" i="8" s="1"/>
  <c r="Q190" i="8"/>
  <c r="I190" i="8" s="1"/>
  <c r="Y192" i="8"/>
  <c r="R192" i="8"/>
  <c r="J192" i="8" s="1"/>
  <c r="Q192" i="8"/>
  <c r="I192" i="8" s="1"/>
  <c r="Q148" i="8"/>
  <c r="I148" i="8" s="1"/>
  <c r="R148" i="8"/>
  <c r="J148" i="8" s="1"/>
  <c r="R140" i="8"/>
  <c r="J140" i="8" s="1"/>
  <c r="Q140" i="8"/>
  <c r="I140" i="8" s="1"/>
  <c r="Y99" i="8"/>
  <c r="Q99" i="8"/>
  <c r="I99" i="8" s="1"/>
  <c r="R99" i="8"/>
  <c r="J99" i="8" s="1"/>
  <c r="Y39" i="8"/>
  <c r="Q39" i="8"/>
  <c r="I39" i="8" s="1"/>
  <c r="R39" i="8"/>
  <c r="J39" i="8" s="1"/>
  <c r="X209" i="8"/>
  <c r="W209" i="8"/>
  <c r="Q35" i="8"/>
  <c r="I35" i="8" s="1"/>
  <c r="R35" i="8"/>
  <c r="J35" i="8" s="1"/>
  <c r="Y16" i="8"/>
  <c r="Q16" i="8"/>
  <c r="I16" i="8" s="1"/>
  <c r="R16" i="8"/>
  <c r="J16" i="8" s="1"/>
  <c r="Y37" i="8"/>
  <c r="Q37" i="8"/>
  <c r="I37" i="8" s="1"/>
  <c r="R37" i="8"/>
  <c r="J37" i="8" s="1"/>
  <c r="W69" i="8"/>
  <c r="X69" i="8"/>
  <c r="W110" i="8"/>
  <c r="X110" i="8"/>
  <c r="Q38" i="8"/>
  <c r="I38" i="8" s="1"/>
  <c r="R38" i="8"/>
  <c r="J38" i="8" s="1"/>
  <c r="R109" i="8"/>
  <c r="J109" i="8" s="1"/>
  <c r="Y109" i="8"/>
  <c r="Q109" i="8"/>
  <c r="I109" i="8" s="1"/>
  <c r="Y79" i="8"/>
  <c r="R79" i="8"/>
  <c r="J79" i="8" s="1"/>
  <c r="Q79" i="8"/>
  <c r="I79" i="8" s="1"/>
  <c r="X79" i="8"/>
  <c r="W79" i="8"/>
  <c r="W192" i="8"/>
  <c r="X192" i="8"/>
  <c r="Y166" i="8"/>
  <c r="Q166" i="8"/>
  <c r="I166" i="8" s="1"/>
  <c r="R166" i="8"/>
  <c r="J166" i="8" s="1"/>
  <c r="R30" i="8"/>
  <c r="J30" i="8" s="1"/>
  <c r="Q30" i="8"/>
  <c r="I30" i="8" s="1"/>
  <c r="Y30" i="8"/>
  <c r="Q52" i="8"/>
  <c r="I52" i="8" s="1"/>
  <c r="Y52" i="8"/>
  <c r="R52" i="8"/>
  <c r="J52" i="8" s="1"/>
  <c r="Q198" i="8"/>
  <c r="I198" i="8" s="1"/>
  <c r="R198" i="8"/>
  <c r="J198" i="8" s="1"/>
  <c r="Y198" i="8"/>
  <c r="Y132" i="8"/>
  <c r="Q132" i="8"/>
  <c r="I132" i="8" s="1"/>
  <c r="R132" i="8"/>
  <c r="J132" i="8" s="1"/>
  <c r="Q47" i="8"/>
  <c r="I47" i="8" s="1"/>
  <c r="R47" i="8"/>
  <c r="J47" i="8" s="1"/>
  <c r="Y47" i="8"/>
  <c r="W122" i="8"/>
  <c r="X122" i="8"/>
  <c r="R106" i="8"/>
  <c r="J106" i="8" s="1"/>
  <c r="Q106" i="8"/>
  <c r="I106" i="8" s="1"/>
  <c r="Y139" i="8"/>
  <c r="Q139" i="8"/>
  <c r="I139" i="8" s="1"/>
  <c r="R139" i="8"/>
  <c r="J139" i="8" s="1"/>
  <c r="Y95" i="8"/>
  <c r="Q95" i="8"/>
  <c r="I95" i="8" s="1"/>
  <c r="R95" i="8"/>
  <c r="J95" i="8" s="1"/>
  <c r="W21" i="8"/>
  <c r="X21" i="8"/>
  <c r="R118" i="8"/>
  <c r="J118" i="8" s="1"/>
  <c r="Y118" i="8"/>
  <c r="Q118" i="8"/>
  <c r="I118" i="8" s="1"/>
  <c r="Q24" i="8"/>
  <c r="I24" i="8" s="1"/>
  <c r="Y24" i="8"/>
  <c r="R24" i="8"/>
  <c r="J24" i="8" s="1"/>
  <c r="Q145" i="8"/>
  <c r="I145" i="8" s="1"/>
  <c r="R145" i="8"/>
  <c r="J145" i="8" s="1"/>
  <c r="Y131" i="8"/>
  <c r="R131" i="8"/>
  <c r="J131" i="8" s="1"/>
  <c r="Q131" i="8"/>
  <c r="I131" i="8" s="1"/>
  <c r="Y65" i="8"/>
  <c r="Q65" i="8"/>
  <c r="I65" i="8" s="1"/>
  <c r="R65" i="8"/>
  <c r="J65" i="8" s="1"/>
  <c r="R41" i="8"/>
  <c r="J41" i="8" s="1"/>
  <c r="Q41" i="8"/>
  <c r="I41" i="8" s="1"/>
  <c r="Y41" i="8"/>
  <c r="Q149" i="8"/>
  <c r="I149" i="8" s="1"/>
  <c r="Y149" i="8"/>
  <c r="R149" i="8"/>
  <c r="J149" i="8" s="1"/>
  <c r="Y182" i="8"/>
  <c r="Q182" i="8"/>
  <c r="I182" i="8" s="1"/>
  <c r="R182" i="8"/>
  <c r="J182" i="8" s="1"/>
  <c r="Q177" i="8"/>
  <c r="I177" i="8" s="1"/>
  <c r="R177" i="8"/>
  <c r="J177" i="8" s="1"/>
  <c r="R82" i="8"/>
  <c r="J82" i="8" s="1"/>
  <c r="Q82" i="8"/>
  <c r="I82" i="8" s="1"/>
  <c r="Y82" i="8"/>
  <c r="Q200" i="8"/>
  <c r="I200" i="8" s="1"/>
  <c r="R200" i="8"/>
  <c r="J200" i="8" s="1"/>
  <c r="Y200" i="8"/>
  <c r="Y81" i="8"/>
  <c r="Q81" i="8"/>
  <c r="I81" i="8" s="1"/>
  <c r="R81" i="8"/>
  <c r="J81" i="8" s="1"/>
  <c r="Y206" i="8"/>
  <c r="Q206" i="8"/>
  <c r="I206" i="8" s="1"/>
  <c r="R206" i="8"/>
  <c r="J206" i="8" s="1"/>
  <c r="Q164" i="8"/>
  <c r="I164" i="8" s="1"/>
  <c r="Y164" i="8"/>
  <c r="R164" i="8"/>
  <c r="J164" i="8" s="1"/>
  <c r="Y101" i="8"/>
  <c r="R101" i="8"/>
  <c r="J101" i="8" s="1"/>
  <c r="Q101" i="8"/>
  <c r="I101" i="8" s="1"/>
  <c r="R130" i="8"/>
  <c r="J130" i="8" s="1"/>
  <c r="Q130" i="8"/>
  <c r="I130" i="8" s="1"/>
  <c r="Y130" i="8"/>
  <c r="Q80" i="8"/>
  <c r="I80" i="8" s="1"/>
  <c r="R80" i="8"/>
  <c r="J80" i="8" s="1"/>
  <c r="Y80" i="8"/>
  <c r="Q28" i="8"/>
  <c r="I28" i="8" s="1"/>
  <c r="R28" i="8"/>
  <c r="J28" i="8" s="1"/>
  <c r="Y28" i="8"/>
  <c r="W49" i="8"/>
  <c r="X49" i="8"/>
  <c r="W89" i="8"/>
  <c r="X89" i="8"/>
  <c r="X11" i="8"/>
  <c r="W11" i="8"/>
  <c r="X24" i="8"/>
  <c r="W165" i="8"/>
  <c r="X165" i="8"/>
  <c r="X51" i="8"/>
  <c r="W51" i="8"/>
  <c r="Q119" i="8"/>
  <c r="I119" i="8" s="1"/>
  <c r="R119" i="8"/>
  <c r="J119" i="8" s="1"/>
  <c r="Y119" i="8"/>
  <c r="Q23" i="8"/>
  <c r="I23" i="8" s="1"/>
  <c r="R23" i="8"/>
  <c r="J23" i="8" s="1"/>
  <c r="Y23" i="8"/>
  <c r="Y89" i="8"/>
  <c r="Q89" i="8"/>
  <c r="I89" i="8" s="1"/>
  <c r="R89" i="8"/>
  <c r="J89" i="8" s="1"/>
  <c r="Q61" i="8"/>
  <c r="I61" i="8" s="1"/>
  <c r="Y61" i="8"/>
  <c r="R61" i="8"/>
  <c r="J61" i="8" s="1"/>
  <c r="Q169" i="8"/>
  <c r="I169" i="8" s="1"/>
  <c r="R169" i="8"/>
  <c r="J169" i="8" s="1"/>
  <c r="Y169" i="8"/>
  <c r="Q98" i="8"/>
  <c r="I98" i="8" s="1"/>
  <c r="R98" i="8"/>
  <c r="J98" i="8" s="1"/>
  <c r="Y98" i="8"/>
  <c r="Q14" i="8"/>
  <c r="I14" i="8" s="1"/>
  <c r="R14" i="8"/>
  <c r="J14" i="8" s="1"/>
  <c r="Y14" i="8"/>
  <c r="Y184" i="8"/>
  <c r="Q184" i="8"/>
  <c r="I184" i="8" s="1"/>
  <c r="R184" i="8"/>
  <c r="J184" i="8" s="1"/>
  <c r="X7" i="8"/>
  <c r="W7" i="8"/>
  <c r="W6" i="8"/>
  <c r="X6" i="8"/>
  <c r="W151" i="8"/>
  <c r="X151" i="8"/>
  <c r="Q76" i="8"/>
  <c r="I76" i="8" s="1"/>
  <c r="R76" i="8"/>
  <c r="J76" i="8" s="1"/>
  <c r="Y76" i="8"/>
  <c r="Q137" i="8"/>
  <c r="I137" i="8" s="1"/>
  <c r="Y137" i="8"/>
  <c r="R137" i="8"/>
  <c r="J137" i="8" s="1"/>
  <c r="R194" i="8"/>
  <c r="J194" i="8" s="1"/>
  <c r="Y194" i="8"/>
  <c r="Q194" i="8"/>
  <c r="I194" i="8" s="1"/>
  <c r="Q51" i="8"/>
  <c r="I51" i="8" s="1"/>
  <c r="R51" i="8"/>
  <c r="J51" i="8" s="1"/>
  <c r="Y51" i="8"/>
  <c r="R32" i="8"/>
  <c r="J32" i="8" s="1"/>
  <c r="Q32" i="8"/>
  <c r="I32" i="8" s="1"/>
  <c r="Y32" i="8"/>
  <c r="Y211" i="8"/>
  <c r="Q211" i="8"/>
  <c r="I211" i="8" s="1"/>
  <c r="R211" i="8"/>
  <c r="J211" i="8" s="1"/>
  <c r="Q189" i="8"/>
  <c r="I189" i="8" s="1"/>
  <c r="R189" i="8"/>
  <c r="J189" i="8" s="1"/>
  <c r="Y189" i="8"/>
  <c r="X54" i="8"/>
  <c r="W54" i="8"/>
  <c r="W87" i="8"/>
  <c r="X87" i="8"/>
  <c r="R15" i="8"/>
  <c r="J15" i="8" s="1"/>
  <c r="Q15" i="8"/>
  <c r="I15" i="8" s="1"/>
  <c r="Y15" i="8"/>
  <c r="R3" i="8"/>
  <c r="J3" i="8" s="1"/>
  <c r="Y3" i="8"/>
  <c r="Q3" i="8"/>
  <c r="I3" i="8" s="1"/>
  <c r="Y50" i="8"/>
  <c r="Q50" i="8"/>
  <c r="I50" i="8" s="1"/>
  <c r="R50" i="8"/>
  <c r="J50" i="8" s="1"/>
  <c r="Q197" i="8"/>
  <c r="I197" i="8" s="1"/>
  <c r="R197" i="8"/>
  <c r="J197" i="8" s="1"/>
  <c r="Y197" i="8"/>
  <c r="Q122" i="8"/>
  <c r="I122" i="8" s="1"/>
  <c r="R122" i="8"/>
  <c r="J122" i="8" s="1"/>
  <c r="Y122" i="8"/>
  <c r="Y136" i="8"/>
  <c r="Q136" i="8"/>
  <c r="I136" i="8" s="1"/>
  <c r="R136" i="8"/>
  <c r="J136" i="8" s="1"/>
  <c r="Y154" i="8"/>
  <c r="Q154" i="8"/>
  <c r="I154" i="8" s="1"/>
  <c r="R154" i="8"/>
  <c r="J154" i="8" s="1"/>
  <c r="Q191" i="8"/>
  <c r="I191" i="8" s="1"/>
  <c r="R191" i="8"/>
  <c r="J191" i="8" s="1"/>
  <c r="Y191" i="8"/>
  <c r="Q179" i="8"/>
  <c r="I179" i="8" s="1"/>
  <c r="R179" i="8"/>
  <c r="J179" i="8" s="1"/>
  <c r="Y179" i="8"/>
  <c r="R66" i="8"/>
  <c r="J66" i="8" s="1"/>
  <c r="Q66" i="8"/>
  <c r="I66" i="8" s="1"/>
  <c r="Y66" i="8"/>
  <c r="Y86" i="8"/>
  <c r="Q86" i="8"/>
  <c r="I86" i="8" s="1"/>
  <c r="R86" i="8"/>
  <c r="J86" i="8" s="1"/>
  <c r="Q121" i="8"/>
  <c r="I121" i="8" s="1"/>
  <c r="Y121" i="8"/>
  <c r="R121" i="8"/>
  <c r="J121" i="8" s="1"/>
  <c r="Q204" i="8"/>
  <c r="I204" i="8" s="1"/>
  <c r="Y204" i="8"/>
  <c r="R204" i="8"/>
  <c r="J204" i="8" s="1"/>
  <c r="Y134" i="8"/>
  <c r="Q134" i="8"/>
  <c r="I134" i="8" s="1"/>
  <c r="R134" i="8"/>
  <c r="J134" i="8" s="1"/>
  <c r="Q34" i="8"/>
  <c r="I34" i="8" s="1"/>
  <c r="Y34" i="8"/>
  <c r="R34" i="8"/>
  <c r="J34" i="8" s="1"/>
  <c r="Q138" i="8"/>
  <c r="I138" i="8" s="1"/>
  <c r="R138" i="8"/>
  <c r="J138" i="8" s="1"/>
  <c r="Q53" i="8"/>
  <c r="I53" i="8" s="1"/>
  <c r="R53" i="8"/>
  <c r="J53" i="8" s="1"/>
  <c r="Y53" i="8"/>
  <c r="Y7" i="8"/>
  <c r="Q7" i="8"/>
  <c r="I7" i="8" s="1"/>
  <c r="R7" i="8"/>
  <c r="J7" i="8" s="1"/>
  <c r="X93" i="8"/>
  <c r="W93" i="8"/>
  <c r="W103" i="8"/>
  <c r="X103" i="8"/>
  <c r="X28" i="8"/>
  <c r="W28" i="8"/>
  <c r="X199" i="8"/>
  <c r="W199" i="8"/>
  <c r="X117" i="8"/>
  <c r="W117" i="8"/>
  <c r="Y9" i="8" l="1"/>
  <c r="Y207" i="8"/>
  <c r="T145" i="8"/>
  <c r="V9" i="8"/>
  <c r="X9" i="8" s="1"/>
  <c r="V63" i="8"/>
  <c r="W63" i="8" s="1"/>
  <c r="V109" i="8"/>
  <c r="W109" i="8" s="1"/>
  <c r="Y73" i="8"/>
  <c r="Z73" i="8" s="1"/>
  <c r="V35" i="8"/>
  <c r="W35" i="8" s="1"/>
  <c r="Y124" i="8"/>
  <c r="V98" i="8"/>
  <c r="W98" i="8" s="1"/>
  <c r="Y38" i="8"/>
  <c r="AA38" i="8" s="1"/>
  <c r="L38" i="8" s="1"/>
  <c r="X116" i="8"/>
  <c r="W81" i="8"/>
  <c r="V73" i="8"/>
  <c r="X73" i="8" s="1"/>
  <c r="U64" i="8"/>
  <c r="V38" i="8"/>
  <c r="X38" i="8" s="1"/>
  <c r="U40" i="8"/>
  <c r="Y64" i="8"/>
  <c r="U98" i="8"/>
  <c r="T9" i="8"/>
  <c r="T63" i="8"/>
  <c r="V64" i="8"/>
  <c r="X64" i="8" s="1"/>
  <c r="W29" i="8"/>
  <c r="X3" i="8"/>
  <c r="T35" i="8"/>
  <c r="T38" i="8"/>
  <c r="T81" i="8"/>
  <c r="X212" i="8"/>
  <c r="X195" i="8"/>
  <c r="W80" i="8"/>
  <c r="Y104" i="8"/>
  <c r="Z104" i="8" s="1"/>
  <c r="U145" i="8"/>
  <c r="Y140" i="8"/>
  <c r="Z140" i="8" s="1"/>
  <c r="Y57" i="8"/>
  <c r="AA57" i="8" s="1"/>
  <c r="Y2" i="8"/>
  <c r="AA2" i="8" s="1"/>
  <c r="T57" i="8"/>
  <c r="T173" i="8"/>
  <c r="T85" i="8"/>
  <c r="U85" i="8"/>
  <c r="V85" i="8"/>
  <c r="V124" i="8"/>
  <c r="U124" i="8"/>
  <c r="T212" i="8"/>
  <c r="X145" i="8"/>
  <c r="W121" i="8"/>
  <c r="U73" i="8"/>
  <c r="V57" i="8"/>
  <c r="W57" i="8" s="1"/>
  <c r="U143" i="8"/>
  <c r="V40" i="8"/>
  <c r="W40" i="8" s="1"/>
  <c r="U207" i="8"/>
  <c r="V207" i="8"/>
  <c r="X101" i="8"/>
  <c r="T178" i="8"/>
  <c r="V161" i="8"/>
  <c r="U161" i="8"/>
  <c r="T161" i="8"/>
  <c r="U206" i="8"/>
  <c r="V206" i="8"/>
  <c r="T206" i="8"/>
  <c r="T205" i="8"/>
  <c r="U205" i="8"/>
  <c r="V205" i="8"/>
  <c r="X143" i="8"/>
  <c r="Y138" i="8"/>
  <c r="AA138" i="8" s="1"/>
  <c r="Y35" i="8"/>
  <c r="Z35" i="8" s="1"/>
  <c r="Y145" i="8"/>
  <c r="Z145" i="8" s="1"/>
  <c r="K145" i="8" s="1"/>
  <c r="X169" i="8"/>
  <c r="W156" i="8"/>
  <c r="Y212" i="8"/>
  <c r="Z212" i="8" s="1"/>
  <c r="K212" i="8" s="1"/>
  <c r="V178" i="8"/>
  <c r="U212" i="8"/>
  <c r="V167" i="8"/>
  <c r="T167" i="8"/>
  <c r="V185" i="8"/>
  <c r="T185" i="8"/>
  <c r="U185" i="8"/>
  <c r="T177" i="8"/>
  <c r="U177" i="8"/>
  <c r="V177" i="8"/>
  <c r="U106" i="8"/>
  <c r="V106" i="8"/>
  <c r="T106" i="8"/>
  <c r="V65" i="8"/>
  <c r="W65" i="8" s="1"/>
  <c r="T123" i="8"/>
  <c r="U123" i="8"/>
  <c r="V123" i="8"/>
  <c r="W130" i="8"/>
  <c r="X138" i="8"/>
  <c r="X94" i="8"/>
  <c r="W140" i="8"/>
  <c r="T104" i="8"/>
  <c r="V104" i="8"/>
  <c r="T108" i="8"/>
  <c r="U108" i="8"/>
  <c r="V108" i="8"/>
  <c r="Y178" i="8"/>
  <c r="Z178" i="8" s="1"/>
  <c r="Y40" i="8"/>
  <c r="AA40" i="8" s="1"/>
  <c r="U140" i="8"/>
  <c r="U2" i="8"/>
  <c r="V2" i="8"/>
  <c r="W2" i="8" s="1"/>
  <c r="T125" i="8"/>
  <c r="V125" i="8"/>
  <c r="V27" i="8"/>
  <c r="U27" i="8"/>
  <c r="U148" i="8"/>
  <c r="T148" i="8"/>
  <c r="V148" i="8"/>
  <c r="Y167" i="8"/>
  <c r="Z167" i="8" s="1"/>
  <c r="W26" i="8"/>
  <c r="Y143" i="8"/>
  <c r="Z143" i="8" s="1"/>
  <c r="K143" i="8" s="1"/>
  <c r="Y123" i="8"/>
  <c r="AA123" i="8" s="1"/>
  <c r="T138" i="8"/>
  <c r="U65" i="8"/>
  <c r="T143" i="8"/>
  <c r="U138" i="8"/>
  <c r="V92" i="8"/>
  <c r="T92" i="8"/>
  <c r="U92" i="8"/>
  <c r="V68" i="8"/>
  <c r="U68" i="8"/>
  <c r="T68" i="8"/>
  <c r="W136" i="8"/>
  <c r="W179" i="8"/>
  <c r="X109" i="8"/>
  <c r="X153" i="8"/>
  <c r="X78" i="8"/>
  <c r="W105" i="8"/>
  <c r="X96" i="8"/>
  <c r="X128" i="8"/>
  <c r="X141" i="8"/>
  <c r="X194" i="8"/>
  <c r="W82" i="8"/>
  <c r="W133" i="8"/>
  <c r="X172" i="8"/>
  <c r="X158" i="8"/>
  <c r="X127" i="8"/>
  <c r="X39" i="8"/>
  <c r="X36" i="8"/>
  <c r="W84" i="8"/>
  <c r="W86" i="8"/>
  <c r="T12" i="8"/>
  <c r="U12" i="8"/>
  <c r="V12" i="8"/>
  <c r="X98" i="8"/>
  <c r="X159" i="8"/>
  <c r="W8" i="8"/>
  <c r="X182" i="8"/>
  <c r="W198" i="8"/>
  <c r="Y12" i="8"/>
  <c r="Z12" i="8" s="1"/>
  <c r="W166" i="8"/>
  <c r="X113" i="8"/>
  <c r="X66" i="8"/>
  <c r="U4" i="8"/>
  <c r="T4" i="8"/>
  <c r="V4" i="8"/>
  <c r="W44" i="8"/>
  <c r="W75" i="8"/>
  <c r="X97" i="8"/>
  <c r="W196" i="8"/>
  <c r="X134" i="8"/>
  <c r="X173" i="8"/>
  <c r="X53" i="8"/>
  <c r="X208" i="8"/>
  <c r="X50" i="8"/>
  <c r="X142" i="8"/>
  <c r="W22" i="8"/>
  <c r="W162" i="8"/>
  <c r="X210" i="8"/>
  <c r="X30" i="8"/>
  <c r="W171" i="8"/>
  <c r="W157" i="8"/>
  <c r="X188" i="8"/>
  <c r="W52" i="8"/>
  <c r="X107" i="8"/>
  <c r="W25" i="8"/>
  <c r="W132" i="8"/>
  <c r="X193" i="8"/>
  <c r="W204" i="8"/>
  <c r="X120" i="8"/>
  <c r="W164" i="8"/>
  <c r="X175" i="8"/>
  <c r="X56" i="8"/>
  <c r="X211" i="8"/>
  <c r="X67" i="8"/>
  <c r="X170" i="8"/>
  <c r="X63" i="8"/>
  <c r="X88" i="8"/>
  <c r="W150" i="8"/>
  <c r="W34" i="8"/>
  <c r="X112" i="8"/>
  <c r="W72" i="8"/>
  <c r="X137" i="8"/>
  <c r="X181" i="8"/>
  <c r="X131" i="8"/>
  <c r="W9" i="8"/>
  <c r="X135" i="8"/>
  <c r="X190" i="8"/>
  <c r="X32" i="8"/>
  <c r="X76" i="8"/>
  <c r="X10" i="8"/>
  <c r="X35" i="8"/>
  <c r="X71" i="8"/>
  <c r="X91" i="8"/>
  <c r="X197" i="8"/>
  <c r="X115" i="8"/>
  <c r="W147" i="8"/>
  <c r="X155" i="8"/>
  <c r="X201" i="8"/>
  <c r="X139" i="8"/>
  <c r="X16" i="8"/>
  <c r="X152" i="8"/>
  <c r="Z171" i="8"/>
  <c r="AA171" i="8"/>
  <c r="L171" i="8" s="1"/>
  <c r="AA202" i="8"/>
  <c r="L202" i="8" s="1"/>
  <c r="Z202" i="8"/>
  <c r="K202" i="8" s="1"/>
  <c r="Z36" i="8"/>
  <c r="K36" i="8" s="1"/>
  <c r="AA36" i="8"/>
  <c r="L36" i="8" s="1"/>
  <c r="Z144" i="8"/>
  <c r="K144" i="8" s="1"/>
  <c r="AA144" i="8"/>
  <c r="L144" i="8" s="1"/>
  <c r="Z28" i="8"/>
  <c r="K28" i="8" s="1"/>
  <c r="AA28" i="8"/>
  <c r="L28" i="8" s="1"/>
  <c r="Z21" i="8"/>
  <c r="K21" i="8" s="1"/>
  <c r="AA21" i="8"/>
  <c r="L21" i="8" s="1"/>
  <c r="AA22" i="8"/>
  <c r="L22" i="8" s="1"/>
  <c r="Z22" i="8"/>
  <c r="Z137" i="8"/>
  <c r="K137" i="8" s="1"/>
  <c r="AA137" i="8"/>
  <c r="AA119" i="8"/>
  <c r="L119" i="8" s="1"/>
  <c r="Z119" i="8"/>
  <c r="K119" i="8" s="1"/>
  <c r="AA47" i="8"/>
  <c r="L47" i="8" s="1"/>
  <c r="Z47" i="8"/>
  <c r="K47" i="8" s="1"/>
  <c r="Z146" i="8"/>
  <c r="K146" i="8" s="1"/>
  <c r="AA146" i="8"/>
  <c r="L146" i="8" s="1"/>
  <c r="Z81" i="8"/>
  <c r="AA81" i="8"/>
  <c r="L81" i="8" s="1"/>
  <c r="AA182" i="8"/>
  <c r="Z182" i="8"/>
  <c r="K182" i="8" s="1"/>
  <c r="Z99" i="8"/>
  <c r="K99" i="8" s="1"/>
  <c r="AA99" i="8"/>
  <c r="L99" i="8" s="1"/>
  <c r="Z190" i="8"/>
  <c r="K190" i="8" s="1"/>
  <c r="AA190" i="8"/>
  <c r="Z117" i="8"/>
  <c r="K117" i="8" s="1"/>
  <c r="AA117" i="8"/>
  <c r="L117" i="8" s="1"/>
  <c r="Z208" i="8"/>
  <c r="K208" i="8" s="1"/>
  <c r="AA208" i="8"/>
  <c r="AA100" i="8"/>
  <c r="L100" i="8" s="1"/>
  <c r="Z100" i="8"/>
  <c r="K100" i="8" s="1"/>
  <c r="Z124" i="8"/>
  <c r="AA124" i="8"/>
  <c r="AA55" i="8"/>
  <c r="L55" i="8" s="1"/>
  <c r="Z55" i="8"/>
  <c r="K55" i="8" s="1"/>
  <c r="AA141" i="8"/>
  <c r="Z141" i="8"/>
  <c r="K141" i="8" s="1"/>
  <c r="AA27" i="8"/>
  <c r="Z27" i="8"/>
  <c r="Z64" i="8"/>
  <c r="AA64" i="8"/>
  <c r="Z49" i="8"/>
  <c r="K49" i="8" s="1"/>
  <c r="AA49" i="8"/>
  <c r="L49" i="8" s="1"/>
  <c r="Z131" i="8"/>
  <c r="K131" i="8" s="1"/>
  <c r="AA131" i="8"/>
  <c r="Z34" i="8"/>
  <c r="AA34" i="8"/>
  <c r="L34" i="8" s="1"/>
  <c r="Z76" i="8"/>
  <c r="K76" i="8" s="1"/>
  <c r="AA76" i="8"/>
  <c r="AA200" i="8"/>
  <c r="L200" i="8" s="1"/>
  <c r="Z200" i="8"/>
  <c r="K200" i="8" s="1"/>
  <c r="Z139" i="8"/>
  <c r="K139" i="8" s="1"/>
  <c r="AA139" i="8"/>
  <c r="AA84" i="8"/>
  <c r="L84" i="8" s="1"/>
  <c r="Z84" i="8"/>
  <c r="Z155" i="8"/>
  <c r="K155" i="8" s="1"/>
  <c r="AA155" i="8"/>
  <c r="Z165" i="8"/>
  <c r="K165" i="8" s="1"/>
  <c r="AA165" i="8"/>
  <c r="L165" i="8" s="1"/>
  <c r="Z77" i="8"/>
  <c r="K77" i="8" s="1"/>
  <c r="AA77" i="8"/>
  <c r="L77" i="8" s="1"/>
  <c r="Z142" i="8"/>
  <c r="K142" i="8" s="1"/>
  <c r="AA142" i="8"/>
  <c r="Z88" i="8"/>
  <c r="K88" i="8" s="1"/>
  <c r="AA88" i="8"/>
  <c r="Z168" i="8"/>
  <c r="K168" i="8" s="1"/>
  <c r="AA168" i="8"/>
  <c r="L168" i="8" s="1"/>
  <c r="AA157" i="8"/>
  <c r="L157" i="8" s="1"/>
  <c r="Z157" i="8"/>
  <c r="Z9" i="8"/>
  <c r="AA9" i="8"/>
  <c r="L9" i="8" s="1"/>
  <c r="AA111" i="8"/>
  <c r="L111" i="8" s="1"/>
  <c r="Z111" i="8"/>
  <c r="K111" i="8" s="1"/>
  <c r="Z183" i="8"/>
  <c r="K183" i="8" s="1"/>
  <c r="AA183" i="8"/>
  <c r="L183" i="8" s="1"/>
  <c r="Z51" i="8"/>
  <c r="K51" i="8" s="1"/>
  <c r="AA51" i="8"/>
  <c r="L51" i="8" s="1"/>
  <c r="AA20" i="8"/>
  <c r="L20" i="8" s="1"/>
  <c r="Z20" i="8"/>
  <c r="K20" i="8" s="1"/>
  <c r="Z3" i="8"/>
  <c r="K3" i="8" s="1"/>
  <c r="AA3" i="8"/>
  <c r="Z8" i="8"/>
  <c r="AA8" i="8"/>
  <c r="L8" i="8" s="1"/>
  <c r="Z7" i="8"/>
  <c r="K7" i="8" s="1"/>
  <c r="AA7" i="8"/>
  <c r="L7" i="8" s="1"/>
  <c r="AA14" i="8"/>
  <c r="L14" i="8" s="1"/>
  <c r="Z14" i="8"/>
  <c r="K14" i="8" s="1"/>
  <c r="Z128" i="8"/>
  <c r="K128" i="8" s="1"/>
  <c r="AA128" i="8"/>
  <c r="Z74" i="8"/>
  <c r="K74" i="8" s="1"/>
  <c r="AA74" i="8"/>
  <c r="L74" i="8" s="1"/>
  <c r="Z78" i="8"/>
  <c r="K78" i="8" s="1"/>
  <c r="AA78" i="8"/>
  <c r="L78" i="8" s="1"/>
  <c r="Z15" i="8"/>
  <c r="K15" i="8" s="1"/>
  <c r="AA15" i="8"/>
  <c r="L15" i="8" s="1"/>
  <c r="Z176" i="8"/>
  <c r="K176" i="8" s="1"/>
  <c r="AA176" i="8"/>
  <c r="L176" i="8" s="1"/>
  <c r="Z43" i="8"/>
  <c r="K43" i="8" s="1"/>
  <c r="AA43" i="8"/>
  <c r="L43" i="8" s="1"/>
  <c r="Z18" i="8"/>
  <c r="K18" i="8" s="1"/>
  <c r="AA18" i="8"/>
  <c r="L18" i="8" s="1"/>
  <c r="Z203" i="8"/>
  <c r="K203" i="8" s="1"/>
  <c r="AA203" i="8"/>
  <c r="L203" i="8" s="1"/>
  <c r="Z175" i="8"/>
  <c r="K175" i="8" s="1"/>
  <c r="AA175" i="8"/>
  <c r="Z195" i="8"/>
  <c r="K195" i="8" s="1"/>
  <c r="AA195" i="8"/>
  <c r="AA205" i="8"/>
  <c r="Z205" i="8"/>
  <c r="Z26" i="8"/>
  <c r="AA26" i="8"/>
  <c r="L26" i="8" s="1"/>
  <c r="Z72" i="8"/>
  <c r="AA72" i="8"/>
  <c r="L72" i="8" s="1"/>
  <c r="AA133" i="8"/>
  <c r="L133" i="8" s="1"/>
  <c r="Z133" i="8"/>
  <c r="Z159" i="8"/>
  <c r="K159" i="8" s="1"/>
  <c r="AA159" i="8"/>
  <c r="AA101" i="8"/>
  <c r="Z101" i="8"/>
  <c r="K101" i="8" s="1"/>
  <c r="Z132" i="8"/>
  <c r="AA132" i="8"/>
  <c r="L132" i="8" s="1"/>
  <c r="AA189" i="8"/>
  <c r="L189" i="8" s="1"/>
  <c r="Z189" i="8"/>
  <c r="K189" i="8" s="1"/>
  <c r="Z24" i="8"/>
  <c r="K24" i="8" s="1"/>
  <c r="AA24" i="8"/>
  <c r="L24" i="8" s="1"/>
  <c r="Z110" i="8"/>
  <c r="K110" i="8" s="1"/>
  <c r="AA110" i="8"/>
  <c r="L110" i="8" s="1"/>
  <c r="Z94" i="8"/>
  <c r="K94" i="8" s="1"/>
  <c r="AA94" i="8"/>
  <c r="AA87" i="8"/>
  <c r="L87" i="8" s="1"/>
  <c r="Z87" i="8"/>
  <c r="K87" i="8" s="1"/>
  <c r="Z46" i="8"/>
  <c r="K46" i="8" s="1"/>
  <c r="AA46" i="8"/>
  <c r="L46" i="8" s="1"/>
  <c r="Z126" i="8"/>
  <c r="K126" i="8" s="1"/>
  <c r="AA126" i="8"/>
  <c r="L126" i="8" s="1"/>
  <c r="AA42" i="8"/>
  <c r="L42" i="8" s="1"/>
  <c r="Z42" i="8"/>
  <c r="K42" i="8" s="1"/>
  <c r="Z204" i="8"/>
  <c r="AA204" i="8"/>
  <c r="L204" i="8" s="1"/>
  <c r="AA89" i="8"/>
  <c r="L89" i="8" s="1"/>
  <c r="Z89" i="8"/>
  <c r="K89" i="8" s="1"/>
  <c r="Z80" i="8"/>
  <c r="AA80" i="8"/>
  <c r="L80" i="8" s="1"/>
  <c r="AA177" i="8"/>
  <c r="Z177" i="8"/>
  <c r="Z109" i="8"/>
  <c r="K109" i="8" s="1"/>
  <c r="AA109" i="8"/>
  <c r="Z45" i="8"/>
  <c r="K45" i="8" s="1"/>
  <c r="AA45" i="8"/>
  <c r="L45" i="8" s="1"/>
  <c r="AA187" i="8"/>
  <c r="L187" i="8" s="1"/>
  <c r="Z187" i="8"/>
  <c r="K187" i="8" s="1"/>
  <c r="Z196" i="8"/>
  <c r="AA196" i="8"/>
  <c r="L196" i="8" s="1"/>
  <c r="Z11" i="8"/>
  <c r="K11" i="8" s="1"/>
  <c r="AA11" i="8"/>
  <c r="L11" i="8" s="1"/>
  <c r="Z156" i="8"/>
  <c r="AA156" i="8"/>
  <c r="L156" i="8" s="1"/>
  <c r="Z107" i="8"/>
  <c r="K107" i="8" s="1"/>
  <c r="AA107" i="8"/>
  <c r="AA69" i="8"/>
  <c r="L69" i="8" s="1"/>
  <c r="Z69" i="8"/>
  <c r="K69" i="8" s="1"/>
  <c r="Z127" i="8"/>
  <c r="K127" i="8" s="1"/>
  <c r="AA127" i="8"/>
  <c r="Z86" i="8"/>
  <c r="AA86" i="8"/>
  <c r="L86" i="8" s="1"/>
  <c r="Z5" i="8"/>
  <c r="K5" i="8" s="1"/>
  <c r="AA5" i="8"/>
  <c r="L5" i="8" s="1"/>
  <c r="Z52" i="8"/>
  <c r="AA52" i="8"/>
  <c r="L52" i="8" s="1"/>
  <c r="Z150" i="8"/>
  <c r="AA150" i="8"/>
  <c r="L150" i="8" s="1"/>
  <c r="Z120" i="8"/>
  <c r="K120" i="8" s="1"/>
  <c r="AA120" i="8"/>
  <c r="Z82" i="8"/>
  <c r="AA82" i="8"/>
  <c r="L82" i="8" s="1"/>
  <c r="Z136" i="8"/>
  <c r="AA136" i="8"/>
  <c r="L136" i="8" s="1"/>
  <c r="Z31" i="8"/>
  <c r="K31" i="8" s="1"/>
  <c r="AA31" i="8"/>
  <c r="L31" i="8" s="1"/>
  <c r="AA53" i="8"/>
  <c r="Z53" i="8"/>
  <c r="K53" i="8" s="1"/>
  <c r="Z148" i="8"/>
  <c r="AA148" i="8"/>
  <c r="AA125" i="8"/>
  <c r="Z125" i="8"/>
  <c r="Z13" i="8"/>
  <c r="K13" i="8" s="1"/>
  <c r="AA13" i="8"/>
  <c r="L13" i="8" s="1"/>
  <c r="Z25" i="8"/>
  <c r="AA25" i="8"/>
  <c r="L25" i="8" s="1"/>
  <c r="Z118" i="8"/>
  <c r="K118" i="8" s="1"/>
  <c r="AA118" i="8"/>
  <c r="L118" i="8" s="1"/>
  <c r="Z102" i="8"/>
  <c r="K102" i="8" s="1"/>
  <c r="AA102" i="8"/>
  <c r="L102" i="8" s="1"/>
  <c r="AA174" i="8"/>
  <c r="L174" i="8" s="1"/>
  <c r="Z174" i="8"/>
  <c r="K174" i="8" s="1"/>
  <c r="Z147" i="8"/>
  <c r="AA147" i="8"/>
  <c r="L147" i="8" s="1"/>
  <c r="AA135" i="8"/>
  <c r="Z135" i="8"/>
  <c r="K135" i="8" s="1"/>
  <c r="Z19" i="8"/>
  <c r="K19" i="8" s="1"/>
  <c r="AA19" i="8"/>
  <c r="L19" i="8" s="1"/>
  <c r="AA193" i="8"/>
  <c r="Z193" i="8"/>
  <c r="K193" i="8" s="1"/>
  <c r="Z170" i="8"/>
  <c r="K170" i="8" s="1"/>
  <c r="AA170" i="8"/>
  <c r="Z116" i="8"/>
  <c r="K116" i="8" s="1"/>
  <c r="AA116" i="8"/>
  <c r="AA54" i="8"/>
  <c r="L54" i="8" s="1"/>
  <c r="Z54" i="8"/>
  <c r="K54" i="8" s="1"/>
  <c r="AA161" i="8"/>
  <c r="Z161" i="8"/>
  <c r="Z158" i="8"/>
  <c r="K158" i="8" s="1"/>
  <c r="AA158" i="8"/>
  <c r="AA50" i="8"/>
  <c r="Z50" i="8"/>
  <c r="K50" i="8" s="1"/>
  <c r="AA113" i="8"/>
  <c r="Z113" i="8"/>
  <c r="K113" i="8" s="1"/>
  <c r="Z92" i="8"/>
  <c r="AA92" i="8"/>
  <c r="Z106" i="8"/>
  <c r="AA106" i="8"/>
  <c r="Z172" i="8"/>
  <c r="K172" i="8" s="1"/>
  <c r="AA172" i="8"/>
  <c r="Z134" i="8"/>
  <c r="K134" i="8" s="1"/>
  <c r="AA134" i="8"/>
  <c r="Z164" i="8"/>
  <c r="AA164" i="8"/>
  <c r="L164" i="8" s="1"/>
  <c r="Z30" i="8"/>
  <c r="K30" i="8" s="1"/>
  <c r="AA30" i="8"/>
  <c r="Z112" i="8"/>
  <c r="K112" i="8" s="1"/>
  <c r="AA112" i="8"/>
  <c r="AA185" i="8"/>
  <c r="Z185" i="8"/>
  <c r="Z179" i="8"/>
  <c r="AA179" i="8"/>
  <c r="L179" i="8" s="1"/>
  <c r="AA37" i="8"/>
  <c r="L37" i="8" s="1"/>
  <c r="Z37" i="8"/>
  <c r="K37" i="8" s="1"/>
  <c r="Z181" i="8"/>
  <c r="K181" i="8" s="1"/>
  <c r="AA181" i="8"/>
  <c r="Z56" i="8"/>
  <c r="K56" i="8" s="1"/>
  <c r="AA56" i="8"/>
  <c r="Z75" i="8"/>
  <c r="AA75" i="8"/>
  <c r="L75" i="8" s="1"/>
  <c r="AA114" i="8"/>
  <c r="L114" i="8" s="1"/>
  <c r="Z114" i="8"/>
  <c r="K114" i="8" s="1"/>
  <c r="Z194" i="8"/>
  <c r="K194" i="8" s="1"/>
  <c r="AA194" i="8"/>
  <c r="L194" i="8" s="1"/>
  <c r="AA98" i="8"/>
  <c r="Z98" i="8"/>
  <c r="Z23" i="8"/>
  <c r="K23" i="8" s="1"/>
  <c r="AA23" i="8"/>
  <c r="L23" i="8" s="1"/>
  <c r="AA191" i="8"/>
  <c r="L191" i="8" s="1"/>
  <c r="Z191" i="8"/>
  <c r="K191" i="8" s="1"/>
  <c r="AA197" i="8"/>
  <c r="Z197" i="8"/>
  <c r="K197" i="8" s="1"/>
  <c r="AA61" i="8"/>
  <c r="L61" i="8" s="1"/>
  <c r="Z61" i="8"/>
  <c r="K61" i="8" s="1"/>
  <c r="Z206" i="8"/>
  <c r="AA206" i="8"/>
  <c r="AA65" i="8"/>
  <c r="Z65" i="8"/>
  <c r="Z16" i="8"/>
  <c r="K16" i="8" s="1"/>
  <c r="AA16" i="8"/>
  <c r="Z39" i="8"/>
  <c r="K39" i="8" s="1"/>
  <c r="AA39" i="8"/>
  <c r="Z192" i="8"/>
  <c r="K192" i="8" s="1"/>
  <c r="AA192" i="8"/>
  <c r="L192" i="8" s="1"/>
  <c r="AA180" i="8"/>
  <c r="L180" i="8" s="1"/>
  <c r="Z180" i="8"/>
  <c r="K180" i="8" s="1"/>
  <c r="Z108" i="8"/>
  <c r="AA108" i="8"/>
  <c r="Z29" i="8"/>
  <c r="AA29" i="8"/>
  <c r="L29" i="8" s="1"/>
  <c r="Z160" i="8"/>
  <c r="K160" i="8" s="1"/>
  <c r="AA160" i="8"/>
  <c r="L160" i="8" s="1"/>
  <c r="AA186" i="8"/>
  <c r="L186" i="8" s="1"/>
  <c r="Z186" i="8"/>
  <c r="K186" i="8" s="1"/>
  <c r="Z60" i="8"/>
  <c r="K60" i="8" s="1"/>
  <c r="AA60" i="8"/>
  <c r="L60" i="8" s="1"/>
  <c r="Z149" i="8"/>
  <c r="K149" i="8" s="1"/>
  <c r="AA149" i="8"/>
  <c r="L149" i="8" s="1"/>
  <c r="Z63" i="8"/>
  <c r="K63" i="8" s="1"/>
  <c r="AA63" i="8"/>
  <c r="Z67" i="8"/>
  <c r="K67" i="8" s="1"/>
  <c r="AA67" i="8"/>
  <c r="Z41" i="8"/>
  <c r="K41" i="8" s="1"/>
  <c r="AA41" i="8"/>
  <c r="L41" i="8" s="1"/>
  <c r="Z209" i="8"/>
  <c r="K209" i="8" s="1"/>
  <c r="AA209" i="8"/>
  <c r="L209" i="8" s="1"/>
  <c r="AA85" i="8"/>
  <c r="Z85" i="8"/>
  <c r="Z207" i="8"/>
  <c r="AA207" i="8"/>
  <c r="AA169" i="8"/>
  <c r="Z169" i="8"/>
  <c r="K169" i="8" s="1"/>
  <c r="Z198" i="8"/>
  <c r="AA198" i="8"/>
  <c r="L198" i="8" s="1"/>
  <c r="Z199" i="8"/>
  <c r="K199" i="8" s="1"/>
  <c r="AA199" i="8"/>
  <c r="L199" i="8" s="1"/>
  <c r="Z122" i="8"/>
  <c r="K122" i="8" s="1"/>
  <c r="AA122" i="8"/>
  <c r="L122" i="8" s="1"/>
  <c r="Z121" i="8"/>
  <c r="K121" i="8" s="1"/>
  <c r="AA121" i="8"/>
  <c r="L121" i="8" s="1"/>
  <c r="Z211" i="8"/>
  <c r="K211" i="8" s="1"/>
  <c r="AA211" i="8"/>
  <c r="Z130" i="8"/>
  <c r="AA130" i="8"/>
  <c r="L130" i="8" s="1"/>
  <c r="Z95" i="8"/>
  <c r="K95" i="8" s="1"/>
  <c r="AA95" i="8"/>
  <c r="L95" i="8" s="1"/>
  <c r="AA166" i="8"/>
  <c r="L166" i="8" s="1"/>
  <c r="Z166" i="8"/>
  <c r="AA115" i="8"/>
  <c r="Z115" i="8"/>
  <c r="K115" i="8" s="1"/>
  <c r="Z71" i="8"/>
  <c r="K71" i="8" s="1"/>
  <c r="AA71" i="8"/>
  <c r="AA162" i="8"/>
  <c r="L162" i="8" s="1"/>
  <c r="Z162" i="8"/>
  <c r="Z201" i="8"/>
  <c r="K201" i="8" s="1"/>
  <c r="AA201" i="8"/>
  <c r="Z59" i="8"/>
  <c r="K59" i="8" s="1"/>
  <c r="AA59" i="8"/>
  <c r="L59" i="8" s="1"/>
  <c r="AA70" i="8"/>
  <c r="L70" i="8" s="1"/>
  <c r="Z70" i="8"/>
  <c r="K70" i="8" s="1"/>
  <c r="Z93" i="8"/>
  <c r="K93" i="8" s="1"/>
  <c r="AA93" i="8"/>
  <c r="L93" i="8" s="1"/>
  <c r="AA44" i="8"/>
  <c r="L44" i="8" s="1"/>
  <c r="Z44" i="8"/>
  <c r="AA96" i="8"/>
  <c r="L96" i="8" s="1"/>
  <c r="Z96" i="8"/>
  <c r="K96" i="8" s="1"/>
  <c r="Z188" i="8"/>
  <c r="K188" i="8" s="1"/>
  <c r="AA188" i="8"/>
  <c r="AA6" i="8"/>
  <c r="L6" i="8" s="1"/>
  <c r="Z6" i="8"/>
  <c r="K6" i="8" s="1"/>
  <c r="Z129" i="8"/>
  <c r="K129" i="8" s="1"/>
  <c r="AA129" i="8"/>
  <c r="L129" i="8" s="1"/>
  <c r="AA10" i="8"/>
  <c r="Z10" i="8"/>
  <c r="K10" i="8" s="1"/>
  <c r="Z17" i="8"/>
  <c r="K17" i="8" s="1"/>
  <c r="AA17" i="8"/>
  <c r="L17" i="8" s="1"/>
  <c r="Z105" i="8"/>
  <c r="AA105" i="8"/>
  <c r="L105" i="8" s="1"/>
  <c r="Z163" i="8"/>
  <c r="K163" i="8" s="1"/>
  <c r="AA163" i="8"/>
  <c r="L163" i="8" s="1"/>
  <c r="Z97" i="8"/>
  <c r="K97" i="8" s="1"/>
  <c r="AA97" i="8"/>
  <c r="Z33" i="8"/>
  <c r="K33" i="8" s="1"/>
  <c r="AA33" i="8"/>
  <c r="L33" i="8" s="1"/>
  <c r="Z90" i="8"/>
  <c r="K90" i="8" s="1"/>
  <c r="AA90" i="8"/>
  <c r="L90" i="8" s="1"/>
  <c r="AA154" i="8"/>
  <c r="L154" i="8" s="1"/>
  <c r="Z154" i="8"/>
  <c r="K154" i="8" s="1"/>
  <c r="Z68" i="8"/>
  <c r="AA68" i="8"/>
  <c r="Z66" i="8"/>
  <c r="K66" i="8" s="1"/>
  <c r="AA66" i="8"/>
  <c r="AA48" i="8"/>
  <c r="L48" i="8" s="1"/>
  <c r="Z48" i="8"/>
  <c r="K48" i="8" s="1"/>
  <c r="Z152" i="8"/>
  <c r="K152" i="8" s="1"/>
  <c r="AA152" i="8"/>
  <c r="AA184" i="8"/>
  <c r="L184" i="8" s="1"/>
  <c r="Z184" i="8"/>
  <c r="K184" i="8" s="1"/>
  <c r="AA4" i="8"/>
  <c r="Z4" i="8"/>
  <c r="Z79" i="8"/>
  <c r="K79" i="8" s="1"/>
  <c r="AA79" i="8"/>
  <c r="L79" i="8" s="1"/>
  <c r="Z32" i="8"/>
  <c r="K32" i="8" s="1"/>
  <c r="AA32" i="8"/>
  <c r="Z62" i="8"/>
  <c r="K62" i="8" s="1"/>
  <c r="AA62" i="8"/>
  <c r="L62" i="8" s="1"/>
  <c r="Z151" i="8"/>
  <c r="K151" i="8" s="1"/>
  <c r="AA151" i="8"/>
  <c r="L151" i="8" s="1"/>
  <c r="Z91" i="8"/>
  <c r="K91" i="8" s="1"/>
  <c r="AA91" i="8"/>
  <c r="AA210" i="8"/>
  <c r="Z210" i="8"/>
  <c r="K210" i="8" s="1"/>
  <c r="AA58" i="8"/>
  <c r="L58" i="8" s="1"/>
  <c r="Z58" i="8"/>
  <c r="K58" i="8" s="1"/>
  <c r="Z83" i="8"/>
  <c r="K83" i="8" s="1"/>
  <c r="AA83" i="8"/>
  <c r="L83" i="8" s="1"/>
  <c r="Z153" i="8"/>
  <c r="K153" i="8" s="1"/>
  <c r="AA153" i="8"/>
  <c r="AA104" i="8"/>
  <c r="Z103" i="8"/>
  <c r="K103" i="8" s="1"/>
  <c r="AA103" i="8"/>
  <c r="L103" i="8" s="1"/>
  <c r="Z173" i="8"/>
  <c r="K173" i="8" s="1"/>
  <c r="AA173" i="8"/>
  <c r="L3" i="8" l="1"/>
  <c r="L116" i="8"/>
  <c r="L64" i="8"/>
  <c r="K35" i="8"/>
  <c r="Z38" i="8"/>
  <c r="AA140" i="8"/>
  <c r="L140" i="8" s="1"/>
  <c r="AA73" i="8"/>
  <c r="L73" i="8" s="1"/>
  <c r="K29" i="8"/>
  <c r="K98" i="8"/>
  <c r="L169" i="8"/>
  <c r="K156" i="8"/>
  <c r="W73" i="8"/>
  <c r="AA35" i="8"/>
  <c r="Z138" i="8"/>
  <c r="K138" i="8" s="1"/>
  <c r="L109" i="8"/>
  <c r="W38" i="8"/>
  <c r="K38" i="8" s="1"/>
  <c r="K80" i="8"/>
  <c r="L158" i="8"/>
  <c r="K105" i="8"/>
  <c r="L195" i="8"/>
  <c r="L115" i="8"/>
  <c r="K84" i="8"/>
  <c r="K166" i="8"/>
  <c r="K81" i="8"/>
  <c r="W64" i="8"/>
  <c r="Z40" i="8"/>
  <c r="K40" i="8" s="1"/>
  <c r="Z57" i="8"/>
  <c r="K57" i="8" s="1"/>
  <c r="Z2" i="8"/>
  <c r="K2" i="8" s="1"/>
  <c r="K75" i="8"/>
  <c r="K136" i="8"/>
  <c r="L141" i="8"/>
  <c r="AA167" i="8"/>
  <c r="AA212" i="8"/>
  <c r="L212" i="8" s="1"/>
  <c r="X57" i="8"/>
  <c r="L57" i="8" s="1"/>
  <c r="K86" i="8"/>
  <c r="X40" i="8"/>
  <c r="L40" i="8" s="1"/>
  <c r="K26" i="8"/>
  <c r="K130" i="8"/>
  <c r="L155" i="8"/>
  <c r="AA178" i="8"/>
  <c r="K82" i="8"/>
  <c r="K162" i="8"/>
  <c r="K65" i="8"/>
  <c r="L138" i="8"/>
  <c r="W207" i="8"/>
  <c r="K207" i="8" s="1"/>
  <c r="X207" i="8"/>
  <c r="L207" i="8" s="1"/>
  <c r="W205" i="8"/>
  <c r="K205" i="8" s="1"/>
  <c r="X205" i="8"/>
  <c r="L205" i="8" s="1"/>
  <c r="L101" i="8"/>
  <c r="AA143" i="8"/>
  <c r="L143" i="8" s="1"/>
  <c r="L127" i="8"/>
  <c r="L94" i="8"/>
  <c r="L159" i="8"/>
  <c r="X167" i="8"/>
  <c r="L167" i="8" s="1"/>
  <c r="W167" i="8"/>
  <c r="K167" i="8" s="1"/>
  <c r="W185" i="8"/>
  <c r="K185" i="8" s="1"/>
  <c r="X185" i="8"/>
  <c r="L185" i="8" s="1"/>
  <c r="K68" i="8"/>
  <c r="K108" i="8"/>
  <c r="K164" i="8"/>
  <c r="W68" i="8"/>
  <c r="X68" i="8"/>
  <c r="L68" i="8" s="1"/>
  <c r="X148" i="8"/>
  <c r="L148" i="8" s="1"/>
  <c r="W148" i="8"/>
  <c r="K148" i="8" s="1"/>
  <c r="X108" i="8"/>
  <c r="L108" i="8" s="1"/>
  <c r="W108" i="8"/>
  <c r="W161" i="8"/>
  <c r="K161" i="8" s="1"/>
  <c r="X161" i="8"/>
  <c r="L161" i="8" s="1"/>
  <c r="X85" i="8"/>
  <c r="L85" i="8" s="1"/>
  <c r="W85" i="8"/>
  <c r="K85" i="8"/>
  <c r="K133" i="8"/>
  <c r="W178" i="8"/>
  <c r="K178" i="8" s="1"/>
  <c r="X178" i="8"/>
  <c r="L178" i="8" s="1"/>
  <c r="W206" i="8"/>
  <c r="K206" i="8" s="1"/>
  <c r="X206" i="8"/>
  <c r="L206" i="8" s="1"/>
  <c r="X125" i="8"/>
  <c r="L125" i="8" s="1"/>
  <c r="W125" i="8"/>
  <c r="K125" i="8" s="1"/>
  <c r="K179" i="8"/>
  <c r="K140" i="8"/>
  <c r="X106" i="8"/>
  <c r="L106" i="8" s="1"/>
  <c r="W106" i="8"/>
  <c r="K106" i="8" s="1"/>
  <c r="W123" i="8"/>
  <c r="X123" i="8"/>
  <c r="L123" i="8" s="1"/>
  <c r="Z123" i="8"/>
  <c r="X92" i="8"/>
  <c r="L92" i="8" s="1"/>
  <c r="W92" i="8"/>
  <c r="K92" i="8" s="1"/>
  <c r="X104" i="8"/>
  <c r="L104" i="8" s="1"/>
  <c r="W104" i="8"/>
  <c r="K104" i="8" s="1"/>
  <c r="X124" i="8"/>
  <c r="L124" i="8" s="1"/>
  <c r="W124" i="8"/>
  <c r="K124" i="8" s="1"/>
  <c r="AA145" i="8"/>
  <c r="L145" i="8" s="1"/>
  <c r="L30" i="8"/>
  <c r="L153" i="8"/>
  <c r="L39" i="8"/>
  <c r="L172" i="8"/>
  <c r="X65" i="8"/>
  <c r="X2" i="8"/>
  <c r="L2" i="8" s="1"/>
  <c r="W27" i="8"/>
  <c r="K27" i="8" s="1"/>
  <c r="X27" i="8"/>
  <c r="L27" i="8" s="1"/>
  <c r="W177" i="8"/>
  <c r="K177" i="8" s="1"/>
  <c r="X177" i="8"/>
  <c r="L177" i="8" s="1"/>
  <c r="L107" i="8"/>
  <c r="L197" i="8"/>
  <c r="L53" i="8"/>
  <c r="K52" i="8"/>
  <c r="L128" i="8"/>
  <c r="L66" i="8"/>
  <c r="L67" i="8"/>
  <c r="L63" i="8"/>
  <c r="K44" i="8"/>
  <c r="L98" i="8"/>
  <c r="L97" i="8"/>
  <c r="AA12" i="8"/>
  <c r="K198" i="8"/>
  <c r="L182" i="8"/>
  <c r="L211" i="8"/>
  <c r="L208" i="8"/>
  <c r="X4" i="8"/>
  <c r="L4" i="8" s="1"/>
  <c r="W4" i="8"/>
  <c r="K4" i="8" s="1"/>
  <c r="W12" i="8"/>
  <c r="K12" i="8" s="1"/>
  <c r="X12" i="8"/>
  <c r="L173" i="8"/>
  <c r="K196" i="8"/>
  <c r="K8" i="8"/>
  <c r="L188" i="8"/>
  <c r="L113" i="8"/>
  <c r="L134" i="8"/>
  <c r="L170" i="8"/>
  <c r="L175" i="8"/>
  <c r="K157" i="8"/>
  <c r="L142" i="8"/>
  <c r="K22" i="8"/>
  <c r="L210" i="8"/>
  <c r="K132" i="8"/>
  <c r="K171" i="8"/>
  <c r="K204" i="8"/>
  <c r="L193" i="8"/>
  <c r="L137" i="8"/>
  <c r="L120" i="8"/>
  <c r="L50" i="8"/>
  <c r="K25" i="8"/>
  <c r="K73" i="8"/>
  <c r="K150" i="8"/>
  <c r="L88" i="8"/>
  <c r="K72" i="8"/>
  <c r="L56" i="8"/>
  <c r="L112" i="8"/>
  <c r="K34" i="8"/>
  <c r="L181" i="8"/>
  <c r="L65" i="8"/>
  <c r="K9" i="8"/>
  <c r="L131" i="8"/>
  <c r="K147" i="8"/>
  <c r="L135" i="8"/>
  <c r="K64" i="8"/>
  <c r="L91" i="8"/>
  <c r="L71" i="8"/>
  <c r="L10" i="8"/>
  <c r="L35" i="8"/>
  <c r="L190" i="8"/>
  <c r="L76" i="8"/>
  <c r="L32" i="8"/>
  <c r="L16" i="8"/>
  <c r="L152" i="8"/>
  <c r="L139" i="8"/>
  <c r="L201" i="8"/>
  <c r="K123" i="8" l="1"/>
  <c r="L12" i="8"/>
</calcChain>
</file>

<file path=xl/sharedStrings.xml><?xml version="1.0" encoding="utf-8"?>
<sst xmlns="http://schemas.openxmlformats.org/spreadsheetml/2006/main" count="354" uniqueCount="312">
  <si>
    <t>vdevmax (V)</t>
  </si>
  <si>
    <t>vdevmin (V)</t>
  </si>
  <si>
    <t>iclmin (A)</t>
  </si>
  <si>
    <t>gmps (A/V)</t>
  </si>
  <si>
    <t>vinnom (V)</t>
  </si>
  <si>
    <t>vinmax (V)</t>
  </si>
  <si>
    <t>vinmin (V)</t>
  </si>
  <si>
    <t>Vref (V)</t>
  </si>
  <si>
    <t>tonmin (s)</t>
  </si>
  <si>
    <t>power supply requirements</t>
  </si>
  <si>
    <t>Dmax, Dmin, Dnom</t>
  </si>
  <si>
    <t>tss (s)</t>
  </si>
  <si>
    <t>gmea (A/V)</t>
  </si>
  <si>
    <t>Vinmin (V)</t>
  </si>
  <si>
    <t>gmps</t>
  </si>
  <si>
    <t>gmea</t>
  </si>
  <si>
    <t>tonmin</t>
  </si>
  <si>
    <t>Disclaimer:</t>
  </si>
  <si>
    <t>This product is designed as an aid for customers of Texas Instruments.  No warranties, either express</t>
  </si>
  <si>
    <t>or implied, with respect to this software or its fitness for any particular purpose is made by Texas</t>
  </si>
  <si>
    <t>Instruments or the author.  The software is licensed solely on an "as is" basis.  The entire risk as to its</t>
  </si>
  <si>
    <t>quality and performance is with the user.</t>
  </si>
  <si>
    <t>User-Input Cells</t>
  </si>
  <si>
    <t>Calculated Cells</t>
  </si>
  <si>
    <t>Constants Cells</t>
  </si>
  <si>
    <t>output ripple voltage requirement</t>
  </si>
  <si>
    <t>nominal input voltage</t>
  </si>
  <si>
    <t>maximum input voltage</t>
  </si>
  <si>
    <t>minimum input voltage</t>
  </si>
  <si>
    <t>desired switching frequency</t>
  </si>
  <si>
    <t>slow start time</t>
  </si>
  <si>
    <t>description</t>
  </si>
  <si>
    <t>maximum operating voltage</t>
  </si>
  <si>
    <t>minimum operating voltage</t>
  </si>
  <si>
    <t>maximum switching frequency</t>
  </si>
  <si>
    <t>minimum switching frequency</t>
  </si>
  <si>
    <t>minimum current limit</t>
  </si>
  <si>
    <t>minimum controllable on time</t>
  </si>
  <si>
    <t>transconductance of power stage</t>
  </si>
  <si>
    <t>transconductance of error amplifier</t>
  </si>
  <si>
    <t xml:space="preserve">reference voltage </t>
  </si>
  <si>
    <t>high side feedback resistor for adjusting output voltage</t>
  </si>
  <si>
    <t>minimum input voltage needs to be greater than the device minimum voltage</t>
  </si>
  <si>
    <t>maximum, minimum, nominal duty cycle</t>
  </si>
  <si>
    <t>actual inductor value</t>
  </si>
  <si>
    <t>actual esr</t>
  </si>
  <si>
    <t>slow start capacitor</t>
  </si>
  <si>
    <t>Summary of Components</t>
  </si>
  <si>
    <t>Device Supported</t>
  </si>
  <si>
    <t>devIo (A)</t>
  </si>
  <si>
    <t>devfreqmax (kHz)</t>
  </si>
  <si>
    <t>devfreqmin (kHz)</t>
  </si>
  <si>
    <t>Iss (A)</t>
  </si>
  <si>
    <t>Ih (A)</t>
  </si>
  <si>
    <t>Part #</t>
  </si>
  <si>
    <t>vdevmin</t>
  </si>
  <si>
    <t>vdevmax</t>
  </si>
  <si>
    <t>devIo</t>
  </si>
  <si>
    <t>devfreqmax</t>
  </si>
  <si>
    <t>devfreqmin</t>
  </si>
  <si>
    <t>iclmin</t>
  </si>
  <si>
    <t>Vref</t>
  </si>
  <si>
    <t>Rhs</t>
  </si>
  <si>
    <t>Iss</t>
  </si>
  <si>
    <t>Venrising</t>
  </si>
  <si>
    <t>Ih</t>
  </si>
  <si>
    <t>Ip</t>
  </si>
  <si>
    <t>on resistance for hsfet</t>
  </si>
  <si>
    <t>slow start charge current</t>
  </si>
  <si>
    <t>vinstart (V)</t>
  </si>
  <si>
    <t>input start voltage</t>
  </si>
  <si>
    <t>vinstop (V)</t>
  </si>
  <si>
    <t>input stop voltage</t>
  </si>
  <si>
    <t>vo (V)</t>
  </si>
  <si>
    <t>output voltage</t>
  </si>
  <si>
    <t>dVopp (V)</t>
  </si>
  <si>
    <t>dVo (V)</t>
  </si>
  <si>
    <t>output voltage transient requirement during step load changes</t>
  </si>
  <si>
    <t>io (A)</t>
  </si>
  <si>
    <t>nominal output current</t>
  </si>
  <si>
    <t>iopp (A)</t>
  </si>
  <si>
    <t>peak-to-peak output current ripple</t>
  </si>
  <si>
    <t>fsw (kHz)</t>
  </si>
  <si>
    <t>power stage design</t>
  </si>
  <si>
    <t>eq1 in d/s</t>
  </si>
  <si>
    <t>low side feedback resistor for adjusting output voltage</t>
  </si>
  <si>
    <t>actual low side feedback resistor for adjusting output voltage</t>
  </si>
  <si>
    <t xml:space="preserve">should be greater than </t>
  </si>
  <si>
    <t>Vinmax (V)</t>
  </si>
  <si>
    <t xml:space="preserve">should be smaller than </t>
  </si>
  <si>
    <t>maximum input voltage needs to be smaller than the device maximum voltage</t>
  </si>
  <si>
    <t>Lomin (H)</t>
  </si>
  <si>
    <t>calculated minimum inductor value</t>
  </si>
  <si>
    <t>L1 (H)</t>
  </si>
  <si>
    <t>actual DCR of output inductor</t>
  </si>
  <si>
    <t>Iopp actual (A)</t>
  </si>
  <si>
    <t>actual peak-to-peak output current ripple</t>
  </si>
  <si>
    <t>Iind_rms (A)</t>
  </si>
  <si>
    <t>RMS inductor current</t>
  </si>
  <si>
    <t>Iopeak (A)</t>
  </si>
  <si>
    <t>peak inductor current</t>
  </si>
  <si>
    <t>Comin1 (F)</t>
  </si>
  <si>
    <t>minimum output capacitance to meet output voltage transient requirement during step load changes between no load to full load.</t>
  </si>
  <si>
    <t>Comin2 (F)</t>
  </si>
  <si>
    <t>minimum output capacitance to meet output ripple voltage requiment</t>
  </si>
  <si>
    <t>Co (F)</t>
  </si>
  <si>
    <t>output capacitance</t>
  </si>
  <si>
    <t>Co_actual(F)</t>
  </si>
  <si>
    <t>actual derated output capacitance for ceramic ouput capacitors</t>
  </si>
  <si>
    <t>maximum esr allowed to meet the output ripple requirement</t>
  </si>
  <si>
    <t>Icorms (A)</t>
  </si>
  <si>
    <t>RMS ripple current of output capacitors</t>
  </si>
  <si>
    <t>Icirms (A)</t>
  </si>
  <si>
    <t>RMS ripple current of input capacitors</t>
  </si>
  <si>
    <t>actual input capacitance @ VIN</t>
  </si>
  <si>
    <t>eq26 in d/s</t>
  </si>
  <si>
    <t>dVIN (V)</t>
  </si>
  <si>
    <t>input voltage ripple</t>
  </si>
  <si>
    <t>feature design</t>
  </si>
  <si>
    <t>actual slow start capacitor</t>
  </si>
  <si>
    <t>eq2 in d/s</t>
  </si>
  <si>
    <t>VIN UVLO resistor R1</t>
  </si>
  <si>
    <t>eq3 in d/s</t>
  </si>
  <si>
    <t>VIN UVLO resistor R2</t>
  </si>
  <si>
    <t>actual VIN UVLO resistor R1</t>
  </si>
  <si>
    <t>actual VIN UVLO resistor R2</t>
  </si>
  <si>
    <t>RT resistance</t>
  </si>
  <si>
    <t>actual RT resistance</t>
  </si>
  <si>
    <t>type II compensation design</t>
  </si>
  <si>
    <t>eq30 in d/s</t>
  </si>
  <si>
    <t>fpmod (kHz)</t>
  </si>
  <si>
    <t>pole of power stage</t>
  </si>
  <si>
    <t>eq31 in d/s</t>
  </si>
  <si>
    <t>fzmod (kHz )</t>
  </si>
  <si>
    <t>zero of power stage</t>
  </si>
  <si>
    <t>eq32 in d/s</t>
  </si>
  <si>
    <t>fco1 (kHz)</t>
  </si>
  <si>
    <t>eq33 in d/s</t>
  </si>
  <si>
    <t>fco2 (kHz)</t>
  </si>
  <si>
    <t>fco_intended (kHz)</t>
  </si>
  <si>
    <t>intended crossover frequency</t>
  </si>
  <si>
    <t>fco (kHz)</t>
  </si>
  <si>
    <t xml:space="preserve">desired crossover frequency </t>
  </si>
  <si>
    <t>eq34 in d/s</t>
  </si>
  <si>
    <t>compensation resistor R4</t>
  </si>
  <si>
    <t>actual compensation resistor R4</t>
  </si>
  <si>
    <t>eq35 in d/s</t>
  </si>
  <si>
    <t>If</t>
  </si>
  <si>
    <t>kHz              &lt;=</t>
  </si>
  <si>
    <t>kHz</t>
  </si>
  <si>
    <t>compensation capacitor C6</t>
  </si>
  <si>
    <t>C6_actual (F)</t>
  </si>
  <si>
    <t>eq11 in d/s</t>
  </si>
  <si>
    <t>eq12 in d/s</t>
  </si>
  <si>
    <t>Device</t>
  </si>
  <si>
    <t>C5 (F)</t>
  </si>
  <si>
    <t>C6 (F)</t>
  </si>
  <si>
    <t>0F means no connect</t>
  </si>
  <si>
    <t>The calculator utilizes generic power stage and compensation design algebra which can be modified for most of current-mode step-down DC/DC converters.</t>
  </si>
  <si>
    <t>This worksheet is designed for use with Microsoft Excel 2002 or later.  It is intended to assist circuit designers in their routine, day-to-day calculations.</t>
  </si>
  <si>
    <t>All worksheets contain yellow user-input cells that accept manual numeric input, light blue calculated cells, and light gray constants cells.</t>
  </si>
  <si>
    <t>USER DEFINED</t>
  </si>
  <si>
    <t>TPS54240</t>
  </si>
  <si>
    <t>TPS54260</t>
  </si>
  <si>
    <t>kind</t>
  </si>
  <si>
    <t>inductor ripple constant</t>
  </si>
  <si>
    <t>eq28 in d/s</t>
  </si>
  <si>
    <t>Lo (H)</t>
  </si>
  <si>
    <t>eq29 in d/s</t>
  </si>
  <si>
    <t>Comin3 (F)</t>
  </si>
  <si>
    <t>minimum output capacitance to meet output voltage transient requirement during step load changes between full load to no load.</t>
  </si>
  <si>
    <t>Co_der (%)</t>
  </si>
  <si>
    <t>eq36 in d/s</t>
  </si>
  <si>
    <t>eq38 in d/s</t>
  </si>
  <si>
    <t>I1 (A)</t>
  </si>
  <si>
    <t>Vena (V)</t>
  </si>
  <si>
    <t>EN pin current hysteresis</t>
  </si>
  <si>
    <t>EN pull-up current source</t>
  </si>
  <si>
    <t>EN voltage threshold</t>
  </si>
  <si>
    <t>Rrt</t>
  </si>
  <si>
    <t>max switching frequency to avoid pulse skipping</t>
  </si>
  <si>
    <t>max switching frequency for frequency shift protection</t>
  </si>
  <si>
    <t>eq13 in d/s</t>
  </si>
  <si>
    <t>eq6 in d/s</t>
  </si>
  <si>
    <t>C5_actual(F)</t>
  </si>
  <si>
    <t>C3 (F)</t>
  </si>
  <si>
    <t>C3_actual (F)</t>
  </si>
  <si>
    <t>compensation capacitor C6 for ESR zero</t>
  </si>
  <si>
    <t>C6 (F) needed</t>
  </si>
  <si>
    <t xml:space="preserve">TPS54x40 &amp;TPS54x60 Current-Mode Step-Down Converter Design Calculator </t>
  </si>
  <si>
    <t>The Design Calculator Tool calculates the critical external component values for the TPS54x40 and TPS54x60 family of parts</t>
  </si>
  <si>
    <t>© 2012</t>
  </si>
  <si>
    <t>The calculator includes power stage design, feature design as well as Type II compensation designs using the TPS54x40 and TPS54x60 datasheet equations.</t>
  </si>
  <si>
    <t>The initial values show an example using the TPS54040 datasheet applications section</t>
  </si>
  <si>
    <t>select device</t>
  </si>
  <si>
    <t>device constants</t>
  </si>
  <si>
    <t>forward voltage of schottky diode</t>
  </si>
  <si>
    <t>output voltage during short circuit</t>
  </si>
  <si>
    <t>vfd (V)</t>
  </si>
  <si>
    <t>vosc (V)</t>
  </si>
  <si>
    <t>fsw_maxskip (kHz)</t>
  </si>
  <si>
    <t>ioh (A)</t>
  </si>
  <si>
    <t>iol (A)</t>
  </si>
  <si>
    <t>output current under heavy load</t>
  </si>
  <si>
    <t>output current under light load</t>
  </si>
  <si>
    <t>% derating for ceramic output capacitors</t>
  </si>
  <si>
    <t>actual derated output capacitance</t>
  </si>
  <si>
    <t>rated output current</t>
  </si>
  <si>
    <t>C4 (F)</t>
  </si>
  <si>
    <t>Rhs (Ω)</t>
  </si>
  <si>
    <t>R7 (kΩ)</t>
  </si>
  <si>
    <t>R6 (kΩ)</t>
  </si>
  <si>
    <t>R6_actual (kΩ)</t>
  </si>
  <si>
    <t>rdc actual (Ω)</t>
  </si>
  <si>
    <t>ESRmax (Ω)</t>
  </si>
  <si>
    <t>ESR (Ω)</t>
  </si>
  <si>
    <t>R1 (kΩ)</t>
  </si>
  <si>
    <t>R2 (kΩ)</t>
  </si>
  <si>
    <t>R1_actual (kΩ)</t>
  </si>
  <si>
    <t>R2_actual (kΩ)</t>
  </si>
  <si>
    <t>R3 (kΩ)</t>
  </si>
  <si>
    <t>R3_actual (kΩ)</t>
  </si>
  <si>
    <t>R4 (kΩ)</t>
  </si>
  <si>
    <t>R4_actual (kΩ)</t>
  </si>
  <si>
    <t>TPS54040/A</t>
  </si>
  <si>
    <t>TPS54060/A</t>
  </si>
  <si>
    <t>TPS54140/A</t>
  </si>
  <si>
    <t>TPS54160/A</t>
  </si>
  <si>
    <t>actual compensation capacitor C6. use largest value of two calculations above (0F means no connect)</t>
  </si>
  <si>
    <t>refer to page 34 of d/s</t>
  </si>
  <si>
    <t>Cin (F)</t>
  </si>
  <si>
    <t>fixed</t>
  </si>
  <si>
    <t>TPS5401</t>
  </si>
  <si>
    <t>compensation capacitor C5</t>
  </si>
  <si>
    <t>actual compensation capacitor C5</t>
  </si>
  <si>
    <t>Hide Sheet</t>
  </si>
  <si>
    <t>Std. Resistors</t>
  </si>
  <si>
    <t>Capacitors</t>
  </si>
  <si>
    <t>Enter resistor value</t>
  </si>
  <si>
    <t>E6</t>
  </si>
  <si>
    <t>E96</t>
  </si>
  <si>
    <t>Cap value</t>
  </si>
  <si>
    <t>pF</t>
  </si>
  <si>
    <t>Closest E6 Value</t>
  </si>
  <si>
    <t>Closest E12 Value</t>
  </si>
  <si>
    <t>C values up to 10nF</t>
  </si>
  <si>
    <t>Closest E24 Value</t>
  </si>
  <si>
    <t>Closest E48 Value</t>
  </si>
  <si>
    <t>Closest E96 Value</t>
  </si>
  <si>
    <t>E12</t>
  </si>
  <si>
    <t>C values greater than 10nF</t>
  </si>
  <si>
    <t>E24</t>
  </si>
  <si>
    <t>E48</t>
  </si>
  <si>
    <t>D2</t>
  </si>
  <si>
    <t>D1</t>
  </si>
  <si>
    <t>D0</t>
  </si>
  <si>
    <t>C1</t>
  </si>
  <si>
    <t>C0</t>
  </si>
  <si>
    <t>wz1</t>
  </si>
  <si>
    <t>a2</t>
  </si>
  <si>
    <t>a1</t>
  </si>
  <si>
    <t>Hd</t>
  </si>
  <si>
    <t>Ddcm</t>
  </si>
  <si>
    <t>R</t>
  </si>
  <si>
    <t>Sn</t>
  </si>
  <si>
    <t>Fm</t>
  </si>
  <si>
    <t>DCM &gt;= 1</t>
  </si>
  <si>
    <t>esr zero</t>
  </si>
  <si>
    <t>wo</t>
  </si>
  <si>
    <t>Ro err amp</t>
  </si>
  <si>
    <t>Co err amp</t>
  </si>
  <si>
    <t>Se</t>
  </si>
  <si>
    <t>Ri</t>
  </si>
  <si>
    <t>BW</t>
  </si>
  <si>
    <t>Aol</t>
  </si>
  <si>
    <t>Ioutmin</t>
  </si>
  <si>
    <t>Ioutmax</t>
  </si>
  <si>
    <t>fsw</t>
  </si>
  <si>
    <t>Vout</t>
  </si>
  <si>
    <t>Vin</t>
  </si>
  <si>
    <t>Rdc</t>
  </si>
  <si>
    <t>Lo</t>
  </si>
  <si>
    <t>Rc</t>
  </si>
  <si>
    <t>Co</t>
  </si>
  <si>
    <t>Resr</t>
  </si>
  <si>
    <t>Cpole</t>
  </si>
  <si>
    <t>Ccomp</t>
  </si>
  <si>
    <t>Rcomp</t>
  </si>
  <si>
    <t>Rls feedback</t>
  </si>
  <si>
    <t>Rhs feedback</t>
  </si>
  <si>
    <t>Iout (for plot)</t>
  </si>
  <si>
    <t>Gain Phase</t>
  </si>
  <si>
    <t>Gain-dB</t>
  </si>
  <si>
    <t>Overall dcm</t>
  </si>
  <si>
    <t>Overall ccm</t>
  </si>
  <si>
    <t>Comp Phase</t>
  </si>
  <si>
    <t>Comp Gain</t>
  </si>
  <si>
    <t>Compensation Complex</t>
  </si>
  <si>
    <t>Phase Degrees</t>
  </si>
  <si>
    <t>CCM Peak DMC complex</t>
  </si>
  <si>
    <t>CCM Peak CMC complex</t>
  </si>
  <si>
    <t>overall phase</t>
  </si>
  <si>
    <t>overall gain</t>
  </si>
  <si>
    <t>power stage phase</t>
  </si>
  <si>
    <t>power stage gain</t>
  </si>
  <si>
    <t>s=2*pi*freq*i</t>
  </si>
  <si>
    <t>freq</t>
  </si>
  <si>
    <t>From design equations</t>
  </si>
  <si>
    <t>Values for plotting</t>
  </si>
  <si>
    <t>Iomin</t>
  </si>
  <si>
    <t>Minimum ouput current</t>
  </si>
  <si>
    <t>Anthony Fagnani, Onkar Bhakare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</si>
</sst>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0.000"/>
    <numFmt numFmtId="173" formatCode="0.0"/>
    <numFmt numFmtId="175" formatCode="0.0000"/>
  </numFmts>
  <fonts count="2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14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sz val="10"/>
      <color indexed="2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6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Protection="1"/>
    <xf numFmtId="0" fontId="2" fillId="2" borderId="0" xfId="0" applyFont="1" applyFill="1" applyProtection="1"/>
    <xf numFmtId="0" fontId="0" fillId="3" borderId="0" xfId="0" applyFill="1" applyProtection="1">
      <protection locked="0"/>
    </xf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2" fillId="0" borderId="0" xfId="0" applyFont="1" applyProtection="1"/>
    <xf numFmtId="172" fontId="0" fillId="3" borderId="0" xfId="0" applyNumberFormat="1" applyFill="1" applyProtection="1">
      <protection locked="0"/>
    </xf>
    <xf numFmtId="0" fontId="0" fillId="2" borderId="0" xfId="0" applyFill="1" applyProtection="1"/>
    <xf numFmtId="2" fontId="0" fillId="3" borderId="0" xfId="0" applyNumberFormat="1" applyFill="1" applyProtection="1">
      <protection locked="0"/>
    </xf>
    <xf numFmtId="175" fontId="0" fillId="0" borderId="0" xfId="0" applyNumberFormat="1" applyProtection="1"/>
    <xf numFmtId="0" fontId="0" fillId="0" borderId="0" xfId="0" applyBorder="1" applyProtection="1"/>
    <xf numFmtId="0" fontId="0" fillId="0" borderId="0" xfId="0" applyFill="1" applyBorder="1" applyProtection="1"/>
    <xf numFmtId="11" fontId="0" fillId="0" borderId="0" xfId="0" applyNumberFormat="1" applyBorder="1" applyProtection="1"/>
    <xf numFmtId="172" fontId="0" fillId="0" borderId="0" xfId="0" applyNumberFormat="1" applyFill="1" applyBorder="1" applyProtection="1"/>
    <xf numFmtId="172" fontId="0" fillId="0" borderId="0" xfId="0" applyNumberFormat="1" applyBorder="1" applyProtection="1"/>
    <xf numFmtId="175" fontId="0" fillId="0" borderId="0" xfId="0" applyNumberFormat="1" applyFill="1" applyProtection="1"/>
    <xf numFmtId="0" fontId="0" fillId="3" borderId="0" xfId="0" applyFill="1" applyBorder="1" applyProtection="1">
      <protection locked="0"/>
    </xf>
    <xf numFmtId="0" fontId="0" fillId="0" borderId="0" xfId="0" applyAlignment="1" applyProtection="1">
      <alignment wrapText="1"/>
    </xf>
    <xf numFmtId="1" fontId="0" fillId="0" borderId="0" xfId="0" applyNumberFormat="1" applyBorder="1" applyProtection="1"/>
    <xf numFmtId="2" fontId="0" fillId="3" borderId="0" xfId="0" applyNumberFormat="1" applyFill="1" applyBorder="1" applyProtection="1">
      <protection locked="0"/>
    </xf>
    <xf numFmtId="0" fontId="9" fillId="2" borderId="0" xfId="0" applyFont="1" applyFill="1" applyProtection="1"/>
    <xf numFmtId="175" fontId="0" fillId="2" borderId="0" xfId="0" applyNumberFormat="1" applyFill="1" applyProtection="1"/>
    <xf numFmtId="0" fontId="0" fillId="3" borderId="0" xfId="0" applyFill="1" applyProtection="1"/>
    <xf numFmtId="0" fontId="0" fillId="4" borderId="0" xfId="0" applyFill="1" applyProtection="1"/>
    <xf numFmtId="0" fontId="0" fillId="4" borderId="1" xfId="0" applyFill="1" applyBorder="1" applyProtection="1"/>
    <xf numFmtId="0" fontId="0" fillId="4" borderId="2" xfId="0" applyFill="1" applyBorder="1" applyProtection="1"/>
    <xf numFmtId="0" fontId="5" fillId="4" borderId="0" xfId="0" applyFont="1" applyFill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0" fillId="4" borderId="9" xfId="0" applyFill="1" applyBorder="1" applyProtection="1"/>
    <xf numFmtId="0" fontId="0" fillId="4" borderId="10" xfId="0" applyFill="1" applyBorder="1" applyProtection="1"/>
    <xf numFmtId="0" fontId="4" fillId="4" borderId="9" xfId="0" applyFont="1" applyFill="1" applyBorder="1" applyProtection="1"/>
    <xf numFmtId="0" fontId="4" fillId="4" borderId="0" xfId="0" applyFont="1" applyFill="1" applyProtection="1"/>
    <xf numFmtId="0" fontId="4" fillId="4" borderId="10" xfId="0" applyFont="1" applyFill="1" applyBorder="1" applyProtection="1"/>
    <xf numFmtId="0" fontId="0" fillId="4" borderId="11" xfId="0" applyFill="1" applyBorder="1" applyProtection="1"/>
    <xf numFmtId="0" fontId="0" fillId="4" borderId="12" xfId="0" applyFill="1" applyBorder="1" applyProtection="1"/>
    <xf numFmtId="0" fontId="0" fillId="4" borderId="13" xfId="0" applyFill="1" applyBorder="1" applyProtection="1"/>
    <xf numFmtId="0" fontId="0" fillId="0" borderId="0" xfId="0" applyFill="1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</xf>
    <xf numFmtId="0" fontId="14" fillId="3" borderId="0" xfId="0" applyFont="1" applyFill="1" applyProtection="1"/>
    <xf numFmtId="0" fontId="0" fillId="4" borderId="14" xfId="0" applyFill="1" applyBorder="1" applyProtection="1"/>
    <xf numFmtId="0" fontId="0" fillId="4" borderId="15" xfId="0" applyFill="1" applyBorder="1" applyProtection="1"/>
    <xf numFmtId="0" fontId="0" fillId="4" borderId="16" xfId="0" applyFill="1" applyBorder="1" applyProtection="1"/>
    <xf numFmtId="0" fontId="2" fillId="0" borderId="0" xfId="0" applyFont="1" applyFill="1" applyProtection="1"/>
    <xf numFmtId="0" fontId="0" fillId="0" borderId="0" xfId="0" applyFont="1" applyProtection="1"/>
    <xf numFmtId="0" fontId="2" fillId="0" borderId="0" xfId="0" applyFont="1" applyAlignment="1" applyProtection="1">
      <alignment horizontal="left"/>
    </xf>
    <xf numFmtId="175" fontId="0" fillId="3" borderId="0" xfId="0" applyNumberFormat="1" applyFill="1" applyProtection="1">
      <protection locked="0"/>
    </xf>
    <xf numFmtId="0" fontId="0" fillId="13" borderId="0" xfId="0" applyNumberFormat="1" applyFill="1" applyProtection="1">
      <protection locked="0"/>
    </xf>
    <xf numFmtId="0" fontId="2" fillId="0" borderId="0" xfId="0" applyFont="1" applyFill="1" applyBorder="1" applyProtection="1"/>
    <xf numFmtId="0" fontId="0" fillId="0" borderId="0" xfId="0" applyFont="1" applyFill="1" applyBorder="1" applyProtection="1"/>
    <xf numFmtId="9" fontId="0" fillId="3" borderId="0" xfId="3" applyFont="1" applyFill="1" applyBorder="1" applyProtection="1">
      <protection locked="0"/>
    </xf>
    <xf numFmtId="0" fontId="2" fillId="0" borderId="0" xfId="0" applyFont="1" applyBorder="1" applyProtection="1"/>
    <xf numFmtId="0" fontId="4" fillId="3" borderId="0" xfId="0" applyFont="1" applyFill="1" applyProtection="1"/>
    <xf numFmtId="0" fontId="2" fillId="4" borderId="0" xfId="0" applyFont="1" applyFill="1" applyProtection="1"/>
    <xf numFmtId="0" fontId="0" fillId="13" borderId="0" xfId="0" applyFill="1" applyAlignment="1" applyProtection="1">
      <alignment horizontal="center"/>
      <protection locked="0"/>
    </xf>
    <xf numFmtId="173" fontId="2" fillId="3" borderId="0" xfId="0" applyNumberFormat="1" applyFont="1" applyFill="1" applyProtection="1">
      <protection locked="0"/>
    </xf>
    <xf numFmtId="2" fontId="0" fillId="13" borderId="0" xfId="0" applyNumberFormat="1" applyFill="1" applyProtection="1">
      <protection locked="0"/>
    </xf>
    <xf numFmtId="48" fontId="0" fillId="3" borderId="0" xfId="0" applyNumberFormat="1" applyFill="1" applyBorder="1" applyProtection="1">
      <protection locked="0"/>
    </xf>
    <xf numFmtId="48" fontId="0" fillId="3" borderId="0" xfId="0" applyNumberFormat="1" applyFill="1" applyProtection="1">
      <protection locked="0"/>
    </xf>
    <xf numFmtId="48" fontId="2" fillId="3" borderId="0" xfId="0" applyNumberFormat="1" applyFont="1" applyFill="1" applyBorder="1" applyProtection="1">
      <protection locked="0"/>
    </xf>
    <xf numFmtId="0" fontId="0" fillId="2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0" fillId="5" borderId="0" xfId="0" applyFill="1" applyProtection="1"/>
    <xf numFmtId="0" fontId="8" fillId="3" borderId="0" xfId="0" applyFont="1" applyFill="1" applyProtection="1"/>
    <xf numFmtId="0" fontId="0" fillId="0" borderId="0" xfId="0" applyAlignment="1" applyProtection="1">
      <alignment horizontal="right"/>
    </xf>
    <xf numFmtId="0" fontId="8" fillId="6" borderId="0" xfId="0" applyFont="1" applyFill="1" applyProtection="1"/>
    <xf numFmtId="11" fontId="0" fillId="0" borderId="0" xfId="0" applyNumberFormat="1" applyAlignment="1" applyProtection="1">
      <alignment horizontal="right"/>
    </xf>
    <xf numFmtId="2" fontId="0" fillId="0" borderId="0" xfId="0" applyNumberFormat="1" applyAlignment="1" applyProtection="1">
      <alignment horizontal="right"/>
    </xf>
    <xf numFmtId="0" fontId="8" fillId="5" borderId="0" xfId="0" applyFont="1" applyFill="1" applyProtection="1"/>
    <xf numFmtId="173" fontId="0" fillId="5" borderId="0" xfId="0" applyNumberFormat="1" applyFill="1" applyProtection="1"/>
    <xf numFmtId="48" fontId="0" fillId="5" borderId="0" xfId="0" applyNumberFormat="1" applyFill="1" applyProtection="1"/>
    <xf numFmtId="172" fontId="0" fillId="5" borderId="0" xfId="0" applyNumberFormat="1" applyFill="1" applyProtection="1"/>
    <xf numFmtId="2" fontId="0" fillId="6" borderId="0" xfId="0" applyNumberFormat="1" applyFill="1" applyProtection="1"/>
    <xf numFmtId="0" fontId="0" fillId="6" borderId="0" xfId="0" applyFill="1" applyProtection="1"/>
    <xf numFmtId="0" fontId="0" fillId="5" borderId="0" xfId="0" applyFill="1" applyAlignment="1" applyProtection="1">
      <alignment horizontal="right"/>
    </xf>
    <xf numFmtId="172" fontId="0" fillId="6" borderId="0" xfId="0" applyNumberFormat="1" applyFill="1" applyProtection="1"/>
    <xf numFmtId="48" fontId="0" fillId="6" borderId="0" xfId="0" applyNumberFormat="1" applyFill="1" applyProtection="1"/>
    <xf numFmtId="48" fontId="0" fillId="6" borderId="0" xfId="0" applyNumberFormat="1" applyFill="1" applyBorder="1" applyProtection="1"/>
    <xf numFmtId="175" fontId="0" fillId="0" borderId="0" xfId="0" applyNumberFormat="1" applyBorder="1" applyProtection="1"/>
    <xf numFmtId="172" fontId="0" fillId="6" borderId="0" xfId="0" applyNumberFormat="1" applyFill="1" applyBorder="1" applyProtection="1"/>
    <xf numFmtId="173" fontId="0" fillId="0" borderId="0" xfId="0" applyNumberFormat="1" applyFill="1" applyAlignment="1" applyProtection="1">
      <alignment horizontal="left"/>
    </xf>
    <xf numFmtId="2" fontId="0" fillId="6" borderId="0" xfId="0" applyNumberFormat="1" applyFill="1" applyBorder="1" applyProtection="1"/>
    <xf numFmtId="0" fontId="0" fillId="5" borderId="0" xfId="0" applyFill="1" applyBorder="1" applyAlignment="1" applyProtection="1">
      <alignment horizontal="left"/>
    </xf>
    <xf numFmtId="0" fontId="0" fillId="5" borderId="0" xfId="0" applyFill="1" applyBorder="1" applyProtection="1"/>
    <xf numFmtId="0" fontId="11" fillId="0" borderId="0" xfId="0" applyFont="1" applyAlignment="1" applyProtection="1">
      <alignment horizontal="right"/>
    </xf>
    <xf numFmtId="48" fontId="0" fillId="0" borderId="0" xfId="0" applyNumberFormat="1" applyFill="1" applyProtection="1"/>
    <xf numFmtId="0" fontId="0" fillId="0" borderId="0" xfId="0" applyNumberFormat="1" applyFill="1" applyProtection="1"/>
    <xf numFmtId="2" fontId="0" fillId="0" borderId="0" xfId="0" applyNumberFormat="1" applyFill="1" applyProtection="1"/>
    <xf numFmtId="1" fontId="0" fillId="0" borderId="0" xfId="0" applyNumberFormat="1" applyFill="1" applyProtection="1"/>
    <xf numFmtId="48" fontId="0" fillId="0" borderId="0" xfId="0" applyNumberFormat="1" applyProtection="1"/>
    <xf numFmtId="11" fontId="0" fillId="0" borderId="0" xfId="0" applyNumberFormat="1" applyFill="1" applyProtection="1"/>
    <xf numFmtId="0" fontId="9" fillId="0" borderId="0" xfId="0" applyFont="1" applyFill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center"/>
    </xf>
    <xf numFmtId="172" fontId="12" fillId="0" borderId="0" xfId="0" applyNumberFormat="1" applyFont="1" applyFill="1" applyAlignment="1" applyProtection="1">
      <alignment horizontal="center"/>
    </xf>
    <xf numFmtId="0" fontId="13" fillId="0" borderId="0" xfId="1" applyNumberFormat="1" applyFont="1" applyFill="1" applyAlignment="1" applyProtection="1">
      <alignment horizontal="center" wrapText="1"/>
    </xf>
    <xf numFmtId="0" fontId="12" fillId="0" borderId="0" xfId="0" applyFont="1" applyFill="1" applyAlignment="1" applyProtection="1">
      <alignment horizontal="center" wrapText="1"/>
    </xf>
    <xf numFmtId="0" fontId="10" fillId="0" borderId="0" xfId="1" applyNumberFormat="1" applyFont="1" applyFill="1" applyAlignment="1" applyProtection="1">
      <alignment horizontal="left" wrapText="1"/>
    </xf>
    <xf numFmtId="0" fontId="6" fillId="0" borderId="0" xfId="0" applyFont="1" applyFill="1" applyAlignment="1" applyProtection="1">
      <alignment horizontal="left" wrapText="1"/>
    </xf>
    <xf numFmtId="0" fontId="2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1" fontId="0" fillId="0" borderId="0" xfId="0" applyNumberFormat="1" applyFill="1" applyAlignment="1" applyProtection="1">
      <alignment horizontal="left"/>
    </xf>
    <xf numFmtId="2" fontId="0" fillId="0" borderId="0" xfId="0" applyNumberFormat="1" applyFill="1" applyAlignment="1" applyProtection="1">
      <alignment horizontal="left"/>
    </xf>
    <xf numFmtId="0" fontId="6" fillId="0" borderId="0" xfId="1" applyNumberFormat="1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top"/>
    </xf>
    <xf numFmtId="0" fontId="6" fillId="0" borderId="0" xfId="0" applyFont="1" applyFill="1" applyAlignment="1" applyProtection="1">
      <alignment horizontal="left"/>
    </xf>
    <xf numFmtId="0" fontId="6" fillId="0" borderId="0" xfId="0" applyNumberFormat="1" applyFont="1" applyFill="1" applyProtection="1"/>
    <xf numFmtId="49" fontId="15" fillId="7" borderId="17" xfId="2" applyNumberFormat="1" applyFont="1" applyFill="1" applyBorder="1" applyAlignment="1">
      <alignment horizontal="center" wrapText="1"/>
    </xf>
    <xf numFmtId="0" fontId="16" fillId="8" borderId="0" xfId="2" applyFont="1" applyFill="1" applyProtection="1">
      <protection hidden="1"/>
    </xf>
    <xf numFmtId="0" fontId="17" fillId="8" borderId="0" xfId="2" applyFont="1" applyFill="1" applyProtection="1">
      <protection hidden="1"/>
    </xf>
    <xf numFmtId="0" fontId="2" fillId="8" borderId="0" xfId="2" applyFont="1" applyFill="1" applyProtection="1">
      <protection hidden="1"/>
    </xf>
    <xf numFmtId="0" fontId="2" fillId="8" borderId="0" xfId="2" applyFont="1" applyFill="1" applyBorder="1" applyProtection="1">
      <protection hidden="1"/>
    </xf>
    <xf numFmtId="49" fontId="2" fillId="8" borderId="0" xfId="2" applyNumberFormat="1" applyFont="1" applyFill="1" applyBorder="1" applyProtection="1">
      <protection hidden="1"/>
    </xf>
    <xf numFmtId="0" fontId="2" fillId="8" borderId="0" xfId="2" applyFont="1" applyFill="1" applyBorder="1"/>
    <xf numFmtId="0" fontId="2" fillId="8" borderId="0" xfId="2" applyFill="1" applyProtection="1">
      <protection hidden="1"/>
    </xf>
    <xf numFmtId="0" fontId="18" fillId="8" borderId="0" xfId="2" applyFont="1" applyFill="1" applyProtection="1">
      <protection hidden="1"/>
    </xf>
    <xf numFmtId="0" fontId="16" fillId="8" borderId="0" xfId="2" applyFont="1" applyFill="1" applyBorder="1" applyProtection="1">
      <protection hidden="1"/>
    </xf>
    <xf numFmtId="0" fontId="17" fillId="8" borderId="0" xfId="2" applyFont="1" applyFill="1" applyBorder="1" applyProtection="1">
      <protection hidden="1"/>
    </xf>
    <xf numFmtId="0" fontId="2" fillId="8" borderId="18" xfId="2" applyFont="1" applyFill="1" applyBorder="1" applyProtection="1">
      <protection hidden="1"/>
    </xf>
    <xf numFmtId="0" fontId="19" fillId="9" borderId="19" xfId="2" applyFont="1" applyFill="1" applyBorder="1" applyProtection="1">
      <protection hidden="1"/>
    </xf>
    <xf numFmtId="1" fontId="17" fillId="8" borderId="0" xfId="2" applyNumberFormat="1" applyFont="1" applyFill="1" applyBorder="1" applyProtection="1">
      <protection hidden="1"/>
    </xf>
    <xf numFmtId="48" fontId="21" fillId="7" borderId="20" xfId="2" applyNumberFormat="1" applyFont="1" applyFill="1" applyBorder="1" applyAlignment="1" applyProtection="1">
      <alignment horizontal="center"/>
      <protection hidden="1"/>
    </xf>
    <xf numFmtId="0" fontId="21" fillId="7" borderId="21" xfId="2" applyFont="1" applyFill="1" applyBorder="1" applyProtection="1">
      <protection hidden="1"/>
    </xf>
    <xf numFmtId="0" fontId="20" fillId="10" borderId="22" xfId="2" applyFont="1" applyFill="1" applyBorder="1" applyAlignment="1">
      <alignment horizontal="center" wrapText="1"/>
    </xf>
    <xf numFmtId="0" fontId="20" fillId="10" borderId="17" xfId="2" applyFont="1" applyFill="1" applyBorder="1" applyAlignment="1">
      <alignment horizontal="center" wrapText="1"/>
    </xf>
    <xf numFmtId="0" fontId="20" fillId="11" borderId="22" xfId="2" applyFont="1" applyFill="1" applyBorder="1" applyAlignment="1">
      <alignment horizontal="center" wrapText="1"/>
    </xf>
    <xf numFmtId="0" fontId="20" fillId="11" borderId="23" xfId="2" applyFont="1" applyFill="1" applyBorder="1" applyAlignment="1">
      <alignment horizontal="center" wrapText="1"/>
    </xf>
    <xf numFmtId="0" fontId="2" fillId="8" borderId="0" xfId="2" applyFont="1" applyFill="1"/>
    <xf numFmtId="48" fontId="19" fillId="9" borderId="16" xfId="2" applyNumberFormat="1" applyFont="1" applyFill="1" applyBorder="1" applyAlignment="1" applyProtection="1">
      <alignment horizontal="center"/>
      <protection hidden="1"/>
    </xf>
    <xf numFmtId="0" fontId="19" fillId="9" borderId="5" xfId="2" applyFont="1" applyFill="1" applyBorder="1" applyProtection="1">
      <protection hidden="1"/>
    </xf>
    <xf numFmtId="0" fontId="2" fillId="8" borderId="24" xfId="2" applyFont="1" applyFill="1" applyBorder="1" applyProtection="1">
      <protection hidden="1"/>
    </xf>
    <xf numFmtId="0" fontId="21" fillId="7" borderId="25" xfId="2" applyFont="1" applyFill="1" applyBorder="1" applyProtection="1">
      <protection hidden="1"/>
    </xf>
    <xf numFmtId="1" fontId="22" fillId="8" borderId="0" xfId="2" applyNumberFormat="1" applyFont="1" applyFill="1" applyBorder="1" applyProtection="1">
      <protection hidden="1"/>
    </xf>
    <xf numFmtId="172" fontId="23" fillId="8" borderId="0" xfId="2" applyNumberFormat="1" applyFont="1" applyFill="1" applyBorder="1" applyAlignment="1" applyProtection="1">
      <alignment horizontal="center"/>
      <protection hidden="1"/>
    </xf>
    <xf numFmtId="2" fontId="22" fillId="8" borderId="0" xfId="2" applyNumberFormat="1" applyFont="1" applyFill="1" applyBorder="1" applyAlignment="1" applyProtection="1">
      <alignment horizontal="center"/>
      <protection hidden="1"/>
    </xf>
    <xf numFmtId="0" fontId="2" fillId="8" borderId="26" xfId="2" applyFont="1" applyFill="1" applyBorder="1" applyProtection="1">
      <protection hidden="1"/>
    </xf>
    <xf numFmtId="0" fontId="21" fillId="7" borderId="27" xfId="2" applyFont="1" applyFill="1" applyBorder="1" applyProtection="1">
      <protection hidden="1"/>
    </xf>
    <xf numFmtId="0" fontId="24" fillId="8" borderId="0" xfId="2" applyFont="1" applyFill="1" applyBorder="1" applyProtection="1">
      <protection hidden="1"/>
    </xf>
    <xf numFmtId="0" fontId="25" fillId="8" borderId="0" xfId="2" applyFont="1" applyFill="1" applyBorder="1" applyAlignment="1" applyProtection="1">
      <alignment horizontal="center" wrapText="1"/>
      <protection hidden="1"/>
    </xf>
    <xf numFmtId="2" fontId="2" fillId="8" borderId="0" xfId="2" applyNumberFormat="1" applyFont="1" applyFill="1" applyBorder="1" applyAlignment="1" applyProtection="1">
      <alignment horizontal="center"/>
      <protection hidden="1"/>
    </xf>
    <xf numFmtId="1" fontId="2" fillId="8" borderId="0" xfId="2" applyNumberFormat="1" applyFont="1" applyFill="1" applyBorder="1" applyProtection="1"/>
    <xf numFmtId="0" fontId="2" fillId="8" borderId="28" xfId="2" applyFont="1" applyFill="1" applyBorder="1" applyProtection="1">
      <protection hidden="1"/>
    </xf>
    <xf numFmtId="0" fontId="21" fillId="7" borderId="29" xfId="2" applyFont="1" applyFill="1" applyBorder="1" applyProtection="1">
      <protection hidden="1"/>
    </xf>
    <xf numFmtId="0" fontId="20" fillId="12" borderId="30" xfId="2" applyFont="1" applyFill="1" applyBorder="1" applyAlignment="1">
      <alignment horizontal="center" wrapText="1"/>
    </xf>
    <xf numFmtId="0" fontId="20" fillId="12" borderId="22" xfId="2" applyFont="1" applyFill="1" applyBorder="1" applyAlignment="1">
      <alignment horizontal="center" wrapText="1"/>
    </xf>
    <xf numFmtId="0" fontId="20" fillId="12" borderId="17" xfId="2" applyFont="1" applyFill="1" applyBorder="1" applyAlignment="1">
      <alignment horizontal="center" wrapText="1"/>
    </xf>
    <xf numFmtId="0" fontId="2" fillId="8" borderId="0" xfId="2" applyFont="1" applyFill="1" applyBorder="1" applyAlignment="1" applyProtection="1">
      <alignment horizontal="center"/>
      <protection hidden="1"/>
    </xf>
    <xf numFmtId="0" fontId="2" fillId="8" borderId="0" xfId="2" applyFill="1" applyBorder="1" applyAlignment="1">
      <alignment wrapText="1"/>
    </xf>
    <xf numFmtId="0" fontId="2" fillId="8" borderId="0" xfId="2" applyFill="1" applyBorder="1" applyAlignment="1">
      <alignment horizontal="center"/>
    </xf>
    <xf numFmtId="0" fontId="21" fillId="8" borderId="0" xfId="2" applyFont="1" applyFill="1" applyBorder="1" applyProtection="1">
      <protection hidden="1"/>
    </xf>
    <xf numFmtId="49" fontId="15" fillId="7" borderId="22" xfId="2" applyNumberFormat="1" applyFont="1" applyFill="1" applyBorder="1" applyAlignment="1">
      <alignment horizontal="center" wrapText="1"/>
    </xf>
    <xf numFmtId="0" fontId="26" fillId="8" borderId="0" xfId="2" applyFont="1" applyFill="1"/>
    <xf numFmtId="49" fontId="2" fillId="8" borderId="0" xfId="2" applyNumberFormat="1" applyFill="1" applyBorder="1" applyProtection="1"/>
    <xf numFmtId="49" fontId="15" fillId="7" borderId="23" xfId="2" applyNumberFormat="1" applyFont="1" applyFill="1" applyBorder="1" applyAlignment="1">
      <alignment horizontal="center" wrapText="1"/>
    </xf>
    <xf numFmtId="49" fontId="22" fillId="8" borderId="0" xfId="2" applyNumberFormat="1" applyFont="1" applyFill="1" applyBorder="1" applyProtection="1">
      <protection hidden="1"/>
    </xf>
    <xf numFmtId="0" fontId="22" fillId="8" borderId="0" xfId="2" applyFont="1" applyFill="1" applyProtection="1">
      <protection hidden="1"/>
    </xf>
    <xf numFmtId="0" fontId="22" fillId="8" borderId="0" xfId="2" applyFont="1" applyFill="1" applyBorder="1" applyProtection="1">
      <protection hidden="1"/>
    </xf>
    <xf numFmtId="0" fontId="15" fillId="8" borderId="0" xfId="2" applyFont="1" applyFill="1" applyBorder="1" applyAlignment="1" applyProtection="1">
      <alignment horizontal="center" wrapText="1"/>
      <protection hidden="1"/>
    </xf>
    <xf numFmtId="0" fontId="22" fillId="8" borderId="0" xfId="2" applyFont="1" applyFill="1"/>
    <xf numFmtId="0" fontId="20" fillId="10" borderId="31" xfId="2" applyFont="1" applyFill="1" applyBorder="1" applyAlignment="1">
      <alignment horizontal="center" wrapText="1"/>
    </xf>
    <xf numFmtId="0" fontId="20" fillId="10" borderId="30" xfId="2" applyFont="1" applyFill="1" applyBorder="1" applyAlignment="1">
      <alignment horizontal="center" wrapText="1"/>
    </xf>
    <xf numFmtId="0" fontId="20" fillId="11" borderId="32" xfId="2" applyFont="1" applyFill="1" applyBorder="1" applyAlignment="1">
      <alignment horizontal="center" wrapText="1"/>
    </xf>
    <xf numFmtId="0" fontId="20" fillId="11" borderId="33" xfId="2" applyFont="1" applyFill="1" applyBorder="1" applyAlignment="1">
      <alignment horizontal="center" wrapText="1"/>
    </xf>
    <xf numFmtId="0" fontId="20" fillId="12" borderId="31" xfId="2" applyFont="1" applyFill="1" applyBorder="1" applyAlignment="1">
      <alignment horizontal="center" wrapText="1"/>
    </xf>
    <xf numFmtId="0" fontId="20" fillId="12" borderId="30" xfId="2" applyFont="1" applyFill="1" applyBorder="1" applyAlignment="1">
      <alignment horizontal="center" wrapText="1"/>
    </xf>
    <xf numFmtId="49" fontId="15" fillId="7" borderId="31" xfId="2" applyNumberFormat="1" applyFont="1" applyFill="1" applyBorder="1" applyAlignment="1">
      <alignment horizontal="center" wrapText="1"/>
    </xf>
    <xf numFmtId="49" fontId="15" fillId="7" borderId="0" xfId="2" applyNumberFormat="1" applyFont="1" applyFill="1" applyBorder="1" applyAlignment="1">
      <alignment horizontal="center" wrapText="1"/>
    </xf>
    <xf numFmtId="0" fontId="15" fillId="8" borderId="0" xfId="2" applyFont="1" applyFill="1" applyBorder="1" applyAlignment="1" applyProtection="1">
      <alignment horizontal="center" wrapText="1"/>
      <protection hidden="1"/>
    </xf>
    <xf numFmtId="0" fontId="0" fillId="0" borderId="0" xfId="0" applyAlignment="1">
      <alignment horizontal="left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2" fillId="0" borderId="0" xfId="0" applyFont="1"/>
    <xf numFmtId="11" fontId="0" fillId="14" borderId="0" xfId="0" applyNumberFormat="1" applyFill="1"/>
    <xf numFmtId="0" fontId="0" fillId="14" borderId="0" xfId="0" applyFill="1" applyAlignment="1">
      <alignment horizontal="left"/>
    </xf>
    <xf numFmtId="0" fontId="0" fillId="14" borderId="0" xfId="0" applyFill="1"/>
    <xf numFmtId="11" fontId="0" fillId="6" borderId="0" xfId="0" applyNumberFormat="1" applyFill="1"/>
    <xf numFmtId="0" fontId="0" fillId="6" borderId="0" xfId="0" applyFill="1" applyAlignment="1">
      <alignment horizontal="left"/>
    </xf>
    <xf numFmtId="175" fontId="0" fillId="6" borderId="0" xfId="0" applyNumberForma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6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11" fontId="0" fillId="5" borderId="0" xfId="0" applyNumberFormat="1" applyFill="1"/>
    <xf numFmtId="0" fontId="0" fillId="15" borderId="0" xfId="0" applyFill="1"/>
    <xf numFmtId="0" fontId="0" fillId="15" borderId="0" xfId="0" applyFill="1" applyAlignment="1">
      <alignment horizontal="left"/>
    </xf>
    <xf numFmtId="0" fontId="0" fillId="15" borderId="0" xfId="0" applyFill="1" applyAlignment="1">
      <alignment horizontal="right"/>
    </xf>
    <xf numFmtId="2" fontId="0" fillId="15" borderId="0" xfId="0" applyNumberFormat="1" applyFill="1"/>
    <xf numFmtId="11" fontId="0" fillId="15" borderId="0" xfId="0" applyNumberFormat="1" applyFill="1"/>
    <xf numFmtId="172" fontId="0" fillId="15" borderId="0" xfId="0" applyNumberFormat="1" applyFill="1"/>
    <xf numFmtId="172" fontId="0" fillId="14" borderId="0" xfId="0" applyNumberFormat="1" applyFill="1"/>
    <xf numFmtId="172" fontId="0" fillId="3" borderId="0" xfId="0" applyNumberFormat="1" applyFill="1" applyAlignment="1" applyProtection="1">
      <alignment horizontal="right"/>
      <protection locked="0"/>
    </xf>
    <xf numFmtId="0" fontId="0" fillId="3" borderId="0" xfId="0" applyFill="1" applyAlignment="1">
      <alignment horizontal="left"/>
    </xf>
    <xf numFmtId="11" fontId="0" fillId="0" borderId="0" xfId="0" applyNumberFormat="1"/>
    <xf numFmtId="48" fontId="0" fillId="14" borderId="0" xfId="0" applyNumberFormat="1" applyFill="1"/>
    <xf numFmtId="48" fontId="0" fillId="3" borderId="0" xfId="0" applyNumberFormat="1" applyFill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3" borderId="0" xfId="0" applyFill="1" applyAlignment="1" applyProtection="1">
      <alignment horizontal="right"/>
      <protection locked="0"/>
    </xf>
    <xf numFmtId="11" fontId="0" fillId="0" borderId="0" xfId="0" applyNumberFormat="1" applyFill="1"/>
    <xf numFmtId="1" fontId="0" fillId="14" borderId="0" xfId="0" applyNumberFormat="1" applyFill="1"/>
    <xf numFmtId="1" fontId="0" fillId="3" borderId="0" xfId="0" applyNumberFormat="1" applyFill="1" applyAlignment="1" applyProtection="1">
      <alignment horizontal="right"/>
      <protection locked="0"/>
    </xf>
    <xf numFmtId="0" fontId="2" fillId="14" borderId="0" xfId="0" applyFont="1" applyFill="1"/>
    <xf numFmtId="173" fontId="0" fillId="0" borderId="0" xfId="0" applyNumberFormat="1"/>
    <xf numFmtId="0" fontId="0" fillId="0" borderId="0" xfId="0" applyAlignment="1">
      <alignment horizontal="center"/>
    </xf>
    <xf numFmtId="0" fontId="22" fillId="0" borderId="0" xfId="0" applyFont="1" applyAlignment="1" applyProtection="1">
      <alignment horizontal="center" wrapText="1"/>
      <protection hidden="1"/>
    </xf>
    <xf numFmtId="0" fontId="22" fillId="0" borderId="0" xfId="0" quotePrefix="1" applyFont="1" applyAlignment="1" applyProtection="1">
      <alignment horizontal="center"/>
      <protection hidden="1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2" fillId="14" borderId="0" xfId="0" applyNumberFormat="1" applyFont="1" applyFill="1"/>
  </cellXfs>
  <cellStyles count="4">
    <cellStyle name="Hyperlink" xfId="1" builtinId="8"/>
    <cellStyle name="Normal" xfId="0" builtinId="0"/>
    <cellStyle name="Normal 3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Frequency Response</a:t>
            </a:r>
          </a:p>
        </c:rich>
      </c:tx>
      <c:layout>
        <c:manualLayout>
          <c:xMode val="edge"/>
          <c:yMode val="edge"/>
          <c:x val="0.42647068473058519"/>
          <c:y val="2.7950311132022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320945251672705E-2"/>
          <c:y val="7.3230459293368758E-2"/>
          <c:w val="0.85446114412090191"/>
          <c:h val="0.7726367637425674"/>
        </c:manualLayout>
      </c:layout>
      <c:scatterChart>
        <c:scatterStyle val="smoothMarker"/>
        <c:varyColors val="0"/>
        <c:ser>
          <c:idx val="1"/>
          <c:order val="0"/>
          <c:tx>
            <c:v>Power Stage Gain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'Small Signal'!$G$2:$G$212</c:f>
              <c:numCache>
                <c:formatCode>General</c:formatCode>
                <c:ptCount val="211"/>
                <c:pt idx="0">
                  <c:v>1</c:v>
                </c:pt>
                <c:pt idx="1">
                  <c:v>1.0797751623277096</c:v>
                </c:pt>
                <c:pt idx="2">
                  <c:v>1.1659144011798317</c:v>
                </c:pt>
                <c:pt idx="3">
                  <c:v>1.2589254117941673</c:v>
                </c:pt>
                <c:pt idx="4">
                  <c:v>1.3593563908785258</c:v>
                </c:pt>
                <c:pt idx="5">
                  <c:v>1.4677992676220697</c:v>
                </c:pt>
                <c:pt idx="6">
                  <c:v>1.5848931924611136</c:v>
                </c:pt>
                <c:pt idx="7">
                  <c:v>1.7113283041617808</c:v>
                </c:pt>
                <c:pt idx="8">
                  <c:v>1.8478497974222912</c:v>
                </c:pt>
                <c:pt idx="9">
                  <c:v>1.9952623149688797</c:v>
                </c:pt>
                <c:pt idx="10">
                  <c:v>2.1544346900318838</c:v>
                </c:pt>
                <c:pt idx="11">
                  <c:v>2.3263050671536263</c:v>
                </c:pt>
                <c:pt idx="12">
                  <c:v>2.5118864315095806</c:v>
                </c:pt>
                <c:pt idx="13">
                  <c:v>2.7122725793320286</c:v>
                </c:pt>
                <c:pt idx="14">
                  <c:v>2.9286445646252366</c:v>
                </c:pt>
                <c:pt idx="15">
                  <c:v>3.1622776601683795</c:v>
                </c:pt>
                <c:pt idx="16">
                  <c:v>3.4145488738336023</c:v>
                </c:pt>
                <c:pt idx="17">
                  <c:v>3.6869450645195756</c:v>
                </c:pt>
                <c:pt idx="18">
                  <c:v>3.9810717055349727</c:v>
                </c:pt>
                <c:pt idx="19">
                  <c:v>4.2986623470822769</c:v>
                </c:pt>
                <c:pt idx="20">
                  <c:v>4.6415888336127793</c:v>
                </c:pt>
                <c:pt idx="21">
                  <c:v>5.0118723362727229</c:v>
                </c:pt>
                <c:pt idx="22">
                  <c:v>5.4116952654646369</c:v>
                </c:pt>
                <c:pt idx="23">
                  <c:v>5.8434141337351777</c:v>
                </c:pt>
                <c:pt idx="24">
                  <c:v>6.3095734448019343</c:v>
                </c:pt>
                <c:pt idx="25">
                  <c:v>6.812920690579614</c:v>
                </c:pt>
                <c:pt idx="26">
                  <c:v>7.3564225445964153</c:v>
                </c:pt>
                <c:pt idx="27">
                  <c:v>7.9432823472428176</c:v>
                </c:pt>
                <c:pt idx="28">
                  <c:v>8.5769589859089415</c:v>
                </c:pt>
                <c:pt idx="29">
                  <c:v>9.2611872812879383</c:v>
                </c:pt>
                <c:pt idx="30">
                  <c:v>10</c:v>
                </c:pt>
                <c:pt idx="31">
                  <c:v>10.797751623277103</c:v>
                </c:pt>
                <c:pt idx="32">
                  <c:v>11.659144011798322</c:v>
                </c:pt>
                <c:pt idx="33">
                  <c:v>12.58925411794168</c:v>
                </c:pt>
                <c:pt idx="34">
                  <c:v>13.593563908785256</c:v>
                </c:pt>
                <c:pt idx="35">
                  <c:v>14.677992676220699</c:v>
                </c:pt>
                <c:pt idx="36">
                  <c:v>15.848931924611136</c:v>
                </c:pt>
                <c:pt idx="37">
                  <c:v>17.113283041617812</c:v>
                </c:pt>
                <c:pt idx="38">
                  <c:v>18.478497974222911</c:v>
                </c:pt>
                <c:pt idx="39">
                  <c:v>19.952623149688804</c:v>
                </c:pt>
                <c:pt idx="40">
                  <c:v>21.544346900318843</c:v>
                </c:pt>
                <c:pt idx="41">
                  <c:v>23.263050671536273</c:v>
                </c:pt>
                <c:pt idx="42">
                  <c:v>25.118864315095799</c:v>
                </c:pt>
                <c:pt idx="43">
                  <c:v>27.122725793320289</c:v>
                </c:pt>
                <c:pt idx="44">
                  <c:v>29.286445646252368</c:v>
                </c:pt>
                <c:pt idx="45">
                  <c:v>31.622776601683803</c:v>
                </c:pt>
                <c:pt idx="46">
                  <c:v>34.145488738336034</c:v>
                </c:pt>
                <c:pt idx="47">
                  <c:v>36.869450645195769</c:v>
                </c:pt>
                <c:pt idx="48">
                  <c:v>39.810717055349755</c:v>
                </c:pt>
                <c:pt idx="49">
                  <c:v>42.986623470822771</c:v>
                </c:pt>
                <c:pt idx="50">
                  <c:v>46.415888336127807</c:v>
                </c:pt>
                <c:pt idx="51">
                  <c:v>50.118723362727238</c:v>
                </c:pt>
                <c:pt idx="52">
                  <c:v>54.11695265464639</c:v>
                </c:pt>
                <c:pt idx="53">
                  <c:v>58.434141337351775</c:v>
                </c:pt>
                <c:pt idx="54">
                  <c:v>63.095734448019364</c:v>
                </c:pt>
                <c:pt idx="55">
                  <c:v>68.129206905796124</c:v>
                </c:pt>
                <c:pt idx="56">
                  <c:v>73.564225445964155</c:v>
                </c:pt>
                <c:pt idx="57">
                  <c:v>79.432823472428197</c:v>
                </c:pt>
                <c:pt idx="58">
                  <c:v>85.769589859089479</c:v>
                </c:pt>
                <c:pt idx="59">
                  <c:v>92.611872812879369</c:v>
                </c:pt>
                <c:pt idx="60">
                  <c:v>100</c:v>
                </c:pt>
                <c:pt idx="61">
                  <c:v>107.97751623277095</c:v>
                </c:pt>
                <c:pt idx="62">
                  <c:v>116.59144011798328</c:v>
                </c:pt>
                <c:pt idx="63">
                  <c:v>125.89254117941677</c:v>
                </c:pt>
                <c:pt idx="64">
                  <c:v>135.93563908785265</c:v>
                </c:pt>
                <c:pt idx="65">
                  <c:v>146.77992676220697</c:v>
                </c:pt>
                <c:pt idx="66">
                  <c:v>158.48931924611153</c:v>
                </c:pt>
                <c:pt idx="67">
                  <c:v>171.13283041617817</c:v>
                </c:pt>
                <c:pt idx="68">
                  <c:v>184.7849797422291</c:v>
                </c:pt>
                <c:pt idx="69">
                  <c:v>199.52623149688802</c:v>
                </c:pt>
                <c:pt idx="70">
                  <c:v>215.44346900318848</c:v>
                </c:pt>
                <c:pt idx="71">
                  <c:v>232.6305067153628</c:v>
                </c:pt>
                <c:pt idx="72">
                  <c:v>251.18864315095806</c:v>
                </c:pt>
                <c:pt idx="73">
                  <c:v>271.22725793320296</c:v>
                </c:pt>
                <c:pt idx="74">
                  <c:v>292.86445646252383</c:v>
                </c:pt>
                <c:pt idx="75">
                  <c:v>316.22776601683825</c:v>
                </c:pt>
                <c:pt idx="76">
                  <c:v>341.4548873833603</c:v>
                </c:pt>
                <c:pt idx="77">
                  <c:v>368.69450645195781</c:v>
                </c:pt>
                <c:pt idx="78">
                  <c:v>398.10717055349761</c:v>
                </c:pt>
                <c:pt idx="79">
                  <c:v>429.86623470822781</c:v>
                </c:pt>
                <c:pt idx="80">
                  <c:v>464.15888336127819</c:v>
                </c:pt>
                <c:pt idx="81">
                  <c:v>501.18723362727269</c:v>
                </c:pt>
                <c:pt idx="82">
                  <c:v>541.16952654646434</c:v>
                </c:pt>
                <c:pt idx="83">
                  <c:v>584.34141337351787</c:v>
                </c:pt>
                <c:pt idx="84">
                  <c:v>630.95734448019323</c:v>
                </c:pt>
                <c:pt idx="85">
                  <c:v>681.29206905796195</c:v>
                </c:pt>
                <c:pt idx="86">
                  <c:v>735.64225445964166</c:v>
                </c:pt>
                <c:pt idx="87">
                  <c:v>794.32823472428208</c:v>
                </c:pt>
                <c:pt idx="88">
                  <c:v>857.69589859089422</c:v>
                </c:pt>
                <c:pt idx="89">
                  <c:v>926.11872812879471</c:v>
                </c:pt>
                <c:pt idx="90">
                  <c:v>1000</c:v>
                </c:pt>
                <c:pt idx="91">
                  <c:v>1079.7751623277097</c:v>
                </c:pt>
                <c:pt idx="92">
                  <c:v>1165.914401179833</c:v>
                </c:pt>
                <c:pt idx="93">
                  <c:v>1258.925411794168</c:v>
                </c:pt>
                <c:pt idx="94">
                  <c:v>1359.3563908785268</c:v>
                </c:pt>
                <c:pt idx="95">
                  <c:v>1467.7992676220699</c:v>
                </c:pt>
                <c:pt idx="96">
                  <c:v>1584.8931924611156</c:v>
                </c:pt>
                <c:pt idx="97">
                  <c:v>1711.3283041617822</c:v>
                </c:pt>
                <c:pt idx="98">
                  <c:v>1847.8497974222912</c:v>
                </c:pt>
                <c:pt idx="99">
                  <c:v>1995.2623149688804</c:v>
                </c:pt>
                <c:pt idx="100">
                  <c:v>2154.4346900318851</c:v>
                </c:pt>
                <c:pt idx="101">
                  <c:v>2326.3050671536284</c:v>
                </c:pt>
                <c:pt idx="102">
                  <c:v>2511.8864315095811</c:v>
                </c:pt>
                <c:pt idx="103">
                  <c:v>2712.2725793320301</c:v>
                </c:pt>
                <c:pt idx="104">
                  <c:v>2928.6445646252391</c:v>
                </c:pt>
                <c:pt idx="105">
                  <c:v>3162.2776601683804</c:v>
                </c:pt>
                <c:pt idx="106">
                  <c:v>3414.5488738336035</c:v>
                </c:pt>
                <c:pt idx="107">
                  <c:v>3686.9450645195784</c:v>
                </c:pt>
                <c:pt idx="108">
                  <c:v>3981.0717055349769</c:v>
                </c:pt>
                <c:pt idx="109">
                  <c:v>4298.6623470822833</c:v>
                </c:pt>
                <c:pt idx="110">
                  <c:v>4641.5888336127782</c:v>
                </c:pt>
                <c:pt idx="111">
                  <c:v>5011.8723362727324</c:v>
                </c:pt>
                <c:pt idx="112">
                  <c:v>5411.6952654646393</c:v>
                </c:pt>
                <c:pt idx="113">
                  <c:v>5843.4141337351803</c:v>
                </c:pt>
                <c:pt idx="114">
                  <c:v>6309.5734448019384</c:v>
                </c:pt>
                <c:pt idx="115">
                  <c:v>6812.9206905796218</c:v>
                </c:pt>
                <c:pt idx="116">
                  <c:v>7356.4225445964248</c:v>
                </c:pt>
                <c:pt idx="117">
                  <c:v>7943.2823472428154</c:v>
                </c:pt>
                <c:pt idx="118">
                  <c:v>8576.9589859089447</c:v>
                </c:pt>
                <c:pt idx="119">
                  <c:v>9261.187281287941</c:v>
                </c:pt>
                <c:pt idx="120">
                  <c:v>10000</c:v>
                </c:pt>
                <c:pt idx="121">
                  <c:v>10797.751623277109</c:v>
                </c:pt>
                <c:pt idx="122">
                  <c:v>11659.144011798313</c:v>
                </c:pt>
                <c:pt idx="123">
                  <c:v>12589.254117941671</c:v>
                </c:pt>
                <c:pt idx="124">
                  <c:v>13593.563908785283</c:v>
                </c:pt>
                <c:pt idx="125">
                  <c:v>14677.992676220729</c:v>
                </c:pt>
                <c:pt idx="126">
                  <c:v>15848.931924611146</c:v>
                </c:pt>
                <c:pt idx="127">
                  <c:v>17113.283041617826</c:v>
                </c:pt>
                <c:pt idx="128">
                  <c:v>18478.497974222933</c:v>
                </c:pt>
                <c:pt idx="129">
                  <c:v>19952.623149688792</c:v>
                </c:pt>
                <c:pt idx="130">
                  <c:v>21544.346900318837</c:v>
                </c:pt>
                <c:pt idx="131">
                  <c:v>23263.050671536268</c:v>
                </c:pt>
                <c:pt idx="132">
                  <c:v>25118.86431509586</c:v>
                </c:pt>
                <c:pt idx="133">
                  <c:v>27122.725793320307</c:v>
                </c:pt>
                <c:pt idx="134">
                  <c:v>29286.445646252399</c:v>
                </c:pt>
                <c:pt idx="135">
                  <c:v>31622.77660168384</c:v>
                </c:pt>
                <c:pt idx="136">
                  <c:v>34145.488738336011</c:v>
                </c:pt>
                <c:pt idx="137">
                  <c:v>36869.450645195764</c:v>
                </c:pt>
                <c:pt idx="138">
                  <c:v>39810.717055349742</c:v>
                </c:pt>
                <c:pt idx="139">
                  <c:v>42986.62347082288</c:v>
                </c:pt>
                <c:pt idx="140">
                  <c:v>46415.888336127835</c:v>
                </c:pt>
                <c:pt idx="141">
                  <c:v>50118.723362727294</c:v>
                </c:pt>
                <c:pt idx="142">
                  <c:v>54116.952654646455</c:v>
                </c:pt>
                <c:pt idx="143">
                  <c:v>58434.141337351764</c:v>
                </c:pt>
                <c:pt idx="144">
                  <c:v>63095.734448019342</c:v>
                </c:pt>
                <c:pt idx="145">
                  <c:v>68129.206905796163</c:v>
                </c:pt>
                <c:pt idx="146">
                  <c:v>73564.225445964199</c:v>
                </c:pt>
                <c:pt idx="147">
                  <c:v>79432.823472428237</c:v>
                </c:pt>
                <c:pt idx="148">
                  <c:v>85769.589859089538</c:v>
                </c:pt>
                <c:pt idx="149">
                  <c:v>92611.872812879505</c:v>
                </c:pt>
                <c:pt idx="150">
                  <c:v>100000</c:v>
                </c:pt>
                <c:pt idx="151">
                  <c:v>107977.51623277101</c:v>
                </c:pt>
                <c:pt idx="152">
                  <c:v>116591.44011798326</c:v>
                </c:pt>
                <c:pt idx="153">
                  <c:v>125892.54117941685</c:v>
                </c:pt>
                <c:pt idx="154">
                  <c:v>135935.63908785273</c:v>
                </c:pt>
                <c:pt idx="155">
                  <c:v>146779.92676220718</c:v>
                </c:pt>
                <c:pt idx="156">
                  <c:v>158489.31924611164</c:v>
                </c:pt>
                <c:pt idx="157">
                  <c:v>171132.83041617845</c:v>
                </c:pt>
                <c:pt idx="158">
                  <c:v>184784.97974222922</c:v>
                </c:pt>
                <c:pt idx="159">
                  <c:v>199526.23149688813</c:v>
                </c:pt>
                <c:pt idx="160">
                  <c:v>215443.46900318863</c:v>
                </c:pt>
                <c:pt idx="161">
                  <c:v>232630.50671536254</c:v>
                </c:pt>
                <c:pt idx="162">
                  <c:v>251188.64315095844</c:v>
                </c:pt>
                <c:pt idx="163">
                  <c:v>271227.25793320336</c:v>
                </c:pt>
                <c:pt idx="164">
                  <c:v>292864.45646252431</c:v>
                </c:pt>
                <c:pt idx="165">
                  <c:v>316227.7660168382</c:v>
                </c:pt>
                <c:pt idx="166">
                  <c:v>341454.88738336053</c:v>
                </c:pt>
                <c:pt idx="167">
                  <c:v>368694.50645195803</c:v>
                </c:pt>
                <c:pt idx="168">
                  <c:v>398107.17055349716</c:v>
                </c:pt>
                <c:pt idx="169">
                  <c:v>429866.2347082285</c:v>
                </c:pt>
                <c:pt idx="170">
                  <c:v>464158.88336127886</c:v>
                </c:pt>
                <c:pt idx="171">
                  <c:v>501187.23362727347</c:v>
                </c:pt>
                <c:pt idx="172">
                  <c:v>541169.52654646419</c:v>
                </c:pt>
                <c:pt idx="173">
                  <c:v>584341.41337351827</c:v>
                </c:pt>
                <c:pt idx="174">
                  <c:v>630957.34448019415</c:v>
                </c:pt>
                <c:pt idx="175">
                  <c:v>681292.06905796123</c:v>
                </c:pt>
                <c:pt idx="176">
                  <c:v>735642.25445964152</c:v>
                </c:pt>
                <c:pt idx="177">
                  <c:v>794328.23472428333</c:v>
                </c:pt>
                <c:pt idx="178">
                  <c:v>857695.89859089628</c:v>
                </c:pt>
                <c:pt idx="179">
                  <c:v>926118.72812879446</c:v>
                </c:pt>
                <c:pt idx="180">
                  <c:v>1000000</c:v>
                </c:pt>
                <c:pt idx="181">
                  <c:v>1079775.1623277115</c:v>
                </c:pt>
                <c:pt idx="182">
                  <c:v>1165914.4011798317</c:v>
                </c:pt>
                <c:pt idx="183">
                  <c:v>1258925.4117941677</c:v>
                </c:pt>
                <c:pt idx="184">
                  <c:v>1359356.3908785288</c:v>
                </c:pt>
                <c:pt idx="185">
                  <c:v>1467799.2676220734</c:v>
                </c:pt>
                <c:pt idx="186">
                  <c:v>1584893.1924611153</c:v>
                </c:pt>
                <c:pt idx="187">
                  <c:v>1711328.3041617833</c:v>
                </c:pt>
                <c:pt idx="188">
                  <c:v>1847849.797422294</c:v>
                </c:pt>
                <c:pt idx="189">
                  <c:v>1995262.31496888</c:v>
                </c:pt>
                <c:pt idx="190">
                  <c:v>2154434.6900318847</c:v>
                </c:pt>
                <c:pt idx="191">
                  <c:v>2326305.067153628</c:v>
                </c:pt>
                <c:pt idx="192">
                  <c:v>2511886.431509587</c:v>
                </c:pt>
                <c:pt idx="193">
                  <c:v>2712272.5793320318</c:v>
                </c:pt>
                <c:pt idx="194">
                  <c:v>2928644.5646252413</c:v>
                </c:pt>
                <c:pt idx="195">
                  <c:v>3162277.6601683851</c:v>
                </c:pt>
                <c:pt idx="196">
                  <c:v>3414548.8738336028</c:v>
                </c:pt>
                <c:pt idx="197">
                  <c:v>3686945.0645195777</c:v>
                </c:pt>
                <c:pt idx="198">
                  <c:v>3981071.705534976</c:v>
                </c:pt>
                <c:pt idx="199">
                  <c:v>4298662.3470822899</c:v>
                </c:pt>
                <c:pt idx="200">
                  <c:v>4641588.8336127857</c:v>
                </c:pt>
                <c:pt idx="201">
                  <c:v>5011872.3362727314</c:v>
                </c:pt>
                <c:pt idx="202">
                  <c:v>5411695.2654646477</c:v>
                </c:pt>
                <c:pt idx="203">
                  <c:v>5843414.133735179</c:v>
                </c:pt>
                <c:pt idx="204">
                  <c:v>6309573.4448019378</c:v>
                </c:pt>
                <c:pt idx="205">
                  <c:v>6812920.6905796202</c:v>
                </c:pt>
                <c:pt idx="206">
                  <c:v>7356422.5445964225</c:v>
                </c:pt>
                <c:pt idx="207">
                  <c:v>7943282.3472428275</c:v>
                </c:pt>
                <c:pt idx="208">
                  <c:v>8576958.9859089572</c:v>
                </c:pt>
                <c:pt idx="209">
                  <c:v>9261187.2812879551</c:v>
                </c:pt>
                <c:pt idx="210">
                  <c:v>10000000</c:v>
                </c:pt>
              </c:numCache>
            </c:numRef>
          </c:xVal>
          <c:yVal>
            <c:numRef>
              <c:f>'Small Signal'!$I$2:$I$212</c:f>
              <c:numCache>
                <c:formatCode>General</c:formatCode>
                <c:ptCount val="211"/>
                <c:pt idx="0">
                  <c:v>16.857403228189874</c:v>
                </c:pt>
                <c:pt idx="1">
                  <c:v>16.857403225232904</c:v>
                </c:pt>
                <c:pt idx="2">
                  <c:v>16.857403221785312</c:v>
                </c:pt>
                <c:pt idx="3">
                  <c:v>16.857403217765739</c:v>
                </c:pt>
                <c:pt idx="4">
                  <c:v>16.857403213079223</c:v>
                </c:pt>
                <c:pt idx="5">
                  <c:v>16.857403207615182</c:v>
                </c:pt>
                <c:pt idx="6">
                  <c:v>16.857403201244555</c:v>
                </c:pt>
                <c:pt idx="7">
                  <c:v>16.85740319381696</c:v>
                </c:pt>
                <c:pt idx="8">
                  <c:v>16.857403185157025</c:v>
                </c:pt>
                <c:pt idx="9">
                  <c:v>16.857403175060274</c:v>
                </c:pt>
                <c:pt idx="10">
                  <c:v>16.857403163288328</c:v>
                </c:pt>
                <c:pt idx="11">
                  <c:v>16.857403149563261</c:v>
                </c:pt>
                <c:pt idx="12">
                  <c:v>16.857403133560986</c:v>
                </c:pt>
                <c:pt idx="13">
                  <c:v>16.857403114903718</c:v>
                </c:pt>
                <c:pt idx="14">
                  <c:v>16.857403093150918</c:v>
                </c:pt>
                <c:pt idx="15">
                  <c:v>16.85740306778904</c:v>
                </c:pt>
                <c:pt idx="16">
                  <c:v>16.857403038219253</c:v>
                </c:pt>
                <c:pt idx="17">
                  <c:v>16.857403003743418</c:v>
                </c:pt>
                <c:pt idx="18">
                  <c:v>16.857402963547536</c:v>
                </c:pt>
                <c:pt idx="19">
                  <c:v>16.857402916682588</c:v>
                </c:pt>
                <c:pt idx="20">
                  <c:v>16.857402862042065</c:v>
                </c:pt>
                <c:pt idx="21">
                  <c:v>16.857402798335897</c:v>
                </c:pt>
                <c:pt idx="22">
                  <c:v>16.857402724059945</c:v>
                </c:pt>
                <c:pt idx="23">
                  <c:v>16.857402637460577</c:v>
                </c:pt>
                <c:pt idx="24">
                  <c:v>16.85740253649309</c:v>
                </c:pt>
                <c:pt idx="25">
                  <c:v>16.857402418773685</c:v>
                </c:pt>
                <c:pt idx="26">
                  <c:v>16.857402281522912</c:v>
                </c:pt>
                <c:pt idx="27">
                  <c:v>16.857402121500268</c:v>
                </c:pt>
                <c:pt idx="28">
                  <c:v>16.85740193492758</c:v>
                </c:pt>
                <c:pt idx="29">
                  <c:v>16.857401717399782</c:v>
                </c:pt>
                <c:pt idx="30">
                  <c:v>16.85740146378102</c:v>
                </c:pt>
                <c:pt idx="31">
                  <c:v>16.857401168083282</c:v>
                </c:pt>
                <c:pt idx="32">
                  <c:v>16.857400823325051</c:v>
                </c:pt>
                <c:pt idx="33">
                  <c:v>16.857400421366481</c:v>
                </c:pt>
                <c:pt idx="34">
                  <c:v>16.857399952717245</c:v>
                </c:pt>
                <c:pt idx="35">
                  <c:v>16.857399406312428</c:v>
                </c:pt>
                <c:pt idx="36">
                  <c:v>16.857398769251262</c:v>
                </c:pt>
                <c:pt idx="37">
                  <c:v>16.857398026492586</c:v>
                </c:pt>
                <c:pt idx="38">
                  <c:v>16.857397160499723</c:v>
                </c:pt>
                <c:pt idx="39">
                  <c:v>16.857396150826364</c:v>
                </c:pt>
                <c:pt idx="40">
                  <c:v>16.857394973633959</c:v>
                </c:pt>
                <c:pt idx="41">
                  <c:v>16.857393601128752</c:v>
                </c:pt>
                <c:pt idx="42">
                  <c:v>16.857392000905719</c:v>
                </c:pt>
                <c:pt idx="43">
                  <c:v>16.857390135183355</c:v>
                </c:pt>
                <c:pt idx="44">
                  <c:v>16.857387959911776</c:v>
                </c:pt>
                <c:pt idx="45">
                  <c:v>16.857385423732648</c:v>
                </c:pt>
                <c:pt idx="46">
                  <c:v>16.85738246676673</c:v>
                </c:pt>
                <c:pt idx="47">
                  <c:v>16.857379019200025</c:v>
                </c:pt>
                <c:pt idx="48">
                  <c:v>16.857374999635752</c:v>
                </c:pt>
                <c:pt idx="49">
                  <c:v>16.857370313172442</c:v>
                </c:pt>
                <c:pt idx="50">
                  <c:v>16.857364849163609</c:v>
                </c:pt>
                <c:pt idx="51">
                  <c:v>16.857358478605484</c:v>
                </c:pt>
                <c:pt idx="52">
                  <c:v>16.857351051091541</c:v>
                </c:pt>
                <c:pt idx="53">
                  <c:v>16.85734239126171</c:v>
                </c:pt>
                <c:pt idx="54">
                  <c:v>16.857332294662648</c:v>
                </c:pt>
                <c:pt idx="55">
                  <c:v>16.857320522921327</c:v>
                </c:pt>
                <c:pt idx="56">
                  <c:v>16.857306798117868</c:v>
                </c:pt>
                <c:pt idx="57">
                  <c:v>16.857290796225275</c:v>
                </c:pt>
                <c:pt idx="58">
                  <c:v>16.857272139460871</c:v>
                </c:pt>
                <c:pt idx="59">
                  <c:v>16.857250387369252</c:v>
                </c:pt>
                <c:pt idx="60">
                  <c:v>16.857225026426526</c:v>
                </c:pt>
                <c:pt idx="61">
                  <c:v>16.857195457920543</c:v>
                </c:pt>
                <c:pt idx="62">
                  <c:v>16.857160983821494</c:v>
                </c:pt>
                <c:pt idx="63">
                  <c:v>16.857120790309928</c:v>
                </c:pt>
                <c:pt idx="64">
                  <c:v>16.857073928574003</c:v>
                </c:pt>
                <c:pt idx="65">
                  <c:v>16.857019292423875</c:v>
                </c:pt>
                <c:pt idx="66">
                  <c:v>16.856955592196009</c:v>
                </c:pt>
                <c:pt idx="67">
                  <c:v>16.856881324333454</c:v>
                </c:pt>
                <c:pt idx="68">
                  <c:v>16.856794735926869</c:v>
                </c:pt>
                <c:pt idx="69">
                  <c:v>16.856693783382447</c:v>
                </c:pt>
                <c:pt idx="70">
                  <c:v>16.85657608424663</c:v>
                </c:pt>
                <c:pt idx="71">
                  <c:v>16.85643886105693</c:v>
                </c:pt>
                <c:pt idx="72">
                  <c:v>16.856278875902785</c:v>
                </c:pt>
                <c:pt idx="73">
                  <c:v>16.856092354164495</c:v>
                </c:pt>
                <c:pt idx="74">
                  <c:v>16.855874895647563</c:v>
                </c:pt>
                <c:pt idx="75">
                  <c:v>16.855621371038243</c:v>
                </c:pt>
                <c:pt idx="76">
                  <c:v>16.855325801268204</c:v>
                </c:pt>
                <c:pt idx="77">
                  <c:v>16.854981216985017</c:v>
                </c:pt>
                <c:pt idx="78">
                  <c:v>16.854579494870418</c:v>
                </c:pt>
                <c:pt idx="79">
                  <c:v>16.854111167024101</c:v>
                </c:pt>
                <c:pt idx="80">
                  <c:v>16.853565199024061</c:v>
                </c:pt>
                <c:pt idx="81">
                  <c:v>16.852928731574433</c:v>
                </c:pt>
                <c:pt idx="82">
                  <c:v>16.8521867798469</c:v>
                </c:pt>
                <c:pt idx="83">
                  <c:v>16.851321883695331</c:v>
                </c:pt>
                <c:pt idx="84">
                  <c:v>16.850313700863602</c:v>
                </c:pt>
                <c:pt idx="85">
                  <c:v>16.849138534095292</c:v>
                </c:pt>
                <c:pt idx="86">
                  <c:v>16.847768781675391</c:v>
                </c:pt>
                <c:pt idx="87">
                  <c:v>16.84617229937432</c:v>
                </c:pt>
                <c:pt idx="88">
                  <c:v>16.844311660006387</c:v>
                </c:pt>
                <c:pt idx="89">
                  <c:v>16.8421432948501</c:v>
                </c:pt>
                <c:pt idx="90">
                  <c:v>16.839616498997827</c:v>
                </c:pt>
                <c:pt idx="91">
                  <c:v>16.836672280313991</c:v>
                </c:pt>
                <c:pt idx="92">
                  <c:v>16.833242029096226</c:v>
                </c:pt>
                <c:pt idx="93">
                  <c:v>16.829245982793207</c:v>
                </c:pt>
                <c:pt idx="94">
                  <c:v>16.824591457296517</c:v>
                </c:pt>
                <c:pt idx="95">
                  <c:v>16.819170813495553</c:v>
                </c:pt>
                <c:pt idx="96">
                  <c:v>16.812859125121506</c:v>
                </c:pt>
                <c:pt idx="97">
                  <c:v>16.805511511632638</c:v>
                </c:pt>
                <c:pt idx="98">
                  <c:v>16.796960098334104</c:v>
                </c:pt>
                <c:pt idx="99">
                  <c:v>16.787010565523026</c:v>
                </c:pt>
                <c:pt idx="100">
                  <c:v>16.775438249805216</c:v>
                </c:pt>
                <c:pt idx="101">
                  <c:v>16.761983764635247</c:v>
                </c:pt>
                <c:pt idx="102">
                  <c:v>16.746348114613735</c:v>
                </c:pt>
                <c:pt idx="103">
                  <c:v>16.72818729042244</c:v>
                </c:pt>
                <c:pt idx="104">
                  <c:v>16.707106350074184</c:v>
                </c:pt>
                <c:pt idx="105">
                  <c:v>16.682653019266706</c:v>
                </c:pt>
                <c:pt idx="106">
                  <c:v>16.65431088116204</c:v>
                </c:pt>
                <c:pt idx="107">
                  <c:v>16.621492276074989</c:v>
                </c:pt>
                <c:pt idx="108">
                  <c:v>16.58353109641396</c:v>
                </c:pt>
                <c:pt idx="109">
                  <c:v>16.53967574328362</c:v>
                </c:pt>
                <c:pt idx="110">
                  <c:v>16.489082608751076</c:v>
                </c:pt>
                <c:pt idx="111">
                  <c:v>16.430810560136283</c:v>
                </c:pt>
                <c:pt idx="112">
                  <c:v>16.363817024835623</c:v>
                </c:pt>
                <c:pt idx="113">
                  <c:v>16.286956396603273</c:v>
                </c:pt>
                <c:pt idx="114">
                  <c:v>16.198981591555533</c:v>
                </c:pt>
                <c:pt idx="115">
                  <c:v>16.098549652387558</c:v>
                </c:pt>
                <c:pt idx="116">
                  <c:v>15.984232303839503</c:v>
                </c:pt>
                <c:pt idx="117">
                  <c:v>15.854532268216078</c:v>
                </c:pt>
                <c:pt idx="118">
                  <c:v>15.707905923711809</c:v>
                </c:pt>
                <c:pt idx="119">
                  <c:v>15.542792505143851</c:v>
                </c:pt>
                <c:pt idx="120">
                  <c:v>15.357649499359047</c:v>
                </c:pt>
                <c:pt idx="121">
                  <c:v>15.150993198588372</c:v>
                </c:pt>
                <c:pt idx="122">
                  <c:v>14.921442605502476</c:v>
                </c:pt>
                <c:pt idx="123">
                  <c:v>14.667764135298871</c:v>
                </c:pt>
                <c:pt idx="124">
                  <c:v>14.388913965170858</c:v>
                </c:pt>
                <c:pt idx="125">
                  <c:v>14.084074579604657</c:v>
                </c:pt>
                <c:pt idx="126">
                  <c:v>13.75268216382934</c:v>
                </c:pt>
                <c:pt idx="127">
                  <c:v>13.39444205695046</c:v>
                </c:pt>
                <c:pt idx="128">
                  <c:v>13.009330451728045</c:v>
                </c:pt>
                <c:pt idx="129">
                  <c:v>12.597581788942559</c:v>
                </c:pt>
                <c:pt idx="130">
                  <c:v>12.159662643196887</c:v>
                </c:pt>
                <c:pt idx="131">
                  <c:v>11.696234115720099</c:v>
                </c:pt>
                <c:pt idx="132">
                  <c:v>11.20810565318795</c:v>
                </c:pt>
                <c:pt idx="133">
                  <c:v>10.696183690134786</c:v>
                </c:pt>
                <c:pt idx="134">
                  <c:v>10.161418550349817</c:v>
                </c:pt>
                <c:pt idx="135">
                  <c:v>9.6047527085689595</c:v>
                </c:pt>
                <c:pt idx="136">
                  <c:v>9.0270729319860958</c:v>
                </c:pt>
                <c:pt idx="137">
                  <c:v>8.4291681339644313</c:v>
                </c:pt>
                <c:pt idx="138">
                  <c:v>7.8116941074998536</c:v>
                </c:pt>
                <c:pt idx="139">
                  <c:v>7.1751457553624673</c:v>
                </c:pt>
                <c:pt idx="140">
                  <c:v>6.5198370456999477</c:v>
                </c:pt>
                <c:pt idx="141">
                  <c:v>5.8458887036337845</c:v>
                </c:pt>
                <c:pt idx="142">
                  <c:v>5.15322357611646</c:v>
                </c:pt>
                <c:pt idx="143">
                  <c:v>4.4415696321561748</c:v>
                </c:pt>
                <c:pt idx="144">
                  <c:v>3.7104706241101981</c:v>
                </c:pt>
                <c:pt idx="145">
                  <c:v>2.9593044742940644</c:v>
                </c:pt>
                <c:pt idx="146">
                  <c:v>2.1873094036982126</c:v>
                </c:pt>
                <c:pt idx="147">
                  <c:v>1.3936176358162533</c:v>
                </c:pt>
                <c:pt idx="148">
                  <c:v>0.57729615792102329</c:v>
                </c:pt>
                <c:pt idx="149">
                  <c:v>-0.26260649583884188</c:v>
                </c:pt>
                <c:pt idx="150">
                  <c:v>-1.1270091215066627</c:v>
                </c:pt>
                <c:pt idx="151">
                  <c:v>-2.0167447565782308</c:v>
                </c:pt>
                <c:pt idx="152">
                  <c:v>-2.9325086159946068</c:v>
                </c:pt>
                <c:pt idx="153">
                  <c:v>-3.8748104427394598</c:v>
                </c:pt>
                <c:pt idx="154">
                  <c:v>-4.8439347137799427</c:v>
                </c:pt>
                <c:pt idx="155">
                  <c:v>-5.8399117606834849</c:v>
                </c:pt>
                <c:pt idx="156">
                  <c:v>-6.8625020464436766</c:v>
                </c:pt>
                <c:pt idx="157">
                  <c:v>-7.911194675738848</c:v>
                </c:pt>
                <c:pt idx="158">
                  <c:v>-8.985219876679837</c:v>
                </c:pt>
                <c:pt idx="159">
                  <c:v>-10.083573893451446</c:v>
                </c:pt>
                <c:pt idx="160">
                  <c:v>-11.205053677627802</c:v>
                </c:pt>
                <c:pt idx="161">
                  <c:v>-12.348298109527512</c:v>
                </c:pt>
                <c:pt idx="162">
                  <c:v>-13.511832279369658</c:v>
                </c:pt>
                <c:pt idx="163">
                  <c:v>-14.694111579308412</c:v>
                </c:pt>
                <c:pt idx="164">
                  <c:v>-15.89356289972142</c:v>
                </c:pt>
                <c:pt idx="165">
                  <c:v>-17.108620949426051</c:v>
                </c:pt>
                <c:pt idx="166">
                  <c:v>-18.337758493434574</c:v>
                </c:pt>
                <c:pt idx="167">
                  <c:v>-19.579510013838153</c:v>
                </c:pt>
                <c:pt idx="168">
                  <c:v>-20.832488879335553</c:v>
                </c:pt>
                <c:pt idx="169">
                  <c:v>-22.095398526486743</c:v>
                </c:pt>
                <c:pt idx="170">
                  <c:v>-23.367038412582307</c:v>
                </c:pt>
                <c:pt idx="171">
                  <c:v>-24.646305618358575</c:v>
                </c:pt>
                <c:pt idx="172">
                  <c:v>-25.932192990763895</c:v>
                </c:pt>
                <c:pt idx="173">
                  <c:v>-27.223784655175145</c:v>
                </c:pt>
                <c:pt idx="174">
                  <c:v>-28.520249622671251</c:v>
                </c:pt>
                <c:pt idx="175">
                  <c:v>-29.820834094730419</c:v>
                </c:pt>
                <c:pt idx="176">
                  <c:v>-31.124852941819267</c:v>
                </c:pt>
                <c:pt idx="177">
                  <c:v>-32.431680714527765</c:v>
                </c:pt>
                <c:pt idx="178">
                  <c:v>-33.740742442151898</c:v>
                </c:pt>
                <c:pt idx="179">
                  <c:v>-35.05150438643382</c:v>
                </c:pt>
                <c:pt idx="180">
                  <c:v>-36.363464847851105</c:v>
                </c:pt>
                <c:pt idx="181">
                  <c:v>-37.676145067423398</c:v>
                </c:pt>
                <c:pt idx="182">
                  <c:v>-38.989080226961541</c:v>
                </c:pt>
                <c:pt idx="183">
                  <c:v>-40.301810523465193</c:v>
                </c:pt>
                <c:pt idx="184">
                  <c:v>-41.613872277660334</c:v>
                </c:pt>
                <c:pt idx="185">
                  <c:v>-42.924789031634411</c:v>
                </c:pt>
                <c:pt idx="186">
                  <c:v>-44.234062595855406</c:v>
                </c:pt>
                <c:pt idx="187">
                  <c:v>-45.541164021864269</c:v>
                </c:pt>
                <c:pt idx="188">
                  <c:v>-46.845524504443745</c:v>
                </c:pt>
                <c:pt idx="189">
                  <c:v>-48.146526257403863</c:v>
                </c:pt>
                <c:pt idx="190">
                  <c:v>-49.443493461848533</c:v>
                </c:pt>
                <c:pt idx="191">
                  <c:v>-50.735683456453231</c:v>
                </c:pt>
                <c:pt idx="192">
                  <c:v>-52.022278426861661</c:v>
                </c:pt>
                <c:pt idx="193">
                  <c:v>-53.30237795558628</c:v>
                </c:pt>
                <c:pt idx="194">
                  <c:v>-54.574992912302932</c:v>
                </c:pt>
                <c:pt idx="195">
                  <c:v>-55.839041291324214</c:v>
                </c:pt>
                <c:pt idx="196">
                  <c:v>-57.093346727693174</c:v>
                </c:pt>
                <c:pt idx="197">
                  <c:v>-58.336640529125773</c:v>
                </c:pt>
                <c:pt idx="198">
                  <c:v>-59.567568124579786</c:v>
                </c:pt>
                <c:pt idx="199">
                  <c:v>-60.784700821863169</c:v>
                </c:pt>
                <c:pt idx="200">
                  <c:v>-61.986553652892184</c:v>
                </c:pt>
                <c:pt idx="201">
                  <c:v>-63.171609833760634</c:v>
                </c:pt>
                <c:pt idx="202">
                  <c:v>-64.338351955074245</c:v>
                </c:pt>
                <c:pt idx="203">
                  <c:v>-65.485299443874212</c:v>
                </c:pt>
                <c:pt idx="204">
                  <c:v>-66.611051131393495</c:v>
                </c:pt>
                <c:pt idx="205">
                  <c:v>-67.714330990029708</c:v>
                </c:pt>
                <c:pt idx="206">
                  <c:v>-68.794034377005801</c:v>
                </c:pt>
                <c:pt idx="207">
                  <c:v>-69.8492715771185</c:v>
                </c:pt>
                <c:pt idx="208">
                  <c:v>-70.879405209840883</c:v>
                </c:pt>
                <c:pt idx="209">
                  <c:v>-71.884078259638997</c:v>
                </c:pt>
                <c:pt idx="210">
                  <c:v>-72.86323013594756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2B-4B76-9FB5-F40AD28F2663}"/>
            </c:ext>
          </c:extLst>
        </c:ser>
        <c:ser>
          <c:idx val="0"/>
          <c:order val="1"/>
          <c:tx>
            <c:v>Compensation Gain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'Small Signal'!$G$2:$G$212</c:f>
              <c:numCache>
                <c:formatCode>General</c:formatCode>
                <c:ptCount val="211"/>
                <c:pt idx="0">
                  <c:v>1</c:v>
                </c:pt>
                <c:pt idx="1">
                  <c:v>1.0797751623277096</c:v>
                </c:pt>
                <c:pt idx="2">
                  <c:v>1.1659144011798317</c:v>
                </c:pt>
                <c:pt idx="3">
                  <c:v>1.2589254117941673</c:v>
                </c:pt>
                <c:pt idx="4">
                  <c:v>1.3593563908785258</c:v>
                </c:pt>
                <c:pt idx="5">
                  <c:v>1.4677992676220697</c:v>
                </c:pt>
                <c:pt idx="6">
                  <c:v>1.5848931924611136</c:v>
                </c:pt>
                <c:pt idx="7">
                  <c:v>1.7113283041617808</c:v>
                </c:pt>
                <c:pt idx="8">
                  <c:v>1.8478497974222912</c:v>
                </c:pt>
                <c:pt idx="9">
                  <c:v>1.9952623149688797</c:v>
                </c:pt>
                <c:pt idx="10">
                  <c:v>2.1544346900318838</c:v>
                </c:pt>
                <c:pt idx="11">
                  <c:v>2.3263050671536263</c:v>
                </c:pt>
                <c:pt idx="12">
                  <c:v>2.5118864315095806</c:v>
                </c:pt>
                <c:pt idx="13">
                  <c:v>2.7122725793320286</c:v>
                </c:pt>
                <c:pt idx="14">
                  <c:v>2.9286445646252366</c:v>
                </c:pt>
                <c:pt idx="15">
                  <c:v>3.1622776601683795</c:v>
                </c:pt>
                <c:pt idx="16">
                  <c:v>3.4145488738336023</c:v>
                </c:pt>
                <c:pt idx="17">
                  <c:v>3.6869450645195756</c:v>
                </c:pt>
                <c:pt idx="18">
                  <c:v>3.9810717055349727</c:v>
                </c:pt>
                <c:pt idx="19">
                  <c:v>4.2986623470822769</c:v>
                </c:pt>
                <c:pt idx="20">
                  <c:v>4.6415888336127793</c:v>
                </c:pt>
                <c:pt idx="21">
                  <c:v>5.0118723362727229</c:v>
                </c:pt>
                <c:pt idx="22">
                  <c:v>5.4116952654646369</c:v>
                </c:pt>
                <c:pt idx="23">
                  <c:v>5.8434141337351777</c:v>
                </c:pt>
                <c:pt idx="24">
                  <c:v>6.3095734448019343</c:v>
                </c:pt>
                <c:pt idx="25">
                  <c:v>6.812920690579614</c:v>
                </c:pt>
                <c:pt idx="26">
                  <c:v>7.3564225445964153</c:v>
                </c:pt>
                <c:pt idx="27">
                  <c:v>7.9432823472428176</c:v>
                </c:pt>
                <c:pt idx="28">
                  <c:v>8.5769589859089415</c:v>
                </c:pt>
                <c:pt idx="29">
                  <c:v>9.2611872812879383</c:v>
                </c:pt>
                <c:pt idx="30">
                  <c:v>10</c:v>
                </c:pt>
                <c:pt idx="31">
                  <c:v>10.797751623277103</c:v>
                </c:pt>
                <c:pt idx="32">
                  <c:v>11.659144011798322</c:v>
                </c:pt>
                <c:pt idx="33">
                  <c:v>12.58925411794168</c:v>
                </c:pt>
                <c:pt idx="34">
                  <c:v>13.593563908785256</c:v>
                </c:pt>
                <c:pt idx="35">
                  <c:v>14.677992676220699</c:v>
                </c:pt>
                <c:pt idx="36">
                  <c:v>15.848931924611136</c:v>
                </c:pt>
                <c:pt idx="37">
                  <c:v>17.113283041617812</c:v>
                </c:pt>
                <c:pt idx="38">
                  <c:v>18.478497974222911</c:v>
                </c:pt>
                <c:pt idx="39">
                  <c:v>19.952623149688804</c:v>
                </c:pt>
                <c:pt idx="40">
                  <c:v>21.544346900318843</c:v>
                </c:pt>
                <c:pt idx="41">
                  <c:v>23.263050671536273</c:v>
                </c:pt>
                <c:pt idx="42">
                  <c:v>25.118864315095799</c:v>
                </c:pt>
                <c:pt idx="43">
                  <c:v>27.122725793320289</c:v>
                </c:pt>
                <c:pt idx="44">
                  <c:v>29.286445646252368</c:v>
                </c:pt>
                <c:pt idx="45">
                  <c:v>31.622776601683803</c:v>
                </c:pt>
                <c:pt idx="46">
                  <c:v>34.145488738336034</c:v>
                </c:pt>
                <c:pt idx="47">
                  <c:v>36.869450645195769</c:v>
                </c:pt>
                <c:pt idx="48">
                  <c:v>39.810717055349755</c:v>
                </c:pt>
                <c:pt idx="49">
                  <c:v>42.986623470822771</c:v>
                </c:pt>
                <c:pt idx="50">
                  <c:v>46.415888336127807</c:v>
                </c:pt>
                <c:pt idx="51">
                  <c:v>50.118723362727238</c:v>
                </c:pt>
                <c:pt idx="52">
                  <c:v>54.11695265464639</c:v>
                </c:pt>
                <c:pt idx="53">
                  <c:v>58.434141337351775</c:v>
                </c:pt>
                <c:pt idx="54">
                  <c:v>63.095734448019364</c:v>
                </c:pt>
                <c:pt idx="55">
                  <c:v>68.129206905796124</c:v>
                </c:pt>
                <c:pt idx="56">
                  <c:v>73.564225445964155</c:v>
                </c:pt>
                <c:pt idx="57">
                  <c:v>79.432823472428197</c:v>
                </c:pt>
                <c:pt idx="58">
                  <c:v>85.769589859089479</c:v>
                </c:pt>
                <c:pt idx="59">
                  <c:v>92.611872812879369</c:v>
                </c:pt>
                <c:pt idx="60">
                  <c:v>100</c:v>
                </c:pt>
                <c:pt idx="61">
                  <c:v>107.97751623277095</c:v>
                </c:pt>
                <c:pt idx="62">
                  <c:v>116.59144011798328</c:v>
                </c:pt>
                <c:pt idx="63">
                  <c:v>125.89254117941677</c:v>
                </c:pt>
                <c:pt idx="64">
                  <c:v>135.93563908785265</c:v>
                </c:pt>
                <c:pt idx="65">
                  <c:v>146.77992676220697</c:v>
                </c:pt>
                <c:pt idx="66">
                  <c:v>158.48931924611153</c:v>
                </c:pt>
                <c:pt idx="67">
                  <c:v>171.13283041617817</c:v>
                </c:pt>
                <c:pt idx="68">
                  <c:v>184.7849797422291</c:v>
                </c:pt>
                <c:pt idx="69">
                  <c:v>199.52623149688802</c:v>
                </c:pt>
                <c:pt idx="70">
                  <c:v>215.44346900318848</c:v>
                </c:pt>
                <c:pt idx="71">
                  <c:v>232.6305067153628</c:v>
                </c:pt>
                <c:pt idx="72">
                  <c:v>251.18864315095806</c:v>
                </c:pt>
                <c:pt idx="73">
                  <c:v>271.22725793320296</c:v>
                </c:pt>
                <c:pt idx="74">
                  <c:v>292.86445646252383</c:v>
                </c:pt>
                <c:pt idx="75">
                  <c:v>316.22776601683825</c:v>
                </c:pt>
                <c:pt idx="76">
                  <c:v>341.4548873833603</c:v>
                </c:pt>
                <c:pt idx="77">
                  <c:v>368.69450645195781</c:v>
                </c:pt>
                <c:pt idx="78">
                  <c:v>398.10717055349761</c:v>
                </c:pt>
                <c:pt idx="79">
                  <c:v>429.86623470822781</c:v>
                </c:pt>
                <c:pt idx="80">
                  <c:v>464.15888336127819</c:v>
                </c:pt>
                <c:pt idx="81">
                  <c:v>501.18723362727269</c:v>
                </c:pt>
                <c:pt idx="82">
                  <c:v>541.16952654646434</c:v>
                </c:pt>
                <c:pt idx="83">
                  <c:v>584.34141337351787</c:v>
                </c:pt>
                <c:pt idx="84">
                  <c:v>630.95734448019323</c:v>
                </c:pt>
                <c:pt idx="85">
                  <c:v>681.29206905796195</c:v>
                </c:pt>
                <c:pt idx="86">
                  <c:v>735.64225445964166</c:v>
                </c:pt>
                <c:pt idx="87">
                  <c:v>794.32823472428208</c:v>
                </c:pt>
                <c:pt idx="88">
                  <c:v>857.69589859089422</c:v>
                </c:pt>
                <c:pt idx="89">
                  <c:v>926.11872812879471</c:v>
                </c:pt>
                <c:pt idx="90">
                  <c:v>1000</c:v>
                </c:pt>
                <c:pt idx="91">
                  <c:v>1079.7751623277097</c:v>
                </c:pt>
                <c:pt idx="92">
                  <c:v>1165.914401179833</c:v>
                </c:pt>
                <c:pt idx="93">
                  <c:v>1258.925411794168</c:v>
                </c:pt>
                <c:pt idx="94">
                  <c:v>1359.3563908785268</c:v>
                </c:pt>
                <c:pt idx="95">
                  <c:v>1467.7992676220699</c:v>
                </c:pt>
                <c:pt idx="96">
                  <c:v>1584.8931924611156</c:v>
                </c:pt>
                <c:pt idx="97">
                  <c:v>1711.3283041617822</c:v>
                </c:pt>
                <c:pt idx="98">
                  <c:v>1847.8497974222912</c:v>
                </c:pt>
                <c:pt idx="99">
                  <c:v>1995.2623149688804</c:v>
                </c:pt>
                <c:pt idx="100">
                  <c:v>2154.4346900318851</c:v>
                </c:pt>
                <c:pt idx="101">
                  <c:v>2326.3050671536284</c:v>
                </c:pt>
                <c:pt idx="102">
                  <c:v>2511.8864315095811</c:v>
                </c:pt>
                <c:pt idx="103">
                  <c:v>2712.2725793320301</c:v>
                </c:pt>
                <c:pt idx="104">
                  <c:v>2928.6445646252391</c:v>
                </c:pt>
                <c:pt idx="105">
                  <c:v>3162.2776601683804</c:v>
                </c:pt>
                <c:pt idx="106">
                  <c:v>3414.5488738336035</c:v>
                </c:pt>
                <c:pt idx="107">
                  <c:v>3686.9450645195784</c:v>
                </c:pt>
                <c:pt idx="108">
                  <c:v>3981.0717055349769</c:v>
                </c:pt>
                <c:pt idx="109">
                  <c:v>4298.6623470822833</c:v>
                </c:pt>
                <c:pt idx="110">
                  <c:v>4641.5888336127782</c:v>
                </c:pt>
                <c:pt idx="111">
                  <c:v>5011.8723362727324</c:v>
                </c:pt>
                <c:pt idx="112">
                  <c:v>5411.6952654646393</c:v>
                </c:pt>
                <c:pt idx="113">
                  <c:v>5843.4141337351803</c:v>
                </c:pt>
                <c:pt idx="114">
                  <c:v>6309.5734448019384</c:v>
                </c:pt>
                <c:pt idx="115">
                  <c:v>6812.9206905796218</c:v>
                </c:pt>
                <c:pt idx="116">
                  <c:v>7356.4225445964248</c:v>
                </c:pt>
                <c:pt idx="117">
                  <c:v>7943.2823472428154</c:v>
                </c:pt>
                <c:pt idx="118">
                  <c:v>8576.9589859089447</c:v>
                </c:pt>
                <c:pt idx="119">
                  <c:v>9261.187281287941</c:v>
                </c:pt>
                <c:pt idx="120">
                  <c:v>10000</c:v>
                </c:pt>
                <c:pt idx="121">
                  <c:v>10797.751623277109</c:v>
                </c:pt>
                <c:pt idx="122">
                  <c:v>11659.144011798313</c:v>
                </c:pt>
                <c:pt idx="123">
                  <c:v>12589.254117941671</c:v>
                </c:pt>
                <c:pt idx="124">
                  <c:v>13593.563908785283</c:v>
                </c:pt>
                <c:pt idx="125">
                  <c:v>14677.992676220729</c:v>
                </c:pt>
                <c:pt idx="126">
                  <c:v>15848.931924611146</c:v>
                </c:pt>
                <c:pt idx="127">
                  <c:v>17113.283041617826</c:v>
                </c:pt>
                <c:pt idx="128">
                  <c:v>18478.497974222933</c:v>
                </c:pt>
                <c:pt idx="129">
                  <c:v>19952.623149688792</c:v>
                </c:pt>
                <c:pt idx="130">
                  <c:v>21544.346900318837</c:v>
                </c:pt>
                <c:pt idx="131">
                  <c:v>23263.050671536268</c:v>
                </c:pt>
                <c:pt idx="132">
                  <c:v>25118.86431509586</c:v>
                </c:pt>
                <c:pt idx="133">
                  <c:v>27122.725793320307</c:v>
                </c:pt>
                <c:pt idx="134">
                  <c:v>29286.445646252399</c:v>
                </c:pt>
                <c:pt idx="135">
                  <c:v>31622.77660168384</c:v>
                </c:pt>
                <c:pt idx="136">
                  <c:v>34145.488738336011</c:v>
                </c:pt>
                <c:pt idx="137">
                  <c:v>36869.450645195764</c:v>
                </c:pt>
                <c:pt idx="138">
                  <c:v>39810.717055349742</c:v>
                </c:pt>
                <c:pt idx="139">
                  <c:v>42986.62347082288</c:v>
                </c:pt>
                <c:pt idx="140">
                  <c:v>46415.888336127835</c:v>
                </c:pt>
                <c:pt idx="141">
                  <c:v>50118.723362727294</c:v>
                </c:pt>
                <c:pt idx="142">
                  <c:v>54116.952654646455</c:v>
                </c:pt>
                <c:pt idx="143">
                  <c:v>58434.141337351764</c:v>
                </c:pt>
                <c:pt idx="144">
                  <c:v>63095.734448019342</c:v>
                </c:pt>
                <c:pt idx="145">
                  <c:v>68129.206905796163</c:v>
                </c:pt>
                <c:pt idx="146">
                  <c:v>73564.225445964199</c:v>
                </c:pt>
                <c:pt idx="147">
                  <c:v>79432.823472428237</c:v>
                </c:pt>
                <c:pt idx="148">
                  <c:v>85769.589859089538</c:v>
                </c:pt>
                <c:pt idx="149">
                  <c:v>92611.872812879505</c:v>
                </c:pt>
                <c:pt idx="150">
                  <c:v>100000</c:v>
                </c:pt>
                <c:pt idx="151">
                  <c:v>107977.51623277101</c:v>
                </c:pt>
                <c:pt idx="152">
                  <c:v>116591.44011798326</c:v>
                </c:pt>
                <c:pt idx="153">
                  <c:v>125892.54117941685</c:v>
                </c:pt>
                <c:pt idx="154">
                  <c:v>135935.63908785273</c:v>
                </c:pt>
                <c:pt idx="155">
                  <c:v>146779.92676220718</c:v>
                </c:pt>
                <c:pt idx="156">
                  <c:v>158489.31924611164</c:v>
                </c:pt>
                <c:pt idx="157">
                  <c:v>171132.83041617845</c:v>
                </c:pt>
                <c:pt idx="158">
                  <c:v>184784.97974222922</c:v>
                </c:pt>
                <c:pt idx="159">
                  <c:v>199526.23149688813</c:v>
                </c:pt>
                <c:pt idx="160">
                  <c:v>215443.46900318863</c:v>
                </c:pt>
                <c:pt idx="161">
                  <c:v>232630.50671536254</c:v>
                </c:pt>
                <c:pt idx="162">
                  <c:v>251188.64315095844</c:v>
                </c:pt>
                <c:pt idx="163">
                  <c:v>271227.25793320336</c:v>
                </c:pt>
                <c:pt idx="164">
                  <c:v>292864.45646252431</c:v>
                </c:pt>
                <c:pt idx="165">
                  <c:v>316227.7660168382</c:v>
                </c:pt>
                <c:pt idx="166">
                  <c:v>341454.88738336053</c:v>
                </c:pt>
                <c:pt idx="167">
                  <c:v>368694.50645195803</c:v>
                </c:pt>
                <c:pt idx="168">
                  <c:v>398107.17055349716</c:v>
                </c:pt>
                <c:pt idx="169">
                  <c:v>429866.2347082285</c:v>
                </c:pt>
                <c:pt idx="170">
                  <c:v>464158.88336127886</c:v>
                </c:pt>
                <c:pt idx="171">
                  <c:v>501187.23362727347</c:v>
                </c:pt>
                <c:pt idx="172">
                  <c:v>541169.52654646419</c:v>
                </c:pt>
                <c:pt idx="173">
                  <c:v>584341.41337351827</c:v>
                </c:pt>
                <c:pt idx="174">
                  <c:v>630957.34448019415</c:v>
                </c:pt>
                <c:pt idx="175">
                  <c:v>681292.06905796123</c:v>
                </c:pt>
                <c:pt idx="176">
                  <c:v>735642.25445964152</c:v>
                </c:pt>
                <c:pt idx="177">
                  <c:v>794328.23472428333</c:v>
                </c:pt>
                <c:pt idx="178">
                  <c:v>857695.89859089628</c:v>
                </c:pt>
                <c:pt idx="179">
                  <c:v>926118.72812879446</c:v>
                </c:pt>
                <c:pt idx="180">
                  <c:v>1000000</c:v>
                </c:pt>
                <c:pt idx="181">
                  <c:v>1079775.1623277115</c:v>
                </c:pt>
                <c:pt idx="182">
                  <c:v>1165914.4011798317</c:v>
                </c:pt>
                <c:pt idx="183">
                  <c:v>1258925.4117941677</c:v>
                </c:pt>
                <c:pt idx="184">
                  <c:v>1359356.3908785288</c:v>
                </c:pt>
                <c:pt idx="185">
                  <c:v>1467799.2676220734</c:v>
                </c:pt>
                <c:pt idx="186">
                  <c:v>1584893.1924611153</c:v>
                </c:pt>
                <c:pt idx="187">
                  <c:v>1711328.3041617833</c:v>
                </c:pt>
                <c:pt idx="188">
                  <c:v>1847849.797422294</c:v>
                </c:pt>
                <c:pt idx="189">
                  <c:v>1995262.31496888</c:v>
                </c:pt>
                <c:pt idx="190">
                  <c:v>2154434.6900318847</c:v>
                </c:pt>
                <c:pt idx="191">
                  <c:v>2326305.067153628</c:v>
                </c:pt>
                <c:pt idx="192">
                  <c:v>2511886.431509587</c:v>
                </c:pt>
                <c:pt idx="193">
                  <c:v>2712272.5793320318</c:v>
                </c:pt>
                <c:pt idx="194">
                  <c:v>2928644.5646252413</c:v>
                </c:pt>
                <c:pt idx="195">
                  <c:v>3162277.6601683851</c:v>
                </c:pt>
                <c:pt idx="196">
                  <c:v>3414548.8738336028</c:v>
                </c:pt>
                <c:pt idx="197">
                  <c:v>3686945.0645195777</c:v>
                </c:pt>
                <c:pt idx="198">
                  <c:v>3981071.705534976</c:v>
                </c:pt>
                <c:pt idx="199">
                  <c:v>4298662.3470822899</c:v>
                </c:pt>
                <c:pt idx="200">
                  <c:v>4641588.8336127857</c:v>
                </c:pt>
                <c:pt idx="201">
                  <c:v>5011872.3362727314</c:v>
                </c:pt>
                <c:pt idx="202">
                  <c:v>5411695.2654646477</c:v>
                </c:pt>
                <c:pt idx="203">
                  <c:v>5843414.133735179</c:v>
                </c:pt>
                <c:pt idx="204">
                  <c:v>6309573.4448019378</c:v>
                </c:pt>
                <c:pt idx="205">
                  <c:v>6812920.6905796202</c:v>
                </c:pt>
                <c:pt idx="206">
                  <c:v>7356422.5445964225</c:v>
                </c:pt>
                <c:pt idx="207">
                  <c:v>7943282.3472428275</c:v>
                </c:pt>
                <c:pt idx="208">
                  <c:v>8576958.9859089572</c:v>
                </c:pt>
                <c:pt idx="209">
                  <c:v>9261187.2812879551</c:v>
                </c:pt>
                <c:pt idx="210">
                  <c:v>10000000</c:v>
                </c:pt>
              </c:numCache>
            </c:numRef>
          </c:xVal>
          <c:yVal>
            <c:numRef>
              <c:f>'Small Signal'!$T$2:$T$212</c:f>
              <c:numCache>
                <c:formatCode>General</c:formatCode>
                <c:ptCount val="211"/>
                <c:pt idx="0">
                  <c:v>63.695009879462845</c:v>
                </c:pt>
                <c:pt idx="1">
                  <c:v>63.629800308959915</c:v>
                </c:pt>
                <c:pt idx="2">
                  <c:v>63.554987562382451</c:v>
                </c:pt>
                <c:pt idx="3">
                  <c:v>63.46935902319035</c:v>
                </c:pt>
                <c:pt idx="4">
                  <c:v>63.371609607570548</c:v>
                </c:pt>
                <c:pt idx="5">
                  <c:v>63.260352491299713</c:v>
                </c:pt>
                <c:pt idx="6">
                  <c:v>63.13413563576421</c:v>
                </c:pt>
                <c:pt idx="7">
                  <c:v>62.991464740043725</c:v>
                </c:pt>
                <c:pt idx="8">
                  <c:v>62.830832880503785</c:v>
                </c:pt>
                <c:pt idx="9">
                  <c:v>62.65075656947382</c:v>
                </c:pt>
                <c:pt idx="10">
                  <c:v>62.449817289568642</c:v>
                </c:pt>
                <c:pt idx="11">
                  <c:v>62.226706797266687</c:v>
                </c:pt>
                <c:pt idx="12">
                  <c:v>61.980273736429297</c:v>
                </c:pt>
                <c:pt idx="13">
                  <c:v>61.709568489641917</c:v>
                </c:pt>
                <c:pt idx="14">
                  <c:v>61.413882862690215</c:v>
                </c:pt>
                <c:pt idx="15">
                  <c:v>61.092781261710996</c:v>
                </c:pt>
                <c:pt idx="16">
                  <c:v>60.746120540053766</c:v>
                </c:pt>
                <c:pt idx="17">
                  <c:v>60.374056631913106</c:v>
                </c:pt>
                <c:pt idx="18">
                  <c:v>59.977037328982632</c:v>
                </c:pt>
                <c:pt idx="19">
                  <c:v>59.555781900770491</c:v>
                </c:pt>
                <c:pt idx="20">
                  <c:v>59.111249489179428</c:v>
                </c:pt>
                <c:pt idx="21">
                  <c:v>58.644599131756749</c:v>
                </c:pt>
                <c:pt idx="22">
                  <c:v>58.157144766015094</c:v>
                </c:pt>
                <c:pt idx="23">
                  <c:v>57.650308612718732</c:v>
                </c:pt>
                <c:pt idx="24">
                  <c:v>57.125575988740714</c:v>
                </c:pt>
                <c:pt idx="25">
                  <c:v>56.584453978372224</c:v>
                </c:pt>
                <c:pt idx="26">
                  <c:v>56.028435636103559</c:v>
                </c:pt>
                <c:pt idx="27">
                  <c:v>55.458970632995232</c:v>
                </c:pt>
                <c:pt idx="28">
                  <c:v>54.877442589087188</c:v>
                </c:pt>
                <c:pt idx="29">
                  <c:v>54.285152811326903</c:v>
                </c:pt>
                <c:pt idx="30">
                  <c:v>53.683309798048242</c:v>
                </c:pt>
                <c:pt idx="31">
                  <c:v>53.073023666829364</c:v>
                </c:pt>
                <c:pt idx="32">
                  <c:v>52.455304585694847</c:v>
                </c:pt>
                <c:pt idx="33">
                  <c:v>51.83106430468041</c:v>
                </c:pt>
                <c:pt idx="34">
                  <c:v>51.20111996307309</c:v>
                </c:pt>
                <c:pt idx="35">
                  <c:v>50.566199459455007</c:v>
                </c:pt>
                <c:pt idx="36">
                  <c:v>49.926947795929948</c:v>
                </c:pt>
                <c:pt idx="37">
                  <c:v>49.283933930131951</c:v>
                </c:pt>
                <c:pt idx="38">
                  <c:v>48.637657780005398</c:v>
                </c:pt>
                <c:pt idx="39">
                  <c:v>47.988557122452875</c:v>
                </c:pt>
                <c:pt idx="40">
                  <c:v>47.337014206379095</c:v>
                </c:pt>
                <c:pt idx="41">
                  <c:v>46.683361963948407</c:v>
                </c:pt>
                <c:pt idx="42">
                  <c:v>46.027889752659036</c:v>
                </c:pt>
                <c:pt idx="43">
                  <c:v>45.370848597223954</c:v>
                </c:pt>
                <c:pt idx="44">
                  <c:v>44.712455926463058</c:v>
                </c:pt>
                <c:pt idx="45">
                  <c:v>44.052899818531472</c:v>
                </c:pt>
                <c:pt idx="46">
                  <c:v>43.392342779672376</c:v>
                </c:pt>
                <c:pt idx="47">
                  <c:v>42.730925088840237</c:v>
                </c:pt>
                <c:pt idx="48">
                  <c:v>42.068767744246827</c:v>
                </c:pt>
                <c:pt idx="49">
                  <c:v>41.40597504913444</c:v>
                </c:pt>
                <c:pt idx="50">
                  <c:v>40.742636873646909</c:v>
                </c:pt>
                <c:pt idx="51">
                  <c:v>40.078830628125417</c:v>
                </c:pt>
                <c:pt idx="52">
                  <c:v>39.414622980943847</c:v>
                </c:pt>
                <c:pt idx="53">
                  <c:v>38.750071351407009</c:v>
                </c:pt>
                <c:pt idx="54">
                  <c:v>38.085225205507001</c:v>
                </c:pt>
                <c:pt idx="55">
                  <c:v>37.420127179599518</c:v>
                </c:pt>
                <c:pt idx="56">
                  <c:v>36.754814054431229</c:v>
                </c:pt>
                <c:pt idx="57">
                  <c:v>36.089317599480509</c:v>
                </c:pt>
                <c:pt idx="58">
                  <c:v>35.42366530530267</c:v>
                </c:pt>
                <c:pt idx="59">
                  <c:v>34.757881019510123</c:v>
                </c:pt>
                <c:pt idx="60">
                  <c:v>34.09198550017814</c:v>
                </c:pt>
                <c:pt idx="61">
                  <c:v>33.42599689883572</c:v>
                </c:pt>
                <c:pt idx="62">
                  <c:v>32.759931183776551</c:v>
                </c:pt>
                <c:pt idx="63">
                  <c:v>32.093802513189438</c:v>
                </c:pt>
                <c:pt idx="64">
                  <c:v>31.427623566551471</c:v>
                </c:pt>
                <c:pt idx="65">
                  <c:v>30.761405841836272</c:v>
                </c:pt>
                <c:pt idx="66">
                  <c:v>30.095159925349371</c:v>
                </c:pt>
                <c:pt idx="67">
                  <c:v>29.428895740408173</c:v>
                </c:pt>
                <c:pt idx="68">
                  <c:v>28.762622780617335</c:v>
                </c:pt>
                <c:pt idx="69">
                  <c:v>28.096350333151001</c:v>
                </c:pt>
                <c:pt idx="70">
                  <c:v>27.430087697232622</c:v>
                </c:pt>
                <c:pt idx="71">
                  <c:v>26.763844402893511</c:v>
                </c:pt>
                <c:pt idx="72">
                  <c:v>26.097630435102324</c:v>
                </c:pt>
                <c:pt idx="73">
                  <c:v>25.431456468470969</c:v>
                </c:pt>
                <c:pt idx="74">
                  <c:v>24.765334117982086</c:v>
                </c:pt>
                <c:pt idx="75">
                  <c:v>24.099276211533333</c:v>
                </c:pt>
                <c:pt idx="76">
                  <c:v>23.433297090573902</c:v>
                </c:pt>
                <c:pt idx="77">
                  <c:v>22.76741294572037</c:v>
                </c:pt>
                <c:pt idx="78">
                  <c:v>22.10164219499314</c:v>
                </c:pt>
                <c:pt idx="79">
                  <c:v>21.436005913224601</c:v>
                </c:pt>
                <c:pt idx="80">
                  <c:v>20.770528322263573</c:v>
                </c:pt>
                <c:pt idx="81">
                  <c:v>20.105237352856442</c:v>
                </c:pt>
                <c:pt idx="82">
                  <c:v>19.440165290531418</c:v>
                </c:pt>
                <c:pt idx="83">
                  <c:v>18.775349519464854</c:v>
                </c:pt>
                <c:pt idx="84">
                  <c:v>18.110833380169755</c:v>
                </c:pt>
                <c:pt idx="85">
                  <c:v>17.446667158931142</c:v>
                </c:pt>
                <c:pt idx="86">
                  <c:v>16.782909229200754</c:v>
                </c:pt>
                <c:pt idx="87">
                  <c:v>16.119627367650736</c:v>
                </c:pt>
                <c:pt idx="88">
                  <c:v>15.45690027022504</c:v>
                </c:pt>
                <c:pt idx="89">
                  <c:v>14.794819296256209</c:v>
                </c:pt>
                <c:pt idx="90">
                  <c:v>14.133490471431017</c:v>
                </c:pt>
                <c:pt idx="91">
                  <c:v>13.47303678293024</c:v>
                </c:pt>
                <c:pt idx="92">
                  <c:v>12.813600802210638</c:v>
                </c:pt>
                <c:pt idx="93">
                  <c:v>12.155347672314477</c:v>
                </c:pt>
                <c:pt idx="94">
                  <c:v>11.49846849684036</c:v>
                </c:pt>
                <c:pt idx="95">
                  <c:v>10.843184166185756</c:v>
                </c:pt>
                <c:pt idx="96">
                  <c:v>10.189749652583886</c:v>
                </c:pt>
                <c:pt idx="97">
                  <c:v>9.5384587977777464</c:v>
                </c:pt>
                <c:pt idx="98">
                  <c:v>8.8896496046129094</c:v>
                </c:pt>
                <c:pt idx="99">
                  <c:v>8.2437100248003361</c:v>
                </c:pt>
                <c:pt idx="100">
                  <c:v>7.6010842077340985</c:v>
                </c:pt>
                <c:pt idx="101">
                  <c:v>6.9622791374324633</c:v>
                </c:pt>
                <c:pt idx="102">
                  <c:v>6.3278715341913658</c:v>
                </c:pt>
                <c:pt idx="103">
                  <c:v>5.6985148323028074</c:v>
                </c:pt>
                <c:pt idx="104">
                  <c:v>5.074945963675292</c:v>
                </c:pt>
                <c:pt idx="105">
                  <c:v>4.4579915790258449</c:v>
                </c:pt>
                <c:pt idx="106">
                  <c:v>3.8485732252022213</c:v>
                </c:pt>
                <c:pt idx="107">
                  <c:v>3.2477108740364038</c:v>
                </c:pt>
                <c:pt idx="108">
                  <c:v>2.6565240743370451</c:v>
                </c:pt>
                <c:pt idx="109">
                  <c:v>2.0762298894264535</c:v>
                </c:pt>
                <c:pt idx="110">
                  <c:v>1.50813670991539</c:v>
                </c:pt>
                <c:pt idx="111">
                  <c:v>0.95363302363658142</c:v>
                </c:pt>
                <c:pt idx="112">
                  <c:v>0.41417031486241285</c:v>
                </c:pt>
                <c:pt idx="113">
                  <c:v>-0.10876051380623351</c:v>
                </c:pt>
                <c:pt idx="114">
                  <c:v>-0.61365942569189424</c:v>
                </c:pt>
                <c:pt idx="115">
                  <c:v>-1.0990539274216276</c:v>
                </c:pt>
                <c:pt idx="116">
                  <c:v>-1.5635411425069372</c:v>
                </c:pt>
                <c:pt idx="117">
                  <c:v>-2.0058335185861758</c:v>
                </c:pt>
                <c:pt idx="118">
                  <c:v>-2.4248056594192544</c:v>
                </c:pt>
                <c:pt idx="119">
                  <c:v>-2.8195391774541116</c:v>
                </c:pt>
                <c:pt idx="120">
                  <c:v>-3.1893621582062086</c:v>
                </c:pt>
                <c:pt idx="121">
                  <c:v>-3.5338799270080772</c:v>
                </c:pt>
                <c:pt idx="122">
                  <c:v>-3.8529943623707719</c:v>
                </c:pt>
                <c:pt idx="123">
                  <c:v>-4.1469099702141161</c:v>
                </c:pt>
                <c:pt idx="124">
                  <c:v>-4.416126189604392</c:v>
                </c:pt>
                <c:pt idx="125">
                  <c:v>-4.6614167456292073</c:v>
                </c:pt>
                <c:pt idx="126">
                  <c:v>-4.8837980792745856</c:v>
                </c:pt>
                <c:pt idx="127">
                  <c:v>-5.084489780170701</c:v>
                </c:pt>
                <c:pt idx="128">
                  <c:v>-5.2648704130009811</c:v>
                </c:pt>
                <c:pt idx="129">
                  <c:v>-5.4264321427857816</c:v>
                </c:pt>
                <c:pt idx="130">
                  <c:v>-5.5707371935766448</c:v>
                </c:pt>
                <c:pt idx="131">
                  <c:v>-5.6993785406684703</c:v>
                </c:pt>
                <c:pt idx="132">
                  <c:v>-5.8139464786654615</c:v>
                </c:pt>
                <c:pt idx="133">
                  <c:v>-5.9160019536417643</c:v>
                </c:pt>
                <c:pt idx="134">
                  <c:v>-6.0070568902489443</c:v>
                </c:pt>
                <c:pt idx="135">
                  <c:v>-6.0885612359915466</c:v>
                </c:pt>
                <c:pt idx="136">
                  <c:v>-6.161896099868736</c:v>
                </c:pt>
                <c:pt idx="137">
                  <c:v>-6.2283721686710525</c:v>
                </c:pt>
                <c:pt idx="138">
                  <c:v>-6.2892325129701749</c:v>
                </c:pt>
                <c:pt idx="139">
                  <c:v>-6.3456589117410722</c:v>
                </c:pt>
                <c:pt idx="140">
                  <c:v>-6.3987808960265298</c:v>
                </c:pt>
                <c:pt idx="141">
                  <c:v>-6.4496868093926878</c:v>
                </c:pt>
                <c:pt idx="142">
                  <c:v>-6.4994362838230355</c:v>
                </c:pt>
                <c:pt idx="143">
                  <c:v>-6.5490736181503237</c:v>
                </c:pt>
                <c:pt idx="144">
                  <c:v>-6.5996416115220793</c:v>
                </c:pt>
                <c:pt idx="145">
                  <c:v>-6.6521954403885353</c:v>
                </c:pt>
                <c:pt idx="146">
                  <c:v>-6.7078161710600117</c:v>
                </c:pt>
                <c:pt idx="147">
                  <c:v>-6.7676234707159457</c:v>
                </c:pt>
                <c:pt idx="148">
                  <c:v>-6.8327870202756156</c:v>
                </c:pt>
                <c:pt idx="149">
                  <c:v>-6.904536048321579</c:v>
                </c:pt>
                <c:pt idx="150">
                  <c:v>-6.9841663058986097</c:v>
                </c:pt>
                <c:pt idx="151">
                  <c:v>-7.0730437022432611</c:v>
                </c:pt>
                <c:pt idx="152">
                  <c:v>-7.1726037422436404</c:v>
                </c:pt>
                <c:pt idx="153">
                  <c:v>-7.284345875056351</c:v>
                </c:pt>
                <c:pt idx="154">
                  <c:v>-7.4098219126042153</c:v>
                </c:pt>
                <c:pt idx="155">
                  <c:v>-7.5506178414172211</c:v>
                </c:pt>
                <c:pt idx="156">
                  <c:v>-7.7083286619774523</c:v>
                </c:pt>
                <c:pt idx="157">
                  <c:v>-7.8845263632640936</c:v>
                </c:pt>
                <c:pt idx="158">
                  <c:v>-8.0807217685472548</c:v>
                </c:pt>
                <c:pt idx="159">
                  <c:v>-8.2983217282230406</c:v>
                </c:pt>
                <c:pt idx="160">
                  <c:v>-8.5385839022509007</c:v>
                </c:pt>
                <c:pt idx="161">
                  <c:v>-8.8025720475906848</c:v>
                </c:pt>
                <c:pt idx="162">
                  <c:v>-9.0911151650015967</c:v>
                </c:pt>
                <c:pt idx="163">
                  <c:v>-9.4047739360808986</c:v>
                </c:pt>
                <c:pt idx="164">
                  <c:v>-9.7438175151057962</c:v>
                </c:pt>
                <c:pt idx="165">
                  <c:v>-10.108212930663436</c:v>
                </c:pt>
                <c:pt idx="166">
                  <c:v>-10.497628192562487</c:v>
                </c:pt>
                <c:pt idx="167">
                  <c:v>-10.911448864451119</c:v>
                </c:pt>
                <c:pt idx="168">
                  <c:v>-11.348806568833314</c:v>
                </c:pt>
                <c:pt idx="169">
                  <c:v>-11.808616845620584</c:v>
                </c:pt>
                <c:pt idx="170">
                  <c:v>-12.289623135492484</c:v>
                </c:pt>
                <c:pt idx="171">
                  <c:v>-12.790443463660743</c:v>
                </c:pt>
                <c:pt idx="172">
                  <c:v>-13.30961662514653</c:v>
                </c:pt>
                <c:pt idx="173">
                  <c:v>-13.845645216800511</c:v>
                </c:pt>
                <c:pt idx="174">
                  <c:v>-14.397033586972183</c:v>
                </c:pt>
                <c:pt idx="175">
                  <c:v>-14.962319545023776</c:v>
                </c:pt>
                <c:pt idx="176">
                  <c:v>-15.540099380926765</c:v>
                </c:pt>
                <c:pt idx="177">
                  <c:v>-16.129046320675375</c:v>
                </c:pt>
                <c:pt idx="178">
                  <c:v>-16.72792295658865</c:v>
                </c:pt>
                <c:pt idx="179">
                  <c:v>-17.335588444844852</c:v>
                </c:pt>
                <c:pt idx="180">
                  <c:v>-17.95100137835562</c:v>
                </c:pt>
                <c:pt idx="181">
                  <c:v>-18.57321925353628</c:v>
                </c:pt>
                <c:pt idx="182">
                  <c:v>-19.201395388203217</c:v>
                </c:pt>
                <c:pt idx="183">
                  <c:v>-19.834774044400085</c:v>
                </c:pt>
                <c:pt idx="184">
                  <c:v>-20.472684387799134</c:v>
                </c:pt>
                <c:pt idx="185">
                  <c:v>-21.114533791058069</c:v>
                </c:pt>
                <c:pt idx="186">
                  <c:v>-21.759800872687151</c:v>
                </c:pt>
                <c:pt idx="187">
                  <c:v>-22.408028561369242</c:v>
                </c:pt>
                <c:pt idx="188">
                  <c:v>-23.058817390544721</c:v>
                </c:pt>
                <c:pt idx="189">
                  <c:v>-23.711819159439528</c:v>
                </c:pt>
                <c:pt idx="190">
                  <c:v>-24.366731043219975</c:v>
                </c:pt>
                <c:pt idx="191">
                  <c:v>-25.02329019461046</c:v>
                </c:pt>
                <c:pt idx="192">
                  <c:v>-25.681268849879409</c:v>
                </c:pt>
                <c:pt idx="193">
                  <c:v>-26.340469931447565</c:v>
                </c:pt>
                <c:pt idx="194">
                  <c:v>-27.00072312556879</c:v>
                </c:pt>
                <c:pt idx="195">
                  <c:v>-27.66188140492946</c:v>
                </c:pt>
                <c:pt idx="196">
                  <c:v>-28.323817961255415</c:v>
                </c:pt>
                <c:pt idx="197">
                  <c:v>-28.986423511025951</c:v>
                </c:pt>
                <c:pt idx="198">
                  <c:v>-29.649603937330582</c:v>
                </c:pt>
                <c:pt idx="199">
                  <c:v>-30.313278232127125</c:v>
                </c:pt>
                <c:pt idx="200">
                  <c:v>-30.977376705194569</c:v>
                </c:pt>
                <c:pt idx="201">
                  <c:v>-31.6418394285757</c:v>
                </c:pt>
                <c:pt idx="202">
                  <c:v>-32.306614888016341</c:v>
                </c:pt>
                <c:pt idx="203">
                  <c:v>-32.971658815678815</c:v>
                </c:pt>
                <c:pt idx="204">
                  <c:v>-33.63693318110149</c:v>
                </c:pt>
                <c:pt idx="205">
                  <c:v>-34.302405319937606</c:v>
                </c:pt>
                <c:pt idx="206">
                  <c:v>-34.968047182386826</c:v>
                </c:pt>
                <c:pt idx="207">
                  <c:v>-35.633834685410264</c:v>
                </c:pt>
                <c:pt idx="208">
                  <c:v>-36.299747154790943</c:v>
                </c:pt>
                <c:pt idx="209">
                  <c:v>-36.965766844867858</c:v>
                </c:pt>
                <c:pt idx="210">
                  <c:v>-37.631878525343645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2B-4B76-9FB5-F40AD28F2663}"/>
            </c:ext>
          </c:extLst>
        </c:ser>
        <c:ser>
          <c:idx val="2"/>
          <c:order val="2"/>
          <c:tx>
            <c:v>Overall Gain 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'Small Signal'!$G$2:$G$212</c:f>
              <c:numCache>
                <c:formatCode>General</c:formatCode>
                <c:ptCount val="211"/>
                <c:pt idx="0">
                  <c:v>1</c:v>
                </c:pt>
                <c:pt idx="1">
                  <c:v>1.0797751623277096</c:v>
                </c:pt>
                <c:pt idx="2">
                  <c:v>1.1659144011798317</c:v>
                </c:pt>
                <c:pt idx="3">
                  <c:v>1.2589254117941673</c:v>
                </c:pt>
                <c:pt idx="4">
                  <c:v>1.3593563908785258</c:v>
                </c:pt>
                <c:pt idx="5">
                  <c:v>1.4677992676220697</c:v>
                </c:pt>
                <c:pt idx="6">
                  <c:v>1.5848931924611136</c:v>
                </c:pt>
                <c:pt idx="7">
                  <c:v>1.7113283041617808</c:v>
                </c:pt>
                <c:pt idx="8">
                  <c:v>1.8478497974222912</c:v>
                </c:pt>
                <c:pt idx="9">
                  <c:v>1.9952623149688797</c:v>
                </c:pt>
                <c:pt idx="10">
                  <c:v>2.1544346900318838</c:v>
                </c:pt>
                <c:pt idx="11">
                  <c:v>2.3263050671536263</c:v>
                </c:pt>
                <c:pt idx="12">
                  <c:v>2.5118864315095806</c:v>
                </c:pt>
                <c:pt idx="13">
                  <c:v>2.7122725793320286</c:v>
                </c:pt>
                <c:pt idx="14">
                  <c:v>2.9286445646252366</c:v>
                </c:pt>
                <c:pt idx="15">
                  <c:v>3.1622776601683795</c:v>
                </c:pt>
                <c:pt idx="16">
                  <c:v>3.4145488738336023</c:v>
                </c:pt>
                <c:pt idx="17">
                  <c:v>3.6869450645195756</c:v>
                </c:pt>
                <c:pt idx="18">
                  <c:v>3.9810717055349727</c:v>
                </c:pt>
                <c:pt idx="19">
                  <c:v>4.2986623470822769</c:v>
                </c:pt>
                <c:pt idx="20">
                  <c:v>4.6415888336127793</c:v>
                </c:pt>
                <c:pt idx="21">
                  <c:v>5.0118723362727229</c:v>
                </c:pt>
                <c:pt idx="22">
                  <c:v>5.4116952654646369</c:v>
                </c:pt>
                <c:pt idx="23">
                  <c:v>5.8434141337351777</c:v>
                </c:pt>
                <c:pt idx="24">
                  <c:v>6.3095734448019343</c:v>
                </c:pt>
                <c:pt idx="25">
                  <c:v>6.812920690579614</c:v>
                </c:pt>
                <c:pt idx="26">
                  <c:v>7.3564225445964153</c:v>
                </c:pt>
                <c:pt idx="27">
                  <c:v>7.9432823472428176</c:v>
                </c:pt>
                <c:pt idx="28">
                  <c:v>8.5769589859089415</c:v>
                </c:pt>
                <c:pt idx="29">
                  <c:v>9.2611872812879383</c:v>
                </c:pt>
                <c:pt idx="30">
                  <c:v>10</c:v>
                </c:pt>
                <c:pt idx="31">
                  <c:v>10.797751623277103</c:v>
                </c:pt>
                <c:pt idx="32">
                  <c:v>11.659144011798322</c:v>
                </c:pt>
                <c:pt idx="33">
                  <c:v>12.58925411794168</c:v>
                </c:pt>
                <c:pt idx="34">
                  <c:v>13.593563908785256</c:v>
                </c:pt>
                <c:pt idx="35">
                  <c:v>14.677992676220699</c:v>
                </c:pt>
                <c:pt idx="36">
                  <c:v>15.848931924611136</c:v>
                </c:pt>
                <c:pt idx="37">
                  <c:v>17.113283041617812</c:v>
                </c:pt>
                <c:pt idx="38">
                  <c:v>18.478497974222911</c:v>
                </c:pt>
                <c:pt idx="39">
                  <c:v>19.952623149688804</c:v>
                </c:pt>
                <c:pt idx="40">
                  <c:v>21.544346900318843</c:v>
                </c:pt>
                <c:pt idx="41">
                  <c:v>23.263050671536273</c:v>
                </c:pt>
                <c:pt idx="42">
                  <c:v>25.118864315095799</c:v>
                </c:pt>
                <c:pt idx="43">
                  <c:v>27.122725793320289</c:v>
                </c:pt>
                <c:pt idx="44">
                  <c:v>29.286445646252368</c:v>
                </c:pt>
                <c:pt idx="45">
                  <c:v>31.622776601683803</c:v>
                </c:pt>
                <c:pt idx="46">
                  <c:v>34.145488738336034</c:v>
                </c:pt>
                <c:pt idx="47">
                  <c:v>36.869450645195769</c:v>
                </c:pt>
                <c:pt idx="48">
                  <c:v>39.810717055349755</c:v>
                </c:pt>
                <c:pt idx="49">
                  <c:v>42.986623470822771</c:v>
                </c:pt>
                <c:pt idx="50">
                  <c:v>46.415888336127807</c:v>
                </c:pt>
                <c:pt idx="51">
                  <c:v>50.118723362727238</c:v>
                </c:pt>
                <c:pt idx="52">
                  <c:v>54.11695265464639</c:v>
                </c:pt>
                <c:pt idx="53">
                  <c:v>58.434141337351775</c:v>
                </c:pt>
                <c:pt idx="54">
                  <c:v>63.095734448019364</c:v>
                </c:pt>
                <c:pt idx="55">
                  <c:v>68.129206905796124</c:v>
                </c:pt>
                <c:pt idx="56">
                  <c:v>73.564225445964155</c:v>
                </c:pt>
                <c:pt idx="57">
                  <c:v>79.432823472428197</c:v>
                </c:pt>
                <c:pt idx="58">
                  <c:v>85.769589859089479</c:v>
                </c:pt>
                <c:pt idx="59">
                  <c:v>92.611872812879369</c:v>
                </c:pt>
                <c:pt idx="60">
                  <c:v>100</c:v>
                </c:pt>
                <c:pt idx="61">
                  <c:v>107.97751623277095</c:v>
                </c:pt>
                <c:pt idx="62">
                  <c:v>116.59144011798328</c:v>
                </c:pt>
                <c:pt idx="63">
                  <c:v>125.89254117941677</c:v>
                </c:pt>
                <c:pt idx="64">
                  <c:v>135.93563908785265</c:v>
                </c:pt>
                <c:pt idx="65">
                  <c:v>146.77992676220697</c:v>
                </c:pt>
                <c:pt idx="66">
                  <c:v>158.48931924611153</c:v>
                </c:pt>
                <c:pt idx="67">
                  <c:v>171.13283041617817</c:v>
                </c:pt>
                <c:pt idx="68">
                  <c:v>184.7849797422291</c:v>
                </c:pt>
                <c:pt idx="69">
                  <c:v>199.52623149688802</c:v>
                </c:pt>
                <c:pt idx="70">
                  <c:v>215.44346900318848</c:v>
                </c:pt>
                <c:pt idx="71">
                  <c:v>232.6305067153628</c:v>
                </c:pt>
                <c:pt idx="72">
                  <c:v>251.18864315095806</c:v>
                </c:pt>
                <c:pt idx="73">
                  <c:v>271.22725793320296</c:v>
                </c:pt>
                <c:pt idx="74">
                  <c:v>292.86445646252383</c:v>
                </c:pt>
                <c:pt idx="75">
                  <c:v>316.22776601683825</c:v>
                </c:pt>
                <c:pt idx="76">
                  <c:v>341.4548873833603</c:v>
                </c:pt>
                <c:pt idx="77">
                  <c:v>368.69450645195781</c:v>
                </c:pt>
                <c:pt idx="78">
                  <c:v>398.10717055349761</c:v>
                </c:pt>
                <c:pt idx="79">
                  <c:v>429.86623470822781</c:v>
                </c:pt>
                <c:pt idx="80">
                  <c:v>464.15888336127819</c:v>
                </c:pt>
                <c:pt idx="81">
                  <c:v>501.18723362727269</c:v>
                </c:pt>
                <c:pt idx="82">
                  <c:v>541.16952654646434</c:v>
                </c:pt>
                <c:pt idx="83">
                  <c:v>584.34141337351787</c:v>
                </c:pt>
                <c:pt idx="84">
                  <c:v>630.95734448019323</c:v>
                </c:pt>
                <c:pt idx="85">
                  <c:v>681.29206905796195</c:v>
                </c:pt>
                <c:pt idx="86">
                  <c:v>735.64225445964166</c:v>
                </c:pt>
                <c:pt idx="87">
                  <c:v>794.32823472428208</c:v>
                </c:pt>
                <c:pt idx="88">
                  <c:v>857.69589859089422</c:v>
                </c:pt>
                <c:pt idx="89">
                  <c:v>926.11872812879471</c:v>
                </c:pt>
                <c:pt idx="90">
                  <c:v>1000</c:v>
                </c:pt>
                <c:pt idx="91">
                  <c:v>1079.7751623277097</c:v>
                </c:pt>
                <c:pt idx="92">
                  <c:v>1165.914401179833</c:v>
                </c:pt>
                <c:pt idx="93">
                  <c:v>1258.925411794168</c:v>
                </c:pt>
                <c:pt idx="94">
                  <c:v>1359.3563908785268</c:v>
                </c:pt>
                <c:pt idx="95">
                  <c:v>1467.7992676220699</c:v>
                </c:pt>
                <c:pt idx="96">
                  <c:v>1584.8931924611156</c:v>
                </c:pt>
                <c:pt idx="97">
                  <c:v>1711.3283041617822</c:v>
                </c:pt>
                <c:pt idx="98">
                  <c:v>1847.8497974222912</c:v>
                </c:pt>
                <c:pt idx="99">
                  <c:v>1995.2623149688804</c:v>
                </c:pt>
                <c:pt idx="100">
                  <c:v>2154.4346900318851</c:v>
                </c:pt>
                <c:pt idx="101">
                  <c:v>2326.3050671536284</c:v>
                </c:pt>
                <c:pt idx="102">
                  <c:v>2511.8864315095811</c:v>
                </c:pt>
                <c:pt idx="103">
                  <c:v>2712.2725793320301</c:v>
                </c:pt>
                <c:pt idx="104">
                  <c:v>2928.6445646252391</c:v>
                </c:pt>
                <c:pt idx="105">
                  <c:v>3162.2776601683804</c:v>
                </c:pt>
                <c:pt idx="106">
                  <c:v>3414.5488738336035</c:v>
                </c:pt>
                <c:pt idx="107">
                  <c:v>3686.9450645195784</c:v>
                </c:pt>
                <c:pt idx="108">
                  <c:v>3981.0717055349769</c:v>
                </c:pt>
                <c:pt idx="109">
                  <c:v>4298.6623470822833</c:v>
                </c:pt>
                <c:pt idx="110">
                  <c:v>4641.5888336127782</c:v>
                </c:pt>
                <c:pt idx="111">
                  <c:v>5011.8723362727324</c:v>
                </c:pt>
                <c:pt idx="112">
                  <c:v>5411.6952654646393</c:v>
                </c:pt>
                <c:pt idx="113">
                  <c:v>5843.4141337351803</c:v>
                </c:pt>
                <c:pt idx="114">
                  <c:v>6309.5734448019384</c:v>
                </c:pt>
                <c:pt idx="115">
                  <c:v>6812.9206905796218</c:v>
                </c:pt>
                <c:pt idx="116">
                  <c:v>7356.4225445964248</c:v>
                </c:pt>
                <c:pt idx="117">
                  <c:v>7943.2823472428154</c:v>
                </c:pt>
                <c:pt idx="118">
                  <c:v>8576.9589859089447</c:v>
                </c:pt>
                <c:pt idx="119">
                  <c:v>9261.187281287941</c:v>
                </c:pt>
                <c:pt idx="120">
                  <c:v>10000</c:v>
                </c:pt>
                <c:pt idx="121">
                  <c:v>10797.751623277109</c:v>
                </c:pt>
                <c:pt idx="122">
                  <c:v>11659.144011798313</c:v>
                </c:pt>
                <c:pt idx="123">
                  <c:v>12589.254117941671</c:v>
                </c:pt>
                <c:pt idx="124">
                  <c:v>13593.563908785283</c:v>
                </c:pt>
                <c:pt idx="125">
                  <c:v>14677.992676220729</c:v>
                </c:pt>
                <c:pt idx="126">
                  <c:v>15848.931924611146</c:v>
                </c:pt>
                <c:pt idx="127">
                  <c:v>17113.283041617826</c:v>
                </c:pt>
                <c:pt idx="128">
                  <c:v>18478.497974222933</c:v>
                </c:pt>
                <c:pt idx="129">
                  <c:v>19952.623149688792</c:v>
                </c:pt>
                <c:pt idx="130">
                  <c:v>21544.346900318837</c:v>
                </c:pt>
                <c:pt idx="131">
                  <c:v>23263.050671536268</c:v>
                </c:pt>
                <c:pt idx="132">
                  <c:v>25118.86431509586</c:v>
                </c:pt>
                <c:pt idx="133">
                  <c:v>27122.725793320307</c:v>
                </c:pt>
                <c:pt idx="134">
                  <c:v>29286.445646252399</c:v>
                </c:pt>
                <c:pt idx="135">
                  <c:v>31622.77660168384</c:v>
                </c:pt>
                <c:pt idx="136">
                  <c:v>34145.488738336011</c:v>
                </c:pt>
                <c:pt idx="137">
                  <c:v>36869.450645195764</c:v>
                </c:pt>
                <c:pt idx="138">
                  <c:v>39810.717055349742</c:v>
                </c:pt>
                <c:pt idx="139">
                  <c:v>42986.62347082288</c:v>
                </c:pt>
                <c:pt idx="140">
                  <c:v>46415.888336127835</c:v>
                </c:pt>
                <c:pt idx="141">
                  <c:v>50118.723362727294</c:v>
                </c:pt>
                <c:pt idx="142">
                  <c:v>54116.952654646455</c:v>
                </c:pt>
                <c:pt idx="143">
                  <c:v>58434.141337351764</c:v>
                </c:pt>
                <c:pt idx="144">
                  <c:v>63095.734448019342</c:v>
                </c:pt>
                <c:pt idx="145">
                  <c:v>68129.206905796163</c:v>
                </c:pt>
                <c:pt idx="146">
                  <c:v>73564.225445964199</c:v>
                </c:pt>
                <c:pt idx="147">
                  <c:v>79432.823472428237</c:v>
                </c:pt>
                <c:pt idx="148">
                  <c:v>85769.589859089538</c:v>
                </c:pt>
                <c:pt idx="149">
                  <c:v>92611.872812879505</c:v>
                </c:pt>
                <c:pt idx="150">
                  <c:v>100000</c:v>
                </c:pt>
                <c:pt idx="151">
                  <c:v>107977.51623277101</c:v>
                </c:pt>
                <c:pt idx="152">
                  <c:v>116591.44011798326</c:v>
                </c:pt>
                <c:pt idx="153">
                  <c:v>125892.54117941685</c:v>
                </c:pt>
                <c:pt idx="154">
                  <c:v>135935.63908785273</c:v>
                </c:pt>
                <c:pt idx="155">
                  <c:v>146779.92676220718</c:v>
                </c:pt>
                <c:pt idx="156">
                  <c:v>158489.31924611164</c:v>
                </c:pt>
                <c:pt idx="157">
                  <c:v>171132.83041617845</c:v>
                </c:pt>
                <c:pt idx="158">
                  <c:v>184784.97974222922</c:v>
                </c:pt>
                <c:pt idx="159">
                  <c:v>199526.23149688813</c:v>
                </c:pt>
                <c:pt idx="160">
                  <c:v>215443.46900318863</c:v>
                </c:pt>
                <c:pt idx="161">
                  <c:v>232630.50671536254</c:v>
                </c:pt>
                <c:pt idx="162">
                  <c:v>251188.64315095844</c:v>
                </c:pt>
                <c:pt idx="163">
                  <c:v>271227.25793320336</c:v>
                </c:pt>
                <c:pt idx="164">
                  <c:v>292864.45646252431</c:v>
                </c:pt>
                <c:pt idx="165">
                  <c:v>316227.7660168382</c:v>
                </c:pt>
                <c:pt idx="166">
                  <c:v>341454.88738336053</c:v>
                </c:pt>
                <c:pt idx="167">
                  <c:v>368694.50645195803</c:v>
                </c:pt>
                <c:pt idx="168">
                  <c:v>398107.17055349716</c:v>
                </c:pt>
                <c:pt idx="169">
                  <c:v>429866.2347082285</c:v>
                </c:pt>
                <c:pt idx="170">
                  <c:v>464158.88336127886</c:v>
                </c:pt>
                <c:pt idx="171">
                  <c:v>501187.23362727347</c:v>
                </c:pt>
                <c:pt idx="172">
                  <c:v>541169.52654646419</c:v>
                </c:pt>
                <c:pt idx="173">
                  <c:v>584341.41337351827</c:v>
                </c:pt>
                <c:pt idx="174">
                  <c:v>630957.34448019415</c:v>
                </c:pt>
                <c:pt idx="175">
                  <c:v>681292.06905796123</c:v>
                </c:pt>
                <c:pt idx="176">
                  <c:v>735642.25445964152</c:v>
                </c:pt>
                <c:pt idx="177">
                  <c:v>794328.23472428333</c:v>
                </c:pt>
                <c:pt idx="178">
                  <c:v>857695.89859089628</c:v>
                </c:pt>
                <c:pt idx="179">
                  <c:v>926118.72812879446</c:v>
                </c:pt>
                <c:pt idx="180">
                  <c:v>1000000</c:v>
                </c:pt>
                <c:pt idx="181">
                  <c:v>1079775.1623277115</c:v>
                </c:pt>
                <c:pt idx="182">
                  <c:v>1165914.4011798317</c:v>
                </c:pt>
                <c:pt idx="183">
                  <c:v>1258925.4117941677</c:v>
                </c:pt>
                <c:pt idx="184">
                  <c:v>1359356.3908785288</c:v>
                </c:pt>
                <c:pt idx="185">
                  <c:v>1467799.2676220734</c:v>
                </c:pt>
                <c:pt idx="186">
                  <c:v>1584893.1924611153</c:v>
                </c:pt>
                <c:pt idx="187">
                  <c:v>1711328.3041617833</c:v>
                </c:pt>
                <c:pt idx="188">
                  <c:v>1847849.797422294</c:v>
                </c:pt>
                <c:pt idx="189">
                  <c:v>1995262.31496888</c:v>
                </c:pt>
                <c:pt idx="190">
                  <c:v>2154434.6900318847</c:v>
                </c:pt>
                <c:pt idx="191">
                  <c:v>2326305.067153628</c:v>
                </c:pt>
                <c:pt idx="192">
                  <c:v>2511886.431509587</c:v>
                </c:pt>
                <c:pt idx="193">
                  <c:v>2712272.5793320318</c:v>
                </c:pt>
                <c:pt idx="194">
                  <c:v>2928644.5646252413</c:v>
                </c:pt>
                <c:pt idx="195">
                  <c:v>3162277.6601683851</c:v>
                </c:pt>
                <c:pt idx="196">
                  <c:v>3414548.8738336028</c:v>
                </c:pt>
                <c:pt idx="197">
                  <c:v>3686945.0645195777</c:v>
                </c:pt>
                <c:pt idx="198">
                  <c:v>3981071.705534976</c:v>
                </c:pt>
                <c:pt idx="199">
                  <c:v>4298662.3470822899</c:v>
                </c:pt>
                <c:pt idx="200">
                  <c:v>4641588.8336127857</c:v>
                </c:pt>
                <c:pt idx="201">
                  <c:v>5011872.3362727314</c:v>
                </c:pt>
                <c:pt idx="202">
                  <c:v>5411695.2654646477</c:v>
                </c:pt>
                <c:pt idx="203">
                  <c:v>5843414.133735179</c:v>
                </c:pt>
                <c:pt idx="204">
                  <c:v>6309573.4448019378</c:v>
                </c:pt>
                <c:pt idx="205">
                  <c:v>6812920.6905796202</c:v>
                </c:pt>
                <c:pt idx="206">
                  <c:v>7356422.5445964225</c:v>
                </c:pt>
                <c:pt idx="207">
                  <c:v>7943282.3472428275</c:v>
                </c:pt>
                <c:pt idx="208">
                  <c:v>8576958.9859089572</c:v>
                </c:pt>
                <c:pt idx="209">
                  <c:v>9261187.2812879551</c:v>
                </c:pt>
                <c:pt idx="210">
                  <c:v>10000000</c:v>
                </c:pt>
              </c:numCache>
            </c:numRef>
          </c:xVal>
          <c:yVal>
            <c:numRef>
              <c:f>'Small Signal'!$K$2:$K$212</c:f>
              <c:numCache>
                <c:formatCode>General</c:formatCode>
                <c:ptCount val="211"/>
                <c:pt idx="0">
                  <c:v>80.552413107652683</c:v>
                </c:pt>
                <c:pt idx="1">
                  <c:v>80.487203534192815</c:v>
                </c:pt>
                <c:pt idx="2">
                  <c:v>80.412390784167769</c:v>
                </c:pt>
                <c:pt idx="3">
                  <c:v>80.326762240956086</c:v>
                </c:pt>
                <c:pt idx="4">
                  <c:v>80.229012820649785</c:v>
                </c:pt>
                <c:pt idx="5">
                  <c:v>80.117755698914891</c:v>
                </c:pt>
                <c:pt idx="6">
                  <c:v>79.991538837008761</c:v>
                </c:pt>
                <c:pt idx="7">
                  <c:v>79.848867933860689</c:v>
                </c:pt>
                <c:pt idx="8">
                  <c:v>79.688236065660817</c:v>
                </c:pt>
                <c:pt idx="9">
                  <c:v>79.508159744534098</c:v>
                </c:pt>
                <c:pt idx="10">
                  <c:v>79.307220452856967</c:v>
                </c:pt>
                <c:pt idx="11">
                  <c:v>79.08410994682994</c:v>
                </c:pt>
                <c:pt idx="12">
                  <c:v>78.837676869990275</c:v>
                </c:pt>
                <c:pt idx="13">
                  <c:v>78.566971604545643</c:v>
                </c:pt>
                <c:pt idx="14">
                  <c:v>78.271285955841137</c:v>
                </c:pt>
                <c:pt idx="15">
                  <c:v>77.950184329500047</c:v>
                </c:pt>
                <c:pt idx="16">
                  <c:v>77.603523578273027</c:v>
                </c:pt>
                <c:pt idx="17">
                  <c:v>77.231459635656535</c:v>
                </c:pt>
                <c:pt idx="18">
                  <c:v>76.834440292530189</c:v>
                </c:pt>
                <c:pt idx="19">
                  <c:v>76.413184817453072</c:v>
                </c:pt>
                <c:pt idx="20">
                  <c:v>75.968652351221493</c:v>
                </c:pt>
                <c:pt idx="21">
                  <c:v>75.502001930092632</c:v>
                </c:pt>
                <c:pt idx="22">
                  <c:v>75.014547490075032</c:v>
                </c:pt>
                <c:pt idx="23">
                  <c:v>74.507711250179312</c:v>
                </c:pt>
                <c:pt idx="24">
                  <c:v>73.982978525233818</c:v>
                </c:pt>
                <c:pt idx="25">
                  <c:v>73.441856397145898</c:v>
                </c:pt>
                <c:pt idx="26">
                  <c:v>72.885837917626461</c:v>
                </c:pt>
                <c:pt idx="27">
                  <c:v>72.316372754495504</c:v>
                </c:pt>
                <c:pt idx="28">
                  <c:v>71.73484452401479</c:v>
                </c:pt>
                <c:pt idx="29">
                  <c:v>71.142554528726677</c:v>
                </c:pt>
                <c:pt idx="30">
                  <c:v>70.540711261829259</c:v>
                </c:pt>
                <c:pt idx="31">
                  <c:v>69.930424834912642</c:v>
                </c:pt>
                <c:pt idx="32">
                  <c:v>69.312705409019898</c:v>
                </c:pt>
                <c:pt idx="33">
                  <c:v>68.688464726046902</c:v>
                </c:pt>
                <c:pt idx="34">
                  <c:v>68.058519915790342</c:v>
                </c:pt>
                <c:pt idx="35">
                  <c:v>67.423598865767445</c:v>
                </c:pt>
                <c:pt idx="36">
                  <c:v>66.78434656518121</c:v>
                </c:pt>
                <c:pt idx="37">
                  <c:v>66.141331956624526</c:v>
                </c:pt>
                <c:pt idx="38">
                  <c:v>65.495054940505128</c:v>
                </c:pt>
                <c:pt idx="39">
                  <c:v>64.84595327327925</c:v>
                </c:pt>
                <c:pt idx="40">
                  <c:v>64.194409180013025</c:v>
                </c:pt>
                <c:pt idx="41">
                  <c:v>63.540755565077134</c:v>
                </c:pt>
                <c:pt idx="42">
                  <c:v>62.885281753564755</c:v>
                </c:pt>
                <c:pt idx="43">
                  <c:v>62.228238732407341</c:v>
                </c:pt>
                <c:pt idx="44">
                  <c:v>61.569843886374819</c:v>
                </c:pt>
                <c:pt idx="45">
                  <c:v>60.910285242264109</c:v>
                </c:pt>
                <c:pt idx="46">
                  <c:v>60.249725246439127</c:v>
                </c:pt>
                <c:pt idx="47">
                  <c:v>59.588304108040262</c:v>
                </c:pt>
                <c:pt idx="48">
                  <c:v>58.926142743882579</c:v>
                </c:pt>
                <c:pt idx="49">
                  <c:v>58.263345362306886</c:v>
                </c:pt>
                <c:pt idx="50">
                  <c:v>57.600001722810525</c:v>
                </c:pt>
                <c:pt idx="51">
                  <c:v>56.936189106730893</c:v>
                </c:pt>
                <c:pt idx="52">
                  <c:v>56.271974032035381</c:v>
                </c:pt>
                <c:pt idx="53">
                  <c:v>55.607413742668726</c:v>
                </c:pt>
                <c:pt idx="54">
                  <c:v>54.942557500169649</c:v>
                </c:pt>
                <c:pt idx="55">
                  <c:v>54.277447702520845</c:v>
                </c:pt>
                <c:pt idx="56">
                  <c:v>53.612120852549097</c:v>
                </c:pt>
                <c:pt idx="57">
                  <c:v>52.946608395705788</c:v>
                </c:pt>
                <c:pt idx="58">
                  <c:v>52.280937444763545</c:v>
                </c:pt>
                <c:pt idx="59">
                  <c:v>51.615131406879364</c:v>
                </c:pt>
                <c:pt idx="60">
                  <c:v>50.949210526604674</c:v>
                </c:pt>
                <c:pt idx="61">
                  <c:v>50.283192356756274</c:v>
                </c:pt>
                <c:pt idx="62">
                  <c:v>49.617092167598059</c:v>
                </c:pt>
                <c:pt idx="63">
                  <c:v>48.95092330349938</c:v>
                </c:pt>
                <c:pt idx="64">
                  <c:v>48.284697495125471</c:v>
                </c:pt>
                <c:pt idx="65">
                  <c:v>47.618425134260136</c:v>
                </c:pt>
                <c:pt idx="66">
                  <c:v>46.952115517545394</c:v>
                </c:pt>
                <c:pt idx="67">
                  <c:v>46.285777064741609</c:v>
                </c:pt>
                <c:pt idx="68">
                  <c:v>45.619417516544196</c:v>
                </c:pt>
                <c:pt idx="69">
                  <c:v>44.953044116533469</c:v>
                </c:pt>
                <c:pt idx="70">
                  <c:v>44.286663781479227</c:v>
                </c:pt>
                <c:pt idx="71">
                  <c:v>43.620283263950419</c:v>
                </c:pt>
                <c:pt idx="72">
                  <c:v>42.953909311005077</c:v>
                </c:pt>
                <c:pt idx="73">
                  <c:v>42.287548822635429</c:v>
                </c:pt>
                <c:pt idx="74">
                  <c:v>41.621209013629667</c:v>
                </c:pt>
                <c:pt idx="75">
                  <c:v>40.954897582571618</c:v>
                </c:pt>
                <c:pt idx="76">
                  <c:v>40.288622891842138</c:v>
                </c:pt>
                <c:pt idx="77">
                  <c:v>39.622394162705383</c:v>
                </c:pt>
                <c:pt idx="78">
                  <c:v>38.956221689863554</c:v>
                </c:pt>
                <c:pt idx="79">
                  <c:v>38.290117080248706</c:v>
                </c:pt>
                <c:pt idx="80">
                  <c:v>37.624093521287627</c:v>
                </c:pt>
                <c:pt idx="81">
                  <c:v>36.958166084430879</c:v>
                </c:pt>
                <c:pt idx="82">
                  <c:v>36.292352070378314</c:v>
                </c:pt>
                <c:pt idx="83">
                  <c:v>35.626671403160188</c:v>
                </c:pt>
                <c:pt idx="84">
                  <c:v>34.96114708103336</c:v>
                </c:pt>
                <c:pt idx="85">
                  <c:v>34.295805693026431</c:v>
                </c:pt>
                <c:pt idx="86">
                  <c:v>33.630678010876153</c:v>
                </c:pt>
                <c:pt idx="87">
                  <c:v>32.965799667025053</c:v>
                </c:pt>
                <c:pt idx="88">
                  <c:v>32.301211930231432</c:v>
                </c:pt>
                <c:pt idx="89">
                  <c:v>31.636962591106315</c:v>
                </c:pt>
                <c:pt idx="90">
                  <c:v>30.973106970428844</c:v>
                </c:pt>
                <c:pt idx="91">
                  <c:v>30.30970906324422</c:v>
                </c:pt>
                <c:pt idx="92">
                  <c:v>29.64684283130687</c:v>
                </c:pt>
                <c:pt idx="93">
                  <c:v>28.984593655107695</c:v>
                </c:pt>
                <c:pt idx="94">
                  <c:v>28.323059954136877</c:v>
                </c:pt>
                <c:pt idx="95">
                  <c:v>27.662354979681322</c:v>
                </c:pt>
                <c:pt idx="96">
                  <c:v>27.002608777705408</c:v>
                </c:pt>
                <c:pt idx="97">
                  <c:v>26.343970309410373</c:v>
                </c:pt>
                <c:pt idx="98">
                  <c:v>25.686609702947013</c:v>
                </c:pt>
                <c:pt idx="99">
                  <c:v>25.030720590323373</c:v>
                </c:pt>
                <c:pt idx="100">
                  <c:v>24.376522457539309</c:v>
                </c:pt>
                <c:pt idx="101">
                  <c:v>23.724262902067721</c:v>
                </c:pt>
                <c:pt idx="102">
                  <c:v>23.074219648805105</c:v>
                </c:pt>
                <c:pt idx="103">
                  <c:v>22.426702122725231</c:v>
                </c:pt>
                <c:pt idx="104">
                  <c:v>21.782052313749446</c:v>
                </c:pt>
                <c:pt idx="105">
                  <c:v>21.140644598292546</c:v>
                </c:pt>
                <c:pt idx="106">
                  <c:v>20.502884106364267</c:v>
                </c:pt>
                <c:pt idx="107">
                  <c:v>19.869203150111382</c:v>
                </c:pt>
                <c:pt idx="108">
                  <c:v>19.240055170751006</c:v>
                </c:pt>
                <c:pt idx="109">
                  <c:v>18.615905632710078</c:v>
                </c:pt>
                <c:pt idx="110">
                  <c:v>17.997219318666467</c:v>
                </c:pt>
                <c:pt idx="111">
                  <c:v>17.384443583772867</c:v>
                </c:pt>
                <c:pt idx="112">
                  <c:v>16.777987339698029</c:v>
                </c:pt>
                <c:pt idx="113">
                  <c:v>16.178195882797034</c:v>
                </c:pt>
                <c:pt idx="114">
                  <c:v>15.585322165863634</c:v>
                </c:pt>
                <c:pt idx="115">
                  <c:v>14.999495724965923</c:v>
                </c:pt>
                <c:pt idx="116">
                  <c:v>14.42069116133257</c:v>
                </c:pt>
                <c:pt idx="117">
                  <c:v>13.848698749629911</c:v>
                </c:pt>
                <c:pt idx="118">
                  <c:v>13.283100264292557</c:v>
                </c:pt>
                <c:pt idx="119">
                  <c:v>12.723253327689738</c:v>
                </c:pt>
                <c:pt idx="120">
                  <c:v>12.168287341152837</c:v>
                </c:pt>
                <c:pt idx="121">
                  <c:v>11.617113271580294</c:v>
                </c:pt>
                <c:pt idx="122">
                  <c:v>11.068448243131705</c:v>
                </c:pt>
                <c:pt idx="123">
                  <c:v>10.520854165084756</c:v>
                </c:pt>
                <c:pt idx="124">
                  <c:v>9.9727877755664682</c:v>
                </c:pt>
                <c:pt idx="125">
                  <c:v>9.4226578339754568</c:v>
                </c:pt>
                <c:pt idx="126">
                  <c:v>8.8688840845547539</c:v>
                </c:pt>
                <c:pt idx="127">
                  <c:v>8.3099522767797538</c:v>
                </c:pt>
                <c:pt idx="128">
                  <c:v>7.744460038727075</c:v>
                </c:pt>
                <c:pt idx="129">
                  <c:v>7.1711496461567679</c:v>
                </c:pt>
                <c:pt idx="130">
                  <c:v>6.5889254496202634</c:v>
                </c:pt>
                <c:pt idx="131">
                  <c:v>5.9968555750516375</c:v>
                </c:pt>
                <c:pt idx="132">
                  <c:v>5.394159174522497</c:v>
                </c:pt>
                <c:pt idx="133">
                  <c:v>4.7801817364930113</c:v>
                </c:pt>
                <c:pt idx="134">
                  <c:v>4.1543616601008582</c:v>
                </c:pt>
                <c:pt idx="135">
                  <c:v>3.5161914725774306</c:v>
                </c:pt>
                <c:pt idx="136">
                  <c:v>2.8651768321173812</c:v>
                </c:pt>
                <c:pt idx="137">
                  <c:v>2.2007959652933922</c:v>
                </c:pt>
                <c:pt idx="138">
                  <c:v>1.5224615945296978</c:v>
                </c:pt>
                <c:pt idx="139">
                  <c:v>0.82948684362139224</c:v>
                </c:pt>
                <c:pt idx="140">
                  <c:v>0.12105614967341785</c:v>
                </c:pt>
                <c:pt idx="141">
                  <c:v>-0.60379810575890491</c:v>
                </c:pt>
                <c:pt idx="142">
                  <c:v>-1.3462127077065811</c:v>
                </c:pt>
                <c:pt idx="143">
                  <c:v>-2.1075039859941476</c:v>
                </c:pt>
                <c:pt idx="144">
                  <c:v>-2.8891709874118736</c:v>
                </c:pt>
                <c:pt idx="145">
                  <c:v>-3.6928909660944647</c:v>
                </c:pt>
                <c:pt idx="146">
                  <c:v>-4.5205067673617965</c:v>
                </c:pt>
                <c:pt idx="147">
                  <c:v>-5.3740058348996955</c:v>
                </c:pt>
                <c:pt idx="148">
                  <c:v>-6.2554908623545904</c:v>
                </c:pt>
                <c:pt idx="149">
                  <c:v>-7.1671425441604111</c:v>
                </c:pt>
                <c:pt idx="150">
                  <c:v>-8.1111754274052785</c:v>
                </c:pt>
                <c:pt idx="151">
                  <c:v>-9.0897884588214861</c:v>
                </c:pt>
                <c:pt idx="152">
                  <c:v>-10.10511235823823</c:v>
                </c:pt>
                <c:pt idx="153">
                  <c:v>-11.159156317795818</c:v>
                </c:pt>
                <c:pt idx="154">
                  <c:v>-12.253756626384156</c:v>
                </c:pt>
                <c:pt idx="155">
                  <c:v>-13.390529602100695</c:v>
                </c:pt>
                <c:pt idx="156">
                  <c:v>-14.570830708421138</c:v>
                </c:pt>
                <c:pt idx="157">
                  <c:v>-15.795721039002926</c:v>
                </c:pt>
                <c:pt idx="158">
                  <c:v>-17.065941645227099</c:v>
                </c:pt>
                <c:pt idx="159">
                  <c:v>-18.381895621674481</c:v>
                </c:pt>
                <c:pt idx="160">
                  <c:v>-19.743637579878673</c:v>
                </c:pt>
                <c:pt idx="161">
                  <c:v>-21.150870157118199</c:v>
                </c:pt>
                <c:pt idx="162">
                  <c:v>-22.602947444371249</c:v>
                </c:pt>
                <c:pt idx="163">
                  <c:v>-24.098885515389309</c:v>
                </c:pt>
                <c:pt idx="164">
                  <c:v>-25.637380414827213</c:v>
                </c:pt>
                <c:pt idx="165">
                  <c:v>-27.216833880089482</c:v>
                </c:pt>
                <c:pt idx="166">
                  <c:v>-28.835386685997065</c:v>
                </c:pt>
                <c:pt idx="167">
                  <c:v>-30.49095887828927</c:v>
                </c:pt>
                <c:pt idx="168">
                  <c:v>-32.181295448168875</c:v>
                </c:pt>
                <c:pt idx="169">
                  <c:v>-33.904015372107338</c:v>
                </c:pt>
                <c:pt idx="170">
                  <c:v>-35.656661548074766</c:v>
                </c:pt>
                <c:pt idx="171">
                  <c:v>-37.436749082019318</c:v>
                </c:pt>
                <c:pt idx="172">
                  <c:v>-39.241809615910419</c:v>
                </c:pt>
                <c:pt idx="173">
                  <c:v>-41.069429871975657</c:v>
                </c:pt>
                <c:pt idx="174">
                  <c:v>-42.917283209643443</c:v>
                </c:pt>
                <c:pt idx="175">
                  <c:v>-44.78315363975419</c:v>
                </c:pt>
                <c:pt idx="176">
                  <c:v>-46.664952322746032</c:v>
                </c:pt>
                <c:pt idx="177">
                  <c:v>-48.560727035203143</c:v>
                </c:pt>
                <c:pt idx="178">
                  <c:v>-50.468665398740541</c:v>
                </c:pt>
                <c:pt idx="179">
                  <c:v>-52.387092831278679</c:v>
                </c:pt>
                <c:pt idx="180">
                  <c:v>-54.314466226206726</c:v>
                </c:pt>
                <c:pt idx="181">
                  <c:v>-56.249364320959671</c:v>
                </c:pt>
                <c:pt idx="182">
                  <c:v>-58.190475615164765</c:v>
                </c:pt>
                <c:pt idx="183">
                  <c:v>-60.13658456786527</c:v>
                </c:pt>
                <c:pt idx="184">
                  <c:v>-62.086556665459469</c:v>
                </c:pt>
                <c:pt idx="185">
                  <c:v>-64.039322822692469</c:v>
                </c:pt>
                <c:pt idx="186">
                  <c:v>-65.993863468542557</c:v>
                </c:pt>
                <c:pt idx="187">
                  <c:v>-67.949192583233511</c:v>
                </c:pt>
                <c:pt idx="188">
                  <c:v>-69.904341894988477</c:v>
                </c:pt>
                <c:pt idx="189">
                  <c:v>-71.858345416843406</c:v>
                </c:pt>
                <c:pt idx="190">
                  <c:v>-73.81022450506849</c:v>
                </c:pt>
                <c:pt idx="191">
                  <c:v>-75.75897365106367</c:v>
                </c:pt>
                <c:pt idx="192">
                  <c:v>-77.703547276741062</c:v>
                </c:pt>
                <c:pt idx="193">
                  <c:v>-79.642847887033838</c:v>
                </c:pt>
                <c:pt idx="194">
                  <c:v>-81.575716037871729</c:v>
                </c:pt>
                <c:pt idx="195">
                  <c:v>-83.500922696253667</c:v>
                </c:pt>
                <c:pt idx="196">
                  <c:v>-85.417164688948603</c:v>
                </c:pt>
                <c:pt idx="197">
                  <c:v>-87.323064040151735</c:v>
                </c:pt>
                <c:pt idx="198">
                  <c:v>-89.217172061910361</c:v>
                </c:pt>
                <c:pt idx="199">
                  <c:v>-91.097979053990272</c:v>
                </c:pt>
                <c:pt idx="200">
                  <c:v>-92.963930358086756</c:v>
                </c:pt>
                <c:pt idx="201">
                  <c:v>-94.813449262336334</c:v>
                </c:pt>
                <c:pt idx="202">
                  <c:v>-96.644966843090572</c:v>
                </c:pt>
                <c:pt idx="203">
                  <c:v>-98.456958259553019</c:v>
                </c:pt>
                <c:pt idx="204">
                  <c:v>-100.24798431249496</c:v>
                </c:pt>
                <c:pt idx="205">
                  <c:v>-102.01673630996731</c:v>
                </c:pt>
                <c:pt idx="206">
                  <c:v>-103.76208155939264</c:v>
                </c:pt>
                <c:pt idx="207">
                  <c:v>-105.48310626252876</c:v>
                </c:pt>
                <c:pt idx="208">
                  <c:v>-107.17915236463182</c:v>
                </c:pt>
                <c:pt idx="209">
                  <c:v>-108.84984510450685</c:v>
                </c:pt>
                <c:pt idx="210">
                  <c:v>-110.49510866129118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2B-4B76-9FB5-F40AD28F2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913264"/>
        <c:axId val="1"/>
      </c:scatterChart>
      <c:scatterChart>
        <c:scatterStyle val="smoothMarker"/>
        <c:varyColors val="0"/>
        <c:ser>
          <c:idx val="3"/>
          <c:order val="3"/>
          <c:tx>
            <c:v>Power Stage Phase</c:v>
          </c:tx>
          <c:spPr>
            <a:ln w="38100">
              <a:solidFill>
                <a:srgbClr val="000080"/>
              </a:solidFill>
              <a:prstDash val="sysDash"/>
            </a:ln>
          </c:spPr>
          <c:marker>
            <c:symbol val="none"/>
          </c:marker>
          <c:xVal>
            <c:numRef>
              <c:f>'Small Signal'!$G$2:$G$212</c:f>
              <c:numCache>
                <c:formatCode>General</c:formatCode>
                <c:ptCount val="211"/>
                <c:pt idx="0">
                  <c:v>1</c:v>
                </c:pt>
                <c:pt idx="1">
                  <c:v>1.0797751623277096</c:v>
                </c:pt>
                <c:pt idx="2">
                  <c:v>1.1659144011798317</c:v>
                </c:pt>
                <c:pt idx="3">
                  <c:v>1.2589254117941673</c:v>
                </c:pt>
                <c:pt idx="4">
                  <c:v>1.3593563908785258</c:v>
                </c:pt>
                <c:pt idx="5">
                  <c:v>1.4677992676220697</c:v>
                </c:pt>
                <c:pt idx="6">
                  <c:v>1.5848931924611136</c:v>
                </c:pt>
                <c:pt idx="7">
                  <c:v>1.7113283041617808</c:v>
                </c:pt>
                <c:pt idx="8">
                  <c:v>1.8478497974222912</c:v>
                </c:pt>
                <c:pt idx="9">
                  <c:v>1.9952623149688797</c:v>
                </c:pt>
                <c:pt idx="10">
                  <c:v>2.1544346900318838</c:v>
                </c:pt>
                <c:pt idx="11">
                  <c:v>2.3263050671536263</c:v>
                </c:pt>
                <c:pt idx="12">
                  <c:v>2.5118864315095806</c:v>
                </c:pt>
                <c:pt idx="13">
                  <c:v>2.7122725793320286</c:v>
                </c:pt>
                <c:pt idx="14">
                  <c:v>2.9286445646252366</c:v>
                </c:pt>
                <c:pt idx="15">
                  <c:v>3.1622776601683795</c:v>
                </c:pt>
                <c:pt idx="16">
                  <c:v>3.4145488738336023</c:v>
                </c:pt>
                <c:pt idx="17">
                  <c:v>3.6869450645195756</c:v>
                </c:pt>
                <c:pt idx="18">
                  <c:v>3.9810717055349727</c:v>
                </c:pt>
                <c:pt idx="19">
                  <c:v>4.2986623470822769</c:v>
                </c:pt>
                <c:pt idx="20">
                  <c:v>4.6415888336127793</c:v>
                </c:pt>
                <c:pt idx="21">
                  <c:v>5.0118723362727229</c:v>
                </c:pt>
                <c:pt idx="22">
                  <c:v>5.4116952654646369</c:v>
                </c:pt>
                <c:pt idx="23">
                  <c:v>5.8434141337351777</c:v>
                </c:pt>
                <c:pt idx="24">
                  <c:v>6.3095734448019343</c:v>
                </c:pt>
                <c:pt idx="25">
                  <c:v>6.812920690579614</c:v>
                </c:pt>
                <c:pt idx="26">
                  <c:v>7.3564225445964153</c:v>
                </c:pt>
                <c:pt idx="27">
                  <c:v>7.9432823472428176</c:v>
                </c:pt>
                <c:pt idx="28">
                  <c:v>8.5769589859089415</c:v>
                </c:pt>
                <c:pt idx="29">
                  <c:v>9.2611872812879383</c:v>
                </c:pt>
                <c:pt idx="30">
                  <c:v>10</c:v>
                </c:pt>
                <c:pt idx="31">
                  <c:v>10.797751623277103</c:v>
                </c:pt>
                <c:pt idx="32">
                  <c:v>11.659144011798322</c:v>
                </c:pt>
                <c:pt idx="33">
                  <c:v>12.58925411794168</c:v>
                </c:pt>
                <c:pt idx="34">
                  <c:v>13.593563908785256</c:v>
                </c:pt>
                <c:pt idx="35">
                  <c:v>14.677992676220699</c:v>
                </c:pt>
                <c:pt idx="36">
                  <c:v>15.848931924611136</c:v>
                </c:pt>
                <c:pt idx="37">
                  <c:v>17.113283041617812</c:v>
                </c:pt>
                <c:pt idx="38">
                  <c:v>18.478497974222911</c:v>
                </c:pt>
                <c:pt idx="39">
                  <c:v>19.952623149688804</c:v>
                </c:pt>
                <c:pt idx="40">
                  <c:v>21.544346900318843</c:v>
                </c:pt>
                <c:pt idx="41">
                  <c:v>23.263050671536273</c:v>
                </c:pt>
                <c:pt idx="42">
                  <c:v>25.118864315095799</c:v>
                </c:pt>
                <c:pt idx="43">
                  <c:v>27.122725793320289</c:v>
                </c:pt>
                <c:pt idx="44">
                  <c:v>29.286445646252368</c:v>
                </c:pt>
                <c:pt idx="45">
                  <c:v>31.622776601683803</c:v>
                </c:pt>
                <c:pt idx="46">
                  <c:v>34.145488738336034</c:v>
                </c:pt>
                <c:pt idx="47">
                  <c:v>36.869450645195769</c:v>
                </c:pt>
                <c:pt idx="48">
                  <c:v>39.810717055349755</c:v>
                </c:pt>
                <c:pt idx="49">
                  <c:v>42.986623470822771</c:v>
                </c:pt>
                <c:pt idx="50">
                  <c:v>46.415888336127807</c:v>
                </c:pt>
                <c:pt idx="51">
                  <c:v>50.118723362727238</c:v>
                </c:pt>
                <c:pt idx="52">
                  <c:v>54.11695265464639</c:v>
                </c:pt>
                <c:pt idx="53">
                  <c:v>58.434141337351775</c:v>
                </c:pt>
                <c:pt idx="54">
                  <c:v>63.095734448019364</c:v>
                </c:pt>
                <c:pt idx="55">
                  <c:v>68.129206905796124</c:v>
                </c:pt>
                <c:pt idx="56">
                  <c:v>73.564225445964155</c:v>
                </c:pt>
                <c:pt idx="57">
                  <c:v>79.432823472428197</c:v>
                </c:pt>
                <c:pt idx="58">
                  <c:v>85.769589859089479</c:v>
                </c:pt>
                <c:pt idx="59">
                  <c:v>92.611872812879369</c:v>
                </c:pt>
                <c:pt idx="60">
                  <c:v>100</c:v>
                </c:pt>
                <c:pt idx="61">
                  <c:v>107.97751623277095</c:v>
                </c:pt>
                <c:pt idx="62">
                  <c:v>116.59144011798328</c:v>
                </c:pt>
                <c:pt idx="63">
                  <c:v>125.89254117941677</c:v>
                </c:pt>
                <c:pt idx="64">
                  <c:v>135.93563908785265</c:v>
                </c:pt>
                <c:pt idx="65">
                  <c:v>146.77992676220697</c:v>
                </c:pt>
                <c:pt idx="66">
                  <c:v>158.48931924611153</c:v>
                </c:pt>
                <c:pt idx="67">
                  <c:v>171.13283041617817</c:v>
                </c:pt>
                <c:pt idx="68">
                  <c:v>184.7849797422291</c:v>
                </c:pt>
                <c:pt idx="69">
                  <c:v>199.52623149688802</c:v>
                </c:pt>
                <c:pt idx="70">
                  <c:v>215.44346900318848</c:v>
                </c:pt>
                <c:pt idx="71">
                  <c:v>232.6305067153628</c:v>
                </c:pt>
                <c:pt idx="72">
                  <c:v>251.18864315095806</c:v>
                </c:pt>
                <c:pt idx="73">
                  <c:v>271.22725793320296</c:v>
                </c:pt>
                <c:pt idx="74">
                  <c:v>292.86445646252383</c:v>
                </c:pt>
                <c:pt idx="75">
                  <c:v>316.22776601683825</c:v>
                </c:pt>
                <c:pt idx="76">
                  <c:v>341.4548873833603</c:v>
                </c:pt>
                <c:pt idx="77">
                  <c:v>368.69450645195781</c:v>
                </c:pt>
                <c:pt idx="78">
                  <c:v>398.10717055349761</c:v>
                </c:pt>
                <c:pt idx="79">
                  <c:v>429.86623470822781</c:v>
                </c:pt>
                <c:pt idx="80">
                  <c:v>464.15888336127819</c:v>
                </c:pt>
                <c:pt idx="81">
                  <c:v>501.18723362727269</c:v>
                </c:pt>
                <c:pt idx="82">
                  <c:v>541.16952654646434</c:v>
                </c:pt>
                <c:pt idx="83">
                  <c:v>584.34141337351787</c:v>
                </c:pt>
                <c:pt idx="84">
                  <c:v>630.95734448019323</c:v>
                </c:pt>
                <c:pt idx="85">
                  <c:v>681.29206905796195</c:v>
                </c:pt>
                <c:pt idx="86">
                  <c:v>735.64225445964166</c:v>
                </c:pt>
                <c:pt idx="87">
                  <c:v>794.32823472428208</c:v>
                </c:pt>
                <c:pt idx="88">
                  <c:v>857.69589859089422</c:v>
                </c:pt>
                <c:pt idx="89">
                  <c:v>926.11872812879471</c:v>
                </c:pt>
                <c:pt idx="90">
                  <c:v>1000</c:v>
                </c:pt>
                <c:pt idx="91">
                  <c:v>1079.7751623277097</c:v>
                </c:pt>
                <c:pt idx="92">
                  <c:v>1165.914401179833</c:v>
                </c:pt>
                <c:pt idx="93">
                  <c:v>1258.925411794168</c:v>
                </c:pt>
                <c:pt idx="94">
                  <c:v>1359.3563908785268</c:v>
                </c:pt>
                <c:pt idx="95">
                  <c:v>1467.7992676220699</c:v>
                </c:pt>
                <c:pt idx="96">
                  <c:v>1584.8931924611156</c:v>
                </c:pt>
                <c:pt idx="97">
                  <c:v>1711.3283041617822</c:v>
                </c:pt>
                <c:pt idx="98">
                  <c:v>1847.8497974222912</c:v>
                </c:pt>
                <c:pt idx="99">
                  <c:v>1995.2623149688804</c:v>
                </c:pt>
                <c:pt idx="100">
                  <c:v>2154.4346900318851</c:v>
                </c:pt>
                <c:pt idx="101">
                  <c:v>2326.3050671536284</c:v>
                </c:pt>
                <c:pt idx="102">
                  <c:v>2511.8864315095811</c:v>
                </c:pt>
                <c:pt idx="103">
                  <c:v>2712.2725793320301</c:v>
                </c:pt>
                <c:pt idx="104">
                  <c:v>2928.6445646252391</c:v>
                </c:pt>
                <c:pt idx="105">
                  <c:v>3162.2776601683804</c:v>
                </c:pt>
                <c:pt idx="106">
                  <c:v>3414.5488738336035</c:v>
                </c:pt>
                <c:pt idx="107">
                  <c:v>3686.9450645195784</c:v>
                </c:pt>
                <c:pt idx="108">
                  <c:v>3981.0717055349769</c:v>
                </c:pt>
                <c:pt idx="109">
                  <c:v>4298.6623470822833</c:v>
                </c:pt>
                <c:pt idx="110">
                  <c:v>4641.5888336127782</c:v>
                </c:pt>
                <c:pt idx="111">
                  <c:v>5011.8723362727324</c:v>
                </c:pt>
                <c:pt idx="112">
                  <c:v>5411.6952654646393</c:v>
                </c:pt>
                <c:pt idx="113">
                  <c:v>5843.4141337351803</c:v>
                </c:pt>
                <c:pt idx="114">
                  <c:v>6309.5734448019384</c:v>
                </c:pt>
                <c:pt idx="115">
                  <c:v>6812.9206905796218</c:v>
                </c:pt>
                <c:pt idx="116">
                  <c:v>7356.4225445964248</c:v>
                </c:pt>
                <c:pt idx="117">
                  <c:v>7943.2823472428154</c:v>
                </c:pt>
                <c:pt idx="118">
                  <c:v>8576.9589859089447</c:v>
                </c:pt>
                <c:pt idx="119">
                  <c:v>9261.187281287941</c:v>
                </c:pt>
                <c:pt idx="120">
                  <c:v>10000</c:v>
                </c:pt>
                <c:pt idx="121">
                  <c:v>10797.751623277109</c:v>
                </c:pt>
                <c:pt idx="122">
                  <c:v>11659.144011798313</c:v>
                </c:pt>
                <c:pt idx="123">
                  <c:v>12589.254117941671</c:v>
                </c:pt>
                <c:pt idx="124">
                  <c:v>13593.563908785283</c:v>
                </c:pt>
                <c:pt idx="125">
                  <c:v>14677.992676220729</c:v>
                </c:pt>
                <c:pt idx="126">
                  <c:v>15848.931924611146</c:v>
                </c:pt>
                <c:pt idx="127">
                  <c:v>17113.283041617826</c:v>
                </c:pt>
                <c:pt idx="128">
                  <c:v>18478.497974222933</c:v>
                </c:pt>
                <c:pt idx="129">
                  <c:v>19952.623149688792</c:v>
                </c:pt>
                <c:pt idx="130">
                  <c:v>21544.346900318837</c:v>
                </c:pt>
                <c:pt idx="131">
                  <c:v>23263.050671536268</c:v>
                </c:pt>
                <c:pt idx="132">
                  <c:v>25118.86431509586</c:v>
                </c:pt>
                <c:pt idx="133">
                  <c:v>27122.725793320307</c:v>
                </c:pt>
                <c:pt idx="134">
                  <c:v>29286.445646252399</c:v>
                </c:pt>
                <c:pt idx="135">
                  <c:v>31622.77660168384</c:v>
                </c:pt>
                <c:pt idx="136">
                  <c:v>34145.488738336011</c:v>
                </c:pt>
                <c:pt idx="137">
                  <c:v>36869.450645195764</c:v>
                </c:pt>
                <c:pt idx="138">
                  <c:v>39810.717055349742</c:v>
                </c:pt>
                <c:pt idx="139">
                  <c:v>42986.62347082288</c:v>
                </c:pt>
                <c:pt idx="140">
                  <c:v>46415.888336127835</c:v>
                </c:pt>
                <c:pt idx="141">
                  <c:v>50118.723362727294</c:v>
                </c:pt>
                <c:pt idx="142">
                  <c:v>54116.952654646455</c:v>
                </c:pt>
                <c:pt idx="143">
                  <c:v>58434.141337351764</c:v>
                </c:pt>
                <c:pt idx="144">
                  <c:v>63095.734448019342</c:v>
                </c:pt>
                <c:pt idx="145">
                  <c:v>68129.206905796163</c:v>
                </c:pt>
                <c:pt idx="146">
                  <c:v>73564.225445964199</c:v>
                </c:pt>
                <c:pt idx="147">
                  <c:v>79432.823472428237</c:v>
                </c:pt>
                <c:pt idx="148">
                  <c:v>85769.589859089538</c:v>
                </c:pt>
                <c:pt idx="149">
                  <c:v>92611.872812879505</c:v>
                </c:pt>
                <c:pt idx="150">
                  <c:v>100000</c:v>
                </c:pt>
                <c:pt idx="151">
                  <c:v>107977.51623277101</c:v>
                </c:pt>
                <c:pt idx="152">
                  <c:v>116591.44011798326</c:v>
                </c:pt>
                <c:pt idx="153">
                  <c:v>125892.54117941685</c:v>
                </c:pt>
                <c:pt idx="154">
                  <c:v>135935.63908785273</c:v>
                </c:pt>
                <c:pt idx="155">
                  <c:v>146779.92676220718</c:v>
                </c:pt>
                <c:pt idx="156">
                  <c:v>158489.31924611164</c:v>
                </c:pt>
                <c:pt idx="157">
                  <c:v>171132.83041617845</c:v>
                </c:pt>
                <c:pt idx="158">
                  <c:v>184784.97974222922</c:v>
                </c:pt>
                <c:pt idx="159">
                  <c:v>199526.23149688813</c:v>
                </c:pt>
                <c:pt idx="160">
                  <c:v>215443.46900318863</c:v>
                </c:pt>
                <c:pt idx="161">
                  <c:v>232630.50671536254</c:v>
                </c:pt>
                <c:pt idx="162">
                  <c:v>251188.64315095844</c:v>
                </c:pt>
                <c:pt idx="163">
                  <c:v>271227.25793320336</c:v>
                </c:pt>
                <c:pt idx="164">
                  <c:v>292864.45646252431</c:v>
                </c:pt>
                <c:pt idx="165">
                  <c:v>316227.7660168382</c:v>
                </c:pt>
                <c:pt idx="166">
                  <c:v>341454.88738336053</c:v>
                </c:pt>
                <c:pt idx="167">
                  <c:v>368694.50645195803</c:v>
                </c:pt>
                <c:pt idx="168">
                  <c:v>398107.17055349716</c:v>
                </c:pt>
                <c:pt idx="169">
                  <c:v>429866.2347082285</c:v>
                </c:pt>
                <c:pt idx="170">
                  <c:v>464158.88336127886</c:v>
                </c:pt>
                <c:pt idx="171">
                  <c:v>501187.23362727347</c:v>
                </c:pt>
                <c:pt idx="172">
                  <c:v>541169.52654646419</c:v>
                </c:pt>
                <c:pt idx="173">
                  <c:v>584341.41337351827</c:v>
                </c:pt>
                <c:pt idx="174">
                  <c:v>630957.34448019415</c:v>
                </c:pt>
                <c:pt idx="175">
                  <c:v>681292.06905796123</c:v>
                </c:pt>
                <c:pt idx="176">
                  <c:v>735642.25445964152</c:v>
                </c:pt>
                <c:pt idx="177">
                  <c:v>794328.23472428333</c:v>
                </c:pt>
                <c:pt idx="178">
                  <c:v>857695.89859089628</c:v>
                </c:pt>
                <c:pt idx="179">
                  <c:v>926118.72812879446</c:v>
                </c:pt>
                <c:pt idx="180">
                  <c:v>1000000</c:v>
                </c:pt>
                <c:pt idx="181">
                  <c:v>1079775.1623277115</c:v>
                </c:pt>
                <c:pt idx="182">
                  <c:v>1165914.4011798317</c:v>
                </c:pt>
                <c:pt idx="183">
                  <c:v>1258925.4117941677</c:v>
                </c:pt>
                <c:pt idx="184">
                  <c:v>1359356.3908785288</c:v>
                </c:pt>
                <c:pt idx="185">
                  <c:v>1467799.2676220734</c:v>
                </c:pt>
                <c:pt idx="186">
                  <c:v>1584893.1924611153</c:v>
                </c:pt>
                <c:pt idx="187">
                  <c:v>1711328.3041617833</c:v>
                </c:pt>
                <c:pt idx="188">
                  <c:v>1847849.797422294</c:v>
                </c:pt>
                <c:pt idx="189">
                  <c:v>1995262.31496888</c:v>
                </c:pt>
                <c:pt idx="190">
                  <c:v>2154434.6900318847</c:v>
                </c:pt>
                <c:pt idx="191">
                  <c:v>2326305.067153628</c:v>
                </c:pt>
                <c:pt idx="192">
                  <c:v>2511886.431509587</c:v>
                </c:pt>
                <c:pt idx="193">
                  <c:v>2712272.5793320318</c:v>
                </c:pt>
                <c:pt idx="194">
                  <c:v>2928644.5646252413</c:v>
                </c:pt>
                <c:pt idx="195">
                  <c:v>3162277.6601683851</c:v>
                </c:pt>
                <c:pt idx="196">
                  <c:v>3414548.8738336028</c:v>
                </c:pt>
                <c:pt idx="197">
                  <c:v>3686945.0645195777</c:v>
                </c:pt>
                <c:pt idx="198">
                  <c:v>3981071.705534976</c:v>
                </c:pt>
                <c:pt idx="199">
                  <c:v>4298662.3470822899</c:v>
                </c:pt>
                <c:pt idx="200">
                  <c:v>4641588.8336127857</c:v>
                </c:pt>
                <c:pt idx="201">
                  <c:v>5011872.3362727314</c:v>
                </c:pt>
                <c:pt idx="202">
                  <c:v>5411695.2654646477</c:v>
                </c:pt>
                <c:pt idx="203">
                  <c:v>5843414.133735179</c:v>
                </c:pt>
                <c:pt idx="204">
                  <c:v>6309573.4448019378</c:v>
                </c:pt>
                <c:pt idx="205">
                  <c:v>6812920.6905796202</c:v>
                </c:pt>
                <c:pt idx="206">
                  <c:v>7356422.5445964225</c:v>
                </c:pt>
                <c:pt idx="207">
                  <c:v>7943282.3472428275</c:v>
                </c:pt>
                <c:pt idx="208">
                  <c:v>8576958.9859089572</c:v>
                </c:pt>
                <c:pt idx="209">
                  <c:v>9261187.2812879551</c:v>
                </c:pt>
                <c:pt idx="210">
                  <c:v>10000000</c:v>
                </c:pt>
              </c:numCache>
            </c:numRef>
          </c:xVal>
          <c:yVal>
            <c:numRef>
              <c:f>'Small Signal'!$J$2:$J$212</c:f>
              <c:numCache>
                <c:formatCode>General</c:formatCode>
                <c:ptCount val="211"/>
                <c:pt idx="0">
                  <c:v>-4.0518741791171087E-3</c:v>
                </c:pt>
                <c:pt idx="1">
                  <c:v>-4.3751130986037414E-3</c:v>
                </c:pt>
                <c:pt idx="2">
                  <c:v>-4.7241384551341857E-3</c:v>
                </c:pt>
                <c:pt idx="3">
                  <c:v>-5.1010073658502393E-3</c:v>
                </c:pt>
                <c:pt idx="4">
                  <c:v>-5.5079410547321942E-3</c:v>
                </c:pt>
                <c:pt idx="5">
                  <c:v>-5.9473379442447081E-3</c:v>
                </c:pt>
                <c:pt idx="6">
                  <c:v>-6.4217877913694942E-3</c:v>
                </c:pt>
                <c:pt idx="7">
                  <c:v>-6.9340869513413077E-3</c:v>
                </c:pt>
                <c:pt idx="8">
                  <c:v>-7.4872548590490589E-3</c:v>
                </c:pt>
                <c:pt idx="9">
                  <c:v>-8.0845518252416985E-3</c:v>
                </c:pt>
                <c:pt idx="10">
                  <c:v>-8.7294982524261829E-3</c:v>
                </c:pt>
                <c:pt idx="11">
                  <c:v>-9.4258953837140728E-3</c:v>
                </c:pt>
                <c:pt idx="12">
                  <c:v>-1.0177847706906476E-2</c:v>
                </c:pt>
                <c:pt idx="13">
                  <c:v>-1.0989787145863048E-2</c:v>
                </c:pt>
                <c:pt idx="14">
                  <c:v>-1.1866499181735289E-2</c:v>
                </c:pt>
                <c:pt idx="15">
                  <c:v>-1.2813151058017737E-2</c:v>
                </c:pt>
                <c:pt idx="16">
                  <c:v>-1.3835322235649783E-2</c:v>
                </c:pt>
                <c:pt idx="17">
                  <c:v>-1.4939037277666782E-2</c:v>
                </c:pt>
                <c:pt idx="18">
                  <c:v>-1.6130801357213148E-2</c:v>
                </c:pt>
                <c:pt idx="19">
                  <c:v>-1.7417638598191603E-2</c:v>
                </c:pt>
                <c:pt idx="20">
                  <c:v>-1.8807133474518165E-2</c:v>
                </c:pt>
                <c:pt idx="21">
                  <c:v>-2.0307475511978312E-2</c:v>
                </c:pt>
                <c:pt idx="22">
                  <c:v>-2.1927507556137867E-2</c:v>
                </c:pt>
                <c:pt idx="23">
                  <c:v>-2.367677789078456E-2</c:v>
                </c:pt>
                <c:pt idx="24">
                  <c:v>-2.5565596514060901E-2</c:v>
                </c:pt>
                <c:pt idx="25">
                  <c:v>-2.760509590395302E-2</c:v>
                </c:pt>
                <c:pt idx="26">
                  <c:v>-2.9807296631254126E-2</c:v>
                </c:pt>
                <c:pt idx="27">
                  <c:v>-3.2185178206681805E-2</c:v>
                </c:pt>
                <c:pt idx="28">
                  <c:v>-3.4752755579674499E-2</c:v>
                </c:pt>
                <c:pt idx="29">
                  <c:v>-3.7525161739684829E-2</c:v>
                </c:pt>
                <c:pt idx="30">
                  <c:v>-4.0518736906747441E-2</c:v>
                </c:pt>
                <c:pt idx="31">
                  <c:v>-4.3751124836912618E-2</c:v>
                </c:pt>
                <c:pt idx="32">
                  <c:v>-4.7241376810052964E-2</c:v>
                </c:pt>
                <c:pt idx="33">
                  <c:v>-5.1010063912797513E-2</c:v>
                </c:pt>
                <c:pt idx="34">
                  <c:v>-5.5079398278207146E-2</c:v>
                </c:pt>
                <c:pt idx="35">
                  <c:v>-5.9473363996547721E-2</c:v>
                </c:pt>
                <c:pt idx="36">
                  <c:v>-6.421785846846137E-2</c:v>
                </c:pt>
                <c:pt idx="37">
                  <c:v>-6.9340845033317028E-2</c:v>
                </c:pt>
                <c:pt idx="38">
                  <c:v>-7.4872517771879171E-2</c:v>
                </c:pt>
                <c:pt idx="39">
                  <c:v>-8.084547945408968E-2</c:v>
                </c:pt>
                <c:pt idx="40">
                  <c:v>-8.7294933680069312E-2</c:v>
                </c:pt>
                <c:pt idx="41">
                  <c:v>-9.4258892345957496E-2</c:v>
                </c:pt>
                <c:pt idx="42">
                  <c:v>-0.10177839965626843</c:v>
                </c:pt>
                <c:pt idx="43">
                  <c:v>-0.10989777400171813</c:v>
                </c:pt>
                <c:pt idx="44">
                  <c:v>-0.1186648691264066</c:v>
                </c:pt>
                <c:pt idx="45">
                  <c:v>-0.12813135612148138</c:v>
                </c:pt>
                <c:pt idx="46">
                  <c:v>-0.13835302790459941</c:v>
                </c:pt>
                <c:pt idx="47">
                  <c:v>-0.1493901279763469</c:v>
                </c:pt>
                <c:pt idx="48">
                  <c:v>-0.16130770538695771</c:v>
                </c:pt>
                <c:pt idx="49">
                  <c:v>-0.1741759980000194</c:v>
                </c:pt>
                <c:pt idx="50">
                  <c:v>-0.18807084630528023</c:v>
                </c:pt>
                <c:pt idx="51">
                  <c:v>-0.20307414021091832</c:v>
                </c:pt>
                <c:pt idx="52">
                  <c:v>-0.21927430143777454</c:v>
                </c:pt>
                <c:pt idx="53">
                  <c:v>-0.23676680434512865</c:v>
                </c:pt>
                <c:pt idx="54">
                  <c:v>-0.25565473824054374</c:v>
                </c:pt>
                <c:pt idx="55">
                  <c:v>-0.27604941446636239</c:v>
                </c:pt>
                <c:pt idx="56">
                  <c:v>-0.29807102181380229</c:v>
                </c:pt>
                <c:pt idx="57">
                  <c:v>-0.32184933409333155</c:v>
                </c:pt>
                <c:pt idx="58">
                  <c:v>-0.34752447398862651</c:v>
                </c:pt>
                <c:pt idx="59">
                  <c:v>-0.37524773764190611</c:v>
                </c:pt>
                <c:pt idx="60">
                  <c:v>-0.40518248476242991</c:v>
                </c:pt>
                <c:pt idx="61">
                  <c:v>-0.43750509941840449</c:v>
                </c:pt>
                <c:pt idx="62">
                  <c:v>-0.4724060270669298</c:v>
                </c:pt>
                <c:pt idx="63">
                  <c:v>-0.5100908937979568</c:v>
                </c:pt>
                <c:pt idx="64">
                  <c:v>-0.55078171421757582</c:v>
                </c:pt>
                <c:pt idx="65">
                  <c:v>-0.59471819487397859</c:v>
                </c:pt>
                <c:pt idx="66">
                  <c:v>-0.64215914063686586</c:v>
                </c:pt>
                <c:pt idx="67">
                  <c:v>-0.69338397197749624</c:v>
                </c:pt>
                <c:pt idx="68">
                  <c:v>-0.74869436166195136</c:v>
                </c:pt>
                <c:pt idx="69">
                  <c:v>-0.8084159999627375</c:v>
                </c:pt>
                <c:pt idx="70">
                  <c:v>-0.8729004981113675</c:v>
                </c:pt>
                <c:pt idx="71">
                  <c:v>-0.94252744035342606</c:v>
                </c:pt>
                <c:pt idx="72">
                  <c:v>-1.017706595621874</c:v>
                </c:pt>
                <c:pt idx="73">
                  <c:v>-1.0988803005067598</c:v>
                </c:pt>
                <c:pt idx="74">
                  <c:v>-1.1865260258588235</c:v>
                </c:pt>
                <c:pt idx="75">
                  <c:v>-1.2811591400061708</c:v>
                </c:pt>
                <c:pt idx="76">
                  <c:v>-1.3833358821689059</c:v>
                </c:pt>
                <c:pt idx="77">
                  <c:v>-1.4936565601990235</c:v>
                </c:pt>
                <c:pt idx="78">
                  <c:v>-1.6127689872215454</c:v>
                </c:pt>
                <c:pt idx="79">
                  <c:v>-1.7413721720621489</c:v>
                </c:pt>
                <c:pt idx="80">
                  <c:v>-1.8802202784643902</c:v>
                </c:pt>
                <c:pt idx="81">
                  <c:v>-2.0301268679532516</c:v>
                </c:pt>
                <c:pt idx="82">
                  <c:v>-2.1919694407035331</c:v>
                </c:pt>
                <c:pt idx="83">
                  <c:v>-2.3666942878077686</c:v>
                </c:pt>
                <c:pt idx="84">
                  <c:v>-2.5553216667659466</c:v>
                </c:pt>
                <c:pt idx="85">
                  <c:v>-2.7589513096595817</c:v>
                </c:pt>
                <c:pt idx="86">
                  <c:v>-2.9787682701009239</c:v>
                </c:pt>
                <c:pt idx="87">
                  <c:v>-3.2160491103852022</c:v>
                </c:pt>
                <c:pt idx="88">
                  <c:v>-3.4721684239727724</c:v>
                </c:pt>
                <c:pt idx="89">
                  <c:v>-3.7486056800623779</c:v>
                </c:pt>
                <c:pt idx="90">
                  <c:v>-4.0469523660610989</c:v>
                </c:pt>
                <c:pt idx="91">
                  <c:v>-4.3689193895729836</c:v>
                </c:pt>
                <c:pt idx="92">
                  <c:v>-4.7163446833435101</c:v>
                </c:pt>
                <c:pt idx="93">
                  <c:v>-5.0912009334871966</c:v>
                </c:pt>
                <c:pt idx="94">
                  <c:v>-5.4956033221951666</c:v>
                </c:pt>
                <c:pt idx="95">
                  <c:v>-5.9318171396909412</c:v>
                </c:pt>
                <c:pt idx="96">
                  <c:v>-6.4022650750165155</c:v>
                </c:pt>
                <c:pt idx="97">
                  <c:v>-6.9095339396525715</c:v>
                </c:pt>
                <c:pt idx="98">
                  <c:v>-7.4563805102530791</c:v>
                </c:pt>
                <c:pt idx="99">
                  <c:v>-8.0457360951074683</c:v>
                </c:pt>
                <c:pt idx="100">
                  <c:v>-8.6807093316540751</c:v>
                </c:pt>
                <c:pt idx="101">
                  <c:v>-9.3645866081432967</c:v>
                </c:pt>
                <c:pt idx="102">
                  <c:v>-10.100829370809461</c:v>
                </c:pt>
                <c:pt idx="103">
                  <c:v>-10.893067429386569</c:v>
                </c:pt>
                <c:pt idx="104">
                  <c:v>-11.745087211293129</c:v>
                </c:pt>
                <c:pt idx="105">
                  <c:v>-12.660813744237668</c:v>
                </c:pt>
                <c:pt idx="106">
                  <c:v>-13.6442849787777</c:v>
                </c:pt>
                <c:pt idx="107">
                  <c:v>-14.699616913000021</c:v>
                </c:pt>
                <c:pt idx="108">
                  <c:v>-15.830957875495807</c:v>
                </c:pt>
                <c:pt idx="109">
                  <c:v>-17.042430294410877</c:v>
                </c:pt>
                <c:pt idx="110">
                  <c:v>-18.338058374988847</c:v>
                </c:pt>
                <c:pt idx="111">
                  <c:v>-19.721680382376839</c:v>
                </c:pt>
                <c:pt idx="112">
                  <c:v>-21.196844746477161</c:v>
                </c:pt>
                <c:pt idx="113">
                  <c:v>-22.766690040734577</c:v>
                </c:pt>
                <c:pt idx="114">
                  <c:v>-24.43381009891699</c:v>
                </c:pt>
                <c:pt idx="115">
                  <c:v>-26.200107160227628</c:v>
                </c:pt>
                <c:pt idx="116">
                  <c:v>-28.066637961334393</c:v>
                </c:pt>
                <c:pt idx="117">
                  <c:v>-30.03346003368727</c:v>
                </c:pt>
                <c:pt idx="118">
                  <c:v>-32.099487918657488</c:v>
                </c:pt>
                <c:pt idx="119">
                  <c:v>-34.262371259609203</c:v>
                </c:pt>
                <c:pt idx="120">
                  <c:v>-36.518408328341103</c:v>
                </c:pt>
                <c:pt idx="121">
                  <c:v>-38.862508978633734</c:v>
                </c:pt>
                <c:pt idx="122">
                  <c:v>-41.288219795161908</c:v>
                </c:pt>
                <c:pt idx="123">
                  <c:v>-43.787820977481594</c:v>
                </c:pt>
                <c:pt idx="124">
                  <c:v>-46.352499224969975</c:v>
                </c:pt>
                <c:pt idx="125">
                  <c:v>-48.972593950213387</c:v>
                </c:pt>
                <c:pt idx="126">
                  <c:v>-51.637906377786145</c:v>
                </c:pt>
                <c:pt idx="127">
                  <c:v>-54.338053663850275</c:v>
                </c:pt>
                <c:pt idx="128">
                  <c:v>-57.062844392605967</c:v>
                </c:pt>
                <c:pt idx="129">
                  <c:v>-59.802648756840092</c:v>
                </c:pt>
                <c:pt idx="130">
                  <c:v>-62.548737000007272</c:v>
                </c:pt>
                <c:pt idx="131">
                  <c:v>-65.293563206502242</c:v>
                </c:pt>
                <c:pt idx="132">
                  <c:v>-68.030977550611354</c:v>
                </c:pt>
                <c:pt idx="133">
                  <c:v>-70.756357491267067</c:v>
                </c:pt>
                <c:pt idx="134">
                  <c:v>-73.46665584178325</c:v>
                </c:pt>
                <c:pt idx="135">
                  <c:v>-76.160370045856212</c:v>
                </c:pt>
                <c:pt idx="136">
                  <c:v>-78.837441640413005</c:v>
                </c:pt>
                <c:pt idx="137">
                  <c:v>-81.499097534188081</c:v>
                </c:pt>
                <c:pt idx="138">
                  <c:v>-84.147645541148066</c:v>
                </c:pt>
                <c:pt idx="139">
                  <c:v>-86.786236023681639</c:v>
                </c:pt>
                <c:pt idx="140">
                  <c:v>-89.418600094824626</c:v>
                </c:pt>
                <c:pt idx="141">
                  <c:v>-92.048773173925866</c:v>
                </c:pt>
                <c:pt idx="142">
                  <c:v>-94.680811268233128</c:v>
                </c:pt>
                <c:pt idx="143">
                  <c:v>-97.31850650690248</c:v>
                </c:pt>
                <c:pt idx="144">
                  <c:v>-99.965108367326636</c:v>
                </c:pt>
                <c:pt idx="145">
                  <c:v>-102.62305772440833</c:v>
                </c:pt>
                <c:pt idx="146">
                  <c:v>-105.29374217370706</c:v>
                </c:pt>
                <c:pt idx="147">
                  <c:v>-107.97728271973607</c:v>
                </c:pt>
                <c:pt idx="148">
                  <c:v>-110.67236342616135</c:v>
                </c:pt>
                <c:pt idx="149">
                  <c:v>-113.37611643638176</c:v>
                </c:pt>
                <c:pt idx="150">
                  <c:v>-116.08407430842493</c:v>
                </c:pt>
                <c:pt idx="151">
                  <c:v>-118.79019938295259</c:v>
                </c:pt>
                <c:pt idx="152">
                  <c:v>-121.48699568115509</c:v>
                </c:pt>
                <c:pt idx="153">
                  <c:v>-124.16570276148707</c:v>
                </c:pt>
                <c:pt idx="154">
                  <c:v>-126.81656366403857</c:v>
                </c:pt>
                <c:pt idx="155">
                  <c:v>-129.42915157257198</c:v>
                </c:pt>
                <c:pt idx="156">
                  <c:v>-131.99273339873193</c:v>
                </c:pt>
                <c:pt idx="157">
                  <c:v>-134.49664435769446</c:v>
                </c:pt>
                <c:pt idx="158">
                  <c:v>-136.9306466014514</c:v>
                </c:pt>
                <c:pt idx="159">
                  <c:v>-139.2852473336132</c:v>
                </c:pt>
                <c:pt idx="160">
                  <c:v>-141.55195709620907</c:v>
                </c:pt>
                <c:pt idx="161">
                  <c:v>-143.72347609219278</c:v>
                </c:pt>
                <c:pt idx="162">
                  <c:v>-145.79380421058968</c:v>
                </c:pt>
                <c:pt idx="163">
                  <c:v>-147.75827762502746</c:v>
                </c:pt>
                <c:pt idx="164">
                  <c:v>-149.61354051924167</c:v>
                </c:pt>
                <c:pt idx="165">
                  <c:v>-151.35746417498768</c:v>
                </c:pt>
                <c:pt idx="166">
                  <c:v>-152.98902729647585</c:v>
                </c:pt>
                <c:pt idx="167">
                  <c:v>-154.50817133230956</c:v>
                </c:pt>
                <c:pt idx="168">
                  <c:v>-155.91564316739579</c:v>
                </c:pt>
                <c:pt idx="169">
                  <c:v>-157.21283541400138</c:v>
                </c:pt>
                <c:pt idx="170">
                  <c:v>-158.40163209539438</c:v>
                </c:pt>
                <c:pt idx="171">
                  <c:v>-159.48426513701048</c:v>
                </c:pt>
                <c:pt idx="172">
                  <c:v>-160.46318498253012</c:v>
                </c:pt>
                <c:pt idx="173">
                  <c:v>-161.34094694748612</c:v>
                </c:pt>
                <c:pt idx="174">
                  <c:v>-162.12011363825698</c:v>
                </c:pt>
                <c:pt idx="175">
                  <c:v>-162.80317287167026</c:v>
                </c:pt>
                <c:pt idx="176">
                  <c:v>-163.39246997259914</c:v>
                </c:pt>
                <c:pt idx="177">
                  <c:v>-163.89015303606647</c:v>
                </c:pt>
                <c:pt idx="178">
                  <c:v>-164.2981296504453</c:v>
                </c:pt>
                <c:pt idx="179">
                  <c:v>-164.61803363187767</c:v>
                </c:pt>
                <c:pt idx="180">
                  <c:v>-164.85120047079155</c:v>
                </c:pt>
                <c:pt idx="181">
                  <c:v>-164.99865040456106</c:v>
                </c:pt>
                <c:pt idx="182">
                  <c:v>-165.06107828125263</c:v>
                </c:pt>
                <c:pt idx="183">
                  <c:v>-165.03884965156877</c:v>
                </c:pt>
                <c:pt idx="184">
                  <c:v>-164.93200280916253</c:v>
                </c:pt>
                <c:pt idx="185">
                  <c:v>-164.74025678702367</c:v>
                </c:pt>
                <c:pt idx="186">
                  <c:v>-164.46302560520132</c:v>
                </c:pt>
                <c:pt idx="187">
                  <c:v>-164.09943934826111</c:v>
                </c:pt>
                <c:pt idx="188">
                  <c:v>-163.64837292324674</c:v>
                </c:pt>
                <c:pt idx="189">
                  <c:v>-163.10848360019068</c:v>
                </c:pt>
                <c:pt idx="190">
                  <c:v>-162.4782586510843</c:v>
                </c:pt>
                <c:pt idx="191">
                  <c:v>-161.75607455512855</c:v>
                </c:pt>
                <c:pt idx="192">
                  <c:v>-160.94026929339375</c:v>
                </c:pt>
                <c:pt idx="193">
                  <c:v>-160.02922916867308</c:v>
                </c:pt>
                <c:pt idx="194">
                  <c:v>-159.0214912989197</c:v>
                </c:pt>
                <c:pt idx="195">
                  <c:v>-157.9158623792072</c:v>
                </c:pt>
                <c:pt idx="196">
                  <c:v>-156.71155341956802</c:v>
                </c:pt>
                <c:pt idx="197">
                  <c:v>-155.40832888640904</c:v>
                </c:pt>
                <c:pt idx="198">
                  <c:v>-154.00666697444396</c:v>
                </c:pt>
                <c:pt idx="199">
                  <c:v>-152.50792563965069</c:v>
                </c:pt>
                <c:pt idx="200">
                  <c:v>-150.91450664095015</c:v>
                </c:pt>
                <c:pt idx="201">
                  <c:v>-149.23000738972036</c:v>
                </c:pt>
                <c:pt idx="202">
                  <c:v>-147.45934823830905</c:v>
                </c:pt>
                <c:pt idx="203">
                  <c:v>-145.60886141096236</c:v>
                </c:pt>
                <c:pt idx="204">
                  <c:v>-143.68632761243094</c:v>
                </c:pt>
                <c:pt idx="205">
                  <c:v>-141.7009479186508</c:v>
                </c:pt>
                <c:pt idx="206">
                  <c:v>-139.66324215599283</c:v>
                </c:pt>
                <c:pt idx="207">
                  <c:v>-137.5848705755366</c:v>
                </c:pt>
                <c:pt idx="208">
                  <c:v>-135.47838275486754</c:v>
                </c:pt>
                <c:pt idx="209">
                  <c:v>-133.3569053973043</c:v>
                </c:pt>
                <c:pt idx="210">
                  <c:v>-131.23378782021859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42B-4B76-9FB5-F40AD28F2663}"/>
            </c:ext>
          </c:extLst>
        </c:ser>
        <c:ser>
          <c:idx val="4"/>
          <c:order val="4"/>
          <c:tx>
            <c:v>Compensation Phase</c:v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'Small Signal'!$G$2:$G$212</c:f>
              <c:numCache>
                <c:formatCode>General</c:formatCode>
                <c:ptCount val="211"/>
                <c:pt idx="0">
                  <c:v>1</c:v>
                </c:pt>
                <c:pt idx="1">
                  <c:v>1.0797751623277096</c:v>
                </c:pt>
                <c:pt idx="2">
                  <c:v>1.1659144011798317</c:v>
                </c:pt>
                <c:pt idx="3">
                  <c:v>1.2589254117941673</c:v>
                </c:pt>
                <c:pt idx="4">
                  <c:v>1.3593563908785258</c:v>
                </c:pt>
                <c:pt idx="5">
                  <c:v>1.4677992676220697</c:v>
                </c:pt>
                <c:pt idx="6">
                  <c:v>1.5848931924611136</c:v>
                </c:pt>
                <c:pt idx="7">
                  <c:v>1.7113283041617808</c:v>
                </c:pt>
                <c:pt idx="8">
                  <c:v>1.8478497974222912</c:v>
                </c:pt>
                <c:pt idx="9">
                  <c:v>1.9952623149688797</c:v>
                </c:pt>
                <c:pt idx="10">
                  <c:v>2.1544346900318838</c:v>
                </c:pt>
                <c:pt idx="11">
                  <c:v>2.3263050671536263</c:v>
                </c:pt>
                <c:pt idx="12">
                  <c:v>2.5118864315095806</c:v>
                </c:pt>
                <c:pt idx="13">
                  <c:v>2.7122725793320286</c:v>
                </c:pt>
                <c:pt idx="14">
                  <c:v>2.9286445646252366</c:v>
                </c:pt>
                <c:pt idx="15">
                  <c:v>3.1622776601683795</c:v>
                </c:pt>
                <c:pt idx="16">
                  <c:v>3.4145488738336023</c:v>
                </c:pt>
                <c:pt idx="17">
                  <c:v>3.6869450645195756</c:v>
                </c:pt>
                <c:pt idx="18">
                  <c:v>3.9810717055349727</c:v>
                </c:pt>
                <c:pt idx="19">
                  <c:v>4.2986623470822769</c:v>
                </c:pt>
                <c:pt idx="20">
                  <c:v>4.6415888336127793</c:v>
                </c:pt>
                <c:pt idx="21">
                  <c:v>5.0118723362727229</c:v>
                </c:pt>
                <c:pt idx="22">
                  <c:v>5.4116952654646369</c:v>
                </c:pt>
                <c:pt idx="23">
                  <c:v>5.8434141337351777</c:v>
                </c:pt>
                <c:pt idx="24">
                  <c:v>6.3095734448019343</c:v>
                </c:pt>
                <c:pt idx="25">
                  <c:v>6.812920690579614</c:v>
                </c:pt>
                <c:pt idx="26">
                  <c:v>7.3564225445964153</c:v>
                </c:pt>
                <c:pt idx="27">
                  <c:v>7.9432823472428176</c:v>
                </c:pt>
                <c:pt idx="28">
                  <c:v>8.5769589859089415</c:v>
                </c:pt>
                <c:pt idx="29">
                  <c:v>9.2611872812879383</c:v>
                </c:pt>
                <c:pt idx="30">
                  <c:v>10</c:v>
                </c:pt>
                <c:pt idx="31">
                  <c:v>10.797751623277103</c:v>
                </c:pt>
                <c:pt idx="32">
                  <c:v>11.659144011798322</c:v>
                </c:pt>
                <c:pt idx="33">
                  <c:v>12.58925411794168</c:v>
                </c:pt>
                <c:pt idx="34">
                  <c:v>13.593563908785256</c:v>
                </c:pt>
                <c:pt idx="35">
                  <c:v>14.677992676220699</c:v>
                </c:pt>
                <c:pt idx="36">
                  <c:v>15.848931924611136</c:v>
                </c:pt>
                <c:pt idx="37">
                  <c:v>17.113283041617812</c:v>
                </c:pt>
                <c:pt idx="38">
                  <c:v>18.478497974222911</c:v>
                </c:pt>
                <c:pt idx="39">
                  <c:v>19.952623149688804</c:v>
                </c:pt>
                <c:pt idx="40">
                  <c:v>21.544346900318843</c:v>
                </c:pt>
                <c:pt idx="41">
                  <c:v>23.263050671536273</c:v>
                </c:pt>
                <c:pt idx="42">
                  <c:v>25.118864315095799</c:v>
                </c:pt>
                <c:pt idx="43">
                  <c:v>27.122725793320289</c:v>
                </c:pt>
                <c:pt idx="44">
                  <c:v>29.286445646252368</c:v>
                </c:pt>
                <c:pt idx="45">
                  <c:v>31.622776601683803</c:v>
                </c:pt>
                <c:pt idx="46">
                  <c:v>34.145488738336034</c:v>
                </c:pt>
                <c:pt idx="47">
                  <c:v>36.869450645195769</c:v>
                </c:pt>
                <c:pt idx="48">
                  <c:v>39.810717055349755</c:v>
                </c:pt>
                <c:pt idx="49">
                  <c:v>42.986623470822771</c:v>
                </c:pt>
                <c:pt idx="50">
                  <c:v>46.415888336127807</c:v>
                </c:pt>
                <c:pt idx="51">
                  <c:v>50.118723362727238</c:v>
                </c:pt>
                <c:pt idx="52">
                  <c:v>54.11695265464639</c:v>
                </c:pt>
                <c:pt idx="53">
                  <c:v>58.434141337351775</c:v>
                </c:pt>
                <c:pt idx="54">
                  <c:v>63.095734448019364</c:v>
                </c:pt>
                <c:pt idx="55">
                  <c:v>68.129206905796124</c:v>
                </c:pt>
                <c:pt idx="56">
                  <c:v>73.564225445964155</c:v>
                </c:pt>
                <c:pt idx="57">
                  <c:v>79.432823472428197</c:v>
                </c:pt>
                <c:pt idx="58">
                  <c:v>85.769589859089479</c:v>
                </c:pt>
                <c:pt idx="59">
                  <c:v>92.611872812879369</c:v>
                </c:pt>
                <c:pt idx="60">
                  <c:v>100</c:v>
                </c:pt>
                <c:pt idx="61">
                  <c:v>107.97751623277095</c:v>
                </c:pt>
                <c:pt idx="62">
                  <c:v>116.59144011798328</c:v>
                </c:pt>
                <c:pt idx="63">
                  <c:v>125.89254117941677</c:v>
                </c:pt>
                <c:pt idx="64">
                  <c:v>135.93563908785265</c:v>
                </c:pt>
                <c:pt idx="65">
                  <c:v>146.77992676220697</c:v>
                </c:pt>
                <c:pt idx="66">
                  <c:v>158.48931924611153</c:v>
                </c:pt>
                <c:pt idx="67">
                  <c:v>171.13283041617817</c:v>
                </c:pt>
                <c:pt idx="68">
                  <c:v>184.7849797422291</c:v>
                </c:pt>
                <c:pt idx="69">
                  <c:v>199.52623149688802</c:v>
                </c:pt>
                <c:pt idx="70">
                  <c:v>215.44346900318848</c:v>
                </c:pt>
                <c:pt idx="71">
                  <c:v>232.6305067153628</c:v>
                </c:pt>
                <c:pt idx="72">
                  <c:v>251.18864315095806</c:v>
                </c:pt>
                <c:pt idx="73">
                  <c:v>271.22725793320296</c:v>
                </c:pt>
                <c:pt idx="74">
                  <c:v>292.86445646252383</c:v>
                </c:pt>
                <c:pt idx="75">
                  <c:v>316.22776601683825</c:v>
                </c:pt>
                <c:pt idx="76">
                  <c:v>341.4548873833603</c:v>
                </c:pt>
                <c:pt idx="77">
                  <c:v>368.69450645195781</c:v>
                </c:pt>
                <c:pt idx="78">
                  <c:v>398.10717055349761</c:v>
                </c:pt>
                <c:pt idx="79">
                  <c:v>429.86623470822781</c:v>
                </c:pt>
                <c:pt idx="80">
                  <c:v>464.15888336127819</c:v>
                </c:pt>
                <c:pt idx="81">
                  <c:v>501.18723362727269</c:v>
                </c:pt>
                <c:pt idx="82">
                  <c:v>541.16952654646434</c:v>
                </c:pt>
                <c:pt idx="83">
                  <c:v>584.34141337351787</c:v>
                </c:pt>
                <c:pt idx="84">
                  <c:v>630.95734448019323</c:v>
                </c:pt>
                <c:pt idx="85">
                  <c:v>681.29206905796195</c:v>
                </c:pt>
                <c:pt idx="86">
                  <c:v>735.64225445964166</c:v>
                </c:pt>
                <c:pt idx="87">
                  <c:v>794.32823472428208</c:v>
                </c:pt>
                <c:pt idx="88">
                  <c:v>857.69589859089422</c:v>
                </c:pt>
                <c:pt idx="89">
                  <c:v>926.11872812879471</c:v>
                </c:pt>
                <c:pt idx="90">
                  <c:v>1000</c:v>
                </c:pt>
                <c:pt idx="91">
                  <c:v>1079.7751623277097</c:v>
                </c:pt>
                <c:pt idx="92">
                  <c:v>1165.914401179833</c:v>
                </c:pt>
                <c:pt idx="93">
                  <c:v>1258.925411794168</c:v>
                </c:pt>
                <c:pt idx="94">
                  <c:v>1359.3563908785268</c:v>
                </c:pt>
                <c:pt idx="95">
                  <c:v>1467.7992676220699</c:v>
                </c:pt>
                <c:pt idx="96">
                  <c:v>1584.8931924611156</c:v>
                </c:pt>
                <c:pt idx="97">
                  <c:v>1711.3283041617822</c:v>
                </c:pt>
                <c:pt idx="98">
                  <c:v>1847.8497974222912</c:v>
                </c:pt>
                <c:pt idx="99">
                  <c:v>1995.2623149688804</c:v>
                </c:pt>
                <c:pt idx="100">
                  <c:v>2154.4346900318851</c:v>
                </c:pt>
                <c:pt idx="101">
                  <c:v>2326.3050671536284</c:v>
                </c:pt>
                <c:pt idx="102">
                  <c:v>2511.8864315095811</c:v>
                </c:pt>
                <c:pt idx="103">
                  <c:v>2712.2725793320301</c:v>
                </c:pt>
                <c:pt idx="104">
                  <c:v>2928.6445646252391</c:v>
                </c:pt>
                <c:pt idx="105">
                  <c:v>3162.2776601683804</c:v>
                </c:pt>
                <c:pt idx="106">
                  <c:v>3414.5488738336035</c:v>
                </c:pt>
                <c:pt idx="107">
                  <c:v>3686.9450645195784</c:v>
                </c:pt>
                <c:pt idx="108">
                  <c:v>3981.0717055349769</c:v>
                </c:pt>
                <c:pt idx="109">
                  <c:v>4298.6623470822833</c:v>
                </c:pt>
                <c:pt idx="110">
                  <c:v>4641.5888336127782</c:v>
                </c:pt>
                <c:pt idx="111">
                  <c:v>5011.8723362727324</c:v>
                </c:pt>
                <c:pt idx="112">
                  <c:v>5411.6952654646393</c:v>
                </c:pt>
                <c:pt idx="113">
                  <c:v>5843.4141337351803</c:v>
                </c:pt>
                <c:pt idx="114">
                  <c:v>6309.5734448019384</c:v>
                </c:pt>
                <c:pt idx="115">
                  <c:v>6812.9206905796218</c:v>
                </c:pt>
                <c:pt idx="116">
                  <c:v>7356.4225445964248</c:v>
                </c:pt>
                <c:pt idx="117">
                  <c:v>7943.2823472428154</c:v>
                </c:pt>
                <c:pt idx="118">
                  <c:v>8576.9589859089447</c:v>
                </c:pt>
                <c:pt idx="119">
                  <c:v>9261.187281287941</c:v>
                </c:pt>
                <c:pt idx="120">
                  <c:v>10000</c:v>
                </c:pt>
                <c:pt idx="121">
                  <c:v>10797.751623277109</c:v>
                </c:pt>
                <c:pt idx="122">
                  <c:v>11659.144011798313</c:v>
                </c:pt>
                <c:pt idx="123">
                  <c:v>12589.254117941671</c:v>
                </c:pt>
                <c:pt idx="124">
                  <c:v>13593.563908785283</c:v>
                </c:pt>
                <c:pt idx="125">
                  <c:v>14677.992676220729</c:v>
                </c:pt>
                <c:pt idx="126">
                  <c:v>15848.931924611146</c:v>
                </c:pt>
                <c:pt idx="127">
                  <c:v>17113.283041617826</c:v>
                </c:pt>
                <c:pt idx="128">
                  <c:v>18478.497974222933</c:v>
                </c:pt>
                <c:pt idx="129">
                  <c:v>19952.623149688792</c:v>
                </c:pt>
                <c:pt idx="130">
                  <c:v>21544.346900318837</c:v>
                </c:pt>
                <c:pt idx="131">
                  <c:v>23263.050671536268</c:v>
                </c:pt>
                <c:pt idx="132">
                  <c:v>25118.86431509586</c:v>
                </c:pt>
                <c:pt idx="133">
                  <c:v>27122.725793320307</c:v>
                </c:pt>
                <c:pt idx="134">
                  <c:v>29286.445646252399</c:v>
                </c:pt>
                <c:pt idx="135">
                  <c:v>31622.77660168384</c:v>
                </c:pt>
                <c:pt idx="136">
                  <c:v>34145.488738336011</c:v>
                </c:pt>
                <c:pt idx="137">
                  <c:v>36869.450645195764</c:v>
                </c:pt>
                <c:pt idx="138">
                  <c:v>39810.717055349742</c:v>
                </c:pt>
                <c:pt idx="139">
                  <c:v>42986.62347082288</c:v>
                </c:pt>
                <c:pt idx="140">
                  <c:v>46415.888336127835</c:v>
                </c:pt>
                <c:pt idx="141">
                  <c:v>50118.723362727294</c:v>
                </c:pt>
                <c:pt idx="142">
                  <c:v>54116.952654646455</c:v>
                </c:pt>
                <c:pt idx="143">
                  <c:v>58434.141337351764</c:v>
                </c:pt>
                <c:pt idx="144">
                  <c:v>63095.734448019342</c:v>
                </c:pt>
                <c:pt idx="145">
                  <c:v>68129.206905796163</c:v>
                </c:pt>
                <c:pt idx="146">
                  <c:v>73564.225445964199</c:v>
                </c:pt>
                <c:pt idx="147">
                  <c:v>79432.823472428237</c:v>
                </c:pt>
                <c:pt idx="148">
                  <c:v>85769.589859089538</c:v>
                </c:pt>
                <c:pt idx="149">
                  <c:v>92611.872812879505</c:v>
                </c:pt>
                <c:pt idx="150">
                  <c:v>100000</c:v>
                </c:pt>
                <c:pt idx="151">
                  <c:v>107977.51623277101</c:v>
                </c:pt>
                <c:pt idx="152">
                  <c:v>116591.44011798326</c:v>
                </c:pt>
                <c:pt idx="153">
                  <c:v>125892.54117941685</c:v>
                </c:pt>
                <c:pt idx="154">
                  <c:v>135935.63908785273</c:v>
                </c:pt>
                <c:pt idx="155">
                  <c:v>146779.92676220718</c:v>
                </c:pt>
                <c:pt idx="156">
                  <c:v>158489.31924611164</c:v>
                </c:pt>
                <c:pt idx="157">
                  <c:v>171132.83041617845</c:v>
                </c:pt>
                <c:pt idx="158">
                  <c:v>184784.97974222922</c:v>
                </c:pt>
                <c:pt idx="159">
                  <c:v>199526.23149688813</c:v>
                </c:pt>
                <c:pt idx="160">
                  <c:v>215443.46900318863</c:v>
                </c:pt>
                <c:pt idx="161">
                  <c:v>232630.50671536254</c:v>
                </c:pt>
                <c:pt idx="162">
                  <c:v>251188.64315095844</c:v>
                </c:pt>
                <c:pt idx="163">
                  <c:v>271227.25793320336</c:v>
                </c:pt>
                <c:pt idx="164">
                  <c:v>292864.45646252431</c:v>
                </c:pt>
                <c:pt idx="165">
                  <c:v>316227.7660168382</c:v>
                </c:pt>
                <c:pt idx="166">
                  <c:v>341454.88738336053</c:v>
                </c:pt>
                <c:pt idx="167">
                  <c:v>368694.50645195803</c:v>
                </c:pt>
                <c:pt idx="168">
                  <c:v>398107.17055349716</c:v>
                </c:pt>
                <c:pt idx="169">
                  <c:v>429866.2347082285</c:v>
                </c:pt>
                <c:pt idx="170">
                  <c:v>464158.88336127886</c:v>
                </c:pt>
                <c:pt idx="171">
                  <c:v>501187.23362727347</c:v>
                </c:pt>
                <c:pt idx="172">
                  <c:v>541169.52654646419</c:v>
                </c:pt>
                <c:pt idx="173">
                  <c:v>584341.41337351827</c:v>
                </c:pt>
                <c:pt idx="174">
                  <c:v>630957.34448019415</c:v>
                </c:pt>
                <c:pt idx="175">
                  <c:v>681292.06905796123</c:v>
                </c:pt>
                <c:pt idx="176">
                  <c:v>735642.25445964152</c:v>
                </c:pt>
                <c:pt idx="177">
                  <c:v>794328.23472428333</c:v>
                </c:pt>
                <c:pt idx="178">
                  <c:v>857695.89859089628</c:v>
                </c:pt>
                <c:pt idx="179">
                  <c:v>926118.72812879446</c:v>
                </c:pt>
                <c:pt idx="180">
                  <c:v>1000000</c:v>
                </c:pt>
                <c:pt idx="181">
                  <c:v>1079775.1623277115</c:v>
                </c:pt>
                <c:pt idx="182">
                  <c:v>1165914.4011798317</c:v>
                </c:pt>
                <c:pt idx="183">
                  <c:v>1258925.4117941677</c:v>
                </c:pt>
                <c:pt idx="184">
                  <c:v>1359356.3908785288</c:v>
                </c:pt>
                <c:pt idx="185">
                  <c:v>1467799.2676220734</c:v>
                </c:pt>
                <c:pt idx="186">
                  <c:v>1584893.1924611153</c:v>
                </c:pt>
                <c:pt idx="187">
                  <c:v>1711328.3041617833</c:v>
                </c:pt>
                <c:pt idx="188">
                  <c:v>1847849.797422294</c:v>
                </c:pt>
                <c:pt idx="189">
                  <c:v>1995262.31496888</c:v>
                </c:pt>
                <c:pt idx="190">
                  <c:v>2154434.6900318847</c:v>
                </c:pt>
                <c:pt idx="191">
                  <c:v>2326305.067153628</c:v>
                </c:pt>
                <c:pt idx="192">
                  <c:v>2511886.431509587</c:v>
                </c:pt>
                <c:pt idx="193">
                  <c:v>2712272.5793320318</c:v>
                </c:pt>
                <c:pt idx="194">
                  <c:v>2928644.5646252413</c:v>
                </c:pt>
                <c:pt idx="195">
                  <c:v>3162277.6601683851</c:v>
                </c:pt>
                <c:pt idx="196">
                  <c:v>3414548.8738336028</c:v>
                </c:pt>
                <c:pt idx="197">
                  <c:v>3686945.0645195777</c:v>
                </c:pt>
                <c:pt idx="198">
                  <c:v>3981071.705534976</c:v>
                </c:pt>
                <c:pt idx="199">
                  <c:v>4298662.3470822899</c:v>
                </c:pt>
                <c:pt idx="200">
                  <c:v>4641588.8336127857</c:v>
                </c:pt>
                <c:pt idx="201">
                  <c:v>5011872.3362727314</c:v>
                </c:pt>
                <c:pt idx="202">
                  <c:v>5411695.2654646477</c:v>
                </c:pt>
                <c:pt idx="203">
                  <c:v>5843414.133735179</c:v>
                </c:pt>
                <c:pt idx="204">
                  <c:v>6309573.4448019378</c:v>
                </c:pt>
                <c:pt idx="205">
                  <c:v>6812920.6905796202</c:v>
                </c:pt>
                <c:pt idx="206">
                  <c:v>7356422.5445964225</c:v>
                </c:pt>
                <c:pt idx="207">
                  <c:v>7943282.3472428275</c:v>
                </c:pt>
                <c:pt idx="208">
                  <c:v>8576958.9859089572</c:v>
                </c:pt>
                <c:pt idx="209">
                  <c:v>9261187.2812879551</c:v>
                </c:pt>
                <c:pt idx="210">
                  <c:v>10000000</c:v>
                </c:pt>
              </c:numCache>
            </c:numRef>
          </c:xVal>
          <c:yVal>
            <c:numRef>
              <c:f>'Small Signal'!$U$2:$U$212</c:f>
              <c:numCache>
                <c:formatCode>General</c:formatCode>
                <c:ptCount val="211"/>
                <c:pt idx="0">
                  <c:v>162.42959512723431</c:v>
                </c:pt>
                <c:pt idx="1">
                  <c:v>161.12395530611803</c:v>
                </c:pt>
                <c:pt idx="2">
                  <c:v>159.73669410908028</c:v>
                </c:pt>
                <c:pt idx="3">
                  <c:v>158.26616991212805</c:v>
                </c:pt>
                <c:pt idx="4">
                  <c:v>156.71149633895132</c:v>
                </c:pt>
                <c:pt idx="5">
                  <c:v>155.07270130189312</c:v>
                </c:pt>
                <c:pt idx="6">
                  <c:v>153.3508868910817</c:v>
                </c:pt>
                <c:pt idx="7">
                  <c:v>151.54838060424206</c:v>
                </c:pt>
                <c:pt idx="8">
                  <c:v>149.66886611371876</c:v>
                </c:pt>
                <c:pt idx="9">
                  <c:v>147.71748007026494</c:v>
                </c:pt>
                <c:pt idx="10">
                  <c:v>145.70086085530139</c:v>
                </c:pt>
                <c:pt idx="11">
                  <c:v>143.62713621725581</c:v>
                </c:pt>
                <c:pt idx="12">
                  <c:v>141.50583972721952</c:v>
                </c:pt>
                <c:pt idx="13">
                  <c:v>139.34775103880972</c:v>
                </c:pt>
                <c:pt idx="14">
                  <c:v>137.16466169734855</c:v>
                </c:pt>
                <c:pt idx="15">
                  <c:v>134.9690759205142</c:v>
                </c:pt>
                <c:pt idx="16">
                  <c:v>132.77386320807872</c:v>
                </c:pt>
                <c:pt idx="17">
                  <c:v>130.59188553502665</c:v>
                </c:pt>
                <c:pt idx="18">
                  <c:v>128.43562511717727</c:v>
                </c:pt>
                <c:pt idx="19">
                  <c:v>126.31683866512266</c:v>
                </c:pt>
                <c:pt idx="20">
                  <c:v>124.24626067571813</c:v>
                </c:pt>
                <c:pt idx="21">
                  <c:v>122.23337232222717</c:v>
                </c:pt>
                <c:pt idx="22">
                  <c:v>120.28624503176391</c:v>
                </c:pt>
                <c:pt idx="23">
                  <c:v>118.41146017921437</c:v>
                </c:pt>
                <c:pt idx="24">
                  <c:v>116.61409962688786</c:v>
                </c:pt>
                <c:pt idx="25">
                  <c:v>114.89779687379401</c:v>
                </c:pt>
                <c:pt idx="26">
                  <c:v>113.264835667756</c:v>
                </c:pt>
                <c:pt idx="27">
                  <c:v>111.71628198786317</c:v>
                </c:pt>
                <c:pt idx="28">
                  <c:v>110.25213595104751</c:v>
                </c:pt>
                <c:pt idx="29">
                  <c:v>108.87149192944271</c:v>
                </c:pt>
                <c:pt idx="30">
                  <c:v>107.57269747652141</c:v>
                </c:pt>
                <c:pt idx="31">
                  <c:v>106.35350412444902</c:v>
                </c:pt>
                <c:pt idx="32">
                  <c:v>105.21120542869956</c:v>
                </c:pt>
                <c:pt idx="33">
                  <c:v>104.1427596180981</c:v>
                </c:pt>
                <c:pt idx="34">
                  <c:v>103.14489578155153</c:v>
                </c:pt>
                <c:pt idx="35">
                  <c:v>102.21420368335828</c:v>
                </c:pt>
                <c:pt idx="36">
                  <c:v>101.34720808914201</c:v>
                </c:pt>
                <c:pt idx="37">
                  <c:v>100.54042896820951</c:v>
                </c:pt>
                <c:pt idx="38">
                  <c:v>99.790429185117631</c:v>
                </c:pt>
                <c:pt idx="39">
                  <c:v>99.093851368476479</c:v>
                </c:pt>
                <c:pt idx="40">
                  <c:v>98.447445603849886</c:v>
                </c:pt>
                <c:pt idx="41">
                  <c:v>97.848089483922735</c:v>
                </c:pt>
                <c:pt idx="42">
                  <c:v>97.292801895802668</c:v>
                </c:pt>
                <c:pt idx="43">
                  <c:v>96.778751755720378</c:v>
                </c:pt>
                <c:pt idx="44">
                  <c:v>96.303262731125614</c:v>
                </c:pt>
                <c:pt idx="45">
                  <c:v>95.863814828955043</c:v>
                </c:pt>
                <c:pt idx="46">
                  <c:v>95.458043582141713</c:v>
                </c:pt>
                <c:pt idx="47">
                  <c:v>95.083737436704013</c:v>
                </c:pt>
                <c:pt idx="48">
                  <c:v>94.738833829530094</c:v>
                </c:pt>
                <c:pt idx="49">
                  <c:v>94.421414351556109</c:v>
                </c:pt>
                <c:pt idx="50">
                  <c:v>94.129699311057209</c:v>
                </c:pt>
                <c:pt idx="51">
                  <c:v>93.862041945518868</c:v>
                </c:pt>
                <c:pt idx="52">
                  <c:v>93.616922476243488</c:v>
                </c:pt>
                <c:pt idx="53">
                  <c:v>93.392942155736264</c:v>
                </c:pt>
                <c:pt idx="54">
                  <c:v>93.188817422387913</c:v>
                </c:pt>
                <c:pt idx="55">
                  <c:v>93.003374248607628</c:v>
                </c:pt>
                <c:pt idx="56">
                  <c:v>92.835542746094873</c:v>
                </c:pt>
                <c:pt idx="57">
                  <c:v>92.684352074312741</c:v>
                </c:pt>
                <c:pt idx="58">
                  <c:v>92.548925684529721</c:v>
                </c:pt>
                <c:pt idx="59">
                  <c:v>92.428476921281103</c:v>
                </c:pt>
                <c:pt idx="60">
                  <c:v>92.32230499514155</c:v>
                </c:pt>
                <c:pt idx="61">
                  <c:v>92.229791334787237</c:v>
                </c:pt>
                <c:pt idx="62">
                  <c:v>92.150396322039953</c:v>
                </c:pt>
                <c:pt idx="63">
                  <c:v>92.083656410591516</c:v>
                </c:pt>
                <c:pt idx="64">
                  <c:v>92.02918162712713</c:v>
                </c:pt>
                <c:pt idx="65">
                  <c:v>91.986653452381617</c:v>
                </c:pt>
                <c:pt idx="66">
                  <c:v>91.955823079093861</c:v>
                </c:pt>
                <c:pt idx="67">
                  <c:v>91.936510043723857</c:v>
                </c:pt>
                <c:pt idx="68">
                  <c:v>91.928601229049022</c:v>
                </c:pt>
                <c:pt idx="69">
                  <c:v>91.932050235259069</c:v>
                </c:pt>
                <c:pt idx="70">
                  <c:v>91.946877117839605</c:v>
                </c:pt>
                <c:pt idx="71">
                  <c:v>91.973168491300299</c:v>
                </c:pt>
                <c:pt idx="72">
                  <c:v>92.011077998593692</c:v>
                </c:pt>
                <c:pt idx="73">
                  <c:v>92.060827146820685</c:v>
                </c:pt>
                <c:pt idx="74">
                  <c:v>92.122706510459849</c:v>
                </c:pt>
                <c:pt idx="75">
                  <c:v>92.19707730381252</c:v>
                </c:pt>
                <c:pt idx="76">
                  <c:v>92.284373324542244</c:v>
                </c:pt>
                <c:pt idx="77">
                  <c:v>92.385103270000656</c:v>
                </c:pt>
                <c:pt idx="78">
                  <c:v>92.499853427353116</c:v>
                </c:pt>
                <c:pt idx="79">
                  <c:v>92.629290737195163</c:v>
                </c:pt>
                <c:pt idx="80">
                  <c:v>92.774166228202489</c:v>
                </c:pt>
                <c:pt idx="81">
                  <c:v>92.935318817153558</c:v>
                </c:pt>
                <c:pt idx="82">
                  <c:v>93.113679464124914</c:v>
                </c:pt>
                <c:pt idx="83">
                  <c:v>93.3102756664358</c:v>
                </c:pt>
                <c:pt idx="84">
                  <c:v>93.526236266584803</c:v>
                </c:pt>
                <c:pt idx="85">
                  <c:v>93.76279653844955</c:v>
                </c:pt>
                <c:pt idx="86">
                  <c:v>94.02130350177778</c:v>
                </c:pt>
                <c:pt idx="87">
                  <c:v>94.303221396709631</c:v>
                </c:pt>
                <c:pt idx="88">
                  <c:v>94.610137226815297</c:v>
                </c:pt>
                <c:pt idx="89">
                  <c:v>94.943766249819248</c:v>
                </c:pt>
                <c:pt idx="90">
                  <c:v>95.30595725853486</c:v>
                </c:pt>
                <c:pt idx="91">
                  <c:v>95.698697449097324</c:v>
                </c:pt>
                <c:pt idx="92">
                  <c:v>96.124116617727665</c:v>
                </c:pt>
                <c:pt idx="93">
                  <c:v>96.584490359237662</c:v>
                </c:pt>
                <c:pt idx="94">
                  <c:v>97.082241858496957</c:v>
                </c:pt>
                <c:pt idx="95">
                  <c:v>97.619941768456982</c:v>
                </c:pt>
                <c:pt idx="96">
                  <c:v>98.200305553741543</c:v>
                </c:pt>
                <c:pt idx="97">
                  <c:v>98.826187546688686</c:v>
                </c:pt>
                <c:pt idx="98">
                  <c:v>99.500570813778864</c:v>
                </c:pt>
                <c:pt idx="99">
                  <c:v>100.22655176738111</c:v>
                </c:pt>
                <c:pt idx="100">
                  <c:v>101.00731828658108</c:v>
                </c:pt>
                <c:pt idx="101">
                  <c:v>101.84611994187298</c:v>
                </c:pt>
                <c:pt idx="102">
                  <c:v>102.74622876813766</c:v>
                </c:pt>
                <c:pt idx="103">
                  <c:v>103.71088892299754</c:v>
                </c:pt>
                <c:pt idx="104">
                  <c:v>104.74325353746345</c:v>
                </c:pt>
                <c:pt idx="105">
                  <c:v>105.84630715808267</c:v>
                </c:pt>
                <c:pt idx="106">
                  <c:v>107.02277245118087</c:v>
                </c:pt>
                <c:pt idx="107">
                  <c:v>108.27500035620966</c:v>
                </c:pt>
                <c:pt idx="108">
                  <c:v>109.60484370629295</c:v>
                </c:pt>
                <c:pt idx="109">
                  <c:v>111.01351554222357</c:v>
                </c:pt>
                <c:pt idx="110">
                  <c:v>112.50143496931209</c:v>
                </c:pt>
                <c:pt idx="111">
                  <c:v>114.06806543385176</c:v>
                </c:pt>
                <c:pt idx="112">
                  <c:v>115.71175263906156</c:v>
                </c:pt>
                <c:pt idx="113">
                  <c:v>117.42957178451346</c:v>
                </c:pt>
                <c:pt idx="114">
                  <c:v>119.21719607897683</c:v>
                </c:pt>
                <c:pt idx="115">
                  <c:v>121.06880010615531</c:v>
                </c:pt>
                <c:pt idx="116">
                  <c:v>122.97701210266095</c:v>
                </c:pt>
                <c:pt idx="117">
                  <c:v>124.9329280407849</c:v>
                </c:pt>
                <c:pt idx="118">
                  <c:v>126.92619724836619</c:v>
                </c:pt>
                <c:pt idx="119">
                  <c:v>128.9451840984099</c:v>
                </c:pt>
                <c:pt idx="120">
                  <c:v>130.97720343686478</c:v>
                </c:pt>
                <c:pt idx="121">
                  <c:v>133.00881971529603</c:v>
                </c:pt>
                <c:pt idx="122">
                  <c:v>135.02619243505771</c:v>
                </c:pt>
                <c:pt idx="123">
                  <c:v>137.01544478663581</c:v>
                </c:pt>
                <c:pt idx="124">
                  <c:v>138.96302937839579</c:v>
                </c:pt>
                <c:pt idx="125">
                  <c:v>140.85606529285508</c:v>
                </c:pt>
                <c:pt idx="126">
                  <c:v>142.68262431766641</c:v>
                </c:pt>
                <c:pt idx="127">
                  <c:v>144.43195035651439</c:v>
                </c:pt>
                <c:pt idx="128">
                  <c:v>146.09460357141177</c:v>
                </c:pt>
                <c:pt idx="129">
                  <c:v>147.66252844700389</c:v>
                </c:pt>
                <c:pt idx="130">
                  <c:v>149.129051576324</c:v>
                </c:pt>
                <c:pt idx="131">
                  <c:v>150.48881980608704</c:v>
                </c:pt>
                <c:pt idx="132">
                  <c:v>151.73769216386813</c:v>
                </c:pt>
                <c:pt idx="133">
                  <c:v>152.87259983767746</c:v>
                </c:pt>
                <c:pt idx="134">
                  <c:v>153.89138778059251</c:v>
                </c:pt>
                <c:pt idx="135">
                  <c:v>154.79264978076105</c:v>
                </c:pt>
                <c:pt idx="136">
                  <c:v>155.57556657616294</c:v>
                </c:pt>
                <c:pt idx="137">
                  <c:v>156.23975422252479</c:v>
                </c:pt>
                <c:pt idx="138">
                  <c:v>156.78512773733121</c:v>
                </c:pt>
                <c:pt idx="139">
                  <c:v>157.21178321563434</c:v>
                </c:pt>
                <c:pt idx="140">
                  <c:v>157.51990021497625</c:v>
                </c:pt>
                <c:pt idx="141">
                  <c:v>157.70966523431701</c:v>
                </c:pt>
                <c:pt idx="142">
                  <c:v>157.78121651652367</c:v>
                </c:pt>
                <c:pt idx="143">
                  <c:v>157.73461011236287</c:v>
                </c:pt>
                <c:pt idx="144">
                  <c:v>157.56980707280974</c:v>
                </c:pt>
                <c:pt idx="145">
                  <c:v>157.28668170053297</c:v>
                </c:pt>
                <c:pt idx="146">
                  <c:v>156.88505090627731</c:v>
                </c:pt>
                <c:pt idx="147">
                  <c:v>156.36472479794622</c:v>
                </c:pt>
                <c:pt idx="148">
                  <c:v>155.72557859536326</c:v>
                </c:pt>
                <c:pt idx="149">
                  <c:v>154.96764572676614</c:v>
                </c:pt>
                <c:pt idx="150">
                  <c:v>154.09123143987907</c:v>
                </c:pt>
                <c:pt idx="151">
                  <c:v>153.09704537446035</c:v>
                </c:pt>
                <c:pt idx="152">
                  <c:v>151.9863502388061</c:v>
                </c:pt>
                <c:pt idx="153">
                  <c:v>150.76112199481418</c:v>
                </c:pt>
                <c:pt idx="154">
                  <c:v>149.42421483723075</c:v>
                </c:pt>
                <c:pt idx="155">
                  <c:v>147.97952190108873</c:v>
                </c:pt>
                <c:pt idx="156">
                  <c:v>146.43212031528577</c:v>
                </c:pt>
                <c:pt idx="157">
                  <c:v>144.78838733335542</c:v>
                </c:pt>
                <c:pt idx="158">
                  <c:v>143.05607330708898</c:v>
                </c:pt>
                <c:pt idx="159">
                  <c:v>141.24431774440734</c:v>
                </c:pt>
                <c:pt idx="160">
                  <c:v>139.36359703849618</c:v>
                </c:pt>
                <c:pt idx="161">
                  <c:v>137.42559686000286</c:v>
                </c:pt>
                <c:pt idx="162">
                  <c:v>135.44300847867981</c:v>
                </c:pt>
                <c:pt idx="163">
                  <c:v>133.42925578215613</c:v>
                </c:pt>
                <c:pt idx="164">
                  <c:v>131.39816743361266</c:v>
                </c:pt>
                <c:pt idx="165">
                  <c:v>129.36361517496988</c:v>
                </c:pt>
                <c:pt idx="166">
                  <c:v>127.33914352019571</c:v>
                </c:pt>
                <c:pt idx="167">
                  <c:v>125.33761716020457</c:v>
                </c:pt>
                <c:pt idx="168">
                  <c:v>123.37091010014439</c:v>
                </c:pt>
                <c:pt idx="169">
                  <c:v>121.44965533609539</c:v>
                </c:pt>
                <c:pt idx="170">
                  <c:v>119.58306676300271</c:v>
                </c:pt>
                <c:pt idx="171">
                  <c:v>117.77883726952005</c:v>
                </c:pt>
                <c:pt idx="172">
                  <c:v>116.04310984631783</c:v>
                </c:pt>
                <c:pt idx="173">
                  <c:v>114.38051292868649</c:v>
                </c:pt>
                <c:pt idx="174">
                  <c:v>112.79424758554323</c:v>
                </c:pt>
                <c:pt idx="175">
                  <c:v>111.28621259200014</c:v>
                </c:pt>
                <c:pt idx="176">
                  <c:v>109.85715358689288</c:v>
                </c:pt>
                <c:pt idx="177">
                  <c:v>108.50682394306503</c:v>
                </c:pt>
                <c:pt idx="178">
                  <c:v>107.23414714756908</c:v>
                </c:pt>
                <c:pt idx="179">
                  <c:v>106.03737294170016</c:v>
                </c:pt>
                <c:pt idx="180">
                  <c:v>104.91422186044379</c:v>
                </c:pt>
                <c:pt idx="181">
                  <c:v>103.86201491694736</c:v>
                </c:pt>
                <c:pt idx="182">
                  <c:v>102.87778689089552</c:v>
                </c:pt>
                <c:pt idx="183">
                  <c:v>101.95838297520251</c:v>
                </c:pt>
                <c:pt idx="184">
                  <c:v>101.10053944292416</c:v>
                </c:pt>
                <c:pt idx="185">
                  <c:v>100.30094957456808</c:v>
                </c:pt>
                <c:pt idx="186">
                  <c:v>99.556316404255199</c:v>
                </c:pt>
                <c:pt idx="187">
                  <c:v>98.863393968798917</c:v>
                </c:pt>
                <c:pt idx="188">
                  <c:v>98.219018735663653</c:v>
                </c:pt>
                <c:pt idx="189">
                  <c:v>97.620132791685464</c:v>
                </c:pt>
                <c:pt idx="190">
                  <c:v>97.063800230869063</c:v>
                </c:pt>
                <c:pt idx="191">
                  <c:v>96.547218012842748</c:v>
                </c:pt>
                <c:pt idx="192">
                  <c:v>96.06772239166861</c:v>
                </c:pt>
                <c:pt idx="193">
                  <c:v>95.622791849170866</c:v>
                </c:pt>
                <c:pt idx="194">
                  <c:v>95.210047314487028</c:v>
                </c:pt>
                <c:pt idx="195">
                  <c:v>94.827250315513908</c:v>
                </c:pt>
                <c:pt idx="196">
                  <c:v>94.472299589390062</c:v>
                </c:pt>
                <c:pt idx="197">
                  <c:v>94.143226577773987</c:v>
                </c:pt>
                <c:pt idx="198">
                  <c:v>93.838190147244845</c:v>
                </c:pt>
                <c:pt idx="199">
                  <c:v>93.555470804044887</c:v>
                </c:pt>
                <c:pt idx="200">
                  <c:v>93.293464613815999</c:v>
                </c:pt>
                <c:pt idx="201">
                  <c:v>93.050676989181824</c:v>
                </c:pt>
                <c:pt idx="202">
                  <c:v>92.82571646933846</c:v>
                </c:pt>
                <c:pt idx="203">
                  <c:v>92.617288584734652</c:v>
                </c:pt>
                <c:pt idx="204">
                  <c:v>92.424189875139731</c:v>
                </c:pt>
                <c:pt idx="205">
                  <c:v>92.245302109778095</c:v>
                </c:pt>
                <c:pt idx="206">
                  <c:v>92.079586742796721</c:v>
                </c:pt>
                <c:pt idx="207">
                  <c:v>91.926079625322444</c:v>
                </c:pt>
                <c:pt idx="208">
                  <c:v>91.783885986095129</c:v>
                </c:pt>
                <c:pt idx="209">
                  <c:v>91.65217568558181</c:v>
                </c:pt>
                <c:pt idx="210">
                  <c:v>91.530178743141121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42B-4B76-9FB5-F40AD28F2663}"/>
            </c:ext>
          </c:extLst>
        </c:ser>
        <c:ser>
          <c:idx val="5"/>
          <c:order val="5"/>
          <c:tx>
            <c:v>Overall Phase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'Small Signal'!$G$2:$G$212</c:f>
              <c:numCache>
                <c:formatCode>General</c:formatCode>
                <c:ptCount val="211"/>
                <c:pt idx="0">
                  <c:v>1</c:v>
                </c:pt>
                <c:pt idx="1">
                  <c:v>1.0797751623277096</c:v>
                </c:pt>
                <c:pt idx="2">
                  <c:v>1.1659144011798317</c:v>
                </c:pt>
                <c:pt idx="3">
                  <c:v>1.2589254117941673</c:v>
                </c:pt>
                <c:pt idx="4">
                  <c:v>1.3593563908785258</c:v>
                </c:pt>
                <c:pt idx="5">
                  <c:v>1.4677992676220697</c:v>
                </c:pt>
                <c:pt idx="6">
                  <c:v>1.5848931924611136</c:v>
                </c:pt>
                <c:pt idx="7">
                  <c:v>1.7113283041617808</c:v>
                </c:pt>
                <c:pt idx="8">
                  <c:v>1.8478497974222912</c:v>
                </c:pt>
                <c:pt idx="9">
                  <c:v>1.9952623149688797</c:v>
                </c:pt>
                <c:pt idx="10">
                  <c:v>2.1544346900318838</c:v>
                </c:pt>
                <c:pt idx="11">
                  <c:v>2.3263050671536263</c:v>
                </c:pt>
                <c:pt idx="12">
                  <c:v>2.5118864315095806</c:v>
                </c:pt>
                <c:pt idx="13">
                  <c:v>2.7122725793320286</c:v>
                </c:pt>
                <c:pt idx="14">
                  <c:v>2.9286445646252366</c:v>
                </c:pt>
                <c:pt idx="15">
                  <c:v>3.1622776601683795</c:v>
                </c:pt>
                <c:pt idx="16">
                  <c:v>3.4145488738336023</c:v>
                </c:pt>
                <c:pt idx="17">
                  <c:v>3.6869450645195756</c:v>
                </c:pt>
                <c:pt idx="18">
                  <c:v>3.9810717055349727</c:v>
                </c:pt>
                <c:pt idx="19">
                  <c:v>4.2986623470822769</c:v>
                </c:pt>
                <c:pt idx="20">
                  <c:v>4.6415888336127793</c:v>
                </c:pt>
                <c:pt idx="21">
                  <c:v>5.0118723362727229</c:v>
                </c:pt>
                <c:pt idx="22">
                  <c:v>5.4116952654646369</c:v>
                </c:pt>
                <c:pt idx="23">
                  <c:v>5.8434141337351777</c:v>
                </c:pt>
                <c:pt idx="24">
                  <c:v>6.3095734448019343</c:v>
                </c:pt>
                <c:pt idx="25">
                  <c:v>6.812920690579614</c:v>
                </c:pt>
                <c:pt idx="26">
                  <c:v>7.3564225445964153</c:v>
                </c:pt>
                <c:pt idx="27">
                  <c:v>7.9432823472428176</c:v>
                </c:pt>
                <c:pt idx="28">
                  <c:v>8.5769589859089415</c:v>
                </c:pt>
                <c:pt idx="29">
                  <c:v>9.2611872812879383</c:v>
                </c:pt>
                <c:pt idx="30">
                  <c:v>10</c:v>
                </c:pt>
                <c:pt idx="31">
                  <c:v>10.797751623277103</c:v>
                </c:pt>
                <c:pt idx="32">
                  <c:v>11.659144011798322</c:v>
                </c:pt>
                <c:pt idx="33">
                  <c:v>12.58925411794168</c:v>
                </c:pt>
                <c:pt idx="34">
                  <c:v>13.593563908785256</c:v>
                </c:pt>
                <c:pt idx="35">
                  <c:v>14.677992676220699</c:v>
                </c:pt>
                <c:pt idx="36">
                  <c:v>15.848931924611136</c:v>
                </c:pt>
                <c:pt idx="37">
                  <c:v>17.113283041617812</c:v>
                </c:pt>
                <c:pt idx="38">
                  <c:v>18.478497974222911</c:v>
                </c:pt>
                <c:pt idx="39">
                  <c:v>19.952623149688804</c:v>
                </c:pt>
                <c:pt idx="40">
                  <c:v>21.544346900318843</c:v>
                </c:pt>
                <c:pt idx="41">
                  <c:v>23.263050671536273</c:v>
                </c:pt>
                <c:pt idx="42">
                  <c:v>25.118864315095799</c:v>
                </c:pt>
                <c:pt idx="43">
                  <c:v>27.122725793320289</c:v>
                </c:pt>
                <c:pt idx="44">
                  <c:v>29.286445646252368</c:v>
                </c:pt>
                <c:pt idx="45">
                  <c:v>31.622776601683803</c:v>
                </c:pt>
                <c:pt idx="46">
                  <c:v>34.145488738336034</c:v>
                </c:pt>
                <c:pt idx="47">
                  <c:v>36.869450645195769</c:v>
                </c:pt>
                <c:pt idx="48">
                  <c:v>39.810717055349755</c:v>
                </c:pt>
                <c:pt idx="49">
                  <c:v>42.986623470822771</c:v>
                </c:pt>
                <c:pt idx="50">
                  <c:v>46.415888336127807</c:v>
                </c:pt>
                <c:pt idx="51">
                  <c:v>50.118723362727238</c:v>
                </c:pt>
                <c:pt idx="52">
                  <c:v>54.11695265464639</c:v>
                </c:pt>
                <c:pt idx="53">
                  <c:v>58.434141337351775</c:v>
                </c:pt>
                <c:pt idx="54">
                  <c:v>63.095734448019364</c:v>
                </c:pt>
                <c:pt idx="55">
                  <c:v>68.129206905796124</c:v>
                </c:pt>
                <c:pt idx="56">
                  <c:v>73.564225445964155</c:v>
                </c:pt>
                <c:pt idx="57">
                  <c:v>79.432823472428197</c:v>
                </c:pt>
                <c:pt idx="58">
                  <c:v>85.769589859089479</c:v>
                </c:pt>
                <c:pt idx="59">
                  <c:v>92.611872812879369</c:v>
                </c:pt>
                <c:pt idx="60">
                  <c:v>100</c:v>
                </c:pt>
                <c:pt idx="61">
                  <c:v>107.97751623277095</c:v>
                </c:pt>
                <c:pt idx="62">
                  <c:v>116.59144011798328</c:v>
                </c:pt>
                <c:pt idx="63">
                  <c:v>125.89254117941677</c:v>
                </c:pt>
                <c:pt idx="64">
                  <c:v>135.93563908785265</c:v>
                </c:pt>
                <c:pt idx="65">
                  <c:v>146.77992676220697</c:v>
                </c:pt>
                <c:pt idx="66">
                  <c:v>158.48931924611153</c:v>
                </c:pt>
                <c:pt idx="67">
                  <c:v>171.13283041617817</c:v>
                </c:pt>
                <c:pt idx="68">
                  <c:v>184.7849797422291</c:v>
                </c:pt>
                <c:pt idx="69">
                  <c:v>199.52623149688802</c:v>
                </c:pt>
                <c:pt idx="70">
                  <c:v>215.44346900318848</c:v>
                </c:pt>
                <c:pt idx="71">
                  <c:v>232.6305067153628</c:v>
                </c:pt>
                <c:pt idx="72">
                  <c:v>251.18864315095806</c:v>
                </c:pt>
                <c:pt idx="73">
                  <c:v>271.22725793320296</c:v>
                </c:pt>
                <c:pt idx="74">
                  <c:v>292.86445646252383</c:v>
                </c:pt>
                <c:pt idx="75">
                  <c:v>316.22776601683825</c:v>
                </c:pt>
                <c:pt idx="76">
                  <c:v>341.4548873833603</c:v>
                </c:pt>
                <c:pt idx="77">
                  <c:v>368.69450645195781</c:v>
                </c:pt>
                <c:pt idx="78">
                  <c:v>398.10717055349761</c:v>
                </c:pt>
                <c:pt idx="79">
                  <c:v>429.86623470822781</c:v>
                </c:pt>
                <c:pt idx="80">
                  <c:v>464.15888336127819</c:v>
                </c:pt>
                <c:pt idx="81">
                  <c:v>501.18723362727269</c:v>
                </c:pt>
                <c:pt idx="82">
                  <c:v>541.16952654646434</c:v>
                </c:pt>
                <c:pt idx="83">
                  <c:v>584.34141337351787</c:v>
                </c:pt>
                <c:pt idx="84">
                  <c:v>630.95734448019323</c:v>
                </c:pt>
                <c:pt idx="85">
                  <c:v>681.29206905796195</c:v>
                </c:pt>
                <c:pt idx="86">
                  <c:v>735.64225445964166</c:v>
                </c:pt>
                <c:pt idx="87">
                  <c:v>794.32823472428208</c:v>
                </c:pt>
                <c:pt idx="88">
                  <c:v>857.69589859089422</c:v>
                </c:pt>
                <c:pt idx="89">
                  <c:v>926.11872812879471</c:v>
                </c:pt>
                <c:pt idx="90">
                  <c:v>1000</c:v>
                </c:pt>
                <c:pt idx="91">
                  <c:v>1079.7751623277097</c:v>
                </c:pt>
                <c:pt idx="92">
                  <c:v>1165.914401179833</c:v>
                </c:pt>
                <c:pt idx="93">
                  <c:v>1258.925411794168</c:v>
                </c:pt>
                <c:pt idx="94">
                  <c:v>1359.3563908785268</c:v>
                </c:pt>
                <c:pt idx="95">
                  <c:v>1467.7992676220699</c:v>
                </c:pt>
                <c:pt idx="96">
                  <c:v>1584.8931924611156</c:v>
                </c:pt>
                <c:pt idx="97">
                  <c:v>1711.3283041617822</c:v>
                </c:pt>
                <c:pt idx="98">
                  <c:v>1847.8497974222912</c:v>
                </c:pt>
                <c:pt idx="99">
                  <c:v>1995.2623149688804</c:v>
                </c:pt>
                <c:pt idx="100">
                  <c:v>2154.4346900318851</c:v>
                </c:pt>
                <c:pt idx="101">
                  <c:v>2326.3050671536284</c:v>
                </c:pt>
                <c:pt idx="102">
                  <c:v>2511.8864315095811</c:v>
                </c:pt>
                <c:pt idx="103">
                  <c:v>2712.2725793320301</c:v>
                </c:pt>
                <c:pt idx="104">
                  <c:v>2928.6445646252391</c:v>
                </c:pt>
                <c:pt idx="105">
                  <c:v>3162.2776601683804</c:v>
                </c:pt>
                <c:pt idx="106">
                  <c:v>3414.5488738336035</c:v>
                </c:pt>
                <c:pt idx="107">
                  <c:v>3686.9450645195784</c:v>
                </c:pt>
                <c:pt idx="108">
                  <c:v>3981.0717055349769</c:v>
                </c:pt>
                <c:pt idx="109">
                  <c:v>4298.6623470822833</c:v>
                </c:pt>
                <c:pt idx="110">
                  <c:v>4641.5888336127782</c:v>
                </c:pt>
                <c:pt idx="111">
                  <c:v>5011.8723362727324</c:v>
                </c:pt>
                <c:pt idx="112">
                  <c:v>5411.6952654646393</c:v>
                </c:pt>
                <c:pt idx="113">
                  <c:v>5843.4141337351803</c:v>
                </c:pt>
                <c:pt idx="114">
                  <c:v>6309.5734448019384</c:v>
                </c:pt>
                <c:pt idx="115">
                  <c:v>6812.9206905796218</c:v>
                </c:pt>
                <c:pt idx="116">
                  <c:v>7356.4225445964248</c:v>
                </c:pt>
                <c:pt idx="117">
                  <c:v>7943.2823472428154</c:v>
                </c:pt>
                <c:pt idx="118">
                  <c:v>8576.9589859089447</c:v>
                </c:pt>
                <c:pt idx="119">
                  <c:v>9261.187281287941</c:v>
                </c:pt>
                <c:pt idx="120">
                  <c:v>10000</c:v>
                </c:pt>
                <c:pt idx="121">
                  <c:v>10797.751623277109</c:v>
                </c:pt>
                <c:pt idx="122">
                  <c:v>11659.144011798313</c:v>
                </c:pt>
                <c:pt idx="123">
                  <c:v>12589.254117941671</c:v>
                </c:pt>
                <c:pt idx="124">
                  <c:v>13593.563908785283</c:v>
                </c:pt>
                <c:pt idx="125">
                  <c:v>14677.992676220729</c:v>
                </c:pt>
                <c:pt idx="126">
                  <c:v>15848.931924611146</c:v>
                </c:pt>
                <c:pt idx="127">
                  <c:v>17113.283041617826</c:v>
                </c:pt>
                <c:pt idx="128">
                  <c:v>18478.497974222933</c:v>
                </c:pt>
                <c:pt idx="129">
                  <c:v>19952.623149688792</c:v>
                </c:pt>
                <c:pt idx="130">
                  <c:v>21544.346900318837</c:v>
                </c:pt>
                <c:pt idx="131">
                  <c:v>23263.050671536268</c:v>
                </c:pt>
                <c:pt idx="132">
                  <c:v>25118.86431509586</c:v>
                </c:pt>
                <c:pt idx="133">
                  <c:v>27122.725793320307</c:v>
                </c:pt>
                <c:pt idx="134">
                  <c:v>29286.445646252399</c:v>
                </c:pt>
                <c:pt idx="135">
                  <c:v>31622.77660168384</c:v>
                </c:pt>
                <c:pt idx="136">
                  <c:v>34145.488738336011</c:v>
                </c:pt>
                <c:pt idx="137">
                  <c:v>36869.450645195764</c:v>
                </c:pt>
                <c:pt idx="138">
                  <c:v>39810.717055349742</c:v>
                </c:pt>
                <c:pt idx="139">
                  <c:v>42986.62347082288</c:v>
                </c:pt>
                <c:pt idx="140">
                  <c:v>46415.888336127835</c:v>
                </c:pt>
                <c:pt idx="141">
                  <c:v>50118.723362727294</c:v>
                </c:pt>
                <c:pt idx="142">
                  <c:v>54116.952654646455</c:v>
                </c:pt>
                <c:pt idx="143">
                  <c:v>58434.141337351764</c:v>
                </c:pt>
                <c:pt idx="144">
                  <c:v>63095.734448019342</c:v>
                </c:pt>
                <c:pt idx="145">
                  <c:v>68129.206905796163</c:v>
                </c:pt>
                <c:pt idx="146">
                  <c:v>73564.225445964199</c:v>
                </c:pt>
                <c:pt idx="147">
                  <c:v>79432.823472428237</c:v>
                </c:pt>
                <c:pt idx="148">
                  <c:v>85769.589859089538</c:v>
                </c:pt>
                <c:pt idx="149">
                  <c:v>92611.872812879505</c:v>
                </c:pt>
                <c:pt idx="150">
                  <c:v>100000</c:v>
                </c:pt>
                <c:pt idx="151">
                  <c:v>107977.51623277101</c:v>
                </c:pt>
                <c:pt idx="152">
                  <c:v>116591.44011798326</c:v>
                </c:pt>
                <c:pt idx="153">
                  <c:v>125892.54117941685</c:v>
                </c:pt>
                <c:pt idx="154">
                  <c:v>135935.63908785273</c:v>
                </c:pt>
                <c:pt idx="155">
                  <c:v>146779.92676220718</c:v>
                </c:pt>
                <c:pt idx="156">
                  <c:v>158489.31924611164</c:v>
                </c:pt>
                <c:pt idx="157">
                  <c:v>171132.83041617845</c:v>
                </c:pt>
                <c:pt idx="158">
                  <c:v>184784.97974222922</c:v>
                </c:pt>
                <c:pt idx="159">
                  <c:v>199526.23149688813</c:v>
                </c:pt>
                <c:pt idx="160">
                  <c:v>215443.46900318863</c:v>
                </c:pt>
                <c:pt idx="161">
                  <c:v>232630.50671536254</c:v>
                </c:pt>
                <c:pt idx="162">
                  <c:v>251188.64315095844</c:v>
                </c:pt>
                <c:pt idx="163">
                  <c:v>271227.25793320336</c:v>
                </c:pt>
                <c:pt idx="164">
                  <c:v>292864.45646252431</c:v>
                </c:pt>
                <c:pt idx="165">
                  <c:v>316227.7660168382</c:v>
                </c:pt>
                <c:pt idx="166">
                  <c:v>341454.88738336053</c:v>
                </c:pt>
                <c:pt idx="167">
                  <c:v>368694.50645195803</c:v>
                </c:pt>
                <c:pt idx="168">
                  <c:v>398107.17055349716</c:v>
                </c:pt>
                <c:pt idx="169">
                  <c:v>429866.2347082285</c:v>
                </c:pt>
                <c:pt idx="170">
                  <c:v>464158.88336127886</c:v>
                </c:pt>
                <c:pt idx="171">
                  <c:v>501187.23362727347</c:v>
                </c:pt>
                <c:pt idx="172">
                  <c:v>541169.52654646419</c:v>
                </c:pt>
                <c:pt idx="173">
                  <c:v>584341.41337351827</c:v>
                </c:pt>
                <c:pt idx="174">
                  <c:v>630957.34448019415</c:v>
                </c:pt>
                <c:pt idx="175">
                  <c:v>681292.06905796123</c:v>
                </c:pt>
                <c:pt idx="176">
                  <c:v>735642.25445964152</c:v>
                </c:pt>
                <c:pt idx="177">
                  <c:v>794328.23472428333</c:v>
                </c:pt>
                <c:pt idx="178">
                  <c:v>857695.89859089628</c:v>
                </c:pt>
                <c:pt idx="179">
                  <c:v>926118.72812879446</c:v>
                </c:pt>
                <c:pt idx="180">
                  <c:v>1000000</c:v>
                </c:pt>
                <c:pt idx="181">
                  <c:v>1079775.1623277115</c:v>
                </c:pt>
                <c:pt idx="182">
                  <c:v>1165914.4011798317</c:v>
                </c:pt>
                <c:pt idx="183">
                  <c:v>1258925.4117941677</c:v>
                </c:pt>
                <c:pt idx="184">
                  <c:v>1359356.3908785288</c:v>
                </c:pt>
                <c:pt idx="185">
                  <c:v>1467799.2676220734</c:v>
                </c:pt>
                <c:pt idx="186">
                  <c:v>1584893.1924611153</c:v>
                </c:pt>
                <c:pt idx="187">
                  <c:v>1711328.3041617833</c:v>
                </c:pt>
                <c:pt idx="188">
                  <c:v>1847849.797422294</c:v>
                </c:pt>
                <c:pt idx="189">
                  <c:v>1995262.31496888</c:v>
                </c:pt>
                <c:pt idx="190">
                  <c:v>2154434.6900318847</c:v>
                </c:pt>
                <c:pt idx="191">
                  <c:v>2326305.067153628</c:v>
                </c:pt>
                <c:pt idx="192">
                  <c:v>2511886.431509587</c:v>
                </c:pt>
                <c:pt idx="193">
                  <c:v>2712272.5793320318</c:v>
                </c:pt>
                <c:pt idx="194">
                  <c:v>2928644.5646252413</c:v>
                </c:pt>
                <c:pt idx="195">
                  <c:v>3162277.6601683851</c:v>
                </c:pt>
                <c:pt idx="196">
                  <c:v>3414548.8738336028</c:v>
                </c:pt>
                <c:pt idx="197">
                  <c:v>3686945.0645195777</c:v>
                </c:pt>
                <c:pt idx="198">
                  <c:v>3981071.705534976</c:v>
                </c:pt>
                <c:pt idx="199">
                  <c:v>4298662.3470822899</c:v>
                </c:pt>
                <c:pt idx="200">
                  <c:v>4641588.8336127857</c:v>
                </c:pt>
                <c:pt idx="201">
                  <c:v>5011872.3362727314</c:v>
                </c:pt>
                <c:pt idx="202">
                  <c:v>5411695.2654646477</c:v>
                </c:pt>
                <c:pt idx="203">
                  <c:v>5843414.133735179</c:v>
                </c:pt>
                <c:pt idx="204">
                  <c:v>6309573.4448019378</c:v>
                </c:pt>
                <c:pt idx="205">
                  <c:v>6812920.6905796202</c:v>
                </c:pt>
                <c:pt idx="206">
                  <c:v>7356422.5445964225</c:v>
                </c:pt>
                <c:pt idx="207">
                  <c:v>7943282.3472428275</c:v>
                </c:pt>
                <c:pt idx="208">
                  <c:v>8576958.9859089572</c:v>
                </c:pt>
                <c:pt idx="209">
                  <c:v>9261187.2812879551</c:v>
                </c:pt>
                <c:pt idx="210">
                  <c:v>10000000</c:v>
                </c:pt>
              </c:numCache>
            </c:numRef>
          </c:xVal>
          <c:yVal>
            <c:numRef>
              <c:f>'Small Signal'!$L$2:$L$212</c:f>
              <c:numCache>
                <c:formatCode>General</c:formatCode>
                <c:ptCount val="211"/>
                <c:pt idx="0">
                  <c:v>162.42554325305508</c:v>
                </c:pt>
                <c:pt idx="1">
                  <c:v>161.11958019301937</c:v>
                </c:pt>
                <c:pt idx="2">
                  <c:v>159.73196997062516</c:v>
                </c:pt>
                <c:pt idx="3">
                  <c:v>158.2610689047622</c:v>
                </c:pt>
                <c:pt idx="4">
                  <c:v>156.70598839789656</c:v>
                </c:pt>
                <c:pt idx="5">
                  <c:v>155.06675396394888</c:v>
                </c:pt>
                <c:pt idx="6">
                  <c:v>153.3444651032903</c:v>
                </c:pt>
                <c:pt idx="7">
                  <c:v>151.54144651729072</c:v>
                </c:pt>
                <c:pt idx="8">
                  <c:v>149.66137885885973</c:v>
                </c:pt>
                <c:pt idx="9">
                  <c:v>147.70939551843972</c:v>
                </c:pt>
                <c:pt idx="10">
                  <c:v>145.69213135704896</c:v>
                </c:pt>
                <c:pt idx="11">
                  <c:v>143.61771032187212</c:v>
                </c:pt>
                <c:pt idx="12">
                  <c:v>141.49566187951262</c:v>
                </c:pt>
                <c:pt idx="13">
                  <c:v>139.33676125166383</c:v>
                </c:pt>
                <c:pt idx="14">
                  <c:v>137.15279519816681</c:v>
                </c:pt>
                <c:pt idx="15">
                  <c:v>134.95626276945617</c:v>
                </c:pt>
                <c:pt idx="16">
                  <c:v>132.76002788584307</c:v>
                </c:pt>
                <c:pt idx="17">
                  <c:v>130.57694649774896</c:v>
                </c:pt>
                <c:pt idx="18">
                  <c:v>128.41949431582003</c:v>
                </c:pt>
                <c:pt idx="19">
                  <c:v>126.29942102652448</c:v>
                </c:pt>
                <c:pt idx="20">
                  <c:v>124.22745354224365</c:v>
                </c:pt>
                <c:pt idx="21">
                  <c:v>122.21306484671518</c:v>
                </c:pt>
                <c:pt idx="22">
                  <c:v>120.26431752420777</c:v>
                </c:pt>
                <c:pt idx="23">
                  <c:v>118.38778340132362</c:v>
                </c:pt>
                <c:pt idx="24">
                  <c:v>116.58853403037382</c:v>
                </c:pt>
                <c:pt idx="25">
                  <c:v>114.87019177789001</c:v>
                </c:pt>
                <c:pt idx="26">
                  <c:v>113.2350283711247</c:v>
                </c:pt>
                <c:pt idx="27">
                  <c:v>111.68409680965651</c:v>
                </c:pt>
                <c:pt idx="28">
                  <c:v>110.21738319546785</c:v>
                </c:pt>
                <c:pt idx="29">
                  <c:v>108.833966767703</c:v>
                </c:pt>
                <c:pt idx="30">
                  <c:v>107.53217873961466</c:v>
                </c:pt>
                <c:pt idx="31">
                  <c:v>106.30975299961212</c:v>
                </c:pt>
                <c:pt idx="32">
                  <c:v>105.16396405188952</c:v>
                </c:pt>
                <c:pt idx="33">
                  <c:v>104.0917495541853</c:v>
                </c:pt>
                <c:pt idx="34">
                  <c:v>103.08981638327332</c:v>
                </c:pt>
                <c:pt idx="35">
                  <c:v>102.15473031936173</c:v>
                </c:pt>
                <c:pt idx="36">
                  <c:v>101.28299023067355</c:v>
                </c:pt>
                <c:pt idx="37">
                  <c:v>100.4710881231762</c:v>
                </c:pt>
                <c:pt idx="38">
                  <c:v>99.715556667345723</c:v>
                </c:pt>
                <c:pt idx="39">
                  <c:v>99.013005889022352</c:v>
                </c:pt>
                <c:pt idx="40">
                  <c:v>98.360150670169858</c:v>
                </c:pt>
                <c:pt idx="41">
                  <c:v>97.753830591576801</c:v>
                </c:pt>
                <c:pt idx="42">
                  <c:v>97.191023496146414</c:v>
                </c:pt>
                <c:pt idx="43">
                  <c:v>96.668853981718655</c:v>
                </c:pt>
                <c:pt idx="44">
                  <c:v>96.184597861999237</c:v>
                </c:pt>
                <c:pt idx="45">
                  <c:v>95.735683472833571</c:v>
                </c:pt>
                <c:pt idx="46">
                  <c:v>95.319690554237098</c:v>
                </c:pt>
                <c:pt idx="47">
                  <c:v>94.934347308727681</c:v>
                </c:pt>
                <c:pt idx="48">
                  <c:v>94.57752612414312</c:v>
                </c:pt>
                <c:pt idx="49">
                  <c:v>94.247238353556085</c:v>
                </c:pt>
                <c:pt idx="50">
                  <c:v>93.941628464751915</c:v>
                </c:pt>
                <c:pt idx="51">
                  <c:v>93.658967805307952</c:v>
                </c:pt>
                <c:pt idx="52">
                  <c:v>93.397648174805724</c:v>
                </c:pt>
                <c:pt idx="53">
                  <c:v>93.156175351391141</c:v>
                </c:pt>
                <c:pt idx="54">
                  <c:v>92.933162684147362</c:v>
                </c:pt>
                <c:pt idx="55">
                  <c:v>92.727324834141271</c:v>
                </c:pt>
                <c:pt idx="56">
                  <c:v>92.537471724281062</c:v>
                </c:pt>
                <c:pt idx="57">
                  <c:v>92.362502740219398</c:v>
                </c:pt>
                <c:pt idx="58">
                  <c:v>92.201401210541107</c:v>
                </c:pt>
                <c:pt idx="59">
                  <c:v>92.053229183639189</c:v>
                </c:pt>
                <c:pt idx="60">
                  <c:v>91.917122510379116</c:v>
                </c:pt>
                <c:pt idx="61">
                  <c:v>91.79228623536882</c:v>
                </c:pt>
                <c:pt idx="62">
                  <c:v>91.677990294973014</c:v>
                </c:pt>
                <c:pt idx="63">
                  <c:v>91.573565516793565</c:v>
                </c:pt>
                <c:pt idx="64">
                  <c:v>91.478399912909566</c:v>
                </c:pt>
                <c:pt idx="65">
                  <c:v>91.39193525750764</c:v>
                </c:pt>
                <c:pt idx="66">
                  <c:v>91.313663938456997</c:v>
                </c:pt>
                <c:pt idx="67">
                  <c:v>91.243126071746374</c:v>
                </c:pt>
                <c:pt idx="68">
                  <c:v>91.179906867387075</c:v>
                </c:pt>
                <c:pt idx="69">
                  <c:v>91.123634235296336</c:v>
                </c:pt>
                <c:pt idx="70">
                  <c:v>91.073976619728242</c:v>
                </c:pt>
                <c:pt idx="71">
                  <c:v>91.030641050946883</c:v>
                </c:pt>
                <c:pt idx="72">
                  <c:v>90.993371402971803</c:v>
                </c:pt>
                <c:pt idx="73">
                  <c:v>90.961946846313936</c:v>
                </c:pt>
                <c:pt idx="74">
                  <c:v>90.936180484601024</c:v>
                </c:pt>
                <c:pt idx="75">
                  <c:v>90.915918163806353</c:v>
                </c:pt>
                <c:pt idx="76">
                  <c:v>90.901037442373337</c:v>
                </c:pt>
                <c:pt idx="77">
                  <c:v>90.891446709801642</c:v>
                </c:pt>
                <c:pt idx="78">
                  <c:v>90.887084440131574</c:v>
                </c:pt>
                <c:pt idx="79">
                  <c:v>90.887918565133006</c:v>
                </c:pt>
                <c:pt idx="80">
                  <c:v>90.893945949738097</c:v>
                </c:pt>
                <c:pt idx="81">
                  <c:v>90.905191949200315</c:v>
                </c:pt>
                <c:pt idx="82">
                  <c:v>90.921710023421369</c:v>
                </c:pt>
                <c:pt idx="83">
                  <c:v>90.943581378628025</c:v>
                </c:pt>
                <c:pt idx="84">
                  <c:v>90.970914599818869</c:v>
                </c:pt>
                <c:pt idx="85">
                  <c:v>91.003845228789956</c:v>
                </c:pt>
                <c:pt idx="86">
                  <c:v>91.042535231676851</c:v>
                </c:pt>
                <c:pt idx="87">
                  <c:v>91.087172286324417</c:v>
                </c:pt>
                <c:pt idx="88">
                  <c:v>91.137968802842522</c:v>
                </c:pt>
                <c:pt idx="89">
                  <c:v>91.195160569756879</c:v>
                </c:pt>
                <c:pt idx="90">
                  <c:v>91.259004892473769</c:v>
                </c:pt>
                <c:pt idx="91">
                  <c:v>91.329778059524344</c:v>
                </c:pt>
                <c:pt idx="92">
                  <c:v>91.407771934384158</c:v>
                </c:pt>
                <c:pt idx="93">
                  <c:v>91.493289425750461</c:v>
                </c:pt>
                <c:pt idx="94">
                  <c:v>91.586638536301791</c:v>
                </c:pt>
                <c:pt idx="95">
                  <c:v>91.688124628766047</c:v>
                </c:pt>
                <c:pt idx="96">
                  <c:v>91.798040478725028</c:v>
                </c:pt>
                <c:pt idx="97">
                  <c:v>91.91665360703611</c:v>
                </c:pt>
                <c:pt idx="98">
                  <c:v>92.044190303525781</c:v>
                </c:pt>
                <c:pt idx="99">
                  <c:v>92.180815672273638</c:v>
                </c:pt>
                <c:pt idx="100">
                  <c:v>92.326608954927025</c:v>
                </c:pt>
                <c:pt idx="101">
                  <c:v>92.481533333729686</c:v>
                </c:pt>
                <c:pt idx="102">
                  <c:v>92.645399397328205</c:v>
                </c:pt>
                <c:pt idx="103">
                  <c:v>92.817821493610978</c:v>
                </c:pt>
                <c:pt idx="104">
                  <c:v>92.99816632617032</c:v>
                </c:pt>
                <c:pt idx="105">
                  <c:v>93.185493413844995</c:v>
                </c:pt>
                <c:pt idx="106">
                  <c:v>93.378487472403165</c:v>
                </c:pt>
                <c:pt idx="107">
                  <c:v>93.575383443209645</c:v>
                </c:pt>
                <c:pt idx="108">
                  <c:v>93.773885830797155</c:v>
                </c:pt>
                <c:pt idx="109">
                  <c:v>93.971085247812681</c:v>
                </c:pt>
                <c:pt idx="110">
                  <c:v>94.163376594323239</c:v>
                </c:pt>
                <c:pt idx="111">
                  <c:v>94.346385051474897</c:v>
                </c:pt>
                <c:pt idx="112">
                  <c:v>94.51490789258439</c:v>
                </c:pt>
                <c:pt idx="113">
                  <c:v>94.662881743778868</c:v>
                </c:pt>
                <c:pt idx="114">
                  <c:v>94.783385980059847</c:v>
                </c:pt>
                <c:pt idx="115">
                  <c:v>94.868692945927663</c:v>
                </c:pt>
                <c:pt idx="116">
                  <c:v>94.910374141326542</c:v>
                </c:pt>
                <c:pt idx="117">
                  <c:v>94.899468007097624</c:v>
                </c:pt>
                <c:pt idx="118">
                  <c:v>94.826709329708706</c:v>
                </c:pt>
                <c:pt idx="119">
                  <c:v>94.6828128388007</c:v>
                </c:pt>
                <c:pt idx="120">
                  <c:v>94.458795108523702</c:v>
                </c:pt>
                <c:pt idx="121">
                  <c:v>94.146310736662272</c:v>
                </c:pt>
                <c:pt idx="122">
                  <c:v>93.737972639895787</c:v>
                </c:pt>
                <c:pt idx="123">
                  <c:v>93.227623809154196</c:v>
                </c:pt>
                <c:pt idx="124">
                  <c:v>92.610530153425799</c:v>
                </c:pt>
                <c:pt idx="125">
                  <c:v>91.883471342641698</c:v>
                </c:pt>
                <c:pt idx="126">
                  <c:v>91.044717939880258</c:v>
                </c:pt>
                <c:pt idx="127">
                  <c:v>90.093896692664089</c:v>
                </c:pt>
                <c:pt idx="128">
                  <c:v>89.031759178805814</c:v>
                </c:pt>
                <c:pt idx="129">
                  <c:v>87.859879690163837</c:v>
                </c:pt>
                <c:pt idx="130">
                  <c:v>86.580314576316752</c:v>
                </c:pt>
                <c:pt idx="131">
                  <c:v>85.195256599584795</c:v>
                </c:pt>
                <c:pt idx="132">
                  <c:v>83.706714613256807</c:v>
                </c:pt>
                <c:pt idx="133">
                  <c:v>82.11624234641036</c:v>
                </c:pt>
                <c:pt idx="134">
                  <c:v>80.424731938809245</c:v>
                </c:pt>
                <c:pt idx="135">
                  <c:v>78.632279734904856</c:v>
                </c:pt>
                <c:pt idx="136">
                  <c:v>76.738124935750008</c:v>
                </c:pt>
                <c:pt idx="137">
                  <c:v>74.740656688336713</c:v>
                </c:pt>
                <c:pt idx="138">
                  <c:v>72.6374821961832</c:v>
                </c:pt>
                <c:pt idx="139">
                  <c:v>70.425547191952688</c:v>
                </c:pt>
                <c:pt idx="140">
                  <c:v>68.101300120151606</c:v>
                </c:pt>
                <c:pt idx="141">
                  <c:v>65.660892060391177</c:v>
                </c:pt>
                <c:pt idx="142">
                  <c:v>63.100405248290528</c:v>
                </c:pt>
                <c:pt idx="143">
                  <c:v>60.416103605460442</c:v>
                </c:pt>
                <c:pt idx="144">
                  <c:v>57.604698705483088</c:v>
                </c:pt>
                <c:pt idx="145">
                  <c:v>54.663623976124633</c:v>
                </c:pt>
                <c:pt idx="146">
                  <c:v>51.591308732570255</c:v>
                </c:pt>
                <c:pt idx="147">
                  <c:v>48.387442078210213</c:v>
                </c:pt>
                <c:pt idx="148">
                  <c:v>45.053215169201948</c:v>
                </c:pt>
                <c:pt idx="149">
                  <c:v>41.591529290384379</c:v>
                </c:pt>
                <c:pt idx="150">
                  <c:v>38.007157131454107</c:v>
                </c:pt>
                <c:pt idx="151">
                  <c:v>34.306845991507799</c:v>
                </c:pt>
                <c:pt idx="152">
                  <c:v>30.499354557651035</c:v>
                </c:pt>
                <c:pt idx="153">
                  <c:v>26.59541923332721</c:v>
                </c:pt>
                <c:pt idx="154">
                  <c:v>22.607651173192171</c:v>
                </c:pt>
                <c:pt idx="155">
                  <c:v>18.550370328516728</c:v>
                </c:pt>
                <c:pt idx="156">
                  <c:v>14.439386916553891</c:v>
                </c:pt>
                <c:pt idx="157">
                  <c:v>10.29174297566094</c:v>
                </c:pt>
                <c:pt idx="158">
                  <c:v>6.1254267056375484</c:v>
                </c:pt>
                <c:pt idx="159">
                  <c:v>1.9590704107941548</c:v>
                </c:pt>
                <c:pt idx="160">
                  <c:v>-2.1883600577128544</c:v>
                </c:pt>
                <c:pt idx="161">
                  <c:v>-6.2978792321899046</c:v>
                </c:pt>
                <c:pt idx="162">
                  <c:v>-10.350795731909862</c:v>
                </c:pt>
                <c:pt idx="163">
                  <c:v>-14.329021842871343</c:v>
                </c:pt>
                <c:pt idx="164">
                  <c:v>-18.215373085629025</c:v>
                </c:pt>
                <c:pt idx="165">
                  <c:v>-21.993849000017793</c:v>
                </c:pt>
                <c:pt idx="166">
                  <c:v>-25.649883776280131</c:v>
                </c:pt>
                <c:pt idx="167">
                  <c:v>-29.170554172104968</c:v>
                </c:pt>
                <c:pt idx="168">
                  <c:v>-32.544733067251457</c:v>
                </c:pt>
                <c:pt idx="169">
                  <c:v>-35.763180077905943</c:v>
                </c:pt>
                <c:pt idx="170">
                  <c:v>-38.818565332391678</c:v>
                </c:pt>
                <c:pt idx="171">
                  <c:v>-41.705427867490393</c:v>
                </c:pt>
                <c:pt idx="172">
                  <c:v>-44.420075136212297</c:v>
                </c:pt>
                <c:pt idx="173">
                  <c:v>-46.960434018799596</c:v>
                </c:pt>
                <c:pt idx="174">
                  <c:v>-49.325866052713771</c:v>
                </c:pt>
                <c:pt idx="175">
                  <c:v>-51.516960279670137</c:v>
                </c:pt>
                <c:pt idx="176">
                  <c:v>-53.535316385706189</c:v>
                </c:pt>
                <c:pt idx="177">
                  <c:v>-55.383329093001478</c:v>
                </c:pt>
                <c:pt idx="178">
                  <c:v>-57.063982502876144</c:v>
                </c:pt>
                <c:pt idx="179">
                  <c:v>-58.580660690177446</c:v>
                </c:pt>
                <c:pt idx="180">
                  <c:v>-59.936978610347765</c:v>
                </c:pt>
                <c:pt idx="181">
                  <c:v>-61.136635487613752</c:v>
                </c:pt>
                <c:pt idx="182">
                  <c:v>-62.183291390357134</c:v>
                </c:pt>
                <c:pt idx="183">
                  <c:v>-63.080466676366257</c:v>
                </c:pt>
                <c:pt idx="184">
                  <c:v>-63.831463366238395</c:v>
                </c:pt>
                <c:pt idx="185">
                  <c:v>-64.439307212455645</c:v>
                </c:pt>
                <c:pt idx="186">
                  <c:v>-64.906709200946139</c:v>
                </c:pt>
                <c:pt idx="187">
                  <c:v>-65.236045379462141</c:v>
                </c:pt>
                <c:pt idx="188">
                  <c:v>-65.429354187583129</c:v>
                </c:pt>
                <c:pt idx="189">
                  <c:v>-65.488350808505288</c:v>
                </c:pt>
                <c:pt idx="190">
                  <c:v>-65.414458420215254</c:v>
                </c:pt>
                <c:pt idx="191">
                  <c:v>-65.208856542285858</c:v>
                </c:pt>
                <c:pt idx="192">
                  <c:v>-64.872546901725173</c:v>
                </c:pt>
                <c:pt idx="193">
                  <c:v>-64.406437319502217</c:v>
                </c:pt>
                <c:pt idx="194">
                  <c:v>-63.811443984432636</c:v>
                </c:pt>
                <c:pt idx="195">
                  <c:v>-63.088612063693319</c:v>
                </c:pt>
                <c:pt idx="196">
                  <c:v>-62.239253830177972</c:v>
                </c:pt>
                <c:pt idx="197">
                  <c:v>-61.265102308635136</c:v>
                </c:pt>
                <c:pt idx="198">
                  <c:v>-60.1684768271992</c:v>
                </c:pt>
                <c:pt idx="199">
                  <c:v>-58.952454835605778</c:v>
                </c:pt>
                <c:pt idx="200">
                  <c:v>-57.621042027134024</c:v>
                </c:pt>
                <c:pt idx="201">
                  <c:v>-56.179330400538674</c:v>
                </c:pt>
                <c:pt idx="202">
                  <c:v>-54.633631768970623</c:v>
                </c:pt>
                <c:pt idx="203">
                  <c:v>-52.991572826227724</c:v>
                </c:pt>
                <c:pt idx="204">
                  <c:v>-51.262137737291212</c:v>
                </c:pt>
                <c:pt idx="205">
                  <c:v>-49.455645808872696</c:v>
                </c:pt>
                <c:pt idx="206">
                  <c:v>-47.583655413196162</c:v>
                </c:pt>
                <c:pt idx="207">
                  <c:v>-45.65879095021419</c:v>
                </c:pt>
                <c:pt idx="208">
                  <c:v>-43.694496768772439</c:v>
                </c:pt>
                <c:pt idx="209">
                  <c:v>-41.704729711722436</c:v>
                </c:pt>
                <c:pt idx="210">
                  <c:v>-39.703609077077459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42B-4B76-9FB5-F40AD28F2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791913264"/>
        <c:scaling>
          <c:logBase val="10"/>
          <c:orientation val="minMax"/>
          <c:max val="1000000"/>
          <c:min val="10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 (Hz)</a:t>
                </a:r>
              </a:p>
            </c:rich>
          </c:tx>
          <c:layout>
            <c:manualLayout>
              <c:xMode val="edge"/>
              <c:yMode val="edge"/>
              <c:x val="0.43990128531727651"/>
              <c:y val="0.889034683494088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"/>
        <c:crossesAt val="0"/>
        <c:crossBetween val="midCat"/>
      </c:valAx>
      <c:valAx>
        <c:axId val="1"/>
        <c:scaling>
          <c:orientation val="minMax"/>
          <c:max val="6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Gain - dB</a:t>
                </a:r>
              </a:p>
            </c:rich>
          </c:tx>
          <c:layout>
            <c:manualLayout>
              <c:xMode val="edge"/>
              <c:yMode val="edge"/>
              <c:x val="1.6337231743090937E-2"/>
              <c:y val="0.411251677898786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913264"/>
        <c:crosses val="autoZero"/>
        <c:crossBetween val="midCat"/>
        <c:minorUnit val="10"/>
      </c:valAx>
      <c:valAx>
        <c:axId val="3"/>
        <c:scaling>
          <c:logBase val="10"/>
          <c:orientation val="minMax"/>
          <c:max val="1000000"/>
          <c:min val="10"/>
        </c:scaling>
        <c:delete val="0"/>
        <c:axPos val="b"/>
        <c:minorGridlines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"/>
        <c:crosses val="autoZero"/>
        <c:crossBetween val="midCat"/>
      </c:valAx>
      <c:valAx>
        <c:axId val="4"/>
        <c:scaling>
          <c:orientation val="minMax"/>
          <c:max val="180"/>
          <c:min val="-18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Phase - deg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midCat"/>
        <c:majorUnit val="6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65395022356042E-2"/>
          <c:y val="0.8909663219808367"/>
          <c:w val="0.98169734660636909"/>
          <c:h val="0.10783462260539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11" r="0.7500000000000021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12</xdr:col>
      <xdr:colOff>558800</xdr:colOff>
      <xdr:row>52</xdr:row>
      <xdr:rowOff>114300</xdr:rowOff>
    </xdr:to>
    <xdr:pic>
      <xdr:nvPicPr>
        <xdr:cNvPr id="4107" name="Picture 5" descr="ALCOR_circuit.png">
          <a:extLst>
            <a:ext uri="{FF2B5EF4-FFF2-40B4-BE49-F238E27FC236}">
              <a16:creationId xmlns:a16="http://schemas.microsoft.com/office/drawing/2014/main" id="{EB47F52B-A7C6-4E8C-9CAD-4B3994D8E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0" y="4895850"/>
          <a:ext cx="9690100" cy="376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184151</xdr:colOff>
      <xdr:row>0</xdr:row>
      <xdr:rowOff>308429</xdr:rowOff>
    </xdr:from>
    <xdr:to>
      <xdr:col>26</xdr:col>
      <xdr:colOff>689429</xdr:colOff>
      <xdr:row>67</xdr:row>
      <xdr:rowOff>54429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2C473-86C3-47D9-93BF-4F89092AC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Calculators/Aries%20Alcor/TPS54x6x_Aeris_Alcor_family_calacul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esign Equations CCM"/>
      <sheetName val="partdata"/>
      <sheetName val="Std. R and C Values"/>
    </sheetNames>
    <sheetDataSet>
      <sheetData sheetId="0" refreshError="1"/>
      <sheetData sheetId="1">
        <row r="6">
          <cell r="B6">
            <v>24</v>
          </cell>
        </row>
        <row r="73">
          <cell r="B73">
            <v>100</v>
          </cell>
        </row>
        <row r="177">
          <cell r="B177">
            <v>1</v>
          </cell>
        </row>
      </sheetData>
      <sheetData sheetId="2" refreshError="1"/>
      <sheetData sheetId="3">
        <row r="4">
          <cell r="E4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159"/>
  <sheetViews>
    <sheetView tabSelected="1" zoomScaleNormal="100" workbookViewId="0">
      <selection activeCell="A6" sqref="A6"/>
    </sheetView>
  </sheetViews>
  <sheetFormatPr defaultColWidth="9.1796875" defaultRowHeight="12.5" x14ac:dyDescent="0.25"/>
  <cols>
    <col min="1" max="1" width="17.81640625" style="1" customWidth="1"/>
    <col min="2" max="2" width="16.81640625" style="1" customWidth="1"/>
    <col min="3" max="3" width="12.7265625" style="1" customWidth="1"/>
    <col min="4" max="4" width="21.26953125" style="1" customWidth="1"/>
    <col min="5" max="5" width="13.1796875" style="1" customWidth="1"/>
    <col min="6" max="6" width="10.54296875" style="1" customWidth="1"/>
    <col min="7" max="7" width="13.26953125" style="1" customWidth="1"/>
    <col min="8" max="8" width="8.7265625" style="1" customWidth="1"/>
    <col min="9" max="9" width="10" style="1" bestFit="1" customWidth="1"/>
    <col min="10" max="10" width="10.1796875" style="1" customWidth="1"/>
    <col min="11" max="11" width="8.26953125" style="1" customWidth="1"/>
    <col min="12" max="12" width="5.7265625" style="1" customWidth="1"/>
    <col min="13" max="14" width="9.1796875" style="1"/>
    <col min="15" max="15" width="5.7265625" style="1" bestFit="1" customWidth="1"/>
    <col min="16" max="16" width="5.54296875" style="1" bestFit="1" customWidth="1"/>
    <col min="17" max="18" width="9.1796875" style="1"/>
    <col min="19" max="19" width="28.7265625" style="1" customWidth="1"/>
    <col min="20" max="16384" width="9.1796875" style="1"/>
  </cols>
  <sheetData>
    <row r="1" spans="2:19" ht="13" thickBot="1" x14ac:dyDescent="0.3"/>
    <row r="2" spans="2:19" ht="13" thickTop="1" x14ac:dyDescent="0.25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3"/>
    </row>
    <row r="3" spans="2:19" x14ac:dyDescent="0.25">
      <c r="B3" s="3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5"/>
    </row>
    <row r="4" spans="2:19" x14ac:dyDescent="0.25">
      <c r="B4" s="3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58" t="s">
        <v>191</v>
      </c>
      <c r="Q4" s="24"/>
      <c r="R4" s="24"/>
      <c r="S4" s="35"/>
    </row>
    <row r="5" spans="2:19" ht="24.65" customHeight="1" x14ac:dyDescent="0.6">
      <c r="B5" s="36"/>
      <c r="C5" s="57" t="s">
        <v>189</v>
      </c>
      <c r="D5" s="23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37"/>
      <c r="Q5" s="37"/>
      <c r="R5" s="37"/>
      <c r="S5" s="38"/>
    </row>
    <row r="6" spans="2:19" ht="17.5" x14ac:dyDescent="0.35">
      <c r="B6" s="34"/>
      <c r="C6" s="44" t="s">
        <v>311</v>
      </c>
      <c r="D6" s="23"/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35"/>
    </row>
    <row r="7" spans="2:19" x14ac:dyDescent="0.25">
      <c r="B7" s="3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35"/>
    </row>
    <row r="8" spans="2:19" x14ac:dyDescent="0.25">
      <c r="B8" s="34"/>
      <c r="C8" s="58" t="s">
        <v>190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35"/>
    </row>
    <row r="9" spans="2:19" x14ac:dyDescent="0.25">
      <c r="B9" s="3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35"/>
    </row>
    <row r="10" spans="2:19" x14ac:dyDescent="0.25">
      <c r="B10" s="34"/>
      <c r="C10" s="58" t="s">
        <v>192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35"/>
    </row>
    <row r="11" spans="2:19" x14ac:dyDescent="0.25">
      <c r="B11" s="34"/>
      <c r="C11" s="24" t="s">
        <v>158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35"/>
    </row>
    <row r="12" spans="2:19" x14ac:dyDescent="0.25">
      <c r="B12" s="34"/>
      <c r="C12" s="58" t="s">
        <v>193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35"/>
    </row>
    <row r="13" spans="2:19" x14ac:dyDescent="0.25">
      <c r="B13" s="3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35"/>
    </row>
    <row r="14" spans="2:19" x14ac:dyDescent="0.25">
      <c r="B14" s="3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35"/>
    </row>
    <row r="15" spans="2:19" x14ac:dyDescent="0.25">
      <c r="B15" s="34"/>
      <c r="C15" s="24" t="s">
        <v>159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35"/>
    </row>
    <row r="16" spans="2:19" x14ac:dyDescent="0.25">
      <c r="B16" s="34"/>
      <c r="C16" s="23"/>
      <c r="D16" s="23"/>
      <c r="E16" s="23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35"/>
    </row>
    <row r="17" spans="2:19" x14ac:dyDescent="0.25">
      <c r="B17" s="34"/>
      <c r="C17" s="24" t="s">
        <v>160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5"/>
    </row>
    <row r="18" spans="2:19" ht="13" thickBot="1" x14ac:dyDescent="0.3">
      <c r="B18" s="3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35"/>
    </row>
    <row r="19" spans="2:19" x14ac:dyDescent="0.25">
      <c r="B19" s="34"/>
      <c r="C19" s="45"/>
      <c r="D19" s="25"/>
      <c r="E19" s="25"/>
      <c r="F19" s="25"/>
      <c r="G19" s="25"/>
      <c r="H19" s="25"/>
      <c r="I19" s="25"/>
      <c r="J19" s="25"/>
      <c r="K19" s="25"/>
      <c r="L19" s="25"/>
      <c r="M19" s="26"/>
      <c r="N19" s="24"/>
      <c r="O19" s="24"/>
      <c r="P19" s="24"/>
      <c r="Q19" s="24"/>
      <c r="R19" s="24"/>
      <c r="S19" s="35"/>
    </row>
    <row r="20" spans="2:19" ht="15.5" x14ac:dyDescent="0.35">
      <c r="B20" s="34"/>
      <c r="C20" s="46"/>
      <c r="D20" s="27" t="s">
        <v>17</v>
      </c>
      <c r="E20" s="24"/>
      <c r="F20" s="24"/>
      <c r="G20" s="24"/>
      <c r="H20" s="24"/>
      <c r="I20" s="24"/>
      <c r="J20" s="24"/>
      <c r="K20" s="24"/>
      <c r="L20" s="24"/>
      <c r="M20" s="28"/>
      <c r="N20" s="24"/>
      <c r="O20" s="24"/>
      <c r="P20" s="24"/>
      <c r="Q20" s="24"/>
      <c r="R20" s="24"/>
      <c r="S20" s="35"/>
    </row>
    <row r="21" spans="2:19" x14ac:dyDescent="0.25">
      <c r="B21" s="34"/>
      <c r="C21" s="46"/>
      <c r="D21" s="24" t="s">
        <v>18</v>
      </c>
      <c r="E21" s="24"/>
      <c r="F21" s="24"/>
      <c r="G21" s="24"/>
      <c r="H21" s="24"/>
      <c r="I21" s="24"/>
      <c r="J21" s="24"/>
      <c r="K21" s="24"/>
      <c r="L21" s="24"/>
      <c r="M21" s="28"/>
      <c r="N21" s="24"/>
      <c r="O21" s="24"/>
      <c r="P21" s="24"/>
      <c r="Q21" s="24"/>
      <c r="R21" s="24"/>
      <c r="S21" s="35"/>
    </row>
    <row r="22" spans="2:19" x14ac:dyDescent="0.25">
      <c r="B22" s="34"/>
      <c r="C22" s="46"/>
      <c r="D22" s="24" t="s">
        <v>19</v>
      </c>
      <c r="E22" s="24"/>
      <c r="F22" s="24"/>
      <c r="G22" s="24"/>
      <c r="H22" s="24"/>
      <c r="I22" s="24"/>
      <c r="J22" s="24"/>
      <c r="K22" s="24"/>
      <c r="L22" s="24"/>
      <c r="M22" s="28"/>
      <c r="N22" s="24"/>
      <c r="O22" s="24"/>
      <c r="P22" s="24"/>
      <c r="Q22" s="24"/>
      <c r="R22" s="24"/>
      <c r="S22" s="35"/>
    </row>
    <row r="23" spans="2:19" x14ac:dyDescent="0.25">
      <c r="B23" s="34"/>
      <c r="C23" s="46"/>
      <c r="D23" s="24" t="s">
        <v>20</v>
      </c>
      <c r="E23" s="24"/>
      <c r="F23" s="24"/>
      <c r="G23" s="24"/>
      <c r="H23" s="24"/>
      <c r="I23" s="24"/>
      <c r="J23" s="24"/>
      <c r="K23" s="24"/>
      <c r="L23" s="24"/>
      <c r="M23" s="28"/>
      <c r="N23" s="24"/>
      <c r="O23" s="24"/>
      <c r="P23" s="24"/>
      <c r="Q23" s="24"/>
      <c r="R23" s="24"/>
      <c r="S23" s="35"/>
    </row>
    <row r="24" spans="2:19" x14ac:dyDescent="0.25">
      <c r="B24" s="34"/>
      <c r="C24" s="46"/>
      <c r="D24" s="24" t="s">
        <v>21</v>
      </c>
      <c r="E24" s="24"/>
      <c r="F24" s="24"/>
      <c r="G24" s="24"/>
      <c r="H24" s="24"/>
      <c r="I24" s="24"/>
      <c r="J24" s="24"/>
      <c r="K24" s="24"/>
      <c r="L24" s="24"/>
      <c r="M24" s="28"/>
      <c r="N24" s="24"/>
      <c r="O24" s="24"/>
      <c r="P24" s="24"/>
      <c r="Q24" s="24"/>
      <c r="R24" s="24"/>
      <c r="S24" s="35"/>
    </row>
    <row r="25" spans="2:19" ht="13" thickBot="1" x14ac:dyDescent="0.3">
      <c r="B25" s="34"/>
      <c r="C25" s="47"/>
      <c r="D25" s="29"/>
      <c r="E25" s="29"/>
      <c r="F25" s="29"/>
      <c r="G25" s="29"/>
      <c r="H25" s="29"/>
      <c r="I25" s="29"/>
      <c r="J25" s="29"/>
      <c r="K25" s="29"/>
      <c r="L25" s="29"/>
      <c r="M25" s="30"/>
      <c r="N25" s="24"/>
      <c r="O25" s="24"/>
      <c r="P25" s="24"/>
      <c r="Q25" s="24"/>
      <c r="R25" s="24"/>
      <c r="S25" s="35"/>
    </row>
    <row r="26" spans="2:19" x14ac:dyDescent="0.25">
      <c r="B26" s="3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35"/>
    </row>
    <row r="27" spans="2:19" x14ac:dyDescent="0.25">
      <c r="B27" s="3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35"/>
    </row>
    <row r="28" spans="2:19" ht="13" thickBot="1" x14ac:dyDescent="0.3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1"/>
    </row>
    <row r="29" spans="2:19" s="5" customFormat="1" ht="13" thickTop="1" x14ac:dyDescent="0.25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2:19" s="5" customFormat="1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2:19" s="5" customFormat="1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2:19" s="5" customFormat="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2:19" s="5" customFormat="1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2:19" s="5" customForma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2:19" s="5" customForma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2:19" s="5" customForma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2:19" s="5" customForma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2:19" s="5" customForma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2:19" s="5" customFormat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2:19" s="5" customForma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2:19" s="5" customForma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2:19" s="5" customForma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2:19" s="5" customForma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2:19" s="5" customForma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2:19" s="5" customForma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2:19" s="5" customForma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2:19" s="5" customForma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2:19" s="5" customForma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22" s="5" customForma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22" s="5" customForma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22" s="5" customForma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22" s="5" customForma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22" s="5" customForma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22" s="5" customForma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22" s="8" customFormat="1" x14ac:dyDescent="0.25">
      <c r="A55" s="2" t="s">
        <v>195</v>
      </c>
      <c r="D55" s="8" t="s">
        <v>31</v>
      </c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</row>
    <row r="56" spans="1:22" s="5" customFormat="1" x14ac:dyDescent="0.25">
      <c r="B56" s="48" t="s">
        <v>154</v>
      </c>
      <c r="C56" s="59" t="s">
        <v>227</v>
      </c>
      <c r="D56" s="48" t="s">
        <v>194</v>
      </c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</row>
    <row r="57" spans="1:22" ht="13" x14ac:dyDescent="0.3">
      <c r="B57" s="1" t="s">
        <v>1</v>
      </c>
      <c r="C57" s="67">
        <f>LOOKUP($C$56,data!A4:A10,data!B4:B10)</f>
        <v>3.5</v>
      </c>
      <c r="D57" s="1" t="s">
        <v>33</v>
      </c>
      <c r="G57" s="68" t="s">
        <v>22</v>
      </c>
      <c r="J57" s="43" t="s">
        <v>48</v>
      </c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</row>
    <row r="58" spans="1:22" ht="13" x14ac:dyDescent="0.3">
      <c r="B58" s="1" t="s">
        <v>0</v>
      </c>
      <c r="C58" s="67">
        <f>LOOKUP($C$56,data!A4:A10,data!C4:C10)</f>
        <v>60</v>
      </c>
      <c r="D58" s="1" t="s">
        <v>32</v>
      </c>
      <c r="G58" s="70" t="s">
        <v>23</v>
      </c>
      <c r="J58" s="42" t="str">
        <f>data!A4</f>
        <v>TPS5401</v>
      </c>
      <c r="K58" s="69"/>
      <c r="L58" s="69"/>
      <c r="M58" s="69"/>
      <c r="N58" s="69"/>
      <c r="O58" s="69"/>
      <c r="P58" s="69"/>
      <c r="Q58" s="71"/>
      <c r="R58" s="71"/>
      <c r="S58" s="72"/>
      <c r="T58" s="71"/>
      <c r="U58" s="71"/>
      <c r="V58" s="71"/>
    </row>
    <row r="59" spans="1:22" ht="13" x14ac:dyDescent="0.3">
      <c r="B59" s="1" t="s">
        <v>49</v>
      </c>
      <c r="C59" s="67">
        <f>LOOKUP($C$56,data!$A$4:$A$10,data!D4:D10)</f>
        <v>1.5</v>
      </c>
      <c r="D59" s="6" t="s">
        <v>207</v>
      </c>
      <c r="G59" s="73" t="s">
        <v>24</v>
      </c>
      <c r="J59" s="42" t="str">
        <f>data!A5</f>
        <v>TPS54040/A</v>
      </c>
      <c r="K59" s="69"/>
      <c r="L59" s="69"/>
      <c r="M59" s="69"/>
      <c r="N59" s="69"/>
      <c r="O59" s="69"/>
      <c r="P59" s="69"/>
      <c r="Q59" s="71"/>
      <c r="R59" s="71"/>
      <c r="S59" s="72"/>
      <c r="T59" s="71"/>
      <c r="U59" s="71"/>
      <c r="V59" s="71"/>
    </row>
    <row r="60" spans="1:22" x14ac:dyDescent="0.25">
      <c r="B60" s="1" t="s">
        <v>50</v>
      </c>
      <c r="C60" s="67">
        <f>LOOKUP($C$56,data!$A$4:$A$10,data!E4:E10)</f>
        <v>2500</v>
      </c>
      <c r="D60" s="1" t="s">
        <v>34</v>
      </c>
      <c r="J60" s="42" t="str">
        <f>data!A6</f>
        <v>TPS54060/A</v>
      </c>
      <c r="K60" s="69"/>
      <c r="L60" s="69"/>
      <c r="M60" s="69"/>
      <c r="N60" s="69"/>
      <c r="O60" s="69"/>
      <c r="P60" s="69"/>
      <c r="Q60" s="71"/>
      <c r="R60" s="71"/>
      <c r="S60" s="72"/>
      <c r="T60" s="71"/>
      <c r="U60" s="71"/>
      <c r="V60" s="71"/>
    </row>
    <row r="61" spans="1:22" x14ac:dyDescent="0.25">
      <c r="B61" s="1" t="s">
        <v>51</v>
      </c>
      <c r="C61" s="67">
        <f>LOOKUP($C$56,data!$A$4:$A$10,data!F4:F10)</f>
        <v>100</v>
      </c>
      <c r="D61" s="1" t="s">
        <v>35</v>
      </c>
      <c r="J61" s="42" t="str">
        <f>data!A7</f>
        <v>TPS54140/A</v>
      </c>
      <c r="K61" s="69"/>
      <c r="L61" s="69"/>
      <c r="M61" s="69"/>
      <c r="N61" s="69"/>
      <c r="O61" s="69"/>
      <c r="P61" s="69"/>
      <c r="Q61" s="71"/>
      <c r="R61" s="71"/>
      <c r="S61" s="72"/>
      <c r="T61" s="71"/>
      <c r="U61" s="71"/>
      <c r="V61" s="71"/>
    </row>
    <row r="62" spans="1:22" x14ac:dyDescent="0.25">
      <c r="B62" s="1" t="s">
        <v>2</v>
      </c>
      <c r="C62" s="74">
        <f>LOOKUP($C$56,data!$A$4:$A$10,data!G4:G10)</f>
        <v>1.8</v>
      </c>
      <c r="D62" s="1" t="s">
        <v>36</v>
      </c>
      <c r="J62" s="42" t="str">
        <f>data!A8</f>
        <v>TPS54160/A</v>
      </c>
      <c r="K62" s="69"/>
      <c r="L62" s="69"/>
      <c r="M62" s="69"/>
      <c r="N62" s="69"/>
      <c r="O62" s="69"/>
      <c r="P62" s="69"/>
      <c r="Q62" s="71"/>
      <c r="R62" s="71"/>
      <c r="S62" s="72"/>
      <c r="T62" s="71"/>
      <c r="U62" s="71"/>
      <c r="V62" s="71"/>
    </row>
    <row r="63" spans="1:22" x14ac:dyDescent="0.25">
      <c r="B63" s="1" t="s">
        <v>8</v>
      </c>
      <c r="C63" s="75">
        <f>LOOKUP($C$56,data!$A$4:$A$10,data!H4:H10)</f>
        <v>1.3E-7</v>
      </c>
      <c r="D63" s="1" t="s">
        <v>37</v>
      </c>
      <c r="J63" s="42" t="str">
        <f>data!A9</f>
        <v>TPS54240</v>
      </c>
      <c r="K63" s="69"/>
      <c r="L63" s="69"/>
      <c r="M63" s="69"/>
      <c r="N63" s="69"/>
      <c r="O63" s="69"/>
      <c r="P63" s="69"/>
      <c r="Q63" s="71"/>
      <c r="R63" s="71"/>
      <c r="S63" s="72"/>
      <c r="T63" s="71"/>
      <c r="U63" s="71"/>
      <c r="V63" s="71"/>
    </row>
    <row r="64" spans="1:22" x14ac:dyDescent="0.25">
      <c r="B64" s="1" t="s">
        <v>3</v>
      </c>
      <c r="C64" s="74">
        <f>LOOKUP($C$56,data!$A$4:$A$10,data!I4:I10)</f>
        <v>6</v>
      </c>
      <c r="D64" s="1" t="s">
        <v>38</v>
      </c>
      <c r="J64" s="42" t="str">
        <f>data!A10</f>
        <v>TPS54260</v>
      </c>
      <c r="K64" s="69"/>
      <c r="L64" s="69"/>
      <c r="M64" s="69"/>
      <c r="N64" s="69"/>
      <c r="O64" s="69"/>
      <c r="P64" s="69"/>
      <c r="Q64" s="71"/>
      <c r="R64" s="71"/>
      <c r="S64" s="72"/>
      <c r="T64" s="71"/>
      <c r="U64" s="71"/>
      <c r="V64" s="71"/>
    </row>
    <row r="65" spans="1:22" x14ac:dyDescent="0.25">
      <c r="B65" s="1" t="s">
        <v>12</v>
      </c>
      <c r="C65" s="75">
        <f>LOOKUP($C$56,data!$A$4:$A$10,data!J4:J10)</f>
        <v>9.7E-5</v>
      </c>
      <c r="D65" s="1" t="s">
        <v>39</v>
      </c>
      <c r="J65" s="42"/>
      <c r="K65" s="69"/>
      <c r="L65" s="69"/>
      <c r="M65" s="69"/>
      <c r="N65" s="69"/>
      <c r="O65" s="69"/>
      <c r="P65" s="69"/>
      <c r="Q65" s="71"/>
      <c r="R65" s="71"/>
      <c r="S65" s="72"/>
      <c r="T65" s="71"/>
      <c r="U65" s="71"/>
      <c r="V65" s="71"/>
    </row>
    <row r="66" spans="1:22" x14ac:dyDescent="0.25">
      <c r="B66" s="1" t="s">
        <v>7</v>
      </c>
      <c r="C66" s="76">
        <f>LOOKUP($C$56,data!$A$4:$A$10,data!K4:K10)</f>
        <v>0.8</v>
      </c>
      <c r="D66" s="1" t="s">
        <v>40</v>
      </c>
      <c r="J66" s="42"/>
      <c r="K66" s="69"/>
      <c r="L66" s="69"/>
      <c r="M66" s="69"/>
      <c r="N66" s="69"/>
      <c r="O66" s="69"/>
      <c r="P66" s="69"/>
      <c r="Q66" s="71"/>
      <c r="R66" s="71"/>
      <c r="S66" s="72"/>
      <c r="T66" s="71"/>
      <c r="U66" s="71"/>
      <c r="V66" s="71"/>
    </row>
    <row r="67" spans="1:22" x14ac:dyDescent="0.25">
      <c r="B67" s="1" t="s">
        <v>209</v>
      </c>
      <c r="C67" s="67">
        <f>LOOKUP($C$56,data!$A$4:$A$10,data!L4:L10)</f>
        <v>0.2</v>
      </c>
      <c r="D67" s="1" t="s">
        <v>67</v>
      </c>
      <c r="J67" s="69"/>
      <c r="K67" s="69"/>
      <c r="L67" s="69"/>
      <c r="M67" s="69"/>
      <c r="N67" s="69"/>
      <c r="O67" s="69"/>
      <c r="P67" s="69"/>
      <c r="Q67" s="71"/>
      <c r="R67" s="71"/>
      <c r="S67" s="72"/>
      <c r="T67" s="71"/>
      <c r="U67" s="71"/>
      <c r="V67" s="71"/>
    </row>
    <row r="68" spans="1:22" x14ac:dyDescent="0.25">
      <c r="B68" s="1" t="s">
        <v>52</v>
      </c>
      <c r="C68" s="75">
        <f>LOOKUP($C$56,data!A4:A10,data!M4:M10)</f>
        <v>1.9999999999999999E-6</v>
      </c>
      <c r="D68" s="1" t="s">
        <v>68</v>
      </c>
      <c r="J68" s="69"/>
      <c r="K68" s="69"/>
      <c r="L68" s="69"/>
      <c r="M68" s="69"/>
      <c r="N68" s="69"/>
      <c r="O68" s="69"/>
      <c r="P68" s="69"/>
      <c r="Q68" s="71"/>
      <c r="R68" s="71"/>
      <c r="S68" s="72"/>
      <c r="T68" s="71"/>
      <c r="U68" s="71"/>
      <c r="V68" s="71"/>
    </row>
    <row r="69" spans="1:22" x14ac:dyDescent="0.25">
      <c r="B69" s="1" t="s">
        <v>53</v>
      </c>
      <c r="C69" s="75">
        <f>LOOKUP($C$56,data!A4:A10,data!N4:N10)</f>
        <v>2.9000000000000002E-6</v>
      </c>
      <c r="D69" s="6" t="s">
        <v>176</v>
      </c>
      <c r="J69" s="69"/>
      <c r="K69" s="69"/>
      <c r="L69" s="69"/>
      <c r="M69" s="69"/>
      <c r="N69" s="69"/>
      <c r="O69" s="69"/>
      <c r="P69" s="69"/>
      <c r="Q69" s="71"/>
      <c r="R69" s="71"/>
      <c r="S69" s="72"/>
      <c r="T69" s="71"/>
      <c r="U69" s="71"/>
      <c r="V69" s="71"/>
    </row>
    <row r="70" spans="1:22" x14ac:dyDescent="0.25">
      <c r="B70" s="6" t="s">
        <v>174</v>
      </c>
      <c r="C70" s="75">
        <f>LOOKUP($C$56,data!A4:A10,data!O4:O10)</f>
        <v>8.9999999999999996E-7</v>
      </c>
      <c r="D70" s="6" t="s">
        <v>177</v>
      </c>
      <c r="J70" s="69"/>
      <c r="K70" s="69"/>
      <c r="L70" s="69"/>
      <c r="M70" s="69"/>
      <c r="N70" s="69"/>
      <c r="O70" s="69"/>
      <c r="P70" s="69"/>
      <c r="Q70" s="71"/>
      <c r="R70" s="71"/>
      <c r="S70" s="72"/>
      <c r="T70" s="71"/>
      <c r="U70" s="71"/>
      <c r="V70" s="71"/>
    </row>
    <row r="71" spans="1:22" x14ac:dyDescent="0.25">
      <c r="B71" s="6" t="s">
        <v>175</v>
      </c>
      <c r="C71" s="67">
        <f>LOOKUP($C$56,data!A4:A10,data!P4:P10)</f>
        <v>1.25</v>
      </c>
      <c r="D71" s="6" t="s">
        <v>178</v>
      </c>
      <c r="J71" s="69"/>
      <c r="K71" s="69"/>
      <c r="L71" s="69"/>
      <c r="M71" s="69"/>
      <c r="N71" s="69"/>
      <c r="O71" s="69"/>
      <c r="P71" s="69"/>
      <c r="Q71" s="71"/>
      <c r="R71" s="71"/>
      <c r="S71" s="72"/>
      <c r="T71" s="71"/>
      <c r="U71" s="71"/>
      <c r="V71" s="71"/>
    </row>
    <row r="72" spans="1:22" s="8" customFormat="1" x14ac:dyDescent="0.25">
      <c r="A72" s="2" t="s">
        <v>9</v>
      </c>
      <c r="C72" s="2"/>
      <c r="D72" s="2" t="s">
        <v>31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2" x14ac:dyDescent="0.25">
      <c r="B73" s="1" t="s">
        <v>4</v>
      </c>
      <c r="C73" s="3">
        <v>24</v>
      </c>
      <c r="D73" s="4" t="s">
        <v>26</v>
      </c>
      <c r="E73" s="5"/>
      <c r="F73" s="5"/>
      <c r="G73" s="5"/>
    </row>
    <row r="74" spans="1:22" x14ac:dyDescent="0.25">
      <c r="B74" s="1" t="s">
        <v>5</v>
      </c>
      <c r="C74" s="3">
        <f>C73*1.2</f>
        <v>28.799999999999997</v>
      </c>
      <c r="D74" s="1" t="s">
        <v>27</v>
      </c>
      <c r="E74" s="5"/>
      <c r="F74" s="5"/>
      <c r="G74" s="5"/>
    </row>
    <row r="75" spans="1:22" x14ac:dyDescent="0.25">
      <c r="B75" s="1" t="s">
        <v>6</v>
      </c>
      <c r="C75" s="3">
        <f>C73*0.8</f>
        <v>19.200000000000003</v>
      </c>
      <c r="D75" s="1" t="s">
        <v>28</v>
      </c>
      <c r="E75" s="5"/>
      <c r="F75" s="5"/>
      <c r="G75" s="5"/>
    </row>
    <row r="76" spans="1:22" x14ac:dyDescent="0.25">
      <c r="B76" s="6" t="s">
        <v>69</v>
      </c>
      <c r="C76" s="60">
        <v>3.75</v>
      </c>
      <c r="D76" s="6" t="s">
        <v>70</v>
      </c>
      <c r="E76" s="5"/>
      <c r="F76" s="5"/>
      <c r="G76" s="5"/>
    </row>
    <row r="77" spans="1:22" x14ac:dyDescent="0.25">
      <c r="B77" s="6" t="s">
        <v>71</v>
      </c>
      <c r="C77" s="60">
        <v>3.5</v>
      </c>
      <c r="D77" s="6" t="s">
        <v>72</v>
      </c>
      <c r="G77" s="5"/>
    </row>
    <row r="78" spans="1:22" x14ac:dyDescent="0.25">
      <c r="B78" s="5" t="s">
        <v>73</v>
      </c>
      <c r="C78" s="3">
        <v>5</v>
      </c>
      <c r="D78" s="1" t="s">
        <v>74</v>
      </c>
      <c r="G78" s="5"/>
    </row>
    <row r="79" spans="1:22" x14ac:dyDescent="0.25">
      <c r="B79" s="5" t="s">
        <v>75</v>
      </c>
      <c r="C79" s="7">
        <f>C78*0.01</f>
        <v>0.05</v>
      </c>
      <c r="D79" s="4" t="s">
        <v>25</v>
      </c>
      <c r="G79" s="5"/>
    </row>
    <row r="80" spans="1:22" x14ac:dyDescent="0.25">
      <c r="B80" s="5" t="s">
        <v>76</v>
      </c>
      <c r="C80" s="3">
        <f>C78*0.04</f>
        <v>0.2</v>
      </c>
      <c r="D80" s="4" t="s">
        <v>77</v>
      </c>
      <c r="G80" s="5"/>
    </row>
    <row r="81" spans="1:6" x14ac:dyDescent="0.25">
      <c r="B81" s="1" t="s">
        <v>78</v>
      </c>
      <c r="C81" s="3">
        <v>2.5</v>
      </c>
      <c r="D81" s="4" t="s">
        <v>79</v>
      </c>
    </row>
    <row r="82" spans="1:6" x14ac:dyDescent="0.25">
      <c r="B82" s="1" t="s">
        <v>309</v>
      </c>
      <c r="C82" s="3">
        <v>0.01</v>
      </c>
      <c r="D82" s="4" t="s">
        <v>310</v>
      </c>
    </row>
    <row r="83" spans="1:6" x14ac:dyDescent="0.25">
      <c r="B83" s="49" t="s">
        <v>164</v>
      </c>
      <c r="C83" s="3">
        <v>0.3</v>
      </c>
      <c r="D83" s="50" t="s">
        <v>165</v>
      </c>
    </row>
    <row r="84" spans="1:6" x14ac:dyDescent="0.25">
      <c r="B84" s="1" t="s">
        <v>80</v>
      </c>
      <c r="C84" s="3">
        <f>C81*C83</f>
        <v>0.75</v>
      </c>
      <c r="D84" s="4" t="s">
        <v>81</v>
      </c>
    </row>
    <row r="85" spans="1:6" x14ac:dyDescent="0.25">
      <c r="B85" s="1" t="s">
        <v>82</v>
      </c>
      <c r="C85" s="3">
        <v>700</v>
      </c>
      <c r="D85" s="4" t="s">
        <v>29</v>
      </c>
    </row>
    <row r="86" spans="1:6" x14ac:dyDescent="0.25">
      <c r="B86" s="1" t="s">
        <v>11</v>
      </c>
      <c r="C86" s="51">
        <f>0.0035</f>
        <v>3.5000000000000001E-3</v>
      </c>
      <c r="D86" s="4" t="s">
        <v>30</v>
      </c>
    </row>
    <row r="87" spans="1:6" s="8" customFormat="1" x14ac:dyDescent="0.25">
      <c r="A87" s="8" t="s">
        <v>83</v>
      </c>
      <c r="F87" s="8" t="s">
        <v>31</v>
      </c>
    </row>
    <row r="88" spans="1:6" s="5" customFormat="1" x14ac:dyDescent="0.25">
      <c r="B88" s="48" t="s">
        <v>210</v>
      </c>
      <c r="C88" s="52">
        <v>10</v>
      </c>
      <c r="F88" s="5" t="s">
        <v>41</v>
      </c>
    </row>
    <row r="89" spans="1:6" x14ac:dyDescent="0.25">
      <c r="A89" s="1" t="s">
        <v>84</v>
      </c>
      <c r="B89" s="48" t="s">
        <v>211</v>
      </c>
      <c r="C89" s="77">
        <f>C88*(C78-C66)/C66</f>
        <v>52.5</v>
      </c>
      <c r="D89" s="1">
        <f>(IF((10^(LOG(C89)-INT(LOG(C89)))*100)-VLOOKUP((10^(LOG(C89)-INT(LOG(C89)))*100),E96_s:E96_f,1)&lt;VLOOKUP((10^(LOG(C89)-INT(LOG(C89)))*100),E96_s:E96_f,2)-(10^(LOG(C89)-INT(LOG(C89)))*100),VLOOKUP((10^(LOG(C89)-INT(LOG(C89)))*100),E96_s:E96_f,1),VLOOKUP((10^(LOG(C89)-INT(LOG(C89)))*100),E96_s:E96_f,2)))*10^INT(LOG(C89))/100</f>
        <v>52.3</v>
      </c>
      <c r="F89" s="1" t="s">
        <v>85</v>
      </c>
    </row>
    <row r="90" spans="1:6" x14ac:dyDescent="0.25">
      <c r="B90" s="48" t="s">
        <v>212</v>
      </c>
      <c r="C90" s="9">
        <f>D89</f>
        <v>52.3</v>
      </c>
      <c r="F90" s="1" t="s">
        <v>86</v>
      </c>
    </row>
    <row r="91" spans="1:6" x14ac:dyDescent="0.25">
      <c r="B91" s="5" t="s">
        <v>13</v>
      </c>
      <c r="C91" s="78">
        <f>C75</f>
        <v>19.200000000000003</v>
      </c>
      <c r="D91" s="1" t="s">
        <v>87</v>
      </c>
      <c r="E91" s="79">
        <f>C57</f>
        <v>3.5</v>
      </c>
      <c r="F91" s="1" t="s">
        <v>42</v>
      </c>
    </row>
    <row r="92" spans="1:6" x14ac:dyDescent="0.25">
      <c r="B92" s="5" t="s">
        <v>88</v>
      </c>
      <c r="C92" s="78">
        <f>C74</f>
        <v>28.799999999999997</v>
      </c>
      <c r="D92" s="1" t="s">
        <v>89</v>
      </c>
      <c r="E92" s="79">
        <f>C58</f>
        <v>60</v>
      </c>
      <c r="F92" s="1" t="s">
        <v>90</v>
      </c>
    </row>
    <row r="93" spans="1:6" x14ac:dyDescent="0.25">
      <c r="B93" s="5" t="s">
        <v>10</v>
      </c>
      <c r="C93" s="80">
        <f>C78/C75</f>
        <v>0.26041666666666663</v>
      </c>
      <c r="D93" s="80">
        <f>C78/C74</f>
        <v>0.17361111111111113</v>
      </c>
      <c r="E93" s="80">
        <f>C78/C73</f>
        <v>0.20833333333333334</v>
      </c>
      <c r="F93" s="1" t="s">
        <v>43</v>
      </c>
    </row>
    <row r="94" spans="1:6" x14ac:dyDescent="0.25">
      <c r="A94" s="6" t="s">
        <v>166</v>
      </c>
      <c r="B94" s="5" t="s">
        <v>91</v>
      </c>
      <c r="C94" s="81">
        <f>(C74-C78)/(C81*C83)*C78/(C74*C85*1000)</f>
        <v>7.8703703703703719E-6</v>
      </c>
      <c r="F94" s="1" t="s">
        <v>92</v>
      </c>
    </row>
    <row r="95" spans="1:6" x14ac:dyDescent="0.25">
      <c r="B95" s="48" t="s">
        <v>167</v>
      </c>
      <c r="C95" s="63">
        <v>3.3000000000000002E-6</v>
      </c>
      <c r="D95" s="5"/>
      <c r="E95" s="5"/>
      <c r="F95" s="1" t="s">
        <v>44</v>
      </c>
    </row>
    <row r="96" spans="1:6" x14ac:dyDescent="0.25">
      <c r="B96" s="5" t="s">
        <v>213</v>
      </c>
      <c r="C96" s="7">
        <v>0.1099</v>
      </c>
      <c r="D96" s="5"/>
      <c r="E96" s="5"/>
      <c r="F96" s="1" t="s">
        <v>94</v>
      </c>
    </row>
    <row r="97" spans="1:17" x14ac:dyDescent="0.25">
      <c r="A97" s="6" t="s">
        <v>168</v>
      </c>
      <c r="B97" s="5" t="s">
        <v>95</v>
      </c>
      <c r="C97" s="77">
        <f>(C74-C78)/C95*C78/(C74*C85*1000)</f>
        <v>1.7887205387205387</v>
      </c>
      <c r="D97" s="10"/>
      <c r="F97" s="1" t="s">
        <v>96</v>
      </c>
      <c r="K97" s="11"/>
      <c r="P97" s="11"/>
    </row>
    <row r="98" spans="1:17" x14ac:dyDescent="0.25">
      <c r="A98" s="6" t="s">
        <v>129</v>
      </c>
      <c r="B98" s="5" t="s">
        <v>97</v>
      </c>
      <c r="C98" s="77">
        <f>SQRT(C81*C81+1/12*POWER((C78*(C74-C78)/(C74*C95*C85*1000)),2))</f>
        <v>2.5527684508790434</v>
      </c>
      <c r="D98" s="10"/>
      <c r="F98" s="1" t="s">
        <v>98</v>
      </c>
      <c r="K98" s="11"/>
      <c r="P98" s="11"/>
    </row>
    <row r="99" spans="1:17" x14ac:dyDescent="0.25">
      <c r="A99" s="6" t="s">
        <v>132</v>
      </c>
      <c r="B99" s="5" t="s">
        <v>99</v>
      </c>
      <c r="C99" s="77">
        <f>C81+C97/2</f>
        <v>3.3943602693602695</v>
      </c>
      <c r="D99" s="10"/>
      <c r="F99" s="1" t="s">
        <v>100</v>
      </c>
      <c r="K99" s="11"/>
      <c r="P99" s="11"/>
    </row>
    <row r="100" spans="1:17" x14ac:dyDescent="0.25">
      <c r="A100" s="6"/>
      <c r="B100" s="48" t="s">
        <v>201</v>
      </c>
      <c r="C100" s="61">
        <v>0.5</v>
      </c>
      <c r="D100" s="10"/>
      <c r="F100" s="49" t="s">
        <v>203</v>
      </c>
      <c r="K100" s="11"/>
      <c r="P100" s="11"/>
    </row>
    <row r="101" spans="1:17" x14ac:dyDescent="0.25">
      <c r="A101" s="6"/>
      <c r="B101" s="48" t="s">
        <v>202</v>
      </c>
      <c r="C101" s="61">
        <v>0</v>
      </c>
      <c r="D101" s="10"/>
      <c r="F101" s="49" t="s">
        <v>204</v>
      </c>
      <c r="K101" s="11"/>
      <c r="P101" s="11"/>
    </row>
    <row r="102" spans="1:17" x14ac:dyDescent="0.25">
      <c r="A102" s="6" t="s">
        <v>135</v>
      </c>
      <c r="B102" s="12" t="s">
        <v>101</v>
      </c>
      <c r="C102" s="82">
        <f>2*(C100-C101)/(C85*1000*C80)</f>
        <v>7.1428571428571427E-6</v>
      </c>
      <c r="D102" s="11"/>
      <c r="E102" s="11"/>
      <c r="F102" s="1" t="s">
        <v>102</v>
      </c>
      <c r="O102" s="5"/>
    </row>
    <row r="103" spans="1:17" x14ac:dyDescent="0.25">
      <c r="A103" s="6" t="s">
        <v>137</v>
      </c>
      <c r="B103" s="12" t="s">
        <v>103</v>
      </c>
      <c r="C103" s="82">
        <f>C95*(C100^2-C101^2)/((C78+C80)^2-C78^2)</f>
        <v>4.0441176470588184E-7</v>
      </c>
      <c r="D103" s="56"/>
      <c r="E103" s="11"/>
      <c r="F103" s="6" t="s">
        <v>170</v>
      </c>
      <c r="O103" s="5"/>
      <c r="Q103" s="11"/>
    </row>
    <row r="104" spans="1:17" x14ac:dyDescent="0.25">
      <c r="A104" s="6" t="s">
        <v>143</v>
      </c>
      <c r="B104" s="53" t="s">
        <v>169</v>
      </c>
      <c r="C104" s="82">
        <f>1/(8*C85*1000)/(C79/C97)</f>
        <v>6.3882876382876377E-6</v>
      </c>
      <c r="D104" s="11"/>
      <c r="E104" s="11"/>
      <c r="F104" s="1" t="s">
        <v>104</v>
      </c>
      <c r="O104" s="5"/>
      <c r="Q104" s="11"/>
    </row>
    <row r="105" spans="1:17" x14ac:dyDescent="0.25">
      <c r="B105" s="12" t="s">
        <v>105</v>
      </c>
      <c r="C105" s="62">
        <v>2.1999999999999999E-5</v>
      </c>
      <c r="D105" s="11"/>
      <c r="E105" s="13"/>
      <c r="F105" s="1" t="s">
        <v>106</v>
      </c>
      <c r="Q105" s="83"/>
    </row>
    <row r="106" spans="1:17" x14ac:dyDescent="0.25">
      <c r="B106" s="54" t="s">
        <v>171</v>
      </c>
      <c r="C106" s="55">
        <v>0.4</v>
      </c>
      <c r="D106" s="11"/>
      <c r="E106" s="13"/>
      <c r="F106" s="6" t="s">
        <v>205</v>
      </c>
      <c r="Q106" s="83"/>
    </row>
    <row r="107" spans="1:17" x14ac:dyDescent="0.25">
      <c r="B107" s="12" t="s">
        <v>107</v>
      </c>
      <c r="C107" s="82">
        <f>C106*C105</f>
        <v>8.8000000000000004E-6</v>
      </c>
      <c r="D107" s="12"/>
      <c r="E107" s="14"/>
      <c r="F107" s="6" t="s">
        <v>206</v>
      </c>
      <c r="Q107" s="83"/>
    </row>
    <row r="108" spans="1:17" x14ac:dyDescent="0.25">
      <c r="A108" s="6" t="s">
        <v>146</v>
      </c>
      <c r="B108" s="12" t="s">
        <v>214</v>
      </c>
      <c r="C108" s="84">
        <f>C79/C97</f>
        <v>2.795294117647059E-2</v>
      </c>
      <c r="D108" s="11"/>
      <c r="E108" s="15"/>
      <c r="F108" s="1" t="s">
        <v>109</v>
      </c>
      <c r="K108" s="16"/>
      <c r="Q108" s="11"/>
    </row>
    <row r="109" spans="1:17" x14ac:dyDescent="0.25">
      <c r="B109" s="12" t="s">
        <v>215</v>
      </c>
      <c r="C109" s="17">
        <f>0.002</f>
        <v>2E-3</v>
      </c>
      <c r="D109" s="11"/>
      <c r="E109" s="15"/>
      <c r="F109" s="1" t="s">
        <v>45</v>
      </c>
      <c r="Q109" s="11"/>
    </row>
    <row r="110" spans="1:17" x14ac:dyDescent="0.25">
      <c r="A110" s="6" t="s">
        <v>172</v>
      </c>
      <c r="B110" s="12" t="s">
        <v>110</v>
      </c>
      <c r="C110" s="84">
        <f>C78*(C74-C78)/(SQRT(12)*C74*C95*C85*1000)</f>
        <v>0.51635914226765778</v>
      </c>
      <c r="D110" s="11"/>
      <c r="E110" s="15"/>
      <c r="F110" s="1" t="s">
        <v>111</v>
      </c>
      <c r="Q110" s="11"/>
    </row>
    <row r="111" spans="1:17" x14ac:dyDescent="0.25">
      <c r="A111" s="6" t="s">
        <v>173</v>
      </c>
      <c r="B111" s="12" t="s">
        <v>112</v>
      </c>
      <c r="C111" s="84">
        <f>C81*SQRT(C78/C75*(C75-C78)/C75)</f>
        <v>1.0971549183823384</v>
      </c>
      <c r="D111" s="11"/>
      <c r="E111" s="15"/>
      <c r="F111" s="1" t="s">
        <v>113</v>
      </c>
      <c r="Q111" s="11"/>
    </row>
    <row r="112" spans="1:17" x14ac:dyDescent="0.25">
      <c r="B112" s="53" t="s">
        <v>230</v>
      </c>
      <c r="C112" s="64">
        <f>0.0000047*3</f>
        <v>1.4100000000000001E-5</v>
      </c>
      <c r="D112" s="11"/>
      <c r="E112" s="15"/>
      <c r="F112" s="1" t="s">
        <v>114</v>
      </c>
    </row>
    <row r="113" spans="1:17" x14ac:dyDescent="0.25">
      <c r="A113" s="1" t="s">
        <v>115</v>
      </c>
      <c r="B113" s="12" t="s">
        <v>116</v>
      </c>
      <c r="C113" s="84">
        <f>C81*0.25/(C112*C85*1000)</f>
        <v>6.3323201621073952E-2</v>
      </c>
      <c r="D113" s="11"/>
      <c r="E113" s="15"/>
      <c r="F113" s="1" t="s">
        <v>117</v>
      </c>
    </row>
    <row r="114" spans="1:17" s="8" customFormat="1" x14ac:dyDescent="0.25">
      <c r="A114" s="8" t="s">
        <v>118</v>
      </c>
      <c r="F114" s="8" t="s">
        <v>31</v>
      </c>
    </row>
    <row r="115" spans="1:17" x14ac:dyDescent="0.25">
      <c r="A115" s="6" t="s">
        <v>183</v>
      </c>
      <c r="B115" s="53" t="s">
        <v>185</v>
      </c>
      <c r="C115" s="81">
        <f>C86*C68/C66</f>
        <v>8.7499999999999989E-9</v>
      </c>
      <c r="F115" s="1" t="s">
        <v>46</v>
      </c>
    </row>
    <row r="116" spans="1:17" x14ac:dyDescent="0.25">
      <c r="B116" s="53" t="s">
        <v>186</v>
      </c>
      <c r="C116" s="63">
        <v>1E-8</v>
      </c>
      <c r="F116" s="1" t="s">
        <v>119</v>
      </c>
    </row>
    <row r="117" spans="1:17" x14ac:dyDescent="0.25">
      <c r="A117" s="1" t="s">
        <v>120</v>
      </c>
      <c r="B117" s="5" t="s">
        <v>216</v>
      </c>
      <c r="C117" s="77">
        <f>((C76-C77)/(C69))/1000</f>
        <v>86.206896551724128</v>
      </c>
      <c r="D117" s="1">
        <f>(IF((10^(LOG(C117)-INT(LOG(C117)))*100)-VLOOKUP((10^(LOG(C117)-INT(LOG(C117)))*100),E96_s:E96_f,1)&lt;VLOOKUP((10^(LOG(C117)-INT(LOG(C117)))*100),E96_s:E96_f,2)-(10^(LOG(C117)-INT(LOG(C117)))*100),VLOOKUP((10^(LOG(C117)-INT(LOG(C117)))*100),E96_s:E96_f,1),VLOOKUP((10^(LOG(C117)-INT(LOG(C117)))*100),E96_s:E96_f,2)))*10^INT(LOG(C117))/100</f>
        <v>86.6</v>
      </c>
      <c r="F117" s="1" t="s">
        <v>121</v>
      </c>
    </row>
    <row r="118" spans="1:17" x14ac:dyDescent="0.25">
      <c r="A118" s="1" t="s">
        <v>122</v>
      </c>
      <c r="B118" s="5" t="s">
        <v>217</v>
      </c>
      <c r="C118" s="77">
        <f>(C71/((C76-C71)/(C119*1000)+C70))/1000</f>
        <v>41.9908919524892</v>
      </c>
      <c r="D118" s="1">
        <f>(IF((10^(LOG(C118)-INT(LOG(C118)))*100)-VLOOKUP((10^(LOG(C118)-INT(LOG(C118)))*100),E96_s:E96_f,1)&lt;VLOOKUP((10^(LOG(C118)-INT(LOG(C118)))*100),E96_s:E96_f,2)-(10^(LOG(C118)-INT(LOG(C118)))*100),VLOOKUP((10^(LOG(C118)-INT(LOG(C118)))*100),E96_s:E96_f,1),VLOOKUP((10^(LOG(C118)-INT(LOG(C118)))*100),E96_s:E96_f,2)))*10^INT(LOG(C118))/100</f>
        <v>42.2</v>
      </c>
      <c r="F118" s="1" t="s">
        <v>123</v>
      </c>
    </row>
    <row r="119" spans="1:17" x14ac:dyDescent="0.25">
      <c r="B119" s="5" t="s">
        <v>218</v>
      </c>
      <c r="C119" s="9">
        <f>D117</f>
        <v>86.6</v>
      </c>
      <c r="F119" s="1" t="s">
        <v>124</v>
      </c>
    </row>
    <row r="120" spans="1:17" x14ac:dyDescent="0.25">
      <c r="B120" s="5" t="s">
        <v>219</v>
      </c>
      <c r="C120" s="9">
        <f>D118</f>
        <v>42.2</v>
      </c>
      <c r="F120" s="1" t="s">
        <v>125</v>
      </c>
    </row>
    <row r="121" spans="1:17" x14ac:dyDescent="0.25">
      <c r="A121" s="6" t="s">
        <v>152</v>
      </c>
      <c r="B121" s="48" t="s">
        <v>220</v>
      </c>
      <c r="C121" s="77">
        <f>LOOKUP($C$56,data!A4:A10,data!Q4:Q10)</f>
        <v>164.5106583193672</v>
      </c>
      <c r="D121" s="1">
        <f>(IF((10^(LOG(C121)-INT(LOG(C121)))*100)-VLOOKUP((10^(LOG(C121)-INT(LOG(C121)))*100),E96_s:E96_f,1)&lt;VLOOKUP((10^(LOG(C121)-INT(LOG(C121)))*100),E96_s:E96_f,2)-(10^(LOG(C121)-INT(LOG(C121)))*100),VLOOKUP((10^(LOG(C121)-INT(LOG(C121)))*100),E96_s:E96_f,1),VLOOKUP((10^(LOG(C121)-INT(LOG(C121)))*100),E96_s:E96_f,2)))*10^INT(LOG(C121))/100</f>
        <v>165</v>
      </c>
      <c r="F121" s="1" t="s">
        <v>126</v>
      </c>
    </row>
    <row r="122" spans="1:17" x14ac:dyDescent="0.25">
      <c r="B122" s="48" t="s">
        <v>221</v>
      </c>
      <c r="C122" s="9">
        <f>D121</f>
        <v>165</v>
      </c>
      <c r="F122" s="1" t="s">
        <v>127</v>
      </c>
    </row>
    <row r="123" spans="1:17" x14ac:dyDescent="0.25">
      <c r="B123" s="48" t="s">
        <v>198</v>
      </c>
      <c r="C123" s="9">
        <v>0.5</v>
      </c>
      <c r="F123" s="49" t="s">
        <v>196</v>
      </c>
    </row>
    <row r="124" spans="1:17" x14ac:dyDescent="0.25">
      <c r="B124" s="48" t="s">
        <v>199</v>
      </c>
      <c r="C124" s="9">
        <v>0.1</v>
      </c>
      <c r="F124" s="49" t="s">
        <v>197</v>
      </c>
    </row>
    <row r="125" spans="1:17" x14ac:dyDescent="0.25">
      <c r="A125" s="6" t="s">
        <v>153</v>
      </c>
      <c r="B125" s="48" t="s">
        <v>200</v>
      </c>
      <c r="C125" s="77">
        <f>1/C63*(C81*C96+C78+C123)/(C74-C81*C67+C123)/1000</f>
        <v>1542.4011752136755</v>
      </c>
      <c r="F125" s="49" t="s">
        <v>180</v>
      </c>
    </row>
    <row r="126" spans="1:17" x14ac:dyDescent="0.25">
      <c r="A126" s="6" t="s">
        <v>182</v>
      </c>
      <c r="B126" s="48" t="s">
        <v>200</v>
      </c>
      <c r="C126" s="77">
        <f>8/C63*(C62*C96+C124+C123)/(C74-C62*C67+C123)/1000</f>
        <v>1696.4967306363299</v>
      </c>
      <c r="F126" s="49" t="s">
        <v>181</v>
      </c>
    </row>
    <row r="127" spans="1:17" s="8" customFormat="1" x14ac:dyDescent="0.25">
      <c r="A127" s="8" t="s">
        <v>128</v>
      </c>
      <c r="F127" s="8" t="s">
        <v>31</v>
      </c>
    </row>
    <row r="128" spans="1:17" x14ac:dyDescent="0.25">
      <c r="A128" s="1" t="s">
        <v>129</v>
      </c>
      <c r="B128" s="5" t="s">
        <v>130</v>
      </c>
      <c r="C128" s="80">
        <f>C81/(2*PI()*C78*C107)/1000</f>
        <v>9.0428944938576876</v>
      </c>
      <c r="F128" s="1" t="s">
        <v>131</v>
      </c>
      <c r="Q128" s="85"/>
    </row>
    <row r="129" spans="1:6" x14ac:dyDescent="0.25">
      <c r="A129" s="1" t="s">
        <v>132</v>
      </c>
      <c r="B129" s="5" t="s">
        <v>133</v>
      </c>
      <c r="C129" s="77">
        <f>1/(2*PI()*C109*C107)/1000</f>
        <v>9042.8944938576897</v>
      </c>
      <c r="F129" s="1" t="s">
        <v>134</v>
      </c>
    </row>
    <row r="130" spans="1:6" ht="15.65" customHeight="1" x14ac:dyDescent="0.25">
      <c r="A130" s="18" t="s">
        <v>135</v>
      </c>
      <c r="B130" s="5" t="s">
        <v>136</v>
      </c>
      <c r="C130" s="77">
        <f>SQRT(C128*C129)</f>
        <v>285.96143241185814</v>
      </c>
      <c r="F130" s="6" t="s">
        <v>229</v>
      </c>
    </row>
    <row r="131" spans="1:6" ht="15" customHeight="1" x14ac:dyDescent="0.25">
      <c r="A131" s="18" t="s">
        <v>137</v>
      </c>
      <c r="B131" s="12" t="s">
        <v>138</v>
      </c>
      <c r="C131" s="86">
        <f>SQRT(C128*C85/2)</f>
        <v>56.258448901922193</v>
      </c>
      <c r="D131" s="11"/>
      <c r="E131" s="19"/>
      <c r="F131" s="6" t="s">
        <v>229</v>
      </c>
    </row>
    <row r="132" spans="1:6" x14ac:dyDescent="0.25">
      <c r="B132" s="12" t="s">
        <v>139</v>
      </c>
      <c r="C132" s="86">
        <f>MIN(C130,C131)</f>
        <v>56.258448901922193</v>
      </c>
      <c r="D132" s="11"/>
      <c r="E132" s="11"/>
      <c r="F132" s="1" t="s">
        <v>140</v>
      </c>
    </row>
    <row r="133" spans="1:6" x14ac:dyDescent="0.25">
      <c r="B133" s="12" t="s">
        <v>141</v>
      </c>
      <c r="C133" s="20">
        <f>C132</f>
        <v>56.258448901922193</v>
      </c>
      <c r="D133" s="11"/>
      <c r="E133" s="19"/>
      <c r="F133" s="1" t="s">
        <v>142</v>
      </c>
    </row>
    <row r="134" spans="1:6" x14ac:dyDescent="0.25">
      <c r="A134" s="1" t="s">
        <v>143</v>
      </c>
      <c r="B134" s="12" t="s">
        <v>222</v>
      </c>
      <c r="C134" s="86">
        <f>2*PI()*C133*C78*C107/(C65*C66*C64)</f>
        <v>33.40468088486238</v>
      </c>
      <c r="D134" s="1">
        <f>(IF((10^(LOG(C134)-INT(LOG(C134)))*100)-VLOOKUP((10^(LOG(C134)-INT(LOG(C134)))*100),E96_s:E96_f,1)&lt;VLOOKUP((10^(LOG(C134)-INT(LOG(C134)))*100),E96_s:E96_f,2)-(10^(LOG(C134)-INT(LOG(C134)))*100),VLOOKUP((10^(LOG(C134)-INT(LOG(C134)))*100),E96_s:E96_f,1),VLOOKUP((10^(LOG(C134)-INT(LOG(C134)))*100),E96_s:E96_f,2)))*10^INT(LOG(C134))/100</f>
        <v>33.200000000000003</v>
      </c>
      <c r="E134" s="11"/>
      <c r="F134" s="1" t="s">
        <v>144</v>
      </c>
    </row>
    <row r="135" spans="1:6" x14ac:dyDescent="0.25">
      <c r="B135" s="11" t="s">
        <v>223</v>
      </c>
      <c r="C135" s="20">
        <v>31.6</v>
      </c>
      <c r="D135" s="11"/>
      <c r="E135" s="11"/>
      <c r="F135" s="1" t="s">
        <v>145</v>
      </c>
    </row>
    <row r="136" spans="1:6" x14ac:dyDescent="0.25">
      <c r="A136" s="1" t="s">
        <v>146</v>
      </c>
      <c r="B136" s="53" t="s">
        <v>155</v>
      </c>
      <c r="C136" s="82">
        <f>(C78/C81*C107)/C135/1000</f>
        <v>5.5696202531645566E-10</v>
      </c>
      <c r="D136" s="11">
        <f>IF(C136*10^15&lt;10000,IF((10^(LOG(C136*10^15)-INT(LOG(C136*10^15))))-VLOOKUP((10^(LOG(C136*10^15)-INT(LOG(C136*10^15)))),c_s1:C_f1,1)&lt;VLOOKUP((10^(LOG(C136*10^15)-INT(LOG(C136*10^15)))),c_s1:C_f1,2)-(10^(LOG(C136*10^15)-INT(LOG(C136*10^15)))),VLOOKUP((10^(LOG(C136*10^15)-INT(LOG(C136*10^15)))),c_s1:C_f1,1),VLOOKUP((10^(LOG(C136*10^15)-INT(LOG(C136*10^15)))),c_s1:C_f1,2))*10^INT(LOG(C136*10^15)),IF((10^(LOG(C136*10^15)-INT(LOG(C136*10^15))))-VLOOKUP((10^(LOG(C136*10^15)-INT(LOG(C136*10^15)))),C_s2:C_f2,1)&lt;VLOOKUP((10^(LOG(C136*10^15)-INT(LOG(C136*10^15)))),C_s2:C_f2,2)-(10^(LOG(C136*10^15)-INT(LOG(C136*10^15)))),VLOOKUP((10^(LOG(C136*10^15)-INT(LOG(C136*10^15)))),C_s2:C_f2,1),VLOOKUP((10^(LOG(C136*10^15)-INT(LOG(C136*10^15)))),C_s2:C_f2,2))*10^INT(LOG(C136*10^15)))*10^-15</f>
        <v>4.7000000000000003E-10</v>
      </c>
      <c r="E136" s="11"/>
      <c r="F136" s="1" t="s">
        <v>233</v>
      </c>
    </row>
    <row r="137" spans="1:6" x14ac:dyDescent="0.25">
      <c r="B137" s="56" t="s">
        <v>184</v>
      </c>
      <c r="C137" s="62">
        <f>D136</f>
        <v>4.7000000000000003E-10</v>
      </c>
      <c r="D137" s="11"/>
      <c r="E137" s="11"/>
      <c r="F137" s="1" t="s">
        <v>234</v>
      </c>
    </row>
    <row r="138" spans="1:6" x14ac:dyDescent="0.25">
      <c r="B138" s="12" t="s">
        <v>147</v>
      </c>
      <c r="C138" s="86">
        <f>C129</f>
        <v>9042.8944938576897</v>
      </c>
      <c r="D138" s="87" t="s">
        <v>148</v>
      </c>
      <c r="E138" s="88">
        <f>C85/2</f>
        <v>350</v>
      </c>
      <c r="F138" s="1" t="s">
        <v>149</v>
      </c>
    </row>
    <row r="139" spans="1:6" x14ac:dyDescent="0.25">
      <c r="A139" s="1" t="s">
        <v>146</v>
      </c>
      <c r="B139" s="56" t="s">
        <v>188</v>
      </c>
      <c r="C139" s="82">
        <f>C109*C107/C135/1000</f>
        <v>5.5696202531645579E-13</v>
      </c>
      <c r="D139" s="11"/>
      <c r="E139" s="11"/>
      <c r="F139" s="6" t="s">
        <v>187</v>
      </c>
    </row>
    <row r="140" spans="1:6" x14ac:dyDescent="0.25">
      <c r="A140" s="6" t="s">
        <v>172</v>
      </c>
      <c r="B140" s="56" t="s">
        <v>156</v>
      </c>
      <c r="C140" s="82">
        <f>1/(C135*1000*C85*1000*PI())</f>
        <v>1.4390139520062871E-11</v>
      </c>
      <c r="D140" s="11">
        <f>IF(C140*10^15&lt;10000,IF((10^(LOG(C140*10^15)-INT(LOG(C140*10^15))))-VLOOKUP((10^(LOG(C140*10^15)-INT(LOG(C140*10^15)))),c_s1:C_f1,1)&lt;VLOOKUP((10^(LOG(C140*10^15)-INT(LOG(C140*10^15)))),c_s1:C_f1,2)-(10^(LOG(C140*10^15)-INT(LOG(C140*10^15)))),VLOOKUP((10^(LOG(C140*10^15)-INT(LOG(C140*10^15)))),c_s1:C_f1,1),VLOOKUP((10^(LOG(C140*10^15)-INT(LOG(C140*10^15)))),c_s1:C_f1,2))*10^INT(LOG(C140*10^15)),IF((10^(LOG(C140*10^15)-INT(LOG(C140*10^15))))-VLOOKUP((10^(LOG(C140*10^15)-INT(LOG(C140*10^15)))),C_s2:C_f2,1)&lt;VLOOKUP((10^(LOG(C140*10^15)-INT(LOG(C140*10^15)))),C_s2:C_f2,2)-(10^(LOG(C140*10^15)-INT(LOG(C140*10^15)))),VLOOKUP((10^(LOG(C140*10^15)-INT(LOG(C140*10^15)))),C_s2:C_f2,1),VLOOKUP((10^(LOG(C140*10^15)-INT(LOG(C140*10^15)))),C_s2:C_f2,2))*10^INT(LOG(C140*10^15)))*10^-15</f>
        <v>1.5E-11</v>
      </c>
      <c r="E140" s="11"/>
      <c r="F140" s="6" t="s">
        <v>150</v>
      </c>
    </row>
    <row r="141" spans="1:6" x14ac:dyDescent="0.25">
      <c r="B141" s="11" t="s">
        <v>151</v>
      </c>
      <c r="C141" s="62">
        <f>D140</f>
        <v>1.5E-11</v>
      </c>
      <c r="D141" s="11"/>
      <c r="E141" s="11"/>
      <c r="F141" s="6" t="s">
        <v>228</v>
      </c>
    </row>
    <row r="142" spans="1:6" s="8" customFormat="1" x14ac:dyDescent="0.25">
      <c r="A142" s="21" t="s">
        <v>47</v>
      </c>
      <c r="B142" s="21"/>
      <c r="C142" s="22"/>
      <c r="D142" s="22"/>
      <c r="E142" s="22"/>
    </row>
    <row r="143" spans="1:6" ht="13" x14ac:dyDescent="0.3">
      <c r="B143" s="1" t="s">
        <v>154</v>
      </c>
      <c r="C143" s="89" t="str">
        <f>C56</f>
        <v>TPS54160/A</v>
      </c>
      <c r="D143" s="5"/>
    </row>
    <row r="144" spans="1:6" x14ac:dyDescent="0.25">
      <c r="B144" s="1" t="s">
        <v>93</v>
      </c>
      <c r="C144" s="90">
        <f>C95</f>
        <v>3.3000000000000002E-6</v>
      </c>
      <c r="D144" s="5"/>
    </row>
    <row r="145" spans="2:6" x14ac:dyDescent="0.25">
      <c r="B145" s="12" t="s">
        <v>105</v>
      </c>
      <c r="C145" s="90">
        <f>C105</f>
        <v>2.1999999999999999E-5</v>
      </c>
      <c r="D145" s="5"/>
    </row>
    <row r="146" spans="2:6" x14ac:dyDescent="0.25">
      <c r="B146" s="12" t="s">
        <v>107</v>
      </c>
      <c r="C146" s="90">
        <f>C107</f>
        <v>8.8000000000000004E-6</v>
      </c>
      <c r="D146" s="1" t="s">
        <v>108</v>
      </c>
    </row>
    <row r="147" spans="2:6" x14ac:dyDescent="0.25">
      <c r="B147" s="6" t="s">
        <v>210</v>
      </c>
      <c r="C147" s="91">
        <f>C88</f>
        <v>10</v>
      </c>
      <c r="D147" s="5"/>
    </row>
    <row r="148" spans="2:6" x14ac:dyDescent="0.25">
      <c r="B148" s="6" t="s">
        <v>211</v>
      </c>
      <c r="C148" s="92">
        <f>C90</f>
        <v>52.3</v>
      </c>
    </row>
    <row r="149" spans="2:6" x14ac:dyDescent="0.25">
      <c r="B149" s="6" t="s">
        <v>185</v>
      </c>
      <c r="C149" s="90">
        <f>C116</f>
        <v>1E-8</v>
      </c>
    </row>
    <row r="150" spans="2:6" x14ac:dyDescent="0.25">
      <c r="B150" s="48" t="s">
        <v>216</v>
      </c>
      <c r="C150" s="92">
        <f>C119</f>
        <v>86.6</v>
      </c>
    </row>
    <row r="151" spans="2:6" x14ac:dyDescent="0.25">
      <c r="B151" s="48" t="s">
        <v>217</v>
      </c>
      <c r="C151" s="92">
        <f>C120</f>
        <v>42.2</v>
      </c>
    </row>
    <row r="152" spans="2:6" x14ac:dyDescent="0.25">
      <c r="B152" s="6" t="s">
        <v>220</v>
      </c>
      <c r="C152" s="93">
        <f>C122</f>
        <v>165</v>
      </c>
    </row>
    <row r="153" spans="2:6" x14ac:dyDescent="0.25">
      <c r="B153" s="53" t="s">
        <v>230</v>
      </c>
      <c r="C153" s="94">
        <f>C112</f>
        <v>1.4100000000000001E-5</v>
      </c>
    </row>
    <row r="154" spans="2:6" x14ac:dyDescent="0.25">
      <c r="B154" s="6" t="s">
        <v>208</v>
      </c>
      <c r="C154" s="90">
        <v>9.9999999999999995E-8</v>
      </c>
      <c r="D154" s="6" t="s">
        <v>231</v>
      </c>
    </row>
    <row r="155" spans="2:6" x14ac:dyDescent="0.25">
      <c r="B155" s="1" t="s">
        <v>222</v>
      </c>
      <c r="C155" s="92">
        <f>C135</f>
        <v>31.6</v>
      </c>
      <c r="F155" s="92"/>
    </row>
    <row r="156" spans="2:6" x14ac:dyDescent="0.25">
      <c r="B156" s="6" t="s">
        <v>155</v>
      </c>
      <c r="C156" s="90">
        <f>C137</f>
        <v>4.7000000000000003E-10</v>
      </c>
      <c r="F156" s="92"/>
    </row>
    <row r="157" spans="2:6" x14ac:dyDescent="0.25">
      <c r="B157" s="1" t="s">
        <v>156</v>
      </c>
      <c r="C157" s="90">
        <f>C141</f>
        <v>1.5E-11</v>
      </c>
      <c r="D157" s="1" t="s">
        <v>157</v>
      </c>
      <c r="F157" s="95"/>
    </row>
    <row r="158" spans="2:6" x14ac:dyDescent="0.25">
      <c r="F158" s="95"/>
    </row>
    <row r="159" spans="2:6" x14ac:dyDescent="0.25">
      <c r="C159" s="95"/>
      <c r="F159" s="95"/>
    </row>
  </sheetData>
  <sheetProtection algorithmName="SHA-512" hashValue="UJb7o1VGllSyqrRjtLupW+DX2lUvfd/mdoehJGpfNfmdhwC01lSt1y5YYsli/N9aNexq7k9R1Ot0WS4QXrOxVA==" saltValue="PhXGU4G1ZS263H7kDtVC3g==" spinCount="100000" sheet="1"/>
  <dataValidations count="1">
    <dataValidation type="list" errorStyle="warning" allowBlank="1" showInputMessage="1" showErrorMessage="1" errorTitle="Select" error="Select Device from List_x000a_" promptTitle="Select" prompt="Select a Device" sqref="C56">
      <formula1>$J$58:$J$64</formula1>
    </dataValidation>
  </dataValidations>
  <pageMargins left="0.5" right="0.5" top="0.75" bottom="0.75" header="0.5" footer="0.5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212"/>
  <sheetViews>
    <sheetView zoomScale="50" zoomScaleNormal="70" workbookViewId="0">
      <selection activeCell="C10" sqref="C10"/>
    </sheetView>
  </sheetViews>
  <sheetFormatPr defaultRowHeight="12.5" x14ac:dyDescent="0.25"/>
  <cols>
    <col min="1" max="1" width="12.26953125" style="174" bestFit="1" customWidth="1"/>
    <col min="2" max="2" width="10" customWidth="1"/>
    <col min="3" max="3" width="13.453125" customWidth="1"/>
    <col min="4" max="4" width="14" customWidth="1"/>
    <col min="5" max="5" width="2.7265625" customWidth="1"/>
    <col min="6" max="6" width="4.7265625" customWidth="1"/>
    <col min="7" max="7" width="9.81640625" customWidth="1"/>
    <col min="8" max="12" width="16.7265625" customWidth="1"/>
    <col min="13" max="13" width="15.7265625" customWidth="1"/>
    <col min="14" max="14" width="12.1796875" bestFit="1" customWidth="1"/>
    <col min="15" max="15" width="12.7265625" bestFit="1" customWidth="1"/>
    <col min="16" max="16" width="18.26953125" customWidth="1"/>
    <col min="17" max="17" width="12.1796875" bestFit="1" customWidth="1"/>
    <col min="18" max="18" width="12.54296875" bestFit="1" customWidth="1"/>
    <col min="19" max="19" width="13.54296875" customWidth="1"/>
    <col min="20" max="21" width="12" bestFit="1" customWidth="1"/>
    <col min="23" max="24" width="12" bestFit="1" customWidth="1"/>
    <col min="26" max="27" width="12" bestFit="1" customWidth="1"/>
  </cols>
  <sheetData>
    <row r="1" spans="1:27" s="210" customFormat="1" ht="25" x14ac:dyDescent="0.25">
      <c r="B1" s="214" t="s">
        <v>308</v>
      </c>
      <c r="C1" s="214" t="s">
        <v>307</v>
      </c>
      <c r="D1" s="214"/>
      <c r="F1" s="213"/>
      <c r="G1" s="176" t="s">
        <v>306</v>
      </c>
      <c r="H1" s="212" t="s">
        <v>305</v>
      </c>
      <c r="I1" s="176" t="s">
        <v>304</v>
      </c>
      <c r="J1" s="176" t="s">
        <v>303</v>
      </c>
      <c r="K1" s="176" t="s">
        <v>302</v>
      </c>
      <c r="L1" s="176" t="s">
        <v>301</v>
      </c>
      <c r="M1" s="211" t="s">
        <v>300</v>
      </c>
      <c r="N1" s="176" t="s">
        <v>292</v>
      </c>
      <c r="O1" s="211" t="s">
        <v>298</v>
      </c>
      <c r="P1" s="211" t="s">
        <v>299</v>
      </c>
      <c r="Q1" s="176" t="s">
        <v>292</v>
      </c>
      <c r="R1" s="211" t="s">
        <v>298</v>
      </c>
      <c r="S1" s="211" t="s">
        <v>297</v>
      </c>
      <c r="T1" s="211" t="s">
        <v>296</v>
      </c>
      <c r="U1" s="211" t="s">
        <v>295</v>
      </c>
      <c r="V1" s="211" t="s">
        <v>294</v>
      </c>
      <c r="W1" s="176" t="s">
        <v>292</v>
      </c>
      <c r="X1" s="211" t="s">
        <v>291</v>
      </c>
      <c r="Y1" s="211" t="s">
        <v>293</v>
      </c>
      <c r="Z1" s="176" t="s">
        <v>292</v>
      </c>
      <c r="AA1" s="211" t="s">
        <v>291</v>
      </c>
    </row>
    <row r="2" spans="1:27" x14ac:dyDescent="0.25">
      <c r="A2" s="198" t="s">
        <v>279</v>
      </c>
      <c r="B2" s="204">
        <f>C2</f>
        <v>24</v>
      </c>
      <c r="C2" s="180">
        <f>Worksheet!C73</f>
        <v>24</v>
      </c>
      <c r="F2" s="177">
        <v>0</v>
      </c>
      <c r="G2" s="175">
        <f>10^('Small Signal'!F2/30)</f>
        <v>1</v>
      </c>
      <c r="H2" s="175" t="str">
        <f>COMPLEX(0,G2*2*PI())</f>
        <v>6.28318530717959i</v>
      </c>
      <c r="I2" s="175">
        <f>IF('Small Signal'!$B$37&gt;=1,Q2+0,N2+0)</f>
        <v>16.857403228189874</v>
      </c>
      <c r="J2" s="175">
        <f>IF('Small Signal'!$B$37&gt;=1,R2,O2)</f>
        <v>-4.0518741791171087E-3</v>
      </c>
      <c r="K2" s="175">
        <f>IF('Small Signal'!$B$37&gt;=1,Z2+0,W2+0)</f>
        <v>80.552413107652683</v>
      </c>
      <c r="L2" s="175">
        <f>IF('Small Signal'!$B$37&gt;=1,AA2,X2)</f>
        <v>162.42554325305508</v>
      </c>
      <c r="M2" s="175" t="str">
        <f>IMDIV(IMSUM('Small Signal'!$B$2*'Small Signal'!$B$16*'Small Signal'!$B$38,IMPRODUCT(H2,'Small Signal'!$B$2*'Small Signal'!$B$16*'Small Signal'!$B$38*'Small Signal'!$B$13*'Small Signal'!$B$14)),IMSUM(IMPRODUCT('Small Signal'!$B$11*'Small Signal'!$B$13*('Small Signal'!$B$14+'Small Signal'!$B$16),IMPOWER(H2,2)),IMSUM(IMPRODUCT(H2,('Small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6.96418276968471-0.000492496875511314i</v>
      </c>
      <c r="N2" s="175">
        <f>20*LOG(IMABS(M2))</f>
        <v>16.857403228189874</v>
      </c>
      <c r="O2" s="175">
        <f>(180/PI())*IMARGUMENT(M2)</f>
        <v>-4.0518741791171087E-3</v>
      </c>
      <c r="P2" s="175" t="str">
        <f>IMDIV(IMSUM('Small Signal'!$B$48,IMPRODUCT(H2,'Small Signal'!$B$49)),IMSUM(IMPRODUCT('Small Signal'!$B$52,IMPOWER(H2,2)),IMSUM(IMPRODUCT(H2,'Small Signal'!$B$51),'Small Signal'!$B$50)))</f>
        <v>11.3482219386683-0.000825267103071366i</v>
      </c>
      <c r="Q2" s="175">
        <f>20*LOG(IMABS(P2))</f>
        <v>21.098556438190627</v>
      </c>
      <c r="R2" s="175">
        <f>(180/PI())*IMARGUMENT(P2)</f>
        <v>-4.1666722900884131E-3</v>
      </c>
      <c r="S2" s="175" t="str">
        <f>IMPRODUCT(IMDIV(IMSUM(IMPRODUCT(H2,'Small Signal'!$B$33*'Small Signal'!$B$6*'Small Signal'!$B$27*'Small Signal'!$B$7*'Small Signal'!$B$8),'Small Signal'!$B$33*'Small Signal'!$B$6*'Small Signal'!$B$27),IMSUM(IMSUM(IMPRODUCT(H2,('Small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Signal'!$B$5),IMPRODUCT(IMPOWER(H2,2),'Small Signal'!$B$32*'Small Signal'!$B$33*'Small Signal'!$B$8*'Small Signal'!$B$7*('Small Signal'!$B$5+'Small Signal'!$B$6)+('Small Signal'!$B$5+'Small Signal'!$B$6)*('Small Signal'!$B$9*'Small Signal'!$B$8*'Small Signal'!$B$33*'Small Signal'!$B$7)))),-1)</f>
        <v>-1458.81887132298+461.935387726751i</v>
      </c>
      <c r="T2" s="175">
        <f>20*LOG(IMABS(S2))</f>
        <v>63.695009879462845</v>
      </c>
      <c r="U2" s="175">
        <f>(180/PI())*IMARGUMENT(S2)</f>
        <v>162.42959512723431</v>
      </c>
      <c r="V2" s="175" t="str">
        <f>IMPRODUCT(M2,S2)</f>
        <v>-10159.2537460232+3217.72093165033i</v>
      </c>
      <c r="W2" s="176">
        <f>20*LOG(IMABS(V2))</f>
        <v>80.552413107652683</v>
      </c>
      <c r="X2" s="175">
        <f>(180/PI())*IMARGUMENT(V2)</f>
        <v>162.42554325305508</v>
      </c>
      <c r="Y2" s="175" t="str">
        <f>IMPRODUCT(P2,S2)</f>
        <v>-16554.6191000115+5243.3492164718i</v>
      </c>
      <c r="Z2" s="176">
        <f>20*LOG(IMABS(Y2))</f>
        <v>84.793566317653443</v>
      </c>
      <c r="AA2" s="175">
        <f>(180/PI())*IMARGUMENT(Y2)</f>
        <v>162.42542845494421</v>
      </c>
    </row>
    <row r="3" spans="1:27" x14ac:dyDescent="0.25">
      <c r="A3" s="198" t="s">
        <v>278</v>
      </c>
      <c r="B3" s="204">
        <f>C3</f>
        <v>5</v>
      </c>
      <c r="C3" s="180">
        <f>Worksheet!C78</f>
        <v>5</v>
      </c>
      <c r="D3" s="209"/>
      <c r="F3" s="177">
        <v>1</v>
      </c>
      <c r="G3" s="175">
        <f>10^('Small Signal'!F3/30)</f>
        <v>1.0797751623277096</v>
      </c>
      <c r="H3" s="175" t="str">
        <f>COMPLEX(0,G3*2*PI())</f>
        <v>6.78442743499492i</v>
      </c>
      <c r="I3" s="175">
        <f>IF('Small Signal'!$B$37&gt;=1,Q3+0,N3+0)</f>
        <v>16.857403225232904</v>
      </c>
      <c r="J3" s="175">
        <f>IF('Small Signal'!$B$37&gt;=1,R3,O3)</f>
        <v>-4.3751130986037414E-3</v>
      </c>
      <c r="K3" s="175">
        <f>IF('Small Signal'!$B$37&gt;=1,Z3+0,W3+0)</f>
        <v>80.487203534192815</v>
      </c>
      <c r="L3" s="175">
        <f>IF('Small Signal'!$B$37&gt;=1,AA3,X3)</f>
        <v>161.11958019301937</v>
      </c>
      <c r="M3" s="175" t="str">
        <f>IMDIV(IMSUM('Small Signal'!$B$2*'Small Signal'!$B$16*'Small Signal'!$B$38,IMPRODUCT(H3,'Small Signal'!$B$2*'Small Signal'!$B$16*'Small Signal'!$B$38*'Small Signal'!$B$13*'Small Signal'!$B$14)),IMSUM(IMPRODUCT('Small Signal'!$B$11*'Small Signal'!$B$13*('Small Signal'!$B$14+'Small Signal'!$B$16),IMPOWER(H3,2)),IMSUM(IMPRODUCT(H3,('Small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6.96418276442458-0.000531785893339104i</v>
      </c>
      <c r="N3" s="175">
        <f>20*LOG(IMABS(M3))</f>
        <v>16.857403225232904</v>
      </c>
      <c r="O3" s="175">
        <f>(180/PI())*IMARGUMENT(M3)</f>
        <v>-4.3751130986037414E-3</v>
      </c>
      <c r="P3" s="175" t="str">
        <f>IMDIV(IMSUM('Small Signal'!$B$48,IMPRODUCT(H3,'Small Signal'!$B$49)),IMSUM(IMPRODUCT('Small Signal'!$B$52,IMPOWER(H3,2)),IMSUM(IMPRODUCT(H3,'Small Signal'!$B$51),'Small Signal'!$B$50)))</f>
        <v>11.3482219302068-0.000891102919635818i</v>
      </c>
      <c r="Q3" s="175">
        <f>20*LOG(IMABS(P3))</f>
        <v>21.098556435524898</v>
      </c>
      <c r="R3" s="175">
        <f>(180/PI())*IMARGUMENT(P3)</f>
        <v>-4.4990692476746591E-3</v>
      </c>
      <c r="S3" s="175" t="str">
        <f>IMPRODUCT(IMDIV(IMSUM(IMPRODUCT(H3,'Small Signal'!$B$33*'Small Signal'!$B$6*'Small Signal'!$B$27*'Small Signal'!$B$7*'Small Signal'!$B$8),'Small Signal'!$B$33*'Small Signal'!$B$6*'Small Signal'!$B$27),IMSUM(IMSUM(IMPRODUCT(H3,('Small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Signal'!$B$5),IMPRODUCT(IMPOWER(H3,2),'Small Signal'!$B$32*'Small Signal'!$B$33*'Small Signal'!$B$8*'Small Signal'!$B$7*('Small Signal'!$B$5+'Small Signal'!$B$6)+('Small Signal'!$B$5+'Small Signal'!$B$6)*('Small Signal'!$B$9*'Small Signal'!$B$8*'Small Signal'!$B$33*'Small Signal'!$B$7)))),-1)</f>
        <v>-1437.08502111161+491.352997065088i</v>
      </c>
      <c r="T3" s="175">
        <f>20*LOG(IMABS(S3))</f>
        <v>63.629800308959915</v>
      </c>
      <c r="U3" s="175">
        <f>(180/PI())*IMARGUMENT(S3)</f>
        <v>161.12395530611803</v>
      </c>
      <c r="V3" s="175" t="str">
        <f>IMPRODUCT(M3,S3)</f>
        <v>-10007.8614404457+3422.6362949508i</v>
      </c>
      <c r="W3" s="176">
        <f>20*LOG(IMABS(V3))</f>
        <v>80.487203534192815</v>
      </c>
      <c r="X3" s="175">
        <f>(180/PI())*IMARGUMENT(V3)</f>
        <v>161.11958019301937</v>
      </c>
      <c r="Y3" s="175" t="str">
        <f>IMPRODUCT(P3,S3)</f>
        <v>-16307.9219060602+5577.26344742495i</v>
      </c>
      <c r="Z3" s="176">
        <f>20*LOG(IMABS(Y3))</f>
        <v>84.728356744484813</v>
      </c>
      <c r="AA3" s="175">
        <f>(180/PI())*IMARGUMENT(Y3)</f>
        <v>161.11945623687032</v>
      </c>
    </row>
    <row r="4" spans="1:27" x14ac:dyDescent="0.25">
      <c r="A4" s="198" t="s">
        <v>290</v>
      </c>
      <c r="B4" s="204">
        <f>C4</f>
        <v>2.5</v>
      </c>
      <c r="C4" s="208">
        <f>Worksheet!C81</f>
        <v>2.5</v>
      </c>
      <c r="D4" s="184"/>
      <c r="F4" s="177">
        <v>2</v>
      </c>
      <c r="G4" s="175">
        <f>10^('Small Signal'!F4/30)</f>
        <v>1.1659144011798317</v>
      </c>
      <c r="H4" s="175" t="str">
        <f>COMPLEX(0,G4*2*PI())</f>
        <v>7.3256562349222i</v>
      </c>
      <c r="I4" s="175">
        <f>IF('Small Signal'!$B$37&gt;=1,Q4+0,N4+0)</f>
        <v>16.857403221785312</v>
      </c>
      <c r="J4" s="175">
        <f>IF('Small Signal'!$B$37&gt;=1,R4,O4)</f>
        <v>-4.7241384551341857E-3</v>
      </c>
      <c r="K4" s="175">
        <f>IF('Small Signal'!$B$37&gt;=1,Z4+0,W4+0)</f>
        <v>80.412390784167769</v>
      </c>
      <c r="L4" s="175">
        <f>IF('Small Signal'!$B$37&gt;=1,AA4,X4)</f>
        <v>159.73196997062516</v>
      </c>
      <c r="M4" s="175" t="str">
        <f>IMDIV(IMSUM('Small Signal'!$B$2*'Small Signal'!$B$16*'Small Signal'!$B$38,IMPRODUCT(H4,'Small Signal'!$B$2*'Small Signal'!$B$16*'Small Signal'!$B$38*'Small Signal'!$B$13*'Small Signal'!$B$14)),IMSUM(IMPRODUCT('Small Signal'!$B$11*'Small Signal'!$B$13*('Small Signal'!$B$14+'Small Signal'!$B$16),IMPOWER(H4,2)),IMSUM(IMPRODUCT(H4,('Small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6.9641827582917-0.000574209198848065i</v>
      </c>
      <c r="N4" s="175">
        <f>20*LOG(IMABS(M4))</f>
        <v>16.857403221785312</v>
      </c>
      <c r="O4" s="175">
        <f>(180/PI())*IMARGUMENT(M4)</f>
        <v>-4.7241384551341857E-3</v>
      </c>
      <c r="P4" s="175" t="str">
        <f>IMDIV(IMSUM('Small Signal'!$B$48,IMPRODUCT(H4,'Small Signal'!$B$49)),IMSUM(IMPRODUCT('Small Signal'!$B$52,IMPOWER(H4,2)),IMSUM(IMPRODUCT(H4,'Small Signal'!$B$51),'Small Signal'!$B$50)))</f>
        <v>11.3482219203414-0.000962190799012093i</v>
      </c>
      <c r="Q4" s="175">
        <f>20*LOG(IMABS(P4))</f>
        <v>21.098556432416874</v>
      </c>
      <c r="R4" s="175">
        <f>(180/PI())*IMARGUMENT(P4)</f>
        <v>-4.8579832263226314E-3</v>
      </c>
      <c r="S4" s="175" t="str">
        <f>IMPRODUCT(IMDIV(IMSUM(IMPRODUCT(H4,'Small Signal'!$B$33*'Small Signal'!$B$6*'Small Signal'!$B$27*'Small Signal'!$B$7*'Small Signal'!$B$8),'Small Signal'!$B$33*'Small Signal'!$B$6*'Small Signal'!$B$27),IMSUM(IMSUM(IMPRODUCT(H4,('Small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Signal'!$B$5),IMPRODUCT(IMPOWER(H4,2),'Small Signal'!$B$32*'Small Signal'!$B$33*'Small Signal'!$B$8*'Small Signal'!$B$7*('Small Signal'!$B$5+'Small Signal'!$B$6)+('Small Signal'!$B$5+'Small Signal'!$B$6)*('Small Signal'!$B$9*'Small Signal'!$B$8*'Small Signal'!$B$33*'Small Signal'!$B$7)))),-1)</f>
        <v>-1412.54917137835+521.489618766197i</v>
      </c>
      <c r="T4" s="175">
        <f>20*LOG(IMABS(S4))</f>
        <v>63.554987562382451</v>
      </c>
      <c r="U4" s="175">
        <f>(180/PI())*IMARGUMENT(S4)</f>
        <v>159.73669410908028</v>
      </c>
      <c r="V4" s="175" t="str">
        <f>IMPRODUCT(M4,S4)</f>
        <v>-9836.95114041613+3632.56011036769i</v>
      </c>
      <c r="W4" s="176">
        <f>20*LOG(IMABS(V4))</f>
        <v>80.412390784167769</v>
      </c>
      <c r="X4" s="175">
        <f>(180/PI())*IMARGUMENT(V4)</f>
        <v>159.73196997062516</v>
      </c>
      <c r="Y4" s="175" t="str">
        <f>IMPRODUCT(P4,S4)</f>
        <v>-16029.4196976829+5919.33906472889i</v>
      </c>
      <c r="Z4" s="176">
        <f>20*LOG(IMABS(Y4))</f>
        <v>84.653543994799321</v>
      </c>
      <c r="AA4" s="175">
        <f>(180/PI())*IMARGUMENT(Y4)</f>
        <v>159.73183612585393</v>
      </c>
    </row>
    <row r="5" spans="1:27" x14ac:dyDescent="0.25">
      <c r="A5" s="198" t="s">
        <v>289</v>
      </c>
      <c r="B5" s="204">
        <f>C5</f>
        <v>52300</v>
      </c>
      <c r="C5" s="215">
        <f>Worksheet!C90*1000</f>
        <v>52300</v>
      </c>
      <c r="D5" s="184"/>
      <c r="F5" s="177">
        <v>3</v>
      </c>
      <c r="G5" s="175">
        <f>10^('Small Signal'!F5/30)</f>
        <v>1.2589254117941673</v>
      </c>
      <c r="H5" s="175" t="str">
        <f>COMPLEX(0,G5*2*PI())</f>
        <v>7.91006165022012i</v>
      </c>
      <c r="I5" s="175">
        <f>IF('Small Signal'!$B$37&gt;=1,Q5+0,N5+0)</f>
        <v>16.857403217765739</v>
      </c>
      <c r="J5" s="175">
        <f>IF('Small Signal'!$B$37&gt;=1,R5,O5)</f>
        <v>-5.1010073658502393E-3</v>
      </c>
      <c r="K5" s="175">
        <f>IF('Small Signal'!$B$37&gt;=1,Z5+0,W5+0)</f>
        <v>80.326762240956086</v>
      </c>
      <c r="L5" s="175">
        <f>IF('Small Signal'!$B$37&gt;=1,AA5,X5)</f>
        <v>158.2610689047622</v>
      </c>
      <c r="M5" s="175" t="str">
        <f>IMDIV(IMSUM('Small Signal'!$B$2*'Small Signal'!$B$16*'Small Signal'!$B$38,IMPRODUCT(H5,'Small Signal'!$B$2*'Small Signal'!$B$16*'Small Signal'!$B$38*'Small Signal'!$B$13*'Small Signal'!$B$14)),IMSUM(IMPRODUCT('Small Signal'!$B$11*'Small Signal'!$B$13*('Small Signal'!$B$14+'Small Signal'!$B$16),IMPOWER(H5,2)),IMSUM(IMPRODUCT(H5,('Small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6.96418275114131-0.000620016830322481i</v>
      </c>
      <c r="N5" s="175">
        <f>20*LOG(IMABS(M5))</f>
        <v>16.857403217765739</v>
      </c>
      <c r="O5" s="175">
        <f>(180/PI())*IMARGUMENT(M5)</f>
        <v>-5.1010073658502393E-3</v>
      </c>
      <c r="P5" s="175" t="str">
        <f>IMDIV(IMSUM('Small Signal'!$B$48,IMPRODUCT(H5,'Small Signal'!$B$49)),IMSUM(IMPRODUCT('Small Signal'!$B$52,IMPOWER(H5,2)),IMSUM(IMPRODUCT(H5,'Small Signal'!$B$51),'Small Signal'!$B$50)))</f>
        <v>11.3482219088393-0.00103894972532694i</v>
      </c>
      <c r="Q5" s="175">
        <f>20*LOG(IMABS(P5))</f>
        <v>21.098556428793273</v>
      </c>
      <c r="R5" s="175">
        <f>(180/PI())*IMARGUMENT(P5)</f>
        <v>-5.2455296256437136E-3</v>
      </c>
      <c r="S5" s="175" t="str">
        <f>IMPRODUCT(IMDIV(IMSUM(IMPRODUCT(H5,'Small Signal'!$B$33*'Small Signal'!$B$6*'Small Signal'!$B$27*'Small Signal'!$B$7*'Small Signal'!$B$8),'Small Signal'!$B$33*'Small Signal'!$B$6*'Small Signal'!$B$27),IMSUM(IMSUM(IMPRODUCT(H5,('Small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Signal'!$B$5),IMPRODUCT(IMPOWER(H5,2),'Small Signal'!$B$32*'Small Signal'!$B$33*'Small Signal'!$B$8*'Small Signal'!$B$7*('Small Signal'!$B$5+'Small Signal'!$B$6)+('Small Signal'!$B$5+'Small Signal'!$B$6)*('Small Signal'!$B$9*'Small Signal'!$B$8*'Small Signal'!$B$33*'Small Signal'!$B$7)))),-1)</f>
        <v>-1384.98000465931+552.097964533129i</v>
      </c>
      <c r="T5" s="175">
        <f>20*LOG(IMABS(S5))</f>
        <v>63.46935902319035</v>
      </c>
      <c r="U5" s="175">
        <f>(180/PI())*IMARGUMENT(S5)</f>
        <v>158.26616991212805</v>
      </c>
      <c r="V5" s="175" t="str">
        <f>IMPRODUCT(M5,S5)</f>
        <v>-9644.91154909398+3845.76983245439i</v>
      </c>
      <c r="W5" s="176">
        <f>20*LOG(IMABS(V5))</f>
        <v>80.326762240956086</v>
      </c>
      <c r="X5" s="175">
        <f>(180/PI())*IMARGUMENT(V5)</f>
        <v>158.2610689047622</v>
      </c>
      <c r="Y5" s="175" t="str">
        <f>IMPRODUCT(P5,S5)</f>
        <v>-15716.4868301505+6266.76914153586i</v>
      </c>
      <c r="Z5" s="176">
        <f>20*LOG(IMABS(Y5))</f>
        <v>84.567915451983595</v>
      </c>
      <c r="AA5" s="175">
        <f>(180/PI())*IMARGUMENT(Y5)</f>
        <v>158.26092438250237</v>
      </c>
    </row>
    <row r="6" spans="1:27" x14ac:dyDescent="0.25">
      <c r="A6" s="198" t="s">
        <v>288</v>
      </c>
      <c r="B6" s="204">
        <f>C6</f>
        <v>10000</v>
      </c>
      <c r="C6" s="180">
        <f>Worksheet!C88*1000</f>
        <v>10000</v>
      </c>
      <c r="D6" s="184"/>
      <c r="F6" s="177">
        <v>4</v>
      </c>
      <c r="G6" s="175">
        <f>10^('Small Signal'!F6/30)</f>
        <v>1.3593563908785258</v>
      </c>
      <c r="H6" s="175" t="str">
        <f>COMPLEX(0,G6*2*PI())</f>
        <v>8.54108810238862i</v>
      </c>
      <c r="I6" s="175">
        <f>IF('Small Signal'!$B$37&gt;=1,Q6+0,N6+0)</f>
        <v>16.857403213079223</v>
      </c>
      <c r="J6" s="175">
        <f>IF('Small Signal'!$B$37&gt;=1,R6,O6)</f>
        <v>-5.5079410547321942E-3</v>
      </c>
      <c r="K6" s="175">
        <f>IF('Small Signal'!$B$37&gt;=1,Z6+0,W6+0)</f>
        <v>80.229012820649785</v>
      </c>
      <c r="L6" s="175">
        <f>IF('Small Signal'!$B$37&gt;=1,AA6,X6)</f>
        <v>156.70598839789656</v>
      </c>
      <c r="M6" s="175" t="str">
        <f>IMDIV(IMSUM('Small Signal'!$B$2*'Small Signal'!$B$16*'Small Signal'!$B$38,IMPRODUCT(H6,'Small Signal'!$B$2*'Small Signal'!$B$16*'Small Signal'!$B$38*'Small Signal'!$B$13*'Small Signal'!$B$14)),IMSUM(IMPRODUCT('Small Signal'!$B$11*'Small Signal'!$B$13*('Small Signal'!$B$14+'Small Signal'!$B$16),IMPOWER(H6,2)),IMSUM(IMPRODUCT(H6,('Small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6.96418274280454-0.000669478772885052i</v>
      </c>
      <c r="N6" s="175">
        <f>20*LOG(IMABS(M6))</f>
        <v>16.857403213079223</v>
      </c>
      <c r="O6" s="175">
        <f>(180/PI())*IMARGUMENT(M6)</f>
        <v>-5.5079410547321942E-3</v>
      </c>
      <c r="P6" s="175" t="str">
        <f>IMDIV(IMSUM('Small Signal'!$B$48,IMPRODUCT(H6,'Small Signal'!$B$49)),IMSUM(IMPRODUCT('Small Signal'!$B$52,IMPOWER(H6,2)),IMSUM(IMPRODUCT(H6,'Small Signal'!$B$51),'Small Signal'!$B$50)))</f>
        <v>11.3482218954287-0.00112183210722424i</v>
      </c>
      <c r="Q6" s="175">
        <f>20*LOG(IMABS(P6))</f>
        <v>21.098556424568358</v>
      </c>
      <c r="R6" s="175">
        <f>(180/PI())*IMARGUMENT(P6)</f>
        <v>-5.6639926015837972E-3</v>
      </c>
      <c r="S6" s="175" t="str">
        <f>IMPRODUCT(IMDIV(IMSUM(IMPRODUCT(H6,'Small Signal'!$B$33*'Small Signal'!$B$6*'Small Signal'!$B$27*'Small Signal'!$B$7*'Small Signal'!$B$8),'Small Signal'!$B$33*'Small Signal'!$B$6*'Small Signal'!$B$27),IMSUM(IMSUM(IMPRODUCT(H6,('Small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Signal'!$B$5),IMPRODUCT(IMPOWER(H6,2),'Small Signal'!$B$32*'Small Signal'!$B$33*'Small Signal'!$B$8*'Small Signal'!$B$7*('Small Signal'!$B$5+'Small Signal'!$B$6)+('Small Signal'!$B$5+'Small Signal'!$B$6)*('Small Signal'!$B$9*'Small Signal'!$B$8*'Small Signal'!$B$33*'Small Signal'!$B$7)))),-1)</f>
        <v>-1354.16569028301+582.87380329399i</v>
      </c>
      <c r="T6" s="175">
        <f>20*LOG(IMABS(S6))</f>
        <v>63.371609607570548</v>
      </c>
      <c r="U6" s="175">
        <f>(180/PI())*IMARGUMENT(S6)</f>
        <v>156.71149633895132</v>
      </c>
      <c r="V6" s="175" t="str">
        <f>IMPRODUCT(M6,S6)</f>
        <v>-9430.26710952836+4060.14626731747i</v>
      </c>
      <c r="W6" s="176">
        <f>20*LOG(IMABS(V6))</f>
        <v>80.229012820649785</v>
      </c>
      <c r="X6" s="175">
        <f>(180/PI())*IMARGUMENT(V6)</f>
        <v>156.70598839789656</v>
      </c>
      <c r="Y6" s="175" t="str">
        <f>IMPRODUCT(P6,S6)</f>
        <v>-15366.718849961+6616.10040336252i</v>
      </c>
      <c r="Z6" s="176">
        <f>20*LOG(IMABS(Y6))</f>
        <v>84.470166032138934</v>
      </c>
      <c r="AA6" s="175">
        <f>(180/PI())*IMARGUMENT(Y6)</f>
        <v>156.70583234634975</v>
      </c>
    </row>
    <row r="7" spans="1:27" x14ac:dyDescent="0.25">
      <c r="A7" s="198" t="s">
        <v>287</v>
      </c>
      <c r="B7" s="207">
        <f>C7</f>
        <v>31600</v>
      </c>
      <c r="C7" s="206">
        <f>Worksheet!C135*1000</f>
        <v>31600</v>
      </c>
      <c r="D7" s="205"/>
      <c r="F7" s="177">
        <v>5</v>
      </c>
      <c r="G7" s="175">
        <f>10^('Small Signal'!F7/30)</f>
        <v>1.4677992676220697</v>
      </c>
      <c r="H7" s="175" t="str">
        <f>COMPLEX(0,G7*2*PI())</f>
        <v>9.22245479221194i</v>
      </c>
      <c r="I7" s="175">
        <f>IF('Small Signal'!$B$37&gt;=1,Q7+0,N7+0)</f>
        <v>16.857403207615182</v>
      </c>
      <c r="J7" s="175">
        <f>IF('Small Signal'!$B$37&gt;=1,R7,O7)</f>
        <v>-5.9473379442447081E-3</v>
      </c>
      <c r="K7" s="175">
        <f>IF('Small Signal'!$B$37&gt;=1,Z7+0,W7+0)</f>
        <v>80.117755698914891</v>
      </c>
      <c r="L7" s="175">
        <f>IF('Small Signal'!$B$37&gt;=1,AA7,X7)</f>
        <v>155.06675396394888</v>
      </c>
      <c r="M7" s="175" t="str">
        <f>IMDIV(IMSUM('Small Signal'!$B$2*'Small Signal'!$B$16*'Small Signal'!$B$38,IMPRODUCT(H7,'Small Signal'!$B$2*'Small Signal'!$B$16*'Small Signal'!$B$38*'Small Signal'!$B$13*'Small Signal'!$B$14)),IMSUM(IMPRODUCT('Small Signal'!$B$11*'Small Signal'!$B$13*('Small Signal'!$B$14+'Small Signal'!$B$16),IMPOWER(H7,2)),IMSUM(IMPRODUCT(H7,('Small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6.9641827330846-0.000722886549757575i</v>
      </c>
      <c r="N7" s="175">
        <f>20*LOG(IMABS(M7))</f>
        <v>16.857403207615182</v>
      </c>
      <c r="O7" s="175">
        <f>(180/PI())*IMARGUMENT(M7)</f>
        <v>-5.9473379442447081E-3</v>
      </c>
      <c r="P7" s="175" t="str">
        <f>IMDIV(IMSUM('Small Signal'!$B$48,IMPRODUCT(H7,'Small Signal'!$B$49)),IMSUM(IMPRODUCT('Small Signal'!$B$52,IMPOWER(H7,2)),IMSUM(IMPRODUCT(H7,'Small Signal'!$B$51),'Small Signal'!$B$50)))</f>
        <v>11.3482218797932-0.00121132644430902i</v>
      </c>
      <c r="Q7" s="175">
        <f>20*LOG(IMABS(P7))</f>
        <v>21.098556419642556</v>
      </c>
      <c r="R7" s="175">
        <f>(180/PI())*IMARGUMENT(P7)</f>
        <v>-6.1158385289846046E-3</v>
      </c>
      <c r="S7" s="175" t="str">
        <f>IMPRODUCT(IMDIV(IMSUM(IMPRODUCT(H7,'Small Signal'!$B$33*'Small Signal'!$B$6*'Small Signal'!$B$27*'Small Signal'!$B$7*'Small Signal'!$B$8),'Small Signal'!$B$33*'Small Signal'!$B$6*'Small Signal'!$B$27),IMSUM(IMSUM(IMPRODUCT(H7,('Small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Signal'!$B$5),IMPRODUCT(IMPOWER(H7,2),'Small Signal'!$B$32*'Small Signal'!$B$33*'Small Signal'!$B$8*'Small Signal'!$B$7*('Small Signal'!$B$5+'Small Signal'!$B$6)+('Small Signal'!$B$5+'Small Signal'!$B$6)*('Small Signal'!$B$9*'Small Signal'!$B$8*'Small Signal'!$B$33*'Small Signal'!$B$7)))),-1)</f>
        <v>-1319.92689144681+613.45421865179i</v>
      </c>
      <c r="T7" s="175">
        <f>20*LOG(IMABS(S7))</f>
        <v>63.260352491299713</v>
      </c>
      <c r="U7" s="175">
        <f>(180/PI())*IMARGUMENT(S7)</f>
        <v>155.07270130189312</v>
      </c>
      <c r="V7" s="175" t="str">
        <f>IMPRODUCT(M7,S7)</f>
        <v>-9191.76860854435+4273.16143446919i</v>
      </c>
      <c r="W7" s="176">
        <f>20*LOG(IMABS(V7))</f>
        <v>80.117755698914891</v>
      </c>
      <c r="X7" s="175">
        <f>(180/PI())*IMARGUMENT(V7)</f>
        <v>155.06675396394888</v>
      </c>
      <c r="Y7" s="175" t="str">
        <f>IMPRODUCT(P7,S7)</f>
        <v>-14978.0801359267+6963.21344870385i</v>
      </c>
      <c r="Z7" s="176">
        <f>20*LOG(IMABS(Y7))</f>
        <v>84.358908910942262</v>
      </c>
      <c r="AA7" s="175">
        <f>(180/PI())*IMARGUMENT(Y7)</f>
        <v>155.06658546336416</v>
      </c>
    </row>
    <row r="8" spans="1:27" x14ac:dyDescent="0.25">
      <c r="A8" s="198" t="s">
        <v>286</v>
      </c>
      <c r="B8" s="201">
        <f>C8</f>
        <v>4.7000000000000003E-10</v>
      </c>
      <c r="C8" s="200">
        <f>Worksheet!C137</f>
        <v>4.7000000000000003E-10</v>
      </c>
      <c r="D8" s="199"/>
      <c r="F8" s="177">
        <v>6</v>
      </c>
      <c r="G8" s="175">
        <f>10^('Small Signal'!F8/30)</f>
        <v>1.5848931924611136</v>
      </c>
      <c r="H8" s="175" t="str">
        <f>COMPLEX(0,G8*2*PI())</f>
        <v>9.95817762032062i</v>
      </c>
      <c r="I8" s="175">
        <f>IF('Small Signal'!$B$37&gt;=1,Q8+0,N8+0)</f>
        <v>16.857403201244555</v>
      </c>
      <c r="J8" s="175">
        <f>IF('Small Signal'!$B$37&gt;=1,R8,O8)</f>
        <v>-6.4217877913694942E-3</v>
      </c>
      <c r="K8" s="175">
        <f>IF('Small Signal'!$B$37&gt;=1,Z8+0,W8+0)</f>
        <v>79.991538837008761</v>
      </c>
      <c r="L8" s="175">
        <f>IF('Small Signal'!$B$37&gt;=1,AA8,X8)</f>
        <v>153.3444651032903</v>
      </c>
      <c r="M8" s="175" t="str">
        <f>IMDIV(IMSUM('Small Signal'!$B$2*'Small Signal'!$B$16*'Small Signal'!$B$38,IMPRODUCT(H8,'Small Signal'!$B$2*'Small Signal'!$B$16*'Small Signal'!$B$38*'Small Signal'!$B$13*'Small Signal'!$B$14)),IMSUM(IMPRODUCT('Small Signal'!$B$11*'Small Signal'!$B$13*('Small Signal'!$B$14+'Small Signal'!$B$16),IMPOWER(H8,2)),IMSUM(IMPRODUCT(H8,('Small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6.96418272175197-0.000780554940464212i</v>
      </c>
      <c r="N8" s="175">
        <f>20*LOG(IMABS(M8))</f>
        <v>16.857403201244555</v>
      </c>
      <c r="O8" s="175">
        <f>(180/PI())*IMARGUMENT(M8)</f>
        <v>-6.4217877913694942E-3</v>
      </c>
      <c r="P8" s="175" t="str">
        <f>IMDIV(IMSUM('Small Signal'!$B$48,IMPRODUCT(H8,'Small Signal'!$B$49)),IMSUM(IMPRODUCT('Small Signal'!$B$52,IMPOWER(H8,2)),IMSUM(IMPRODUCT(H8,'Small Signal'!$B$51),'Small Signal'!$B$50)))</f>
        <v>11.3482218615635-0.00130796020630654i</v>
      </c>
      <c r="Q8" s="175">
        <f>20*LOG(IMABS(P8))</f>
        <v>21.098556413899452</v>
      </c>
      <c r="R8" s="175">
        <f>(180/PI())*IMARGUMENT(P8)</f>
        <v>-6.6037305381214844E-3</v>
      </c>
      <c r="S8" s="175" t="str">
        <f>IMPRODUCT(IMDIV(IMSUM(IMPRODUCT(H8,'Small Signal'!$B$33*'Small Signal'!$B$6*'Small Signal'!$B$27*'Small Signal'!$B$7*'Small Signal'!$B$8),'Small Signal'!$B$33*'Small Signal'!$B$6*'Small Signal'!$B$27),IMSUM(IMSUM(IMPRODUCT(H8,('Small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Signal'!$B$5),IMPRODUCT(IMPOWER(H8,2),'Small Signal'!$B$32*'Small Signal'!$B$33*'Small Signal'!$B$8*'Small Signal'!$B$7*('Small Signal'!$B$5+'Small Signal'!$B$6)+('Small Signal'!$B$5+'Small Signal'!$B$6)*('Small Signal'!$B$9*'Small Signal'!$B$8*'Small Signal'!$B$33*'Small Signal'!$B$7)))),-1)</f>
        <v>-1282.1315922777+643.418885208234i</v>
      </c>
      <c r="T8" s="175">
        <f>20*LOG(IMABS(S8))</f>
        <v>63.13413563576421</v>
      </c>
      <c r="U8" s="175">
        <f>(180/PI())*IMARGUMENT(S8)</f>
        <v>153.3508868910817</v>
      </c>
      <c r="V8" s="175" t="str">
        <f>IMPRODUCT(M8,S8)</f>
        <v>-8928.49645816306+4481.88745736478i</v>
      </c>
      <c r="W8" s="176">
        <f>20*LOG(IMABS(V8))</f>
        <v>79.991538837008761</v>
      </c>
      <c r="X8" s="175">
        <f>(180/PI())*IMARGUMENT(V8)</f>
        <v>153.3444651032903</v>
      </c>
      <c r="Y8" s="175" t="str">
        <f>IMPRODUCT(P8,S8)</f>
        <v>-14549.0721985892+7303.33723636485i</v>
      </c>
      <c r="Z8" s="176">
        <f>20*LOG(IMABS(Y8))</f>
        <v>84.232692049663669</v>
      </c>
      <c r="AA8" s="175">
        <f>(180/PI())*IMARGUMENT(Y8)</f>
        <v>153.3442831605436</v>
      </c>
    </row>
    <row r="9" spans="1:27" x14ac:dyDescent="0.25">
      <c r="A9" s="198" t="s">
        <v>285</v>
      </c>
      <c r="B9" s="201">
        <f>C9</f>
        <v>1.5E-11</v>
      </c>
      <c r="C9" s="200">
        <f>Chf</f>
        <v>1.5E-11</v>
      </c>
      <c r="D9" s="199"/>
      <c r="F9" s="177">
        <v>7</v>
      </c>
      <c r="G9" s="175">
        <f>10^('Small Signal'!F9/30)</f>
        <v>1.7113283041617808</v>
      </c>
      <c r="H9" s="175" t="str">
        <f>COMPLEX(0,G9*2*PI())</f>
        <v>10.7525928564699i</v>
      </c>
      <c r="I9" s="175">
        <f>IF('Small Signal'!$B$37&gt;=1,Q9+0,N9+0)</f>
        <v>16.85740319381696</v>
      </c>
      <c r="J9" s="175">
        <f>IF('Small Signal'!$B$37&gt;=1,R9,O9)</f>
        <v>-6.9340869513413077E-3</v>
      </c>
      <c r="K9" s="175">
        <f>IF('Small Signal'!$B$37&gt;=1,Z9+0,W9+0)</f>
        <v>79.848867933860689</v>
      </c>
      <c r="L9" s="175">
        <f>IF('Small Signal'!$B$37&gt;=1,AA9,X9)</f>
        <v>151.54144651729072</v>
      </c>
      <c r="M9" s="175" t="str">
        <f>IMDIV(IMSUM('Small Signal'!$B$2*'Small Signal'!$B$16*'Small Signal'!$B$38,IMPRODUCT(H9,'Small Signal'!$B$2*'Small Signal'!$B$16*'Small Signal'!$B$38*'Small Signal'!$B$13*'Small Signal'!$B$14)),IMSUM(IMPRODUCT('Small Signal'!$B$11*'Small Signal'!$B$13*('Small Signal'!$B$14+'Small Signal'!$B$16),IMPOWER(H9,2)),IMSUM(IMPRODUCT(H9,('Small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6.9641827085391-0.000842823836104235i</v>
      </c>
      <c r="N9" s="175">
        <f>20*LOG(IMABS(M9))</f>
        <v>16.85740319381696</v>
      </c>
      <c r="O9" s="175">
        <f>(180/PI())*IMARGUMENT(M9)</f>
        <v>-6.9340869513413077E-3</v>
      </c>
      <c r="P9" s="175" t="str">
        <f>IMDIV(IMSUM('Small Signal'!$B$48,IMPRODUCT(H9,'Small Signal'!$B$49)),IMSUM(IMPRODUCT('Small Signal'!$B$52,IMPOWER(H9,2)),IMSUM(IMPRODUCT(H9,'Small Signal'!$B$51),'Small Signal'!$B$50)))</f>
        <v>11.3482218403092-0.00141230294190607i</v>
      </c>
      <c r="Q9" s="175">
        <f>20*LOG(IMABS(P9))</f>
        <v>21.098556407203468</v>
      </c>
      <c r="R9" s="175">
        <f>(180/PI())*IMARGUMENT(P9)</f>
        <v>-7.1305442108946767E-3</v>
      </c>
      <c r="S9" s="175" t="str">
        <f>IMPRODUCT(IMDIV(IMSUM(IMPRODUCT(H9,'Small Signal'!$B$33*'Small Signal'!$B$6*'Small Signal'!$B$27*'Small Signal'!$B$7*'Small Signal'!$B$8),'Small Signal'!$B$33*'Small Signal'!$B$6*'Small Signal'!$B$27),IMSUM(IMSUM(IMPRODUCT(H9,('Small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Signal'!$B$5),IMPRODUCT(IMPOWER(H9,2),'Small Signal'!$B$32*'Small Signal'!$B$33*'Small Signal'!$B$8*'Small Signal'!$B$7*('Small Signal'!$B$5+'Small Signal'!$B$6)+('Small Signal'!$B$5+'Small Signal'!$B$6)*('Small Signal'!$B$9*'Small Signal'!$B$8*'Small Signal'!$B$33*'Small Signal'!$B$7)))),-1)</f>
        <v>-1240.71105995768+672.295255110487i</v>
      </c>
      <c r="T9" s="175">
        <f>20*LOG(IMABS(S9))</f>
        <v>62.991464740043725</v>
      </c>
      <c r="U9" s="175">
        <f>(180/PI())*IMARGUMENT(S9)</f>
        <v>151.54838060424206</v>
      </c>
      <c r="V9" s="175" t="str">
        <f>IMPRODUCT(M9,S9)</f>
        <v>-8639.97188358459+4683.03269152839i</v>
      </c>
      <c r="W9" s="176">
        <f>20*LOG(IMABS(V9))</f>
        <v>79.848867933860689</v>
      </c>
      <c r="X9" s="175">
        <f>(180/PI())*IMARGUMENT(V9)</f>
        <v>151.54144651729072</v>
      </c>
      <c r="Y9" s="175" t="str">
        <f>IMPRODUCT(P9,S9)</f>
        <v>-14078.9148635583+7631.10795706111i</v>
      </c>
      <c r="Z9" s="176">
        <f>20*LOG(IMABS(Y9))</f>
        <v>84.090021147247199</v>
      </c>
      <c r="AA9" s="175">
        <f>(180/PI())*IMARGUMENT(Y9)</f>
        <v>151.54125006003116</v>
      </c>
    </row>
    <row r="10" spans="1:27" x14ac:dyDescent="0.25">
      <c r="A10" s="198" t="s">
        <v>277</v>
      </c>
      <c r="B10" s="204">
        <f>C10</f>
        <v>700000</v>
      </c>
      <c r="C10" s="180">
        <f>Worksheet!C85*1000</f>
        <v>700000</v>
      </c>
      <c r="D10" s="203"/>
      <c r="F10" s="177">
        <v>8</v>
      </c>
      <c r="G10" s="175">
        <f>10^('Small Signal'!F10/30)</f>
        <v>1.8478497974222912</v>
      </c>
      <c r="H10" s="175" t="str">
        <f>COMPLEX(0,G10*2*PI())</f>
        <v>11.6103826970385i</v>
      </c>
      <c r="I10" s="175">
        <f>IF('Small Signal'!$B$37&gt;=1,Q10+0,N10+0)</f>
        <v>16.857403185157025</v>
      </c>
      <c r="J10" s="175">
        <f>IF('Small Signal'!$B$37&gt;=1,R10,O10)</f>
        <v>-7.4872548590490589E-3</v>
      </c>
      <c r="K10" s="175">
        <f>IF('Small Signal'!$B$37&gt;=1,Z10+0,W10+0)</f>
        <v>79.688236065660817</v>
      </c>
      <c r="L10" s="175">
        <f>IF('Small Signal'!$B$37&gt;=1,AA10,X10)</f>
        <v>149.66137885885973</v>
      </c>
      <c r="M10" s="175" t="str">
        <f>IMDIV(IMSUM('Small Signal'!$B$2*'Small Signal'!$B$16*'Small Signal'!$B$38,IMPRODUCT(H10,'Small Signal'!$B$2*'Small Signal'!$B$16*'Small Signal'!$B$38*'Small Signal'!$B$13*'Small Signal'!$B$14)),IMSUM(IMPRODUCT('Small Signal'!$B$11*'Small Signal'!$B$13*('Small Signal'!$B$14+'Small Signal'!$B$16),IMPOWER(H10,2)),IMSUM(IMPRODUCT(H10,('Small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6.96418269313403-0.000910060242628737i</v>
      </c>
      <c r="N10" s="175">
        <f>20*LOG(IMABS(M10))</f>
        <v>16.857403185157025</v>
      </c>
      <c r="O10" s="175">
        <f>(180/PI())*IMARGUMENT(M10)</f>
        <v>-7.4872548590490589E-3</v>
      </c>
      <c r="P10" s="175" t="str">
        <f>IMDIV(IMSUM('Small Signal'!$B$48,IMPRODUCT(H10,'Small Signal'!$B$49)),IMSUM(IMPRODUCT('Small Signal'!$B$52,IMPOWER(H10,2)),IMSUM(IMPRODUCT(H10,'Small Signal'!$B$51),'Small Signal'!$B$50)))</f>
        <v>11.3482218155286-0.00152496963561213i</v>
      </c>
      <c r="Q10" s="175">
        <f>20*LOG(IMABS(P10))</f>
        <v>21.098556399396593</v>
      </c>
      <c r="R10" s="175">
        <f>(180/PI())*IMARGUMENT(P10)</f>
        <v>-7.6993845291855106E-3</v>
      </c>
      <c r="S10" s="175" t="str">
        <f>IMPRODUCT(IMDIV(IMSUM(IMPRODUCT(H10,'Small Signal'!$B$33*'Small Signal'!$B$6*'Small Signal'!$B$27*'Small Signal'!$B$7*'Small Signal'!$B$8),'Small Signal'!$B$33*'Small Signal'!$B$6*'Small Signal'!$B$27),IMSUM(IMSUM(IMPRODUCT(H10,('Small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Signal'!$B$5),IMPRODUCT(IMPOWER(H10,2),'Small Signal'!$B$32*'Small Signal'!$B$33*'Small Signal'!$B$8*'Small Signal'!$B$7*('Small Signal'!$B$5+'Small Signal'!$B$6)+('Small Signal'!$B$5+'Small Signal'!$B$6)*('Small Signal'!$B$9*'Small Signal'!$B$8*'Small Signal'!$B$33*'Small Signal'!$B$7)))),-1)</f>
        <v>-1195.67586328325+699.568412688911i</v>
      </c>
      <c r="T10" s="175">
        <f>20*LOG(IMABS(S10))</f>
        <v>62.830832880503785</v>
      </c>
      <c r="U10" s="175">
        <f>(180/PI())*IMARGUMENT(S10)</f>
        <v>149.66886611371876</v>
      </c>
      <c r="V10" s="175" t="str">
        <f>IMPRODUCT(M10,S10)</f>
        <v>-8326.26850427591+4873.0103693776i</v>
      </c>
      <c r="W10" s="176">
        <f>20*LOG(IMABS(V10))</f>
        <v>79.688236065660817</v>
      </c>
      <c r="X10" s="175">
        <f>(180/PI())*IMARGUMENT(V10)</f>
        <v>149.66137885885973</v>
      </c>
      <c r="Y10" s="175" t="str">
        <f>IMPRODUCT(P10,S10)</f>
        <v>-13567.7280954246+7940.68089171656i</v>
      </c>
      <c r="Z10" s="176">
        <f>20*LOG(IMABS(Y10))</f>
        <v>83.929389279900391</v>
      </c>
      <c r="AA10" s="175">
        <f>(180/PI())*IMARGUMENT(Y10)</f>
        <v>149.6611667291896</v>
      </c>
    </row>
    <row r="11" spans="1:27" x14ac:dyDescent="0.25">
      <c r="A11" s="198" t="s">
        <v>281</v>
      </c>
      <c r="B11" s="201">
        <f>C11</f>
        <v>3.3000000000000002E-6</v>
      </c>
      <c r="C11" s="200">
        <f>Worksheet!C95</f>
        <v>3.3000000000000002E-6</v>
      </c>
      <c r="D11" s="199"/>
      <c r="F11" s="177">
        <v>9</v>
      </c>
      <c r="G11" s="175">
        <f>10^('Small Signal'!F11/30)</f>
        <v>1.9952623149688797</v>
      </c>
      <c r="H11" s="175" t="str">
        <f>COMPLEX(0,G11*2*PI())</f>
        <v>12.5366028613816i</v>
      </c>
      <c r="I11" s="175">
        <f>IF('Small Signal'!$B$37&gt;=1,Q11+0,N11+0)</f>
        <v>16.857403175060274</v>
      </c>
      <c r="J11" s="175">
        <f>IF('Small Signal'!$B$37&gt;=1,R11,O11)</f>
        <v>-8.0845518252416985E-3</v>
      </c>
      <c r="K11" s="175">
        <f>IF('Small Signal'!$B$37&gt;=1,Z11+0,W11+0)</f>
        <v>79.508159744534098</v>
      </c>
      <c r="L11" s="175">
        <f>IF('Small Signal'!$B$37&gt;=1,AA11,X11)</f>
        <v>147.70939551843972</v>
      </c>
      <c r="M11" s="175" t="str">
        <f>IMDIV(IMSUM('Small Signal'!$B$2*'Small Signal'!$B$16*'Small Signal'!$B$38,IMPRODUCT(H11,'Small Signal'!$B$2*'Small Signal'!$B$16*'Small Signal'!$B$38*'Small Signal'!$B$13*'Small Signal'!$B$14)),IMSUM(IMPRODUCT('Small Signal'!$B$11*'Small Signal'!$B$13*('Small Signal'!$B$14+'Small Signal'!$B$16),IMPOWER(H11,2)),IMSUM(IMPRODUCT(H11,('Small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6.96418267517303-0.00098266044392828i</v>
      </c>
      <c r="N11" s="175">
        <f>20*LOG(IMABS(M11))</f>
        <v>16.857403175060274</v>
      </c>
      <c r="O11" s="175">
        <f>(180/PI())*IMARGUMENT(M11)</f>
        <v>-8.0845518252416985E-3</v>
      </c>
      <c r="P11" s="175" t="str">
        <f>IMDIV(IMSUM('Small Signal'!$B$48,IMPRODUCT(H11,'Small Signal'!$B$49)),IMSUM(IMPRODUCT('Small Signal'!$B$52,IMPOWER(H11,2)),IMSUM(IMPRODUCT(H11,'Small Signal'!$B$51),'Small Signal'!$B$50)))</f>
        <v>11.3482217866365-0.00164662433238794i</v>
      </c>
      <c r="Q11" s="175">
        <f>20*LOG(IMABS(P11))</f>
        <v>21.098556390294412</v>
      </c>
      <c r="R11" s="175">
        <f>(180/PI())*IMARGUMENT(P11)</f>
        <v>-8.3136041752696344E-3</v>
      </c>
      <c r="S11" s="175" t="str">
        <f>IMPRODUCT(IMDIV(IMSUM(IMPRODUCT(H11,'Small Signal'!$B$33*'Small Signal'!$B$6*'Small Signal'!$B$27*'Small Signal'!$B$7*'Small Signal'!$B$8),'Small Signal'!$B$33*'Small Signal'!$B$6*'Small Signal'!$B$27),IMSUM(IMSUM(IMPRODUCT(H11,('Small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Signal'!$B$5),IMPRODUCT(IMPOWER(H11,2),'Small Signal'!$B$32*'Small Signal'!$B$33*'Small Signal'!$B$8*'Small Signal'!$B$7*('Small Signal'!$B$5+'Small Signal'!$B$6)+('Small Signal'!$B$5+'Small Signal'!$B$6)*('Small Signal'!$B$9*'Small Signal'!$B$8*'Small Signal'!$B$33*'Small Signal'!$B$7)))),-1)</f>
        <v>-1147.13048279556+724.696046215446i</v>
      </c>
      <c r="T11" s="175">
        <f>20*LOG(IMABS(S11))</f>
        <v>62.65075656947382</v>
      </c>
      <c r="U11" s="175">
        <f>(180/PI())*IMARGUMENT(S11)</f>
        <v>147.71748007026494</v>
      </c>
      <c r="V11" s="175" t="str">
        <f>IMPRODUCT(M11,S11)</f>
        <v>-7988.11410430923+5048.04288956947i</v>
      </c>
      <c r="W11" s="176">
        <f>20*LOG(IMABS(V11))</f>
        <v>79.508159744534098</v>
      </c>
      <c r="X11" s="175">
        <f>(180/PI())*IMARGUMENT(V11)</f>
        <v>147.70939551843972</v>
      </c>
      <c r="Y11" s="175" t="str">
        <f>IMPRODUCT(P11,S11)</f>
        <v>-13016.6978348321+8225.90035331685i</v>
      </c>
      <c r="Z11" s="176">
        <f>20*LOG(IMABS(Y11))</f>
        <v>83.749312959768218</v>
      </c>
      <c r="AA11" s="175">
        <f>(180/PI())*IMARGUMENT(Y11)</f>
        <v>147.70916646608961</v>
      </c>
    </row>
    <row r="12" spans="1:27" x14ac:dyDescent="0.25">
      <c r="A12" s="198" t="s">
        <v>280</v>
      </c>
      <c r="B12" s="197">
        <f>C12</f>
        <v>0.1099</v>
      </c>
      <c r="C12" s="196">
        <f>Worksheet!C96</f>
        <v>0.1099</v>
      </c>
      <c r="D12" s="202"/>
      <c r="F12" s="177">
        <v>10</v>
      </c>
      <c r="G12" s="175">
        <f>10^('Small Signal'!F12/30)</f>
        <v>2.1544346900318838</v>
      </c>
      <c r="H12" s="175" t="str">
        <f>COMPLEX(0,G12*2*PI())</f>
        <v>13.5367123896863i</v>
      </c>
      <c r="I12" s="175">
        <f>IF('Small Signal'!$B$37&gt;=1,Q12+0,N12+0)</f>
        <v>16.857403163288328</v>
      </c>
      <c r="J12" s="175">
        <f>IF('Small Signal'!$B$37&gt;=1,R12,O12)</f>
        <v>-8.7294982524261829E-3</v>
      </c>
      <c r="K12" s="175">
        <f>IF('Small Signal'!$B$37&gt;=1,Z12+0,W12+0)</f>
        <v>79.307220452856967</v>
      </c>
      <c r="L12" s="175">
        <f>IF('Small Signal'!$B$37&gt;=1,AA12,X12)</f>
        <v>145.69213135704896</v>
      </c>
      <c r="M12" s="175" t="str">
        <f>IMDIV(IMSUM('Small Signal'!$B$2*'Small Signal'!$B$16*'Small Signal'!$B$38,IMPRODUCT(H12,'Small Signal'!$B$2*'Small Signal'!$B$16*'Small Signal'!$B$38*'Small Signal'!$B$13*'Small Signal'!$B$14)),IMSUM(IMPRODUCT('Small Signal'!$B$11*'Small Signal'!$B$13*('Small Signal'!$B$14+'Small Signal'!$B$16),IMPOWER(H12,2)),IMSUM(IMPRODUCT(H12,('Small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6.96418265423204-0.00106105233748009i</v>
      </c>
      <c r="N12" s="175">
        <f>20*LOG(IMABS(M12))</f>
        <v>16.857403163288328</v>
      </c>
      <c r="O12" s="175">
        <f>(180/PI())*IMARGUMENT(M12)</f>
        <v>-8.7294982524261829E-3</v>
      </c>
      <c r="P12" s="175" t="str">
        <f>IMDIV(IMSUM('Small Signal'!$B$48,IMPRODUCT(H12,'Small Signal'!$B$49)),IMSUM(IMPRODUCT('Small Signal'!$B$52,IMPOWER(H12,2)),IMSUM(IMPRODUCT(H12,'Small Signal'!$B$51),'Small Signal'!$B$50)))</f>
        <v>11.3482217529507-0.00177798405145369i</v>
      </c>
      <c r="Q12" s="175">
        <f>20*LOG(IMABS(P12))</f>
        <v>21.098556379681987</v>
      </c>
      <c r="R12" s="175">
        <f>(180/PI())*IMARGUMENT(P12)</f>
        <v>-8.9768232921456619E-3</v>
      </c>
      <c r="S12" s="175" t="str">
        <f>IMPRODUCT(IMDIV(IMSUM(IMPRODUCT(H12,'Small Signal'!$B$33*'Small Signal'!$B$6*'Small Signal'!$B$27*'Small Signal'!$B$7*'Small Signal'!$B$8),'Small Signal'!$B$33*'Small Signal'!$B$6*'Small Signal'!$B$27),IMSUM(IMSUM(IMPRODUCT(H12,('Small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Signal'!$B$5),IMPRODUCT(IMPOWER(H12,2),'Small Signal'!$B$32*'Small Signal'!$B$33*'Small Signal'!$B$8*'Small Signal'!$B$7*('Small Signal'!$B$5+'Small Signal'!$B$6)+('Small Signal'!$B$5+'Small Signal'!$B$6)*('Small Signal'!$B$9*'Small Signal'!$B$8*'Small Signal'!$B$33*'Small Signal'!$B$7)))),-1)</f>
        <v>-1095.28475059258+747.128485387257i</v>
      </c>
      <c r="T12" s="175">
        <f>20*LOG(IMABS(S12))</f>
        <v>62.449817289568642</v>
      </c>
      <c r="U12" s="175">
        <f>(180/PI())*IMARGUMENT(S12)</f>
        <v>145.70086085530139</v>
      </c>
      <c r="V12" s="175" t="str">
        <f>IMPRODUCT(M12,S12)</f>
        <v>-7626.97031909589+5204.30139286141i</v>
      </c>
      <c r="W12" s="176">
        <f>20*LOG(IMABS(V12))</f>
        <v>79.307220452856967</v>
      </c>
      <c r="X12" s="175">
        <f>(180/PI())*IMARGUMENT(V12)</f>
        <v>145.69213135704896</v>
      </c>
      <c r="Y12" s="175" t="str">
        <f>IMPRODUCT(P12,S12)</f>
        <v>-12428.2058498185+8480.52712893913i</v>
      </c>
      <c r="Z12" s="176">
        <f>20*LOG(IMABS(Y12))</f>
        <v>83.548373669250623</v>
      </c>
      <c r="AA12" s="175">
        <f>(180/PI())*IMARGUMENT(Y12)</f>
        <v>145.69188403200928</v>
      </c>
    </row>
    <row r="13" spans="1:27" x14ac:dyDescent="0.25">
      <c r="A13" s="198" t="s">
        <v>283</v>
      </c>
      <c r="B13" s="201">
        <f>C13</f>
        <v>8.8000000000000004E-6</v>
      </c>
      <c r="C13" s="200">
        <f>Cout</f>
        <v>8.8000000000000004E-6</v>
      </c>
      <c r="D13" s="199"/>
      <c r="F13" s="177">
        <v>11</v>
      </c>
      <c r="G13" s="175">
        <f>10^('Small Signal'!F13/30)</f>
        <v>2.3263050671536263</v>
      </c>
      <c r="H13" s="175" t="str">
        <f>COMPLEX(0,G13*2*PI())</f>
        <v>14.6166058179571i</v>
      </c>
      <c r="I13" s="175">
        <f>IF('Small Signal'!$B$37&gt;=1,Q13+0,N13+0)</f>
        <v>16.857403149563261</v>
      </c>
      <c r="J13" s="175">
        <f>IF('Small Signal'!$B$37&gt;=1,R13,O13)</f>
        <v>-9.4258953837140728E-3</v>
      </c>
      <c r="K13" s="175">
        <f>IF('Small Signal'!$B$37&gt;=1,Z13+0,W13+0)</f>
        <v>79.08410994682994</v>
      </c>
      <c r="L13" s="175">
        <f>IF('Small Signal'!$B$37&gt;=1,AA13,X13)</f>
        <v>143.61771032187212</v>
      </c>
      <c r="M13" s="175" t="str">
        <f>IMDIV(IMSUM('Small Signal'!$B$2*'Small Signal'!$B$16*'Small Signal'!$B$38,IMPRODUCT(H13,'Small Signal'!$B$2*'Small Signal'!$B$16*'Small Signal'!$B$38*'Small Signal'!$B$13*'Small Signal'!$B$14)),IMSUM(IMPRODUCT('Small Signal'!$B$11*'Small Signal'!$B$13*('Small Signal'!$B$14+'Small Signal'!$B$16),IMPOWER(H13,2)),IMSUM(IMPRODUCT(H13,('Small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6.96418262981665-0.00114569795632061i</v>
      </c>
      <c r="N13" s="175">
        <f>20*LOG(IMABS(M13))</f>
        <v>16.857403149563261</v>
      </c>
      <c r="O13" s="175">
        <f>(180/PI())*IMARGUMENT(M13)</f>
        <v>-9.4258953837140728E-3</v>
      </c>
      <c r="P13" s="175" t="str">
        <f>IMDIV(IMSUM('Small Signal'!$B$48,IMPRODUCT(H13,'Small Signal'!$B$49)),IMSUM(IMPRODUCT('Small Signal'!$B$52,IMPOWER(H13,2)),IMSUM(IMPRODUCT(H13,'Small Signal'!$B$51),'Small Signal'!$B$50)))</f>
        <v>11.348221713676-0.00191982301230666i</v>
      </c>
      <c r="Q13" s="175">
        <f>20*LOG(IMABS(P13))</f>
        <v>21.098556367308849</v>
      </c>
      <c r="R13" s="175">
        <f>(180/PI())*IMARGUMENT(P13)</f>
        <v>-9.6929508202445048E-3</v>
      </c>
      <c r="S13" s="175" t="str">
        <f>IMPRODUCT(IMDIV(IMSUM(IMPRODUCT(H13,'Small Signal'!$B$33*'Small Signal'!$B$6*'Small Signal'!$B$27*'Small Signal'!$B$7*'Small Signal'!$B$8),'Small Signal'!$B$33*'Small Signal'!$B$6*'Small Signal'!$B$27),IMSUM(IMSUM(IMPRODUCT(H13,('Small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Signal'!$B$5),IMPRODUCT(IMPOWER(H13,2),'Small Signal'!$B$32*'Small Signal'!$B$33*'Small Signal'!$B$8*'Small Signal'!$B$7*('Small Signal'!$B$5+'Small Signal'!$B$6)+('Small Signal'!$B$5+'Small Signal'!$B$6)*('Small Signal'!$B$9*'Small Signal'!$B$8*'Small Signal'!$B$33*'Small Signal'!$B$7)))),-1)</f>
        <v>-1040.46024848137+766.333085595678i</v>
      </c>
      <c r="T13" s="175">
        <f>20*LOG(IMABS(S13))</f>
        <v>62.226706797266687</v>
      </c>
      <c r="U13" s="175">
        <f>(180/PI())*IMARGUMENT(S13)</f>
        <v>143.62713621725581</v>
      </c>
      <c r="V13" s="175" t="str">
        <f>IMPRODUCT(M13,S13)</f>
        <v>-7245.07720323864+5338.07561653953i</v>
      </c>
      <c r="W13" s="176">
        <f>20*LOG(IMABS(V13))</f>
        <v>79.08410994682994</v>
      </c>
      <c r="X13" s="175">
        <f>(180/PI())*IMARGUMENT(V13)</f>
        <v>143.61771032187212</v>
      </c>
      <c r="Y13" s="175" t="str">
        <f>IMPRODUCT(P13,S13)</f>
        <v>-11805.9023601402+8698.51526139363i</v>
      </c>
      <c r="Z13" s="176">
        <f>20*LOG(IMABS(Y13))</f>
        <v>83.325263164575546</v>
      </c>
      <c r="AA13" s="175">
        <f>(180/PI())*IMARGUMENT(Y13)</f>
        <v>143.6174432664356</v>
      </c>
    </row>
    <row r="14" spans="1:27" x14ac:dyDescent="0.25">
      <c r="A14" s="198" t="s">
        <v>284</v>
      </c>
      <c r="B14" s="197">
        <f>C14</f>
        <v>2E-3</v>
      </c>
      <c r="C14" s="196">
        <f>ESR</f>
        <v>2E-3</v>
      </c>
      <c r="F14" s="177">
        <v>12</v>
      </c>
      <c r="G14" s="175">
        <f>10^('Small Signal'!F14/30)</f>
        <v>2.5118864315095806</v>
      </c>
      <c r="H14" s="175" t="str">
        <f>COMPLEX(0,G14*2*PI())</f>
        <v>15.7826479197648i</v>
      </c>
      <c r="I14" s="175">
        <f>IF('Small Signal'!$B$37&gt;=1,Q14+0,N14+0)</f>
        <v>16.857403133560986</v>
      </c>
      <c r="J14" s="175">
        <f>IF('Small Signal'!$B$37&gt;=1,R14,O14)</f>
        <v>-1.0177847706906476E-2</v>
      </c>
      <c r="K14" s="175">
        <f>IF('Small Signal'!$B$37&gt;=1,Z14+0,W14+0)</f>
        <v>78.837676869990275</v>
      </c>
      <c r="L14" s="175">
        <f>IF('Small Signal'!$B$37&gt;=1,AA14,X14)</f>
        <v>141.49566187951262</v>
      </c>
      <c r="M14" s="175" t="str">
        <f>IMDIV(IMSUM('Small Signal'!$B$2*'Small Signal'!$B$16*'Small Signal'!$B$38,IMPRODUCT(H14,'Small Signal'!$B$2*'Small Signal'!$B$16*'Small Signal'!$B$38*'Small Signal'!$B$13*'Small Signal'!$B$14)),IMSUM(IMPRODUCT('Small Signal'!$B$11*'Small Signal'!$B$13*('Small Signal'!$B$14+'Small Signal'!$B$16),IMPOWER(H14,2)),IMSUM(IMPRODUCT(H14,('Small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6.96418260135038-0.00123709619220712i</v>
      </c>
      <c r="N14" s="175">
        <f>20*LOG(IMABS(M14))</f>
        <v>16.857403133560986</v>
      </c>
      <c r="O14" s="175">
        <f>(180/PI())*IMARGUMENT(M14)</f>
        <v>-1.0177847706906476E-2</v>
      </c>
      <c r="P14" s="175" t="str">
        <f>IMDIV(IMSUM('Small Signal'!$B$48,IMPRODUCT(H14,'Small Signal'!$B$49)),IMSUM(IMPRODUCT('Small Signal'!$B$52,IMPOWER(H14,2)),IMSUM(IMPRODUCT(H14,'Small Signal'!$B$51),'Small Signal'!$B$50)))</f>
        <v>11.3482216678851-0.00207297719787032i</v>
      </c>
      <c r="Q14" s="175">
        <f>20*LOG(IMABS(P14))</f>
        <v>21.098556352882859</v>
      </c>
      <c r="R14" s="175">
        <f>(180/PI())*IMARGUMENT(P14)</f>
        <v>-1.0466207536275543E-2</v>
      </c>
      <c r="S14" s="175" t="str">
        <f>IMPRODUCT(IMDIV(IMSUM(IMPRODUCT(H14,'Small Signal'!$B$33*'Small Signal'!$B$6*'Small Signal'!$B$27*'Small Signal'!$B$7*'Small Signal'!$B$8),'Small Signal'!$B$33*'Small Signal'!$B$6*'Small Signal'!$B$27),IMSUM(IMSUM(IMPRODUCT(H14,('Small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Signal'!$B$5),IMPRODUCT(IMPOWER(H14,2),'Small Signal'!$B$32*'Small Signal'!$B$33*'Small Signal'!$B$8*'Small Signal'!$B$7*('Small Signal'!$B$5+'Small Signal'!$B$6)+('Small Signal'!$B$5+'Small Signal'!$B$6)*('Small Signal'!$B$9*'Small Signal'!$B$8*'Small Signal'!$B$33*'Small Signal'!$B$7)))),-1)</f>
        <v>-983.089964269933+781.821483490644i</v>
      </c>
      <c r="T14" s="175">
        <f>20*LOG(IMABS(S14))</f>
        <v>61.980273736429297</v>
      </c>
      <c r="U14" s="175">
        <f>(180/PI())*IMARGUMENT(S14)</f>
        <v>141.50583972721952</v>
      </c>
      <c r="V14" s="175" t="str">
        <f>IMPRODUCT(M14,S14)</f>
        <v>-6845.45083635062+5445.96374953888i</v>
      </c>
      <c r="W14" s="176">
        <f>20*LOG(IMABS(V14))</f>
        <v>78.837676869990275</v>
      </c>
      <c r="X14" s="175">
        <f>(180/PI())*IMARGUMENT(V14)</f>
        <v>141.49566187951262</v>
      </c>
      <c r="Y14" s="175" t="str">
        <f>IMPRODUCT(P14,S14)</f>
        <v>-11154.7021359004+8874.32142244599i</v>
      </c>
      <c r="Z14" s="176">
        <f>20*LOG(IMABS(Y14))</f>
        <v>83.078830089312163</v>
      </c>
      <c r="AA14" s="175">
        <f>(180/PI())*IMARGUMENT(Y14)</f>
        <v>141.49537351968331</v>
      </c>
    </row>
    <row r="15" spans="1:27" x14ac:dyDescent="0.25">
      <c r="F15" s="177">
        <v>13</v>
      </c>
      <c r="G15" s="175">
        <f>10^('Small Signal'!F15/30)</f>
        <v>2.7122725793320286</v>
      </c>
      <c r="H15" s="175" t="str">
        <f>COMPLEX(0,G15*2*PI())</f>
        <v>17.0417112195251i</v>
      </c>
      <c r="I15" s="175">
        <f>IF('Small Signal'!$B$37&gt;=1,Q15+0,N15+0)</f>
        <v>16.857403114903718</v>
      </c>
      <c r="J15" s="175">
        <f>IF('Small Signal'!$B$37&gt;=1,R15,O15)</f>
        <v>-1.0989787145863048E-2</v>
      </c>
      <c r="K15" s="175">
        <f>IF('Small Signal'!$B$37&gt;=1,Z15+0,W15+0)</f>
        <v>78.566971604545643</v>
      </c>
      <c r="L15" s="175">
        <f>IF('Small Signal'!$B$37&gt;=1,AA15,X15)</f>
        <v>139.33676125166383</v>
      </c>
      <c r="M15" s="175" t="str">
        <f>IMDIV(IMSUM('Small Signal'!$B$2*'Small Signal'!$B$16*'Small Signal'!$B$38,IMPRODUCT(H15,'Small Signal'!$B$2*'Small Signal'!$B$16*'Small Signal'!$B$38*'Small Signal'!$B$13*'Small Signal'!$B$14)),IMSUM(IMPRODUCT('Small Signal'!$B$11*'Small Signal'!$B$13*('Small Signal'!$B$14+'Small Signal'!$B$16),IMPOWER(H15,2)),IMSUM(IMPRODUCT(H15,('Small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6.96418256816116-0.00133578573601789i</v>
      </c>
      <c r="N15" s="175">
        <f>20*LOG(IMABS(M15))</f>
        <v>16.857403114903718</v>
      </c>
      <c r="O15" s="175">
        <f>(180/PI())*IMARGUMENT(M15)</f>
        <v>-1.0989787145863048E-2</v>
      </c>
      <c r="P15" s="175" t="str">
        <f>IMDIV(IMSUM('Small Signal'!$B$48,IMPRODUCT(H15,'Small Signal'!$B$49)),IMSUM(IMPRODUCT('Small Signal'!$B$52,IMPOWER(H15,2)),IMSUM(IMPRODUCT(H15,'Small Signal'!$B$51),'Small Signal'!$B$50)))</f>
        <v>11.3482216144968-0.00223834928166614i</v>
      </c>
      <c r="Q15" s="175">
        <f>20*LOG(IMABS(P15))</f>
        <v>21.098556336063368</v>
      </c>
      <c r="R15" s="175">
        <f>(180/PI())*IMARGUMENT(P15)</f>
        <v>-1.1301150929995661E-2</v>
      </c>
      <c r="S15" s="175" t="str">
        <f>IMPRODUCT(IMDIV(IMSUM(IMPRODUCT(H15,'Small Signal'!$B$33*'Small Signal'!$B$6*'Small Signal'!$B$27*'Small Signal'!$B$7*'Small Signal'!$B$8),'Small Signal'!$B$33*'Small Signal'!$B$6*'Small Signal'!$B$27),IMSUM(IMSUM(IMPRODUCT(H15,('Small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Signal'!$B$5),IMPRODUCT(IMPOWER(H15,2),'Small Signal'!$B$32*'Small Signal'!$B$33*'Small Signal'!$B$8*'Small Signal'!$B$7*('Small Signal'!$B$5+'Small Signal'!$B$6)+('Small Signal'!$B$5+'Small Signal'!$B$6)*('Small Signal'!$B$9*'Small Signal'!$B$8*'Small Signal'!$B$33*'Small Signal'!$B$7)))),-1)</f>
        <v>-923.710013946335+793.177534468492i</v>
      </c>
      <c r="T15" s="175">
        <f>20*LOG(IMABS(S15))</f>
        <v>61.709568489641917</v>
      </c>
      <c r="U15" s="175">
        <f>(180/PI())*IMARGUMENT(S15)</f>
        <v>139.34775103880972</v>
      </c>
      <c r="V15" s="175" t="str">
        <f>IMPRODUCT(M15,S15)</f>
        <v>-6431.8256619243+5525.06703766337i</v>
      </c>
      <c r="W15" s="176">
        <f>20*LOG(IMABS(V15))</f>
        <v>78.566971604545643</v>
      </c>
      <c r="X15" s="175">
        <f>(180/PI())*IMARGUMENT(V15)</f>
        <v>139.33676125166383</v>
      </c>
      <c r="Y15" s="175" t="str">
        <f>IMPRODUCT(P15,S15)</f>
        <v>-10480.6905374284+9003.22202643481i</v>
      </c>
      <c r="Z15" s="176">
        <f>20*LOG(IMABS(Y15))</f>
        <v>82.808124825705264</v>
      </c>
      <c r="AA15" s="175">
        <f>(180/PI())*IMARGUMENT(Y15)</f>
        <v>139.33644988787961</v>
      </c>
    </row>
    <row r="16" spans="1:27" x14ac:dyDescent="0.25">
      <c r="A16" s="191" t="s">
        <v>263</v>
      </c>
      <c r="B16" s="192">
        <f>B3/B4</f>
        <v>2</v>
      </c>
      <c r="F16" s="177">
        <v>14</v>
      </c>
      <c r="G16" s="175">
        <f>10^('Small Signal'!F16/30)</f>
        <v>2.9286445646252366</v>
      </c>
      <c r="H16" s="175" t="str">
        <f>COMPLEX(0,G16*2*PI())</f>
        <v>18.4012164984046i</v>
      </c>
      <c r="I16" s="175">
        <f>IF('Small Signal'!$B$37&gt;=1,Q16+0,N16+0)</f>
        <v>16.857403093150918</v>
      </c>
      <c r="J16" s="175">
        <f>IF('Small Signal'!$B$37&gt;=1,R16,O16)</f>
        <v>-1.1866499181735289E-2</v>
      </c>
      <c r="K16" s="175">
        <f>IF('Small Signal'!$B$37&gt;=1,Z16+0,W16+0)</f>
        <v>78.271285955841137</v>
      </c>
      <c r="L16" s="175">
        <f>IF('Small Signal'!$B$37&gt;=1,AA16,X16)</f>
        <v>137.15279519816681</v>
      </c>
      <c r="M16" s="175" t="str">
        <f>IMDIV(IMSUM('Small Signal'!$B$2*'Small Signal'!$B$16*'Small Signal'!$B$38,IMPRODUCT(H16,'Small Signal'!$B$2*'Small Signal'!$B$16*'Small Signal'!$B$38*'Small Signal'!$B$13*'Small Signal'!$B$14)),IMSUM(IMPRODUCT('Small Signal'!$B$11*'Small Signal'!$B$13*('Small Signal'!$B$14+'Small Signal'!$B$16),IMPOWER(H16,2)),IMSUM(IMPRODUCT(H16,('Small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6.96418252946535-0.00144234825272059i</v>
      </c>
      <c r="N16" s="175">
        <f>20*LOG(IMABS(M16))</f>
        <v>16.857403093150918</v>
      </c>
      <c r="O16" s="175">
        <f>(180/PI())*IMARGUMENT(M16)</f>
        <v>-1.1866499181735289E-2</v>
      </c>
      <c r="P16" s="175" t="str">
        <f>IMDIV(IMSUM('Small Signal'!$B$48,IMPRODUCT(H16,'Small Signal'!$B$49)),IMSUM(IMPRODUCT('Small Signal'!$B$52,IMPOWER(H16,2)),IMSUM(IMPRODUCT(H16,'Small Signal'!$B$51),'Small Signal'!$B$50)))</f>
        <v>11.3482215522506-0.00241691394804741i</v>
      </c>
      <c r="Q16" s="175">
        <f>20*LOG(IMABS(P16))</f>
        <v>21.098556316453269</v>
      </c>
      <c r="R16" s="175">
        <f>(180/PI())*IMARGUMENT(P16)</f>
        <v>-1.2202702065521679E-2</v>
      </c>
      <c r="S16" s="175" t="str">
        <f>IMPRODUCT(IMDIV(IMSUM(IMPRODUCT(H16,'Small Signal'!$B$33*'Small Signal'!$B$6*'Small Signal'!$B$27*'Small Signal'!$B$7*'Small Signal'!$B$8),'Small Signal'!$B$33*'Small Signal'!$B$6*'Small Signal'!$B$27),IMSUM(IMSUM(IMPRODUCT(H16,('Small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Signal'!$B$5),IMPRODUCT(IMPOWER(H16,2),'Small Signal'!$B$32*'Small Signal'!$B$33*'Small Signal'!$B$8*'Small Signal'!$B$7*('Small Signal'!$B$5+'Small Signal'!$B$6)+('Small Signal'!$B$5+'Small Signal'!$B$6)*('Small Signal'!$B$9*'Small Signal'!$B$8*'Small Signal'!$B$33*'Small Signal'!$B$7)))),-1)</f>
        <v>-862.94306929482+800.083236690683i</v>
      </c>
      <c r="T16" s="175">
        <f>20*LOG(IMABS(S16))</f>
        <v>61.413882862690215</v>
      </c>
      <c r="U16" s="175">
        <f>(180/PI())*IMARGUMENT(S16)</f>
        <v>137.16466169734855</v>
      </c>
      <c r="V16" s="175" t="str">
        <f>IMPRODUCT(M16,S16)</f>
        <v>-6008.53904844772+5573.17036350754i</v>
      </c>
      <c r="W16" s="176">
        <f>20*LOG(IMABS(V16))</f>
        <v>78.271285955841137</v>
      </c>
      <c r="X16" s="175">
        <f>(180/PI())*IMARGUMENT(V16)</f>
        <v>137.15279519816681</v>
      </c>
      <c r="Y16" s="175" t="str">
        <f>IMPRODUCT(P16,S16)</f>
        <v>-9790.9354050024+9081.60748934818i</v>
      </c>
      <c r="Z16" s="176">
        <f>20*LOG(IMABS(Y16))</f>
        <v>82.512439179143485</v>
      </c>
      <c r="AA16" s="175">
        <f>(180/PI())*IMARGUMENT(Y16)</f>
        <v>137.15245899528301</v>
      </c>
    </row>
    <row r="17" spans="1:27" x14ac:dyDescent="0.25">
      <c r="A17" s="191" t="s">
        <v>283</v>
      </c>
      <c r="B17" s="194">
        <f>B13</f>
        <v>8.8000000000000004E-6</v>
      </c>
      <c r="F17" s="177">
        <v>15</v>
      </c>
      <c r="G17" s="175">
        <f>10^('Small Signal'!F17/30)</f>
        <v>3.1622776601683795</v>
      </c>
      <c r="H17" s="175" t="str">
        <f>COMPLEX(0,G17*2*PI())</f>
        <v>19.8691765315922i</v>
      </c>
      <c r="I17" s="175">
        <f>IF('Small Signal'!$B$37&gt;=1,Q17+0,N17+0)</f>
        <v>16.85740306778904</v>
      </c>
      <c r="J17" s="175">
        <f>IF('Small Signal'!$B$37&gt;=1,R17,O17)</f>
        <v>-1.2813151058017737E-2</v>
      </c>
      <c r="K17" s="175">
        <f>IF('Small Signal'!$B$37&gt;=1,Z17+0,W17+0)</f>
        <v>77.950184329500047</v>
      </c>
      <c r="L17" s="175">
        <f>IF('Small Signal'!$B$37&gt;=1,AA17,X17)</f>
        <v>134.95626276945617</v>
      </c>
      <c r="M17" s="175" t="str">
        <f>IMDIV(IMSUM('Small Signal'!$B$2*'Small Signal'!$B$16*'Small Signal'!$B$38,IMPRODUCT(H17,'Small Signal'!$B$2*'Small Signal'!$B$16*'Small Signal'!$B$38*'Small Signal'!$B$13*'Small Signal'!$B$14)),IMSUM(IMPRODUCT('Small Signal'!$B$11*'Small Signal'!$B$13*('Small Signal'!$B$14+'Small Signal'!$B$16),IMPOWER(H17,2)),IMSUM(IMPRODUCT(H17,('Small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6.96418248434937-0.00155741180962107i</v>
      </c>
      <c r="N17" s="175">
        <f>20*LOG(IMABS(M17))</f>
        <v>16.85740306778904</v>
      </c>
      <c r="O17" s="175">
        <f>(180/PI())*IMARGUMENT(M17)</f>
        <v>-1.2813151058017737E-2</v>
      </c>
      <c r="P17" s="175" t="str">
        <f>IMDIV(IMSUM('Small Signal'!$B$48,IMPRODUCT(H17,'Small Signal'!$B$49)),IMSUM(IMPRODUCT('Small Signal'!$B$52,IMPOWER(H17,2)),IMSUM(IMPRODUCT(H17,'Small Signal'!$B$51),'Small Signal'!$B$50)))</f>
        <v>11.3482214796769-0.00260972363685046i</v>
      </c>
      <c r="Q17" s="175">
        <f>20*LOG(IMABS(P17))</f>
        <v>21.098556293589606</v>
      </c>
      <c r="R17" s="175">
        <f>(180/PI())*IMARGUMENT(P17)</f>
        <v>-1.3176174585501495E-2</v>
      </c>
      <c r="S17" s="175" t="str">
        <f>IMPRODUCT(IMDIV(IMSUM(IMPRODUCT(H17,'Small Signal'!$B$33*'Small Signal'!$B$6*'Small Signal'!$B$27*'Small Signal'!$B$7*'Small Signal'!$B$8),'Small Signal'!$B$33*'Small Signal'!$B$6*'Small Signal'!$B$27),IMSUM(IMSUM(IMPRODUCT(H17,('Small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Signal'!$B$5),IMPRODUCT(IMPOWER(H17,2),'Small Signal'!$B$32*'Small Signal'!$B$33*'Small Signal'!$B$8*'Small Signal'!$B$7*('Small Signal'!$B$5+'Small Signal'!$B$6)+('Small Signal'!$B$5+'Small Signal'!$B$6)*('Small Signal'!$B$9*'Small Signal'!$B$8*'Small Signal'!$B$33*'Small Signal'!$B$7)))),-1)</f>
        <v>-801.47418441592+802.339806221999i</v>
      </c>
      <c r="T17" s="175">
        <f>20*LOG(IMABS(S17))</f>
        <v>61.092781261710996</v>
      </c>
      <c r="U17" s="175">
        <f>(180/PI())*IMARGUMENT(S17)</f>
        <v>134.9690759205142</v>
      </c>
      <c r="V17" s="175" t="str">
        <f>IMPRODUCT(M17,S17)</f>
        <v>-5580.36290327801+5588.88905034743i</v>
      </c>
      <c r="W17" s="176">
        <f>20*LOG(IMABS(V17))</f>
        <v>77.950184329500047</v>
      </c>
      <c r="X17" s="175">
        <f>(180/PI())*IMARGUMENT(V17)</f>
        <v>134.95626276945617</v>
      </c>
      <c r="Y17" s="175" t="str">
        <f>IMPRODUCT(P17,S17)</f>
        <v>-9093.21266983819+9107.22144909169i</v>
      </c>
      <c r="Z17" s="176">
        <f>20*LOG(IMABS(Y17))</f>
        <v>82.191337555300606</v>
      </c>
      <c r="AA17" s="175">
        <f>(180/PI())*IMARGUMENT(Y17)</f>
        <v>134.95589974592872</v>
      </c>
    </row>
    <row r="18" spans="1:27" x14ac:dyDescent="0.25">
      <c r="A18" s="191" t="s">
        <v>282</v>
      </c>
      <c r="B18" s="195">
        <f>B14</f>
        <v>2E-3</v>
      </c>
      <c r="F18" s="177">
        <v>16</v>
      </c>
      <c r="G18" s="175">
        <f>10^('Small Signal'!F18/30)</f>
        <v>3.4145488738336023</v>
      </c>
      <c r="H18" s="175" t="str">
        <f>COMPLEX(0,G18*2*PI())</f>
        <v>21.4542433147179i</v>
      </c>
      <c r="I18" s="175">
        <f>IF('Small Signal'!$B$37&gt;=1,Q18+0,N18+0)</f>
        <v>16.857403038219253</v>
      </c>
      <c r="J18" s="175">
        <f>IF('Small Signal'!$B$37&gt;=1,R18,O18)</f>
        <v>-1.3835322235649783E-2</v>
      </c>
      <c r="K18" s="175">
        <f>IF('Small Signal'!$B$37&gt;=1,Z18+0,W18+0)</f>
        <v>77.603523578273027</v>
      </c>
      <c r="L18" s="175">
        <f>IF('Small Signal'!$B$37&gt;=1,AA18,X18)</f>
        <v>132.76002788584307</v>
      </c>
      <c r="M18" s="175" t="str">
        <f>IMDIV(IMSUM('Small Signal'!$B$2*'Small Signal'!$B$16*'Small Signal'!$B$38,IMPRODUCT(H18,'Small Signal'!$B$2*'Small Signal'!$B$16*'Small Signal'!$B$38*'Small Signal'!$B$13*'Small Signal'!$B$14)),IMSUM(IMPRODUCT('Small Signal'!$B$11*'Small Signal'!$B$13*('Small Signal'!$B$14+'Small Signal'!$B$16),IMPOWER(H18,2)),IMSUM(IMPRODUCT(H18,('Small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6.96418243174799-0.00168165457809678i</v>
      </c>
      <c r="N18" s="175">
        <f>20*LOG(IMABS(M18))</f>
        <v>16.857403038219253</v>
      </c>
      <c r="O18" s="175">
        <f>(180/PI())*IMARGUMENT(M18)</f>
        <v>-1.3835322235649783E-2</v>
      </c>
      <c r="P18" s="175" t="str">
        <f>IMDIV(IMSUM('Small Signal'!$B$48,IMPRODUCT(H18,'Small Signal'!$B$49)),IMSUM(IMPRODUCT('Small Signal'!$B$52,IMPOWER(H18,2)),IMSUM(IMPRODUCT(H18,'Small Signal'!$B$51),'Small Signal'!$B$50)))</f>
        <v>11.3482213950621-0.00281791474631989i</v>
      </c>
      <c r="Q18" s="175">
        <f>20*LOG(IMABS(P18))</f>
        <v>21.098556266932469</v>
      </c>
      <c r="R18" s="175">
        <f>(180/PI())*IMARGUMENT(P18)</f>
        <v>-1.4227306029088957E-2</v>
      </c>
      <c r="S18" s="175" t="str">
        <f>IMPRODUCT(IMDIV(IMSUM(IMPRODUCT(H18,'Small Signal'!$B$33*'Small Signal'!$B$6*'Small Signal'!$B$27*'Small Signal'!$B$7*'Small Signal'!$B$8),'Small Signal'!$B$33*'Small Signal'!$B$6*'Small Signal'!$B$27),IMSUM(IMSUM(IMPRODUCT(H18,('Small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Signal'!$B$5),IMPRODUCT(IMPOWER(H18,2),'Small Signal'!$B$32*'Small Signal'!$B$33*'Small Signal'!$B$8*'Small Signal'!$B$7*('Small Signal'!$B$5+'Small Signal'!$B$6)+('Small Signal'!$B$5+'Small Signal'!$B$6)*('Small Signal'!$B$9*'Small Signal'!$B$8*'Small Signal'!$B$33*'Small Signal'!$B$7)))),-1)</f>
        <v>-740.020806850932+799.881393221706i</v>
      </c>
      <c r="T18" s="175">
        <f>20*LOG(IMABS(S18))</f>
        <v>60.746120540053766</v>
      </c>
      <c r="U18" s="175">
        <f>(180/PI())*IMARGUMENT(S18)</f>
        <v>132.77386320807872</v>
      </c>
      <c r="V18" s="175" t="str">
        <f>IMPRODUCT(M18,S18)</f>
        <v>-5152.29477799239+5571.76440553444i</v>
      </c>
      <c r="W18" s="176">
        <f>20*LOG(IMABS(V18))</f>
        <v>77.603523578273027</v>
      </c>
      <c r="X18" s="175">
        <f>(180/PI())*IMARGUMENT(V18)</f>
        <v>132.76002788584307</v>
      </c>
      <c r="Y18" s="175" t="str">
        <f>IMPRODUCT(P18,S18)</f>
        <v>-8395.6659555236+9079.31645561485i</v>
      </c>
      <c r="Z18" s="176">
        <f>20*LOG(IMABS(Y18))</f>
        <v>81.844676806986229</v>
      </c>
      <c r="AA18" s="175">
        <f>(180/PI())*IMARGUMENT(Y18)</f>
        <v>132.75963590204967</v>
      </c>
    </row>
    <row r="19" spans="1:27" x14ac:dyDescent="0.25">
      <c r="A19" s="191" t="s">
        <v>281</v>
      </c>
      <c r="B19" s="194">
        <f>B11</f>
        <v>3.3000000000000002E-6</v>
      </c>
      <c r="F19" s="177">
        <v>17</v>
      </c>
      <c r="G19" s="175">
        <f>10^('Small Signal'!F19/30)</f>
        <v>3.6869450645195756</v>
      </c>
      <c r="H19" s="175" t="str">
        <f>COMPLEX(0,G19*2*PI())</f>
        <v>23.1657590577677i</v>
      </c>
      <c r="I19" s="175">
        <f>IF('Small Signal'!$B$37&gt;=1,Q19+0,N19+0)</f>
        <v>16.857403003743418</v>
      </c>
      <c r="J19" s="175">
        <f>IF('Small Signal'!$B$37&gt;=1,R19,O19)</f>
        <v>-1.4939037277666782E-2</v>
      </c>
      <c r="K19" s="175">
        <f>IF('Small Signal'!$B$37&gt;=1,Z19+0,W19+0)</f>
        <v>77.231459635656535</v>
      </c>
      <c r="L19" s="175">
        <f>IF('Small Signal'!$B$37&gt;=1,AA19,X19)</f>
        <v>130.57694649774896</v>
      </c>
      <c r="M19" s="175" t="str">
        <f>IMDIV(IMSUM('Small Signal'!$B$2*'Small Signal'!$B$16*'Small Signal'!$B$38,IMPRODUCT(H19,'Small Signal'!$B$2*'Small Signal'!$B$16*'Small Signal'!$B$38*'Small Signal'!$B$13*'Small Signal'!$B$14)),IMSUM(IMPRODUCT('Small Signal'!$B$11*'Small Signal'!$B$13*('Small Signal'!$B$14+'Small Signal'!$B$16),IMPOWER(H19,2)),IMSUM(IMPRODUCT(H19,('Small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6.96418237041929-0.00181580883063151i</v>
      </c>
      <c r="N19" s="175">
        <f>20*LOG(IMABS(M19))</f>
        <v>16.857403003743418</v>
      </c>
      <c r="O19" s="175">
        <f>(180/PI())*IMARGUMENT(M19)</f>
        <v>-1.4939037277666782E-2</v>
      </c>
      <c r="P19" s="175" t="str">
        <f>IMDIV(IMSUM('Small Signal'!$B$48,IMPRODUCT(H19,'Small Signal'!$B$49)),IMSUM(IMPRODUCT('Small Signal'!$B$52,IMPOWER(H19,2)),IMSUM(IMPRODUCT(H19,'Small Signal'!$B$51),'Small Signal'!$B$50)))</f>
        <v>11.3482212964085-0.00304271433086539i</v>
      </c>
      <c r="Q19" s="175">
        <f>20*LOG(IMABS(P19))</f>
        <v>21.098556235852541</v>
      </c>
      <c r="R19" s="175">
        <f>(180/PI())*IMARGUMENT(P19)</f>
        <v>-1.5362291648305208E-2</v>
      </c>
      <c r="S19" s="175" t="str">
        <f>IMPRODUCT(IMDIV(IMSUM(IMPRODUCT(H19,'Small Signal'!$B$33*'Small Signal'!$B$6*'Small Signal'!$B$27*'Small Signal'!$B$7*'Small Signal'!$B$8),'Small Signal'!$B$33*'Small Signal'!$B$6*'Small Signal'!$B$27),IMSUM(IMSUM(IMPRODUCT(H19,('Small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Signal'!$B$5),IMPRODUCT(IMPOWER(H19,2),'Small Signal'!$B$32*'Small Signal'!$B$33*'Small Signal'!$B$8*'Small Signal'!$B$7*('Small Signal'!$B$5+'Small Signal'!$B$6)+('Small Signal'!$B$5+'Small Signal'!$B$6)*('Small Signal'!$B$9*'Small Signal'!$B$8*'Small Signal'!$B$33*'Small Signal'!$B$7)))),-1)</f>
        <v>-679.299662533989+792.779716132941i</v>
      </c>
      <c r="T19" s="175">
        <f>20*LOG(IMABS(S19))</f>
        <v>60.374056631913106</v>
      </c>
      <c r="U19" s="175">
        <f>(180/PI())*IMARGUMENT(S19)</f>
        <v>130.59188553502665</v>
      </c>
      <c r="V19" s="175" t="str">
        <f>IMPRODUCT(M19,S19)</f>
        <v>-4729.32719764168+5522.29600104491i</v>
      </c>
      <c r="W19" s="176">
        <f>20*LOG(IMABS(V19))</f>
        <v>77.231459635656535</v>
      </c>
      <c r="X19" s="175">
        <f>(180/PI())*IMARGUMENT(V19)</f>
        <v>130.57694649774896</v>
      </c>
      <c r="Y19" s="175" t="str">
        <f>IMPRODUCT(P19,S19)</f>
        <v>-7706.43069480782+8998.70657279867i</v>
      </c>
      <c r="Z19" s="176">
        <f>20*LOG(IMABS(Y19))</f>
        <v>81.472612867765633</v>
      </c>
      <c r="AA19" s="175">
        <f>(180/PI())*IMARGUMENT(Y19)</f>
        <v>130.57652324337832</v>
      </c>
    </row>
    <row r="20" spans="1:27" x14ac:dyDescent="0.25">
      <c r="A20" s="191" t="s">
        <v>280</v>
      </c>
      <c r="B20" s="193">
        <f>B12</f>
        <v>0.1099</v>
      </c>
      <c r="F20" s="177">
        <v>18</v>
      </c>
      <c r="G20" s="175">
        <f>10^('Small Signal'!F20/30)</f>
        <v>3.9810717055349727</v>
      </c>
      <c r="H20" s="175" t="str">
        <f>COMPLEX(0,G20*2*PI())</f>
        <v>25.0138112470457i</v>
      </c>
      <c r="I20" s="175">
        <f>IF('Small Signal'!$B$37&gt;=1,Q20+0,N20+0)</f>
        <v>16.857402963547536</v>
      </c>
      <c r="J20" s="175">
        <f>IF('Small Signal'!$B$37&gt;=1,R20,O20)</f>
        <v>-1.6130801357213148E-2</v>
      </c>
      <c r="K20" s="175">
        <f>IF('Small Signal'!$B$37&gt;=1,Z20+0,W20+0)</f>
        <v>76.834440292530189</v>
      </c>
      <c r="L20" s="175">
        <f>IF('Small Signal'!$B$37&gt;=1,AA20,X20)</f>
        <v>128.41949431582003</v>
      </c>
      <c r="M20" s="175" t="str">
        <f>IMDIV(IMSUM('Small Signal'!$B$2*'Small Signal'!$B$16*'Small Signal'!$B$38,IMPRODUCT(H20,'Small Signal'!$B$2*'Small Signal'!$B$16*'Small Signal'!$B$38*'Small Signal'!$B$13*'Small Signal'!$B$14)),IMSUM(IMPRODUCT('Small Signal'!$B$11*'Small Signal'!$B$13*('Small Signal'!$B$14+'Small Signal'!$B$16),IMPOWER(H20,2)),IMSUM(IMPRODUCT(H20,('Small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6.96418229891527-0.0019606652567075i</v>
      </c>
      <c r="N20" s="175">
        <f>20*LOG(IMABS(M20))</f>
        <v>16.857402963547536</v>
      </c>
      <c r="O20" s="175">
        <f>(180/PI())*IMARGUMENT(M20)</f>
        <v>-1.6130801357213148E-2</v>
      </c>
      <c r="P20" s="175" t="str">
        <f>IMDIV(IMSUM('Small Signal'!$B$48,IMPRODUCT(H20,'Small Signal'!$B$49)),IMSUM(IMPRODUCT('Small Signal'!$B$52,IMPOWER(H20,2)),IMSUM(IMPRODUCT(H20,'Small Signal'!$B$51),'Small Signal'!$B$50)))</f>
        <v>11.3482211813869-0.00328544733312299i</v>
      </c>
      <c r="Q20" s="175">
        <f>20*LOG(IMABS(P20))</f>
        <v>21.098556199616041</v>
      </c>
      <c r="R20" s="175">
        <f>(180/PI())*IMARGUMENT(P20)</f>
        <v>-1.6587820922092485E-2</v>
      </c>
      <c r="S20" s="175" t="str">
        <f>IMPRODUCT(IMDIV(IMSUM(IMPRODUCT(H20,'Small Signal'!$B$33*'Small Signal'!$B$6*'Small Signal'!$B$27*'Small Signal'!$B$7*'Small Signal'!$B$8),'Small Signal'!$B$33*'Small Signal'!$B$6*'Small Signal'!$B$27),IMSUM(IMSUM(IMPRODUCT(H20,('Small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Signal'!$B$5),IMPRODUCT(IMPOWER(H20,2),'Small Signal'!$B$32*'Small Signal'!$B$33*'Small Signal'!$B$8*'Small Signal'!$B$7*('Small Signal'!$B$5+'Small Signal'!$B$6)+('Small Signal'!$B$5+'Small Signal'!$B$6)*('Small Signal'!$B$9*'Small Signal'!$B$8*'Small Signal'!$B$33*'Small Signal'!$B$7)))),-1)</f>
        <v>-619.993711158244+781.23901666538i</v>
      </c>
      <c r="T20" s="175">
        <f>20*LOG(IMABS(S20))</f>
        <v>59.977037328982632</v>
      </c>
      <c r="U20" s="175">
        <f>(180/PI())*IMARGUMENT(S20)</f>
        <v>128.43562511717727</v>
      </c>
      <c r="V20" s="175" t="str">
        <f>IMPRODUCT(M20,S20)</f>
        <v>-4316.21748048987+5441.90653121186i</v>
      </c>
      <c r="W20" s="176">
        <f>20*LOG(IMABS(V20))</f>
        <v>76.834440292530189</v>
      </c>
      <c r="X20" s="175">
        <f>(180/PI())*IMARGUMENT(V20)</f>
        <v>128.41949431582003</v>
      </c>
      <c r="Y20" s="175" t="str">
        <f>IMPRODUCT(P20,S20)</f>
        <v>-7033.25904564882+8867.71011333282i</v>
      </c>
      <c r="Z20" s="176">
        <f>20*LOG(IMABS(Y20))</f>
        <v>81.075593528598674</v>
      </c>
      <c r="AA20" s="175">
        <f>(180/PI())*IMARGUMENT(Y20)</f>
        <v>128.41903729625514</v>
      </c>
    </row>
    <row r="21" spans="1:27" x14ac:dyDescent="0.25">
      <c r="A21" s="191" t="s">
        <v>279</v>
      </c>
      <c r="B21" s="190">
        <f>B2</f>
        <v>24</v>
      </c>
      <c r="F21" s="177">
        <v>19</v>
      </c>
      <c r="G21" s="175">
        <f>10^('Small Signal'!F21/30)</f>
        <v>4.2986623470822769</v>
      </c>
      <c r="H21" s="175" t="str">
        <f>COMPLEX(0,G21*2*PI())</f>
        <v>27.0092920997135i</v>
      </c>
      <c r="I21" s="175">
        <f>IF('Small Signal'!$B$37&gt;=1,Q21+0,N21+0)</f>
        <v>16.857402916682588</v>
      </c>
      <c r="J21" s="175">
        <f>IF('Small Signal'!$B$37&gt;=1,R21,O21)</f>
        <v>-1.7417638598191603E-2</v>
      </c>
      <c r="K21" s="175">
        <f>IF('Small Signal'!$B$37&gt;=1,Z21+0,W21+0)</f>
        <v>76.413184817453072</v>
      </c>
      <c r="L21" s="175">
        <f>IF('Small Signal'!$B$37&gt;=1,AA21,X21)</f>
        <v>126.29942102652448</v>
      </c>
      <c r="M21" s="175" t="str">
        <f>IMDIV(IMSUM('Small Signal'!$B$2*'Small Signal'!$B$16*'Small Signal'!$B$38,IMPRODUCT(H21,'Small Signal'!$B$2*'Small Signal'!$B$16*'Small Signal'!$B$38*'Small Signal'!$B$13*'Small Signal'!$B$14)),IMSUM(IMPRODUCT('Small Signal'!$B$11*'Small Signal'!$B$13*('Small Signal'!$B$14+'Small Signal'!$B$16),IMPOWER(H21,2)),IMSUM(IMPRODUCT(H21,('Small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6.96418221554771-0.00211707762299006i</v>
      </c>
      <c r="N21" s="175">
        <f>20*LOG(IMABS(M21))</f>
        <v>16.857402916682588</v>
      </c>
      <c r="O21" s="175">
        <f>(180/PI())*IMARGUMENT(M21)</f>
        <v>-1.7417638598191603E-2</v>
      </c>
      <c r="P21" s="175" t="str">
        <f>IMDIV(IMSUM('Small Signal'!$B$48,IMPRODUCT(H21,'Small Signal'!$B$49)),IMSUM(IMPRODUCT('Small Signal'!$B$52,IMPOWER(H21,2)),IMSUM(IMPRODUCT(H21,'Small Signal'!$B$51),'Small Signal'!$B$50)))</f>
        <v>11.3482210472816-0.00354754439294237i</v>
      </c>
      <c r="Q21" s="175">
        <f>20*LOG(IMABS(P21))</f>
        <v>21.098556157367419</v>
      </c>
      <c r="R21" s="175">
        <f>(180/PI())*IMARGUMENT(P21)</f>
        <v>-1.7911116983264974E-2</v>
      </c>
      <c r="S21" s="175" t="str">
        <f>IMPRODUCT(IMDIV(IMSUM(IMPRODUCT(H21,'Small Signal'!$B$33*'Small Signal'!$B$6*'Small Signal'!$B$27*'Small Signal'!$B$7*'Small Signal'!$B$8),'Small Signal'!$B$33*'Small Signal'!$B$6*'Small Signal'!$B$27),IMSUM(IMSUM(IMPRODUCT(H21,('Small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Signal'!$B$5),IMPRODUCT(IMPOWER(H21,2),'Small Signal'!$B$32*'Small Signal'!$B$33*'Small Signal'!$B$8*'Small Signal'!$B$7*('Small Signal'!$B$5+'Small Signal'!$B$6)+('Small Signal'!$B$5+'Small Signal'!$B$6)*('Small Signal'!$B$9*'Small Signal'!$B$8*'Small Signal'!$B$33*'Small Signal'!$B$7)))),-1)</f>
        <v>-562.722356956988+765.581985359152i</v>
      </c>
      <c r="T21" s="175">
        <f>20*LOG(IMABS(S21))</f>
        <v>59.555781900770491</v>
      </c>
      <c r="U21" s="175">
        <f>(180/PI())*IMARGUMENT(S21)</f>
        <v>126.31683866512266</v>
      </c>
      <c r="V21" s="175" t="str">
        <f>IMPRODUCT(M21,S21)</f>
        <v>-3917.28023412118+5332.84377389178i</v>
      </c>
      <c r="W21" s="176">
        <f>20*LOG(IMABS(V21))</f>
        <v>76.413184817453072</v>
      </c>
      <c r="X21" s="175">
        <f>(180/PI())*IMARGUMENT(V21)</f>
        <v>126.29942102652448</v>
      </c>
      <c r="Y21" s="175" t="str">
        <f>IMPRODUCT(P21,S21)</f>
        <v>-6383.1817589157+8689.98988221457i</v>
      </c>
      <c r="Z21" s="176">
        <f>20*LOG(IMABS(Y21))</f>
        <v>80.65433805813791</v>
      </c>
      <c r="AA21" s="175">
        <f>(180/PI())*IMARGUMENT(Y21)</f>
        <v>126.29892754813937</v>
      </c>
    </row>
    <row r="22" spans="1:27" x14ac:dyDescent="0.25">
      <c r="A22" s="191" t="s">
        <v>278</v>
      </c>
      <c r="B22" s="190">
        <f>B3</f>
        <v>5</v>
      </c>
      <c r="F22" s="177">
        <v>20</v>
      </c>
      <c r="G22" s="175">
        <f>10^('Small Signal'!F22/30)</f>
        <v>4.6415888336127793</v>
      </c>
      <c r="H22" s="175" t="str">
        <f>COMPLEX(0,G22*2*PI())</f>
        <v>29.1639627613246i</v>
      </c>
      <c r="I22" s="175">
        <f>IF('Small Signal'!$B$37&gt;=1,Q22+0,N22+0)</f>
        <v>16.857402862042065</v>
      </c>
      <c r="J22" s="175">
        <f>IF('Small Signal'!$B$37&gt;=1,R22,O22)</f>
        <v>-1.8807133474518165E-2</v>
      </c>
      <c r="K22" s="175">
        <f>IF('Small Signal'!$B$37&gt;=1,Z22+0,W22+0)</f>
        <v>75.968652351221493</v>
      </c>
      <c r="L22" s="175">
        <f>IF('Small Signal'!$B$37&gt;=1,AA22,X22)</f>
        <v>124.22745354224365</v>
      </c>
      <c r="M22" s="175" t="str">
        <f>IMDIV(IMSUM('Small Signal'!$B$2*'Small Signal'!$B$16*'Small Signal'!$B$38,IMPRODUCT(H22,'Small Signal'!$B$2*'Small Signal'!$B$16*'Small Signal'!$B$38*'Small Signal'!$B$13*'Small Signal'!$B$14)),IMSUM(IMPRODUCT('Small Signal'!$B$11*'Small Signal'!$B$13*('Small Signal'!$B$14+'Small Signal'!$B$16),IMPOWER(H22,2)),IMSUM(IMPRODUCT(H22,('Small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6.96418211834827-0.00228596780526858i</v>
      </c>
      <c r="N22" s="175">
        <f>20*LOG(IMABS(M22))</f>
        <v>16.857402862042065</v>
      </c>
      <c r="O22" s="175">
        <f>(180/PI())*IMARGUMENT(M22)</f>
        <v>-1.8807133474518165E-2</v>
      </c>
      <c r="P22" s="175" t="str">
        <f>IMDIV(IMSUM('Small Signal'!$B$48,IMPRODUCT(H22,'Small Signal'!$B$49)),IMSUM(IMPRODUCT('Small Signal'!$B$52,IMPOWER(H22,2)),IMSUM(IMPRODUCT(H22,'Small Signal'!$B$51),'Small Signal'!$B$50)))</f>
        <v>11.3482208909263-0.00383055027932169i</v>
      </c>
      <c r="Q22" s="175">
        <f>20*LOG(IMABS(P22))</f>
        <v>21.09855610810914</v>
      </c>
      <c r="R22" s="175">
        <f>(180/PI())*IMARGUMENT(P22)</f>
        <v>-1.9339979190731302E-2</v>
      </c>
      <c r="S22" s="175" t="str">
        <f>IMPRODUCT(IMDIV(IMSUM(IMPRODUCT(H22,'Small Signal'!$B$33*'Small Signal'!$B$6*'Small Signal'!$B$27*'Small Signal'!$B$7*'Small Signal'!$B$8),'Small Signal'!$B$33*'Small Signal'!$B$6*'Small Signal'!$B$27),IMSUM(IMSUM(IMPRODUCT(H22,('Small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Signal'!$B$5),IMPRODUCT(IMPOWER(H22,2),'Small Signal'!$B$32*'Small Signal'!$B$33*'Small Signal'!$B$8*'Small Signal'!$B$7*('Small Signal'!$B$5+'Small Signal'!$B$6)+('Small Signal'!$B$5+'Small Signal'!$B$6)*('Small Signal'!$B$9*'Small Signal'!$B$8*'Small Signal'!$B$33*'Small Signal'!$B$7)))),-1)</f>
        <v>-508.01757221594+746.228422789257i</v>
      </c>
      <c r="T22" s="175">
        <f>20*LOG(IMABS(S22))</f>
        <v>59.111249489179428</v>
      </c>
      <c r="U22" s="175">
        <f>(180/PI())*IMARGUMENT(S22)</f>
        <v>124.24626067571813</v>
      </c>
      <c r="V22" s="175" t="str">
        <f>IMPRODUCT(M22,S22)</f>
        <v>-3536.22103808308+5198.03195000677i</v>
      </c>
      <c r="W22" s="176">
        <f>20*LOG(IMABS(V22))</f>
        <v>75.968652351221493</v>
      </c>
      <c r="X22" s="175">
        <f>(180/PI())*IMARGUMENT(V22)</f>
        <v>124.22745354224365</v>
      </c>
      <c r="Y22" s="175" t="str">
        <f>IMPRODUCT(P22,S22)</f>
        <v>-5762.23716048524+8470.31096375318i</v>
      </c>
      <c r="Z22" s="176">
        <f>20*LOG(IMABS(Y22))</f>
        <v>80.209805597288565</v>
      </c>
      <c r="AA22" s="175">
        <f>(180/PI())*IMARGUMENT(Y22)</f>
        <v>124.22692069652742</v>
      </c>
    </row>
    <row r="23" spans="1:27" x14ac:dyDescent="0.25">
      <c r="A23" s="191" t="s">
        <v>277</v>
      </c>
      <c r="B23" s="190">
        <f>B10</f>
        <v>700000</v>
      </c>
      <c r="F23" s="177">
        <v>21</v>
      </c>
      <c r="G23" s="175">
        <f>10^('Small Signal'!F23/30)</f>
        <v>5.0118723362727229</v>
      </c>
      <c r="H23" s="175" t="str">
        <f>COMPLEX(0,G23*2*PI())</f>
        <v>31.4905226247286i</v>
      </c>
      <c r="I23" s="175">
        <f>IF('Small Signal'!$B$37&gt;=1,Q23+0,N23+0)</f>
        <v>16.857402798335897</v>
      </c>
      <c r="J23" s="175">
        <f>IF('Small Signal'!$B$37&gt;=1,R23,O23)</f>
        <v>-2.0307475511978312E-2</v>
      </c>
      <c r="K23" s="175">
        <f>IF('Small Signal'!$B$37&gt;=1,Z23+0,W23+0)</f>
        <v>75.502001930092632</v>
      </c>
      <c r="L23" s="175">
        <f>IF('Small Signal'!$B$37&gt;=1,AA23,X23)</f>
        <v>122.21306484671518</v>
      </c>
      <c r="M23" s="175" t="str">
        <f>IMDIV(IMSUM('Small Signal'!$B$2*'Small Signal'!$B$16*'Small Signal'!$B$38,IMPRODUCT(H23,'Small Signal'!$B$2*'Small Signal'!$B$16*'Small Signal'!$B$38*'Small Signal'!$B$13*'Small Signal'!$B$14)),IMSUM(IMPRODUCT('Small Signal'!$B$11*'Small Signal'!$B$13*('Small Signal'!$B$14+'Small Signal'!$B$16),IMPOWER(H23,2)),IMSUM(IMPRODUCT(H23,('Small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6.96418200502205-0.00246833122180832i</v>
      </c>
      <c r="N23" s="175">
        <f>20*LOG(IMABS(M23))</f>
        <v>16.857402798335897</v>
      </c>
      <c r="O23" s="175">
        <f>(180/PI())*IMARGUMENT(M23)</f>
        <v>-2.0307475511978312E-2</v>
      </c>
      <c r="P23" s="175" t="str">
        <f>IMDIV(IMSUM('Small Signal'!$B$48,IMPRODUCT(H23,'Small Signal'!$B$49)),IMSUM(IMPRODUCT('Small Signal'!$B$52,IMPOWER(H23,2)),IMSUM(IMPRODUCT(H23,'Small Signal'!$B$51),'Small Signal'!$B$50)))</f>
        <v>11.3482207086293-0.00413613299498074i</v>
      </c>
      <c r="Q23" s="175">
        <f>20*LOG(IMABS(P23))</f>
        <v>21.09855605067812</v>
      </c>
      <c r="R23" s="175">
        <f>(180/PI())*IMARGUMENT(P23)</f>
        <v>-2.0882829097893886E-2</v>
      </c>
      <c r="S23" s="175" t="str">
        <f>IMPRODUCT(IMDIV(IMSUM(IMPRODUCT(H23,'Small Signal'!$B$33*'Small Signal'!$B$6*'Small Signal'!$B$27*'Small Signal'!$B$7*'Small Signal'!$B$8),'Small Signal'!$B$33*'Small Signal'!$B$6*'Small Signal'!$B$27),IMSUM(IMSUM(IMPRODUCT(H23,('Small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Signal'!$B$5),IMPRODUCT(IMPOWER(H23,2),'Small Signal'!$B$32*'Small Signal'!$B$33*'Small Signal'!$B$8*'Small Signal'!$B$7*('Small Signal'!$B$5+'Small Signal'!$B$6)+('Small Signal'!$B$5+'Small Signal'!$B$6)*('Small Signal'!$B$9*'Small Signal'!$B$8*'Small Signal'!$B$33*'Small Signal'!$B$7)))),-1)</f>
        <v>-456.307674568412+723.66917036624i</v>
      </c>
      <c r="T23" s="175">
        <f>20*LOG(IMABS(S23))</f>
        <v>58.644599131756749</v>
      </c>
      <c r="U23" s="175">
        <f>(180/PI())*IMARGUMENT(S23)</f>
        <v>122.23337232222717</v>
      </c>
      <c r="V23" s="175" t="str">
        <f>IMPRODUCT(M23,S23)</f>
        <v>-3176.02344077532+5040.89013233369i</v>
      </c>
      <c r="W23" s="176">
        <f>20*LOG(IMABS(V23))</f>
        <v>75.502001930092632</v>
      </c>
      <c r="X23" s="175">
        <f>(180/PI())*IMARGUMENT(V23)</f>
        <v>122.21306484671518</v>
      </c>
      <c r="Y23" s="175" t="str">
        <f>IMPRODUCT(P23,S23)</f>
        <v>-5175.28701011073+8214.2448145754i</v>
      </c>
      <c r="Z23" s="176">
        <f>20*LOG(IMABS(Y23))</f>
        <v>79.743155182434862</v>
      </c>
      <c r="AA23" s="175">
        <f>(180/PI())*IMARGUMENT(Y23)</f>
        <v>122.21248949312925</v>
      </c>
    </row>
    <row r="24" spans="1:27" x14ac:dyDescent="0.25">
      <c r="A24" s="191" t="s">
        <v>276</v>
      </c>
      <c r="B24" s="192">
        <f>Worksheet!C81</f>
        <v>2.5</v>
      </c>
      <c r="F24" s="177">
        <v>22</v>
      </c>
      <c r="G24" s="175">
        <f>10^('Small Signal'!F24/30)</f>
        <v>5.4116952654646369</v>
      </c>
      <c r="H24" s="175" t="str">
        <f>COMPLEX(0,G24*2*PI())</f>
        <v>34.0026841789007i</v>
      </c>
      <c r="I24" s="175">
        <f>IF('Small Signal'!$B$37&gt;=1,Q24+0,N24+0)</f>
        <v>16.857402724059945</v>
      </c>
      <c r="J24" s="175">
        <f>IF('Small Signal'!$B$37&gt;=1,R24,O24)</f>
        <v>-2.1927507556137867E-2</v>
      </c>
      <c r="K24" s="175">
        <f>IF('Small Signal'!$B$37&gt;=1,Z24+0,W24+0)</f>
        <v>75.014547490075032</v>
      </c>
      <c r="L24" s="175">
        <f>IF('Small Signal'!$B$37&gt;=1,AA24,X24)</f>
        <v>120.26431752420777</v>
      </c>
      <c r="M24" s="175" t="str">
        <f>IMDIV(IMSUM('Small Signal'!$B$2*'Small Signal'!$B$16*'Small Signal'!$B$38,IMPRODUCT(H24,'Small Signal'!$B$2*'Small Signal'!$B$16*'Small Signal'!$B$38*'Small Signal'!$B$13*'Small Signal'!$B$14)),IMSUM(IMPRODUCT('Small Signal'!$B$11*'Small Signal'!$B$13*('Small Signal'!$B$14+'Small Signal'!$B$16),IMPOWER(H24,2)),IMSUM(IMPRODUCT(H24,('Small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6.96418187289337-0.00266524270013166i</v>
      </c>
      <c r="N24" s="175">
        <f>20*LOG(IMABS(M24))</f>
        <v>16.857402724059945</v>
      </c>
      <c r="O24" s="175">
        <f>(180/PI())*IMARGUMENT(M24)</f>
        <v>-2.1927507556137867E-2</v>
      </c>
      <c r="P24" s="175" t="str">
        <f>IMDIV(IMSUM('Small Signal'!$B$48,IMPRODUCT(H24,'Small Signal'!$B$49)),IMSUM(IMPRODUCT('Small Signal'!$B$52,IMPOWER(H24,2)),IMSUM(IMPRODUCT(H24,'Small Signal'!$B$51),'Small Signal'!$B$50)))</f>
        <v>11.3482204960867-0.0044660936072285i</v>
      </c>
      <c r="Q24" s="175">
        <f>20*LOG(IMABS(P24))</f>
        <v>21.09855598371853</v>
      </c>
      <c r="R24" s="175">
        <f>(180/PI())*IMARGUMENT(P24)</f>
        <v>-2.2548760088155324E-2</v>
      </c>
      <c r="S24" s="175" t="str">
        <f>IMPRODUCT(IMDIV(IMSUM(IMPRODUCT(H24,'Small Signal'!$B$33*'Small Signal'!$B$6*'Small Signal'!$B$27*'Small Signal'!$B$7*'Small Signal'!$B$8),'Small Signal'!$B$33*'Small Signal'!$B$6*'Small Signal'!$B$27),IMSUM(IMSUM(IMPRODUCT(H24,('Small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Signal'!$B$5),IMPRODUCT(IMPOWER(H24,2),'Small Signal'!$B$32*'Small Signal'!$B$33*'Small Signal'!$B$8*'Small Signal'!$B$7*('Small Signal'!$B$5+'Small Signal'!$B$6)+('Small Signal'!$B$5+'Small Signal'!$B$6)*('Small Signal'!$B$9*'Small Signal'!$B$8*'Small Signal'!$B$33*'Small Signal'!$B$7)))),-1)</f>
        <v>-407.909403985502+698.438149294014i</v>
      </c>
      <c r="T24" s="175">
        <f>20*LOG(IMABS(S24))</f>
        <v>58.157144766015094</v>
      </c>
      <c r="U24" s="175">
        <f>(180/PI())*IMARGUMENT(S24)</f>
        <v>120.28624503176391</v>
      </c>
      <c r="V24" s="175" t="str">
        <f>IMPRODUCT(M24,S24)</f>
        <v>-2838.89376983967+4865.13747621185i</v>
      </c>
      <c r="W24" s="176">
        <f>20*LOG(IMABS(V24))</f>
        <v>75.014547490075032</v>
      </c>
      <c r="X24" s="175">
        <f>(180/PI())*IMARGUMENT(V24)</f>
        <v>120.26431752420777</v>
      </c>
      <c r="Y24" s="175" t="str">
        <f>IMPRODUCT(P24,S24)</f>
        <v>-4625.92656870118+7927.85188264866i</v>
      </c>
      <c r="Z24" s="176">
        <f>20*LOG(IMABS(Y24))</f>
        <v>79.25570074973362</v>
      </c>
      <c r="AA24" s="175">
        <f>(180/PI())*IMARGUMENT(Y24)</f>
        <v>120.26369627167577</v>
      </c>
    </row>
    <row r="25" spans="1:27" x14ac:dyDescent="0.25">
      <c r="A25" s="191" t="s">
        <v>275</v>
      </c>
      <c r="B25" s="190">
        <f>Worksheet!C82</f>
        <v>0.01</v>
      </c>
      <c r="F25" s="177">
        <v>23</v>
      </c>
      <c r="G25" s="175">
        <f>10^('Small Signal'!F25/30)</f>
        <v>5.8434141337351777</v>
      </c>
      <c r="H25" s="175" t="str">
        <f>COMPLEX(0,G25*2*PI())</f>
        <v>36.7152538288504i</v>
      </c>
      <c r="I25" s="175">
        <f>IF('Small Signal'!$B$37&gt;=1,Q25+0,N25+0)</f>
        <v>16.857402637460577</v>
      </c>
      <c r="J25" s="175">
        <f>IF('Small Signal'!$B$37&gt;=1,R25,O25)</f>
        <v>-2.367677789078456E-2</v>
      </c>
      <c r="K25" s="175">
        <f>IF('Small Signal'!$B$37&gt;=1,Z25+0,W25+0)</f>
        <v>74.507711250179312</v>
      </c>
      <c r="L25" s="175">
        <f>IF('Small Signal'!$B$37&gt;=1,AA25,X25)</f>
        <v>118.38778340132362</v>
      </c>
      <c r="M25" s="175" t="str">
        <f>IMDIV(IMSUM('Small Signal'!$B$2*'Small Signal'!$B$16*'Small Signal'!$B$38,IMPRODUCT(H25,'Small Signal'!$B$2*'Small Signal'!$B$16*'Small Signal'!$B$38*'Small Signal'!$B$13*'Small Signal'!$B$14)),IMSUM(IMPRODUCT('Small Signal'!$B$11*'Small Signal'!$B$13*('Small Signal'!$B$14+'Small Signal'!$B$16),IMPOWER(H25,2)),IMSUM(IMPRODUCT(H25,('Small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6.96418171884267-0.00287786281180193i</v>
      </c>
      <c r="N25" s="175">
        <f>20*LOG(IMABS(M25))</f>
        <v>16.857402637460577</v>
      </c>
      <c r="O25" s="175">
        <f>(180/PI())*IMARGUMENT(M25)</f>
        <v>-2.367677789078456E-2</v>
      </c>
      <c r="P25" s="175" t="str">
        <f>IMDIV(IMSUM('Small Signal'!$B$48,IMPRODUCT(H25,'Small Signal'!$B$49)),IMSUM(IMPRODUCT('Small Signal'!$B$52,IMPOWER(H25,2)),IMSUM(IMPRODUCT(H25,'Small Signal'!$B$51),'Small Signal'!$B$50)))</f>
        <v>11.3482202482802-0.00482237686305673i</v>
      </c>
      <c r="Q25" s="175">
        <f>20*LOG(IMABS(P25))</f>
        <v>21.09855590564937</v>
      </c>
      <c r="R25" s="175">
        <f>(180/PI())*IMARGUMENT(P25)</f>
        <v>-2.4347590970059268E-2</v>
      </c>
      <c r="S25" s="175" t="str">
        <f>IMPRODUCT(IMDIV(IMSUM(IMPRODUCT(H25,'Small Signal'!$B$33*'Small Signal'!$B$6*'Small Signal'!$B$27*'Small Signal'!$B$7*'Small Signal'!$B$8),'Small Signal'!$B$33*'Small Signal'!$B$6*'Small Signal'!$B$27),IMSUM(IMSUM(IMPRODUCT(H25,('Small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Signal'!$B$5),IMPRODUCT(IMPOWER(H25,2),'Small Signal'!$B$32*'Small Signal'!$B$33*'Small Signal'!$B$8*'Small Signal'!$B$7*('Small Signal'!$B$5+'Small Signal'!$B$6)+('Small Signal'!$B$5+'Small Signal'!$B$6)*('Small Signal'!$B$9*'Small Signal'!$B$8*'Small Signal'!$B$33*'Small Signal'!$B$7)))),-1)</f>
        <v>-363.027897708219+671.085187879261i</v>
      </c>
      <c r="T25" s="175">
        <f>20*LOG(IMABS(S25))</f>
        <v>57.650308612718732</v>
      </c>
      <c r="U25" s="175">
        <f>(180/PI())*IMARGUMENT(S25)</f>
        <v>118.41146017921437</v>
      </c>
      <c r="V25" s="175" t="str">
        <f>IMPRODUCT(M25,S25)</f>
        <v>-2526.26095754372+4674.60394170131i</v>
      </c>
      <c r="W25" s="176">
        <f>20*LOG(IMABS(V25))</f>
        <v>74.507711250179312</v>
      </c>
      <c r="X25" s="175">
        <f>(180/PI())*IMARGUMENT(V25)</f>
        <v>118.38778340132362</v>
      </c>
      <c r="Y25" s="175" t="str">
        <f>IMPRODUCT(P25,S25)</f>
        <v>-4116.48431377983+7617.3731747469i</v>
      </c>
      <c r="Z25" s="176">
        <f>20*LOG(IMABS(Y25))</f>
        <v>78.748864518368094</v>
      </c>
      <c r="AA25" s="175">
        <f>(180/PI())*IMARGUMENT(Y25)</f>
        <v>118.38711258824429</v>
      </c>
    </row>
    <row r="26" spans="1:27" x14ac:dyDescent="0.25">
      <c r="F26" s="177">
        <v>24</v>
      </c>
      <c r="G26" s="175">
        <f>10^('Small Signal'!F26/30)</f>
        <v>6.3095734448019343</v>
      </c>
      <c r="H26" s="175" t="str">
        <f>COMPLEX(0,G26*2*PI())</f>
        <v>39.64421916295i</v>
      </c>
      <c r="I26" s="175">
        <f>IF('Small Signal'!$B$37&gt;=1,Q26+0,N26+0)</f>
        <v>16.85740253649309</v>
      </c>
      <c r="J26" s="175">
        <f>IF('Small Signal'!$B$37&gt;=1,R26,O26)</f>
        <v>-2.5565596514060901E-2</v>
      </c>
      <c r="K26" s="175">
        <f>IF('Small Signal'!$B$37&gt;=1,Z26+0,W26+0)</f>
        <v>73.982978525233818</v>
      </c>
      <c r="L26" s="175">
        <f>IF('Small Signal'!$B$37&gt;=1,AA26,X26)</f>
        <v>116.58853403037382</v>
      </c>
      <c r="M26" s="175" t="str">
        <f>IMDIV(IMSUM('Small Signal'!$B$2*'Small Signal'!$B$16*'Small Signal'!$B$38,IMPRODUCT(H26,'Small Signal'!$B$2*'Small Signal'!$B$16*'Small Signal'!$B$38*'Small Signal'!$B$13*'Small Signal'!$B$14)),IMSUM(IMPRODUCT('Small Signal'!$B$11*'Small Signal'!$B$13*('Small Signal'!$B$14+'Small Signal'!$B$16),IMPOWER(H26,2)),IMSUM(IMPRODUCT(H26,('Small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6.96418153923272-0.00310744471253886i</v>
      </c>
      <c r="N26" s="175">
        <f>20*LOG(IMABS(M26))</f>
        <v>16.85740253649309</v>
      </c>
      <c r="O26" s="175">
        <f>(180/PI())*IMARGUMENT(M26)</f>
        <v>-2.5565596514060901E-2</v>
      </c>
      <c r="P26" s="175" t="str">
        <f>IMDIV(IMSUM('Small Signal'!$B$48,IMPRODUCT(H26,'Small Signal'!$B$49)),IMSUM(IMPRODUCT('Small Signal'!$B$52,IMPOWER(H26,2)),IMSUM(IMPRODUCT(H26,'Small Signal'!$B$51),'Small Signal'!$B$50)))</f>
        <v>11.3482199593592-0.00520708265101515i</v>
      </c>
      <c r="Q26" s="175">
        <f>20*LOG(IMABS(P26))</f>
        <v>21.098555814627527</v>
      </c>
      <c r="R26" s="175">
        <f>(180/PI())*IMARGUMENT(P26)</f>
        <v>-2.6289923847941842E-2</v>
      </c>
      <c r="S26" s="175" t="str">
        <f>IMPRODUCT(IMDIV(IMSUM(IMPRODUCT(H26,'Small Signal'!$B$33*'Small Signal'!$B$6*'Small Signal'!$B$27*'Small Signal'!$B$7*'Small Signal'!$B$8),'Small Signal'!$B$33*'Small Signal'!$B$6*'Small Signal'!$B$27),IMSUM(IMSUM(IMPRODUCT(H26,('Small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Signal'!$B$5),IMPRODUCT(IMPOWER(H26,2),'Small Signal'!$B$32*'Small Signal'!$B$33*'Small Signal'!$B$8*'Small Signal'!$B$7*('Small Signal'!$B$5+'Small Signal'!$B$6)+('Small Signal'!$B$5+'Small Signal'!$B$6)*('Small Signal'!$B$9*'Small Signal'!$B$8*'Small Signal'!$B$33*'Small Signal'!$B$7)))),-1)</f>
        <v>-321.763342031057+642.151798972685i</v>
      </c>
      <c r="T26" s="175">
        <f>20*LOG(IMABS(S26))</f>
        <v>57.125575988740714</v>
      </c>
      <c r="U26" s="175">
        <f>(180/PI())*IMARGUMENT(S26)</f>
        <v>116.61409962688786</v>
      </c>
      <c r="V26" s="175" t="str">
        <f>IMPRODUCT(M26,S26)</f>
        <v>-2238.82287536215+4473.06156558654i</v>
      </c>
      <c r="W26" s="176">
        <f>20*LOG(IMABS(V26))</f>
        <v>73.982978525233818</v>
      </c>
      <c r="X26" s="175">
        <f>(180/PI())*IMARGUMENT(V26)</f>
        <v>116.58853403037382</v>
      </c>
      <c r="Y26" s="175" t="str">
        <f>IMPRODUCT(P26,S26)</f>
        <v>-3648.09744273521+7288.95531035626i</v>
      </c>
      <c r="Z26" s="176">
        <f>20*LOG(IMABS(Y26))</f>
        <v>78.224131803368238</v>
      </c>
      <c r="AA26" s="175">
        <f>(180/PI())*IMARGUMENT(Y26)</f>
        <v>116.58780970303992</v>
      </c>
    </row>
    <row r="27" spans="1:27" x14ac:dyDescent="0.25">
      <c r="A27" s="188" t="s">
        <v>15</v>
      </c>
      <c r="B27" s="189">
        <f>Worksheet!C65</f>
        <v>9.7E-5</v>
      </c>
      <c r="F27" s="177">
        <v>25</v>
      </c>
      <c r="G27" s="175">
        <f>10^('Small Signal'!F27/30)</f>
        <v>6.812920690579614</v>
      </c>
      <c r="H27" s="175" t="str">
        <f>COMPLEX(0,G27*2*PI())</f>
        <v>42.8068431820296i</v>
      </c>
      <c r="I27" s="175">
        <f>IF('Small Signal'!$B$37&gt;=1,Q27+0,N27+0)</f>
        <v>16.857402418773685</v>
      </c>
      <c r="J27" s="175">
        <f>IF('Small Signal'!$B$37&gt;=1,R27,O27)</f>
        <v>-2.760509590395302E-2</v>
      </c>
      <c r="K27" s="175">
        <f>IF('Small Signal'!$B$37&gt;=1,Z27+0,W27+0)</f>
        <v>73.441856397145898</v>
      </c>
      <c r="L27" s="175">
        <f>IF('Small Signal'!$B$37&gt;=1,AA27,X27)</f>
        <v>114.87019177789001</v>
      </c>
      <c r="M27" s="175" t="str">
        <f>IMDIV(IMSUM('Small Signal'!$B$2*'Small Signal'!$B$16*'Small Signal'!$B$38,IMPRODUCT(H27,'Small Signal'!$B$2*'Small Signal'!$B$16*'Small Signal'!$B$38*'Small Signal'!$B$13*'Small Signal'!$B$14)),IMSUM(IMPRODUCT('Small Signal'!$B$11*'Small Signal'!$B$13*('Small Signal'!$B$14+'Small Signal'!$B$16),IMPOWER(H27,2)),IMSUM(IMPRODUCT(H27,('Small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6.96418132982293-0.00335534152797203i</v>
      </c>
      <c r="N27" s="175">
        <f>20*LOG(IMABS(M27))</f>
        <v>16.857402418773685</v>
      </c>
      <c r="O27" s="175">
        <f>(180/PI())*IMARGUMENT(M27)</f>
        <v>-2.760509590395302E-2</v>
      </c>
      <c r="P27" s="175" t="str">
        <f>IMDIV(IMSUM('Small Signal'!$B$48,IMPRODUCT(H27,'Small Signal'!$B$49)),IMSUM(IMPRODUCT('Small Signal'!$B$52,IMPOWER(H27,2)),IMSUM(IMPRODUCT(H27,'Small Signal'!$B$51),'Small Signal'!$B$50)))</f>
        <v>11.3482196225018-0.00562247837740815i</v>
      </c>
      <c r="Q27" s="175">
        <f>20*LOG(IMABS(P27))</f>
        <v>21.098555708503653</v>
      </c>
      <c r="R27" s="175">
        <f>(180/PI())*IMARGUMENT(P27)</f>
        <v>-2.8387206609155564E-2</v>
      </c>
      <c r="S27" s="175" t="str">
        <f>IMPRODUCT(IMDIV(IMSUM(IMPRODUCT(H27,'Small Signal'!$B$33*'Small Signal'!$B$6*'Small Signal'!$B$27*'Small Signal'!$B$7*'Small Signal'!$B$8),'Small Signal'!$B$33*'Small Signal'!$B$6*'Small Signal'!$B$27),IMSUM(IMSUM(IMPRODUCT(H27,('Small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Signal'!$B$5),IMPRODUCT(IMPOWER(H27,2),'Small Signal'!$B$32*'Small Signal'!$B$33*'Small Signal'!$B$8*'Small Signal'!$B$7*('Small Signal'!$B$5+'Small Signal'!$B$6)+('Small Signal'!$B$5+'Small Signal'!$B$6)*('Small Signal'!$B$9*'Small Signal'!$B$8*'Small Signal'!$B$33*'Small Signal'!$B$7)))),-1)</f>
        <v>-284.122586676762+612.151350340183i</v>
      </c>
      <c r="T27" s="175">
        <f>20*LOG(IMABS(S27))</f>
        <v>56.584453978372224</v>
      </c>
      <c r="U27" s="175">
        <f>(180/PI())*IMARGUMENT(S27)</f>
        <v>114.89779687379401</v>
      </c>
      <c r="V27" s="175" t="str">
        <f>IMPRODUCT(M27,S27)</f>
        <v>-1976.6272366681+4264.08633337911i</v>
      </c>
      <c r="W27" s="176">
        <f>20*LOG(IMABS(V27))</f>
        <v>73.441856397145898</v>
      </c>
      <c r="X27" s="175">
        <f>(180/PI())*IMARGUMENT(V27)</f>
        <v>114.87019177789001</v>
      </c>
      <c r="Y27" s="175" t="str">
        <f>IMPRODUCT(P27,S27)</f>
        <v>-3220.84370559021+6948.42543897156i</v>
      </c>
      <c r="Z27" s="176">
        <f>20*LOG(IMABS(Y27))</f>
        <v>77.683009686875863</v>
      </c>
      <c r="AA27" s="175">
        <f>(180/PI())*IMARGUMENT(Y27)</f>
        <v>114.86940966718484</v>
      </c>
    </row>
    <row r="28" spans="1:27" x14ac:dyDescent="0.25">
      <c r="A28" s="188" t="s">
        <v>274</v>
      </c>
      <c r="B28" s="187">
        <v>10000</v>
      </c>
      <c r="F28" s="177">
        <v>26</v>
      </c>
      <c r="G28" s="175">
        <f>10^('Small Signal'!F28/30)</f>
        <v>7.3564225445964153</v>
      </c>
      <c r="H28" s="175" t="str">
        <f>COMPLEX(0,G28*2*PI())</f>
        <v>46.2217660456129i</v>
      </c>
      <c r="I28" s="175">
        <f>IF('Small Signal'!$B$37&gt;=1,Q28+0,N28+0)</f>
        <v>16.857402281522912</v>
      </c>
      <c r="J28" s="175">
        <f>IF('Small Signal'!$B$37&gt;=1,R28,O28)</f>
        <v>-2.9807296631254126E-2</v>
      </c>
      <c r="K28" s="175">
        <f>IF('Small Signal'!$B$37&gt;=1,Z28+0,W28+0)</f>
        <v>72.885837917626461</v>
      </c>
      <c r="L28" s="175">
        <f>IF('Small Signal'!$B$37&gt;=1,AA28,X28)</f>
        <v>113.2350283711247</v>
      </c>
      <c r="M28" s="175" t="str">
        <f>IMDIV(IMSUM('Small Signal'!$B$2*'Small Signal'!$B$16*'Small Signal'!$B$38,IMPRODUCT(H28,'Small Signal'!$B$2*'Small Signal'!$B$16*'Small Signal'!$B$38*'Small Signal'!$B$13*'Small Signal'!$B$14)),IMSUM(IMPRODUCT('Small Signal'!$B$11*'Small Signal'!$B$13*('Small Signal'!$B$14+'Small Signal'!$B$16),IMPOWER(H28,2)),IMSUM(IMPRODUCT(H28,('Small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6.96418108566904-0.0036230143285518i</v>
      </c>
      <c r="N28" s="175">
        <f>20*LOG(IMABS(M28))</f>
        <v>16.857402281522912</v>
      </c>
      <c r="O28" s="175">
        <f>(180/PI())*IMARGUMENT(M28)</f>
        <v>-2.9807296631254126E-2</v>
      </c>
      <c r="P28" s="175" t="str">
        <f>IMDIV(IMSUM('Small Signal'!$B$48,IMPRODUCT(H28,'Small Signal'!$B$49)),IMSUM(IMPRODUCT('Small Signal'!$B$52,IMPOWER(H28,2)),IMSUM(IMPRODUCT(H28,'Small Signal'!$B$51),'Small Signal'!$B$50)))</f>
        <v>11.348219229755-0.00607101232974213i</v>
      </c>
      <c r="Q28" s="175">
        <f>20*LOG(IMABS(P28))</f>
        <v>21.09855558477236</v>
      </c>
      <c r="R28" s="175">
        <f>(180/PI())*IMARGUMENT(P28)</f>
        <v>-3.065180039613867E-2</v>
      </c>
      <c r="S28" s="175" t="str">
        <f>IMPRODUCT(IMDIV(IMSUM(IMPRODUCT(H28,'Small Signal'!$B$33*'Small Signal'!$B$6*'Small Signal'!$B$27*'Small Signal'!$B$7*'Small Signal'!$B$8),'Small Signal'!$B$33*'Small Signal'!$B$6*'Small Signal'!$B$27),IMSUM(IMSUM(IMPRODUCT(H28,('Small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Signal'!$B$5),IMPRODUCT(IMPOWER(H28,2),'Small Signal'!$B$32*'Small Signal'!$B$33*'Small Signal'!$B$8*'Small Signal'!$B$7*('Small Signal'!$B$5+'Small Signal'!$B$6)+('Small Signal'!$B$5+'Small Signal'!$B$6)*('Small Signal'!$B$9*'Small Signal'!$B$8*'Small Signal'!$B$33*'Small Signal'!$B$7)))),-1)</f>
        <v>-250.033849939893+581.55431567171i</v>
      </c>
      <c r="T28" s="175">
        <f>20*LOG(IMABS(S28))</f>
        <v>56.028435636103559</v>
      </c>
      <c r="U28" s="175">
        <f>(180/PI())*IMARGUMENT(S28)</f>
        <v>113.264835667756</v>
      </c>
      <c r="V28" s="175" t="str">
        <f>IMPRODUCT(M28,S28)</f>
        <v>-1739.1740289099+4050.95544171108i</v>
      </c>
      <c r="W28" s="176">
        <f>20*LOG(IMABS(V28))</f>
        <v>72.885837917626461</v>
      </c>
      <c r="X28" s="175">
        <f>(180/PI())*IMARGUMENT(V28)</f>
        <v>113.2350283711247</v>
      </c>
      <c r="Y28" s="175" t="str">
        <f>IMPRODUCT(P28,S28)</f>
        <v>-2833.90832055671+6601.12382683855i</v>
      </c>
      <c r="Z28" s="176">
        <f>20*LOG(IMABS(Y28))</f>
        <v>77.126991220875908</v>
      </c>
      <c r="AA28" s="175">
        <f>(180/PI())*IMARGUMENT(Y28)</f>
        <v>113.23418386735983</v>
      </c>
    </row>
    <row r="29" spans="1:27" x14ac:dyDescent="0.25">
      <c r="A29" s="188" t="s">
        <v>273</v>
      </c>
      <c r="B29" s="187">
        <f>2*3.14159*4000000</f>
        <v>25132720</v>
      </c>
      <c r="F29" s="177">
        <v>27</v>
      </c>
      <c r="G29" s="175">
        <f>10^('Small Signal'!F29/30)</f>
        <v>7.9432823472428176</v>
      </c>
      <c r="H29" s="175" t="str">
        <f>COMPLEX(0,G29*2*PI())</f>
        <v>49.9091149349751i</v>
      </c>
      <c r="I29" s="175">
        <f>IF('Small Signal'!$B$37&gt;=1,Q29+0,N29+0)</f>
        <v>16.857402121500268</v>
      </c>
      <c r="J29" s="175">
        <f>IF('Small Signal'!$B$37&gt;=1,R29,O29)</f>
        <v>-3.2185178206681805E-2</v>
      </c>
      <c r="K29" s="175">
        <f>IF('Small Signal'!$B$37&gt;=1,Z29+0,W29+0)</f>
        <v>72.316372754495504</v>
      </c>
      <c r="L29" s="175">
        <f>IF('Small Signal'!$B$37&gt;=1,AA29,X29)</f>
        <v>111.68409680965651</v>
      </c>
      <c r="M29" s="175" t="str">
        <f>IMDIV(IMSUM('Small Signal'!$B$2*'Small Signal'!$B$16*'Small Signal'!$B$38,IMPRODUCT(H29,'Small Signal'!$B$2*'Small Signal'!$B$16*'Small Signal'!$B$38*'Small Signal'!$B$13*'Small Signal'!$B$14)),IMSUM(IMPRODUCT('Small Signal'!$B$11*'Small Signal'!$B$13*('Small Signal'!$B$14+'Small Signal'!$B$16),IMPOWER(H29,2)),IMSUM(IMPRODUCT(H29,('Small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6.96418080100652-0.00391204074060697i</v>
      </c>
      <c r="N29" s="175">
        <f>20*LOG(IMABS(M29))</f>
        <v>16.857402121500268</v>
      </c>
      <c r="O29" s="175">
        <f>(180/PI())*IMARGUMENT(M29)</f>
        <v>-3.2185178206681805E-2</v>
      </c>
      <c r="P29" s="175" t="str">
        <f>IMDIV(IMSUM('Small Signal'!$B$48,IMPRODUCT(H29,'Small Signal'!$B$49)),IMSUM(IMPRODUCT('Small Signal'!$B$52,IMPOWER(H29,2)),IMSUM(IMPRODUCT(H29,'Small Signal'!$B$51),'Small Signal'!$B$50)))</f>
        <v>11.3482187718459-0.00655532810616293i</v>
      </c>
      <c r="Q29" s="175">
        <f>20*LOG(IMABS(P29))</f>
        <v>21.098555440512285</v>
      </c>
      <c r="R29" s="175">
        <f>(180/PI())*IMARGUMENT(P29)</f>
        <v>-3.3097052460974365E-2</v>
      </c>
      <c r="S29" s="175" t="str">
        <f>IMPRODUCT(IMDIV(IMSUM(IMPRODUCT(H29,'Small Signal'!$B$33*'Small Signal'!$B$6*'Small Signal'!$B$27*'Small Signal'!$B$7*'Small Signal'!$B$8),'Small Signal'!$B$33*'Small Signal'!$B$6*'Small Signal'!$B$27),IMSUM(IMSUM(IMPRODUCT(H29,('Small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Signal'!$B$5),IMPRODUCT(IMPOWER(H29,2),'Small Signal'!$B$32*'Small Signal'!$B$33*'Small Signal'!$B$8*'Small Signal'!$B$7*('Small Signal'!$B$5+'Small Signal'!$B$6)+('Small Signal'!$B$5+'Small Signal'!$B$6)*('Small Signal'!$B$9*'Small Signal'!$B$8*'Small Signal'!$B$33*'Small Signal'!$B$7)))),-1)</f>
        <v>-219.362762328258+550.778632365777i</v>
      </c>
      <c r="T29" s="175">
        <f>20*LOG(IMABS(S29))</f>
        <v>55.458970632995232</v>
      </c>
      <c r="U29" s="175">
        <f>(180/PI())*IMARGUMENT(S29)</f>
        <v>111.71628198786317</v>
      </c>
      <c r="V29" s="175" t="str">
        <f>IMPRODUCT(M29,S29)</f>
        <v>-1525.52726941334+3836.58013318957i</v>
      </c>
      <c r="W29" s="176">
        <f>20*LOG(IMABS(V29))</f>
        <v>72.316372754495504</v>
      </c>
      <c r="X29" s="175">
        <f>(180/PI())*IMARGUMENT(V29)</f>
        <v>111.68409680965651</v>
      </c>
      <c r="Y29" s="175" t="str">
        <f>IMPRODUCT(P29,S29)</f>
        <v>-2485.76608264849+6251.79440982626i</v>
      </c>
      <c r="Z29" s="176">
        <f>20*LOG(IMABS(Y29))</f>
        <v>76.557526073507518</v>
      </c>
      <c r="AA29" s="175">
        <f>(180/PI())*IMARGUMENT(Y29)</f>
        <v>111.68318493540222</v>
      </c>
    </row>
    <row r="30" spans="1:27" x14ac:dyDescent="0.25">
      <c r="A30" s="188" t="s">
        <v>272</v>
      </c>
      <c r="B30" s="187">
        <f>1/Worksheet!C64</f>
        <v>0.16666666666666666</v>
      </c>
      <c r="F30" s="177">
        <v>28</v>
      </c>
      <c r="G30" s="175">
        <f>10^('Small Signal'!F30/30)</f>
        <v>8.5769589859089415</v>
      </c>
      <c r="H30" s="175" t="str">
        <f>COMPLEX(0,G30*2*PI())</f>
        <v>53.890622680545i</v>
      </c>
      <c r="I30" s="175">
        <f>IF('Small Signal'!$B$37&gt;=1,Q30+0,N30+0)</f>
        <v>16.85740193492758</v>
      </c>
      <c r="J30" s="175">
        <f>IF('Small Signal'!$B$37&gt;=1,R30,O30)</f>
        <v>-3.4752755579674499E-2</v>
      </c>
      <c r="K30" s="175">
        <f>IF('Small Signal'!$B$37&gt;=1,Z30+0,W30+0)</f>
        <v>71.73484452401479</v>
      </c>
      <c r="L30" s="175">
        <f>IF('Small Signal'!$B$37&gt;=1,AA30,X30)</f>
        <v>110.21738319546785</v>
      </c>
      <c r="M30" s="175" t="str">
        <f>IMDIV(IMSUM('Small Signal'!$B$2*'Small Signal'!$B$16*'Small Signal'!$B$38,IMPRODUCT(H30,'Small Signal'!$B$2*'Small Signal'!$B$16*'Small Signal'!$B$38*'Small Signal'!$B$13*'Small Signal'!$B$14)),IMSUM(IMPRODUCT('Small Signal'!$B$11*'Small Signal'!$B$13*('Small Signal'!$B$14+'Small Signal'!$B$16),IMPOWER(H30,2)),IMSUM(IMPRODUCT(H30,('Small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6.96418046911442-0.00422412424428436i</v>
      </c>
      <c r="N30" s="175">
        <f>20*LOG(IMABS(M30))</f>
        <v>16.85740193492758</v>
      </c>
      <c r="O30" s="175">
        <f>(180/PI())*IMARGUMENT(M30)</f>
        <v>-3.4752755579674499E-2</v>
      </c>
      <c r="P30" s="175" t="str">
        <f>IMDIV(IMSUM('Small Signal'!$B$48,IMPRODUCT(H30,'Small Signal'!$B$49)),IMSUM(IMPRODUCT('Small Signal'!$B$52,IMPOWER(H30,2)),IMSUM(IMPRODUCT(H30,'Small Signal'!$B$51),'Small Signal'!$B$50)))</f>
        <v>11.3482182379631-0.00707828019590313i</v>
      </c>
      <c r="Q30" s="175">
        <f>20*LOG(IMABS(P30))</f>
        <v>21.098555272317373</v>
      </c>
      <c r="R30" s="175">
        <f>(180/PI())*IMARGUMENT(P30)</f>
        <v>-3.5737374831798091E-2</v>
      </c>
      <c r="S30" s="175" t="str">
        <f>IMPRODUCT(IMDIV(IMSUM(IMPRODUCT(H30,'Small Signal'!$B$33*'Small Signal'!$B$6*'Small Signal'!$B$27*'Small Signal'!$B$7*'Small Signal'!$B$8),'Small Signal'!$B$33*'Small Signal'!$B$6*'Small Signal'!$B$27),IMSUM(IMSUM(IMPRODUCT(H30,('Small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Signal'!$B$5),IMPRODUCT(IMPOWER(H30,2),'Small Signal'!$B$32*'Small Signal'!$B$33*'Small Signal'!$B$8*'Small Signal'!$B$7*('Small Signal'!$B$5+'Small Signal'!$B$6)+('Small Signal'!$B$5+'Small Signal'!$B$6)*('Small Signal'!$B$9*'Small Signal'!$B$8*'Small Signal'!$B$33*'Small Signal'!$B$7)))),-1)</f>
        <v>-191.928299245808+520.184699869991i</v>
      </c>
      <c r="T30" s="175">
        <f>20*LOG(IMABS(S30))</f>
        <v>54.877442589087188</v>
      </c>
      <c r="U30" s="175">
        <f>(180/PI())*IMARGUMENT(S30)</f>
        <v>110.25213595104751</v>
      </c>
      <c r="V30" s="175" t="str">
        <f>IMPRODUCT(M30,S30)</f>
        <v>-1334.42598827578+3623.47085614875i</v>
      </c>
      <c r="W30" s="176">
        <f>20*LOG(IMABS(V30))</f>
        <v>71.73484452401479</v>
      </c>
      <c r="X30" s="175">
        <f>(180/PI())*IMARGUMENT(V30)</f>
        <v>110.21738319546785</v>
      </c>
      <c r="Y30" s="175" t="str">
        <f>IMPRODUCT(P30,S30)</f>
        <v>-2174.36221282322+5904.52802045358i</v>
      </c>
      <c r="Z30" s="176">
        <f>20*LOG(IMABS(Y30))</f>
        <v>75.975997861404579</v>
      </c>
      <c r="AA30" s="175">
        <f>(180/PI())*IMARGUMENT(Y30)</f>
        <v>110.21639857621572</v>
      </c>
    </row>
    <row r="31" spans="1:27" x14ac:dyDescent="0.25">
      <c r="A31" s="188" t="s">
        <v>271</v>
      </c>
      <c r="B31" s="187">
        <f>'[1]Design Equations CCM'!B177*'[1]Design Equations CCM'!B73*'Small Signal'!B30</f>
        <v>16.666666666666664</v>
      </c>
      <c r="F31" s="177">
        <v>29</v>
      </c>
      <c r="G31" s="175">
        <f>10^('Small Signal'!F31/30)</f>
        <v>9.2611872812879383</v>
      </c>
      <c r="H31" s="175" t="str">
        <f>COMPLEX(0,G31*2*PI())</f>
        <v>58.1897558528268i</v>
      </c>
      <c r="I31" s="175">
        <f>IF('Small Signal'!$B$37&gt;=1,Q31+0,N31+0)</f>
        <v>16.857401717399782</v>
      </c>
      <c r="J31" s="175">
        <f>IF('Small Signal'!$B$37&gt;=1,R31,O31)</f>
        <v>-3.7525161739684829E-2</v>
      </c>
      <c r="K31" s="175">
        <f>IF('Small Signal'!$B$37&gt;=1,Z31+0,W31+0)</f>
        <v>71.142554528726677</v>
      </c>
      <c r="L31" s="175">
        <f>IF('Small Signal'!$B$37&gt;=1,AA31,X31)</f>
        <v>108.833966767703</v>
      </c>
      <c r="M31" s="175" t="str">
        <f>IMDIV(IMSUM('Small Signal'!$B$2*'Small Signal'!$B$16*'Small Signal'!$B$38,IMPRODUCT(H31,'Small Signal'!$B$2*'Small Signal'!$B$16*'Small Signal'!$B$38*'Small Signal'!$B$13*'Small Signal'!$B$14)),IMSUM(IMPRODUCT('Small Signal'!$B$11*'Small Signal'!$B$13*('Small Signal'!$B$14+'Small Signal'!$B$16),IMPOWER(H31,2)),IMSUM(IMPRODUCT(H31,('Small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6.96418008215666-0.00456110421314873i</v>
      </c>
      <c r="N31" s="175">
        <f>20*LOG(IMABS(M31))</f>
        <v>16.857401717399782</v>
      </c>
      <c r="O31" s="175">
        <f>(180/PI())*IMARGUMENT(M31)</f>
        <v>-3.7525161739684829E-2</v>
      </c>
      <c r="P31" s="175" t="str">
        <f>IMDIV(IMSUM('Small Signal'!$B$48,IMPRODUCT(H31,'Small Signal'!$B$49)),IMSUM(IMPRODUCT('Small Signal'!$B$52,IMPOWER(H31,2)),IMSUM(IMPRODUCT(H31,'Small Signal'!$B$51),'Small Signal'!$B$50)))</f>
        <v>11.3482176155016-0.00764295080253616i</v>
      </c>
      <c r="Q31" s="175">
        <f>20*LOG(IMABS(P31))</f>
        <v>21.098555076216584</v>
      </c>
      <c r="R31" s="175">
        <f>(180/PI())*IMARGUMENT(P31)</f>
        <v>-3.8588329254668145E-2</v>
      </c>
      <c r="S31" s="175" t="str">
        <f>IMPRODUCT(IMDIV(IMSUM(IMPRODUCT(H31,'Small Signal'!$B$33*'Small Signal'!$B$6*'Small Signal'!$B$27*'Small Signal'!$B$7*'Small Signal'!$B$8),'Small Signal'!$B$33*'Small Signal'!$B$6*'Small Signal'!$B$27),IMSUM(IMSUM(IMPRODUCT(H31,('Small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Signal'!$B$5),IMPRODUCT(IMPOWER(H31,2),'Small Signal'!$B$32*'Small Signal'!$B$33*'Small Signal'!$B$8*'Small Signal'!$B$7*('Small Signal'!$B$5+'Small Signal'!$B$6)+('Small Signal'!$B$5+'Small Signal'!$B$6)*('Small Signal'!$B$9*'Small Signal'!$B$8*'Small Signal'!$B$33*'Small Signal'!$B$7)))),-1)</f>
        <v>-167.517541320927+490.074251605615i</v>
      </c>
      <c r="T31" s="175">
        <f>20*LOG(IMABS(S31))</f>
        <v>54.285152811326903</v>
      </c>
      <c r="U31" s="175">
        <f>(180/PI())*IMARGUMENT(S31)</f>
        <v>108.87149192944271</v>
      </c>
      <c r="V31" s="175" t="str">
        <f>IMPRODUCT(M31,S31)</f>
        <v>-1164.3870449453+3413.72940677315i</v>
      </c>
      <c r="W31" s="176">
        <f>20*LOG(IMABS(V31))</f>
        <v>71.142554528726677</v>
      </c>
      <c r="X31" s="175">
        <f>(180/PI())*IMARGUMENT(V31)</f>
        <v>108.833966767703</v>
      </c>
      <c r="Y31" s="175" t="str">
        <f>IMPRODUCT(P31,S31)</f>
        <v>-1897.27989992905+5562.74958330148i</v>
      </c>
      <c r="Z31" s="176">
        <f>20*LOG(IMABS(Y31))</f>
        <v>75.38370788754348</v>
      </c>
      <c r="AA31" s="175">
        <f>(180/PI())*IMARGUMENT(Y31)</f>
        <v>108.83290360018805</v>
      </c>
    </row>
    <row r="32" spans="1:27" x14ac:dyDescent="0.25">
      <c r="A32" s="182" t="s">
        <v>270</v>
      </c>
      <c r="B32" s="181">
        <f>B27/B29</f>
        <v>3.8595106299676279E-12</v>
      </c>
      <c r="F32" s="177">
        <v>30</v>
      </c>
      <c r="G32" s="175">
        <f>10^('Small Signal'!F32/30)</f>
        <v>10</v>
      </c>
      <c r="H32" s="175" t="str">
        <f>COMPLEX(0,G32*2*PI())</f>
        <v>62.8318530717959i</v>
      </c>
      <c r="I32" s="175">
        <f>IF('Small Signal'!$B$37&gt;=1,Q32+0,N32+0)</f>
        <v>16.85740146378102</v>
      </c>
      <c r="J32" s="175">
        <f>IF('Small Signal'!$B$37&gt;=1,R32,O32)</f>
        <v>-4.0518736906747441E-2</v>
      </c>
      <c r="K32" s="175">
        <f>IF('Small Signal'!$B$37&gt;=1,Z32+0,W32+0)</f>
        <v>70.540711261829259</v>
      </c>
      <c r="L32" s="175">
        <f>IF('Small Signal'!$B$37&gt;=1,AA32,X32)</f>
        <v>107.53217873961466</v>
      </c>
      <c r="M32" s="175" t="str">
        <f>IMDIV(IMSUM('Small Signal'!$B$2*'Small Signal'!$B$16*'Small Signal'!$B$38,IMPRODUCT(H32,'Small Signal'!$B$2*'Small Signal'!$B$16*'Small Signal'!$B$38*'Small Signal'!$B$13*'Small Signal'!$B$14)),IMSUM(IMPRODUCT('Small Signal'!$B$11*'Small Signal'!$B$13*('Small Signal'!$B$14+'Small Signal'!$B$16),IMPOWER(H32,2)),IMSUM(IMPRODUCT(H32,('Small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6.9641796309971-0.00492496675458783i</v>
      </c>
      <c r="N32" s="175">
        <f>20*LOG(IMABS(M32))</f>
        <v>16.85740146378102</v>
      </c>
      <c r="O32" s="175">
        <f>(180/PI())*IMARGUMENT(M32)</f>
        <v>-4.0518736906747441E-2</v>
      </c>
      <c r="P32" s="175" t="str">
        <f>IMDIV(IMSUM('Small Signal'!$B$48,IMPRODUCT(H32,'Small Signal'!$B$49)),IMSUM(IMPRODUCT('Small Signal'!$B$52,IMPOWER(H32,2)),IMSUM(IMPRODUCT(H32,'Small Signal'!$B$51),'Small Signal'!$B$50)))</f>
        <v>11.3482168897648-0.00825266800914673i</v>
      </c>
      <c r="Q32" s="175">
        <f>20*LOG(IMABS(P32))</f>
        <v>21.09855484757983</v>
      </c>
      <c r="R32" s="175">
        <f>(180/PI())*IMARGUMENT(P32)</f>
        <v>-4.1666718911470155E-2</v>
      </c>
      <c r="S32" s="175" t="str">
        <f>IMPRODUCT(IMDIV(IMSUM(IMPRODUCT(H32,'Small Signal'!$B$33*'Small Signal'!$B$6*'Small Signal'!$B$27*'Small Signal'!$B$7*'Small Signal'!$B$8),'Small Signal'!$B$33*'Small Signal'!$B$6*'Small Signal'!$B$27),IMSUM(IMSUM(IMPRODUCT(H32,('Small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Signal'!$B$5),IMPRODUCT(IMPOWER(H32,2),'Small Signal'!$B$32*'Small Signal'!$B$33*'Small Signal'!$B$8*'Small Signal'!$B$7*('Small Signal'!$B$5+'Small Signal'!$B$6)+('Small Signal'!$B$5+'Small Signal'!$B$6)*('Small Signal'!$B$9*'Small Signal'!$B$8*'Small Signal'!$B$33*'Small Signal'!$B$7)))),-1)</f>
        <v>-145.898593581525+460.69220676993i</v>
      </c>
      <c r="T32" s="175">
        <f>20*LOG(IMABS(S32))</f>
        <v>53.683309798048242</v>
      </c>
      <c r="U32" s="175">
        <f>(180/PI())*IMARGUMENT(S32)</f>
        <v>107.57269747652141</v>
      </c>
      <c r="V32" s="175" t="str">
        <f>IMPRODUCT(M32,S32)</f>
        <v>-1013.79511980914+3209.06182826918i</v>
      </c>
      <c r="W32" s="176">
        <f>20*LOG(IMABS(V32))</f>
        <v>70.540711261829259</v>
      </c>
      <c r="X32" s="175">
        <f>(180/PI())*IMARGUMENT(V32)</f>
        <v>107.53217873961466</v>
      </c>
      <c r="Y32" s="175" t="str">
        <f>IMPRODUCT(P32,S32)</f>
        <v>-1651.88694403792+5229.23913450537i</v>
      </c>
      <c r="Z32" s="176">
        <f>20*LOG(IMABS(Y32))</f>
        <v>74.781864645628076</v>
      </c>
      <c r="AA32" s="175">
        <f>(180/PI())*IMARGUMENT(Y32)</f>
        <v>107.53103075760995</v>
      </c>
    </row>
    <row r="33" spans="1:27" x14ac:dyDescent="0.25">
      <c r="A33" s="182" t="s">
        <v>269</v>
      </c>
      <c r="B33" s="181">
        <f>B28/B27</f>
        <v>103092783.50515464</v>
      </c>
      <c r="F33" s="177">
        <v>31</v>
      </c>
      <c r="G33" s="175">
        <f>10^('Small Signal'!F33/30)</f>
        <v>10.797751623277103</v>
      </c>
      <c r="H33" s="175" t="str">
        <f>COMPLEX(0,G33*2*PI())</f>
        <v>67.8442743499492i</v>
      </c>
      <c r="I33" s="175">
        <f>IF('Small Signal'!$B$37&gt;=1,Q33+0,N33+0)</f>
        <v>16.857401168083282</v>
      </c>
      <c r="J33" s="175">
        <f>IF('Small Signal'!$B$37&gt;=1,R33,O33)</f>
        <v>-4.3751124836912618E-2</v>
      </c>
      <c r="K33" s="175">
        <f>IF('Small Signal'!$B$37&gt;=1,Z33+0,W33+0)</f>
        <v>69.930424834912642</v>
      </c>
      <c r="L33" s="175">
        <f>IF('Small Signal'!$B$37&gt;=1,AA33,X33)</f>
        <v>106.30975299961212</v>
      </c>
      <c r="M33" s="175" t="str">
        <f>IMDIV(IMSUM('Small Signal'!$B$2*'Small Signal'!$B$16*'Small Signal'!$B$38,IMPRODUCT(H33,'Small Signal'!$B$2*'Small Signal'!$B$16*'Small Signal'!$B$38*'Small Signal'!$B$13*'Small Signal'!$B$14)),IMSUM(IMPRODUCT('Small Signal'!$B$11*'Small Signal'!$B$13*('Small Signal'!$B$14+'Small Signal'!$B$16),IMPOWER(H33,2)),IMSUM(IMPRODUCT(H33,('Small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6.96417910498374-0.00531785641487906i</v>
      </c>
      <c r="N33" s="175">
        <f>20*LOG(IMABS(M33))</f>
        <v>16.857401168083282</v>
      </c>
      <c r="O33" s="175">
        <f>(180/PI())*IMARGUMENT(M33)</f>
        <v>-4.3751124836912618E-2</v>
      </c>
      <c r="P33" s="175" t="str">
        <f>IMDIV(IMSUM('Small Signal'!$B$48,IMPRODUCT(H33,'Small Signal'!$B$49)),IMSUM(IMPRODUCT('Small Signal'!$B$52,IMPOWER(H33,2)),IMSUM(IMPRODUCT(H33,'Small Signal'!$B$51),'Small Signal'!$B$50)))</f>
        <v>11.3482160436178-0.00891102539243098i</v>
      </c>
      <c r="Q33" s="175">
        <f>20*LOG(IMABS(P33))</f>
        <v>21.09855458100888</v>
      </c>
      <c r="R33" s="175">
        <f>(180/PI())*IMARGUMENT(P33)</f>
        <v>-4.4990687454372173E-2</v>
      </c>
      <c r="S33" s="175" t="str">
        <f>IMPRODUCT(IMDIV(IMSUM(IMPRODUCT(H33,'Small Signal'!$B$33*'Small Signal'!$B$6*'Small Signal'!$B$27*'Small Signal'!$B$7*'Small Signal'!$B$8),'Small Signal'!$B$33*'Small Signal'!$B$6*'Small Signal'!$B$27),IMSUM(IMSUM(IMPRODUCT(H33,('Small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Signal'!$B$5),IMPRODUCT(IMPOWER(H33,2),'Small Signal'!$B$32*'Small Signal'!$B$33*'Small Signal'!$B$8*'Small Signal'!$B$7*('Small Signal'!$B$5+'Small Signal'!$B$6)+('Small Signal'!$B$5+'Small Signal'!$B$6)*('Small Signal'!$B$9*'Small Signal'!$B$8*'Small Signal'!$B$33*'Small Signal'!$B$7)))),-1)</f>
        <v>-126.831338020724+432.230615698151i</v>
      </c>
      <c r="T33" s="175">
        <f>20*LOG(IMABS(S33))</f>
        <v>53.073023666829364</v>
      </c>
      <c r="U33" s="175">
        <f>(180/PI())*IMARGUMENT(S33)</f>
        <v>106.35350412444902</v>
      </c>
      <c r="V33" s="175" t="str">
        <f>IMPRODUCT(M33,S33)</f>
        <v>-880.977613748658+3010.80589322382i</v>
      </c>
      <c r="W33" s="176">
        <f>20*LOG(IMABS(V33))</f>
        <v>69.930424834912642</v>
      </c>
      <c r="X33" s="175">
        <f>(180/PI())*IMARGUMENT(V33)</f>
        <v>106.30975299961212</v>
      </c>
      <c r="Y33" s="175" t="str">
        <f>IMPRODUCT(P33,S33)</f>
        <v>-1435.45780696842+4906.17660488221i</v>
      </c>
      <c r="Z33" s="176">
        <f>20*LOG(IMABS(Y33))</f>
        <v>74.171578247838241</v>
      </c>
      <c r="AA33" s="175">
        <f>(180/PI())*IMARGUMENT(Y33)</f>
        <v>106.30851343699467</v>
      </c>
    </row>
    <row r="34" spans="1:27" x14ac:dyDescent="0.25">
      <c r="A34" s="182" t="s">
        <v>268</v>
      </c>
      <c r="B34" s="186">
        <f>((1/(B13*B11))^0.5)*(1/(2*3.14159))</f>
        <v>29533.994689997955</v>
      </c>
      <c r="F34" s="177">
        <v>32</v>
      </c>
      <c r="G34" s="175">
        <f>10^('Small Signal'!F34/30)</f>
        <v>11.659144011798322</v>
      </c>
      <c r="H34" s="175" t="str">
        <f>COMPLEX(0,G34*2*PI())</f>
        <v>73.2565623492221i</v>
      </c>
      <c r="I34" s="175">
        <f>IF('Small Signal'!$B$37&gt;=1,Q34+0,N34+0)</f>
        <v>16.857400823325051</v>
      </c>
      <c r="J34" s="175">
        <f>IF('Small Signal'!$B$37&gt;=1,R34,O34)</f>
        <v>-4.7241376810052964E-2</v>
      </c>
      <c r="K34" s="175">
        <f>IF('Small Signal'!$B$37&gt;=1,Z34+0,W34+0)</f>
        <v>69.312705409019898</v>
      </c>
      <c r="L34" s="175">
        <f>IF('Small Signal'!$B$37&gt;=1,AA34,X34)</f>
        <v>105.16396405188952</v>
      </c>
      <c r="M34" s="175" t="str">
        <f>IMDIV(IMSUM('Small Signal'!$B$2*'Small Signal'!$B$16*'Small Signal'!$B$38,IMPRODUCT(H34,'Small Signal'!$B$2*'Small Signal'!$B$16*'Small Signal'!$B$38*'Small Signal'!$B$13*'Small Signal'!$B$14)),IMSUM(IMPRODUCT('Small Signal'!$B$11*'Small Signal'!$B$13*('Small Signal'!$B$14+'Small Signal'!$B$16),IMPOWER(H34,2)),IMSUM(IMPRODUCT(H34,('Small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6.96417849169728-0.00574208881786221i</v>
      </c>
      <c r="N34" s="175">
        <f>20*LOG(IMABS(M34))</f>
        <v>16.857400823325051</v>
      </c>
      <c r="O34" s="175">
        <f>(180/PI())*IMARGUMENT(M34)</f>
        <v>-4.7241376810052964E-2</v>
      </c>
      <c r="P34" s="175" t="str">
        <f>IMDIV(IMSUM('Small Signal'!$B$48,IMPRODUCT(H34,'Small Signal'!$B$49)),IMSUM(IMPRODUCT('Small Signal'!$B$52,IMPOWER(H34,2)),IMSUM(IMPRODUCT(H34,'Small Signal'!$B$51),'Small Signal'!$B$50)))</f>
        <v>11.3482150570831-0.00962190320126079i</v>
      </c>
      <c r="Q34" s="175">
        <f>20*LOG(IMABS(P34))</f>
        <v>21.098554270210101</v>
      </c>
      <c r="R34" s="175">
        <f>(180/PI())*IMARGUMENT(P34)</f>
        <v>-4.8579825940432045E-2</v>
      </c>
      <c r="S34" s="175" t="str">
        <f>IMPRODUCT(IMDIV(IMSUM(IMPRODUCT(H34,'Small Signal'!$B$33*'Small Signal'!$B$6*'Small Signal'!$B$27*'Small Signal'!$B$7*'Small Signal'!$B$8),'Small Signal'!$B$33*'Small Signal'!$B$6*'Small Signal'!$B$27),IMSUM(IMSUM(IMPRODUCT(H34,('Small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Signal'!$B$5),IMPRODUCT(IMPOWER(H34,2),'Small Signal'!$B$32*'Small Signal'!$B$33*'Small Signal'!$B$8*'Small Signal'!$B$7*('Small Signal'!$B$5+'Small Signal'!$B$6)+('Small Signal'!$B$5+'Small Signal'!$B$6)*('Small Signal'!$B$9*'Small Signal'!$B$8*'Small Signal'!$B$33*'Small Signal'!$B$7)))),-1)</f>
        <v>-110.075961282037+404.83390753202i</v>
      </c>
      <c r="T34" s="175">
        <f>20*LOG(IMABS(S34))</f>
        <v>52.455304585694847</v>
      </c>
      <c r="U34" s="175">
        <f>(180/PI())*IMARGUMENT(S34)</f>
        <v>105.21120542869956</v>
      </c>
      <c r="V34" s="175" t="str">
        <f>IMPRODUCT(M34,S34)</f>
        <v>-764.264049759734+2819.96765749065i</v>
      </c>
      <c r="W34" s="176">
        <f>20*LOG(IMABS(V34))</f>
        <v>69.312705409019898</v>
      </c>
      <c r="X34" s="175">
        <f>(180/PI())*IMARGUMENT(V34)</f>
        <v>105.16396405188952</v>
      </c>
      <c r="Y34" s="175" t="str">
        <f>IMPRODUCT(P34,S34)</f>
        <v>-1245.27040857285+4595.2013853169i</v>
      </c>
      <c r="Z34" s="176">
        <f>20*LOG(IMABS(Y34))</f>
        <v>73.553858855904949</v>
      </c>
      <c r="AA34" s="175">
        <f>(180/PI())*IMARGUMENT(Y34)</f>
        <v>105.16262560275915</v>
      </c>
    </row>
    <row r="35" spans="1:27" x14ac:dyDescent="0.25">
      <c r="A35" s="182" t="s">
        <v>267</v>
      </c>
      <c r="B35" s="181">
        <f>1/(B13*B14*2*3.14159)</f>
        <v>9042902.1320703551</v>
      </c>
      <c r="F35" s="177">
        <v>33</v>
      </c>
      <c r="G35" s="175">
        <f>10^('Small Signal'!F35/30)</f>
        <v>12.58925411794168</v>
      </c>
      <c r="H35" s="175" t="str">
        <f>COMPLEX(0,G35*2*PI())</f>
        <v>79.1006165022013i</v>
      </c>
      <c r="I35" s="175">
        <f>IF('Small Signal'!$B$37&gt;=1,Q35+0,N35+0)</f>
        <v>16.857400421366481</v>
      </c>
      <c r="J35" s="175">
        <f>IF('Small Signal'!$B$37&gt;=1,R35,O35)</f>
        <v>-5.1010063912797513E-2</v>
      </c>
      <c r="K35" s="175">
        <f>IF('Small Signal'!$B$37&gt;=1,Z35+0,W35+0)</f>
        <v>68.688464726046902</v>
      </c>
      <c r="L35" s="175">
        <f>IF('Small Signal'!$B$37&gt;=1,AA35,X35)</f>
        <v>104.0917495541853</v>
      </c>
      <c r="M35" s="175" t="str">
        <f>IMDIV(IMSUM('Small Signal'!$B$2*'Small Signal'!$B$16*'Small Signal'!$B$38,IMPRODUCT(H35,'Small Signal'!$B$2*'Small Signal'!$B$16*'Small Signal'!$B$38*'Small Signal'!$B$13*'Small Signal'!$B$14)),IMSUM(IMPRODUCT('Small Signal'!$B$11*'Small Signal'!$B$13*('Small Signal'!$B$14+'Small Signal'!$B$16),IMPOWER(H35,2)),IMSUM(IMPRODUCT(H35,('Small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6.96417777665787-0.00620016431165302i</v>
      </c>
      <c r="N35" s="175">
        <f>20*LOG(IMABS(M35))</f>
        <v>16.857400421366481</v>
      </c>
      <c r="O35" s="175">
        <f>(180/PI())*IMARGUMENT(M35)</f>
        <v>-5.1010063912797513E-2</v>
      </c>
      <c r="P35" s="175" t="str">
        <f>IMDIV(IMSUM('Small Signal'!$B$48,IMPRODUCT(H35,'Small Signal'!$B$49)),IMSUM(IMPRODUCT('Small Signal'!$B$52,IMPOWER(H35,2)),IMSUM(IMPRODUCT(H35,'Small Signal'!$B$51),'Small Signal'!$B$50)))</f>
        <v>11.3482139068682-0.010389491224452i</v>
      </c>
      <c r="Q35" s="175">
        <f>20*LOG(IMABS(P35))</f>
        <v>21.098553907845307</v>
      </c>
      <c r="R35" s="175">
        <f>(180/PI())*IMARGUMENT(P35)</f>
        <v>-5.2455288296510583E-2</v>
      </c>
      <c r="S35" s="175" t="str">
        <f>IMPRODUCT(IMDIV(IMSUM(IMPRODUCT(H35,'Small Signal'!$B$33*'Small Signal'!$B$6*'Small Signal'!$B$27*'Small Signal'!$B$7*'Small Signal'!$B$8),'Small Signal'!$B$33*'Small Signal'!$B$6*'Small Signal'!$B$27),IMSUM(IMSUM(IMPRODUCT(H35,('Small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Signal'!$B$5),IMPRODUCT(IMPOWER(H35,2),'Small Signal'!$B$32*'Small Signal'!$B$33*'Small Signal'!$B$8*'Small Signal'!$B$7*('Small Signal'!$B$5+'Small Signal'!$B$6)+('Small Signal'!$B$5+'Small Signal'!$B$6)*('Small Signal'!$B$9*'Small Signal'!$B$8*'Small Signal'!$B$33*'Small Signal'!$B$7)))),-1)</f>
        <v>-95.3993845507216+378.604789476615i</v>
      </c>
      <c r="T35" s="175">
        <f>20*LOG(IMABS(S35))</f>
        <v>51.83106430468041</v>
      </c>
      <c r="U35" s="175">
        <f>(180/PI())*IMARGUMENT(S35)</f>
        <v>104.1427596180981</v>
      </c>
      <c r="V35" s="175" t="str">
        <f>IMPRODUCT(M35,S35)</f>
        <v>-662.03086189104+2637.26255286872i</v>
      </c>
      <c r="W35" s="176">
        <f>20*LOG(IMABS(V35))</f>
        <v>68.688464726046902</v>
      </c>
      <c r="X35" s="175">
        <f>(180/PI())*IMARGUMENT(V35)</f>
        <v>104.0917495541853</v>
      </c>
      <c r="Y35" s="175" t="str">
        <f>IMPRODUCT(P35,S35)</f>
        <v>-1078.67911132736+4297.47928821404i</v>
      </c>
      <c r="Z35" s="176">
        <f>20*LOG(IMABS(Y35))</f>
        <v>72.929618212525725</v>
      </c>
      <c r="AA35" s="175">
        <f>(180/PI())*IMARGUMENT(Y35)</f>
        <v>104.09030432980154</v>
      </c>
    </row>
    <row r="36" spans="1:27" x14ac:dyDescent="0.25">
      <c r="A36" s="185"/>
      <c r="B36" s="184"/>
      <c r="F36" s="177">
        <v>34</v>
      </c>
      <c r="G36" s="175">
        <f>10^('Small Signal'!F36/30)</f>
        <v>13.593563908785256</v>
      </c>
      <c r="H36" s="175" t="str">
        <f>COMPLEX(0,G36*2*PI())</f>
        <v>85.4108810238862i</v>
      </c>
      <c r="I36" s="175">
        <f>IF('Small Signal'!$B$37&gt;=1,Q36+0,N36+0)</f>
        <v>16.857399952717245</v>
      </c>
      <c r="J36" s="175">
        <f>IF('Small Signal'!$B$37&gt;=1,R36,O36)</f>
        <v>-5.5079398278207146E-2</v>
      </c>
      <c r="K36" s="175">
        <f>IF('Small Signal'!$B$37&gt;=1,Z36+0,W36+0)</f>
        <v>68.058519915790342</v>
      </c>
      <c r="L36" s="175">
        <f>IF('Small Signal'!$B$37&gt;=1,AA36,X36)</f>
        <v>103.08981638327332</v>
      </c>
      <c r="M36" s="175" t="str">
        <f>IMDIV(IMSUM('Small Signal'!$B$2*'Small Signal'!$B$16*'Small Signal'!$B$38,IMPRODUCT(H36,'Small Signal'!$B$2*'Small Signal'!$B$16*'Small Signal'!$B$38*'Small Signal'!$B$13*'Small Signal'!$B$14)),IMSUM(IMPRODUCT('Small Signal'!$B$11*'Small Signal'!$B$13*('Small Signal'!$B$14+'Small Signal'!$B$16),IMPOWER(H36,2)),IMSUM(IMPRODUCT(H36,('Small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6.96417694298329-0.0066947827037599i</v>
      </c>
      <c r="N36" s="175">
        <f>20*LOG(IMABS(M36))</f>
        <v>16.857399952717245</v>
      </c>
      <c r="O36" s="175">
        <f>(180/PI())*IMARGUMENT(M36)</f>
        <v>-5.5079398278207146E-2</v>
      </c>
      <c r="P36" s="175" t="str">
        <f>IMDIV(IMSUM('Small Signal'!$B$48,IMPRODUCT(H36,'Small Signal'!$B$49)),IMSUM(IMPRODUCT('Small Signal'!$B$52,IMPOWER(H36,2)),IMSUM(IMPRODUCT(H36,'Small Signal'!$B$51),'Small Signal'!$B$50)))</f>
        <v>11.3482125658163-0.0112183134824117i</v>
      </c>
      <c r="Q36" s="175">
        <f>20*LOG(IMABS(P36))</f>
        <v>21.098553485358998</v>
      </c>
      <c r="R36" s="175">
        <f>(180/PI())*IMARGUMENT(P36)</f>
        <v>-5.66399159948845E-2</v>
      </c>
      <c r="S36" s="175" t="str">
        <f>IMPRODUCT(IMDIV(IMSUM(IMPRODUCT(H36,'Small Signal'!$B$33*'Small Signal'!$B$6*'Small Signal'!$B$27*'Small Signal'!$B$7*'Small Signal'!$B$8),'Small Signal'!$B$33*'Small Signal'!$B$6*'Small Signal'!$B$27),IMSUM(IMSUM(IMPRODUCT(H36,('Small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Signal'!$B$5),IMPRODUCT(IMPOWER(H36,2),'Small Signal'!$B$32*'Small Signal'!$B$33*'Small Signal'!$B$8*'Small Signal'!$B$7*('Small Signal'!$B$5+'Small Signal'!$B$6)+('Small Signal'!$B$5+'Small Signal'!$B$6)*('Small Signal'!$B$9*'Small Signal'!$B$8*'Small Signal'!$B$33*'Small Signal'!$B$7)))),-1)</f>
        <v>-82.5798342898292+353.610300399051i</v>
      </c>
      <c r="T36" s="175">
        <f>20*LOG(IMABS(S36))</f>
        <v>51.20111996307309</v>
      </c>
      <c r="U36" s="175">
        <f>(180/PI())*IMARGUMENT(S36)</f>
        <v>103.14489578155153</v>
      </c>
      <c r="V36" s="175" t="str">
        <f>IMPRODUCT(M36,S36)</f>
        <v>-572.733233793626+2463.15755488675i</v>
      </c>
      <c r="W36" s="176">
        <f>20*LOG(IMABS(V36))</f>
        <v>68.058519915790342</v>
      </c>
      <c r="X36" s="175">
        <f>(180/PI())*IMARGUMENT(V36)</f>
        <v>103.08981638327332</v>
      </c>
      <c r="Y36" s="175" t="str">
        <f>IMPRODUCT(P36,S36)</f>
        <v>-933.166601970381+4013.77126085898i</v>
      </c>
      <c r="Z36" s="176">
        <f>20*LOG(IMABS(Y36))</f>
        <v>72.299673448432088</v>
      </c>
      <c r="AA36" s="175">
        <f>(180/PI())*IMARGUMENT(Y36)</f>
        <v>103.08825586555663</v>
      </c>
    </row>
    <row r="37" spans="1:27" x14ac:dyDescent="0.25">
      <c r="A37" s="179" t="s">
        <v>266</v>
      </c>
      <c r="B37" s="180">
        <f>(1-(B3/B2))/(2*B11*B10/(B3/B4))</f>
        <v>0.34271284271284269</v>
      </c>
      <c r="F37" s="177">
        <v>35</v>
      </c>
      <c r="G37" s="175">
        <f>10^('Small Signal'!F37/30)</f>
        <v>14.677992676220699</v>
      </c>
      <c r="H37" s="175" t="str">
        <f>COMPLEX(0,G37*2*PI())</f>
        <v>92.2245479221195i</v>
      </c>
      <c r="I37" s="175">
        <f>IF('Small Signal'!$B$37&gt;=1,Q37+0,N37+0)</f>
        <v>16.857399406312428</v>
      </c>
      <c r="J37" s="175">
        <f>IF('Small Signal'!$B$37&gt;=1,R37,O37)</f>
        <v>-5.9473363996547721E-2</v>
      </c>
      <c r="K37" s="175">
        <f>IF('Small Signal'!$B$37&gt;=1,Z37+0,W37+0)</f>
        <v>67.423598865767445</v>
      </c>
      <c r="L37" s="175">
        <f>IF('Small Signal'!$B$37&gt;=1,AA37,X37)</f>
        <v>102.15473031936173</v>
      </c>
      <c r="M37" s="175" t="str">
        <f>IMDIV(IMSUM('Small Signal'!$B$2*'Small Signal'!$B$16*'Small Signal'!$B$38,IMPRODUCT(H37,'Small Signal'!$B$2*'Small Signal'!$B$16*'Small Signal'!$B$38*'Small Signal'!$B$13*'Small Signal'!$B$14)),IMSUM(IMPRODUCT('Small Signal'!$B$11*'Small Signal'!$B$13*('Small Signal'!$B$14+'Small Signal'!$B$16),IMPOWER(H37,2)),IMSUM(IMPRODUCT(H37,('Small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6.96417597099033-0.00722885917136225i</v>
      </c>
      <c r="N37" s="175">
        <f>20*LOG(IMABS(M37))</f>
        <v>16.857399406312428</v>
      </c>
      <c r="O37" s="175">
        <f>(180/PI())*IMARGUMENT(M37)</f>
        <v>-5.9473363996547721E-2</v>
      </c>
      <c r="P37" s="175" t="str">
        <f>IMDIV(IMSUM('Small Signal'!$B$48,IMPRODUCT(H37,'Small Signal'!$B$49)),IMSUM(IMPRODUCT('Small Signal'!$B$52,IMPOWER(H37,2)),IMSUM(IMPRODUCT(H37,'Small Signal'!$B$51),'Small Signal'!$B$50)))</f>
        <v>11.3482110022649-0.0121132548880608i</v>
      </c>
      <c r="Q37" s="175">
        <f>20*LOG(IMABS(P37))</f>
        <v>21.098552992776174</v>
      </c>
      <c r="R37" s="175">
        <f>(180/PI())*IMARGUMENT(P37)</f>
        <v>-6.115837267421563E-2</v>
      </c>
      <c r="S37" s="175" t="str">
        <f>IMPRODUCT(IMDIV(IMSUM(IMPRODUCT(H37,'Small Signal'!$B$33*'Small Signal'!$B$6*'Small Signal'!$B$27*'Small Signal'!$B$7*'Small Signal'!$B$8),'Small Signal'!$B$33*'Small Signal'!$B$6*'Small Signal'!$B$27),IMSUM(IMSUM(IMPRODUCT(H37,('Small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Signal'!$B$5),IMPRODUCT(IMPOWER(H37,2),'Small Signal'!$B$32*'Small Signal'!$B$33*'Small Signal'!$B$8*'Small Signal'!$B$7*('Small Signal'!$B$5+'Small Signal'!$B$6)+('Small Signal'!$B$5+'Small Signal'!$B$6)*('Small Signal'!$B$9*'Small Signal'!$B$8*'Small Signal'!$B$33*'Small Signal'!$B$7)))),-1)</f>
        <v>-71.4098450057073+329.88766634441i</v>
      </c>
      <c r="T37" s="175">
        <f>20*LOG(IMABS(S37))</f>
        <v>50.566199459455007</v>
      </c>
      <c r="U37" s="175">
        <f>(180/PI())*IMARGUMENT(S37)</f>
        <v>102.21420368335828</v>
      </c>
      <c r="V37" s="175" t="str">
        <f>IMPRODUCT(M37,S37)</f>
        <v>-494.926015198518+2297.91197079481i</v>
      </c>
      <c r="W37" s="176">
        <f>20*LOG(IMABS(V37))</f>
        <v>67.423598865767445</v>
      </c>
      <c r="X37" s="175">
        <f>(180/PI())*IMARGUMENT(V37)</f>
        <v>102.15473031936173</v>
      </c>
      <c r="Y37" s="175" t="str">
        <f>IMPRODUCT(P37,S37)</f>
        <v>-806.377975376941+3744.4998503752i</v>
      </c>
      <c r="Z37" s="176">
        <f>20*LOG(IMABS(Y37))</f>
        <v>71.664752452231198</v>
      </c>
      <c r="AA37" s="175">
        <f>(180/PI())*IMARGUMENT(Y37)</f>
        <v>102.15304531068404</v>
      </c>
    </row>
    <row r="38" spans="1:27" x14ac:dyDescent="0.25">
      <c r="A38" s="182" t="s">
        <v>265</v>
      </c>
      <c r="B38" s="183">
        <f>1*B10/(B39+B31)</f>
        <v>0.72946101462448298</v>
      </c>
      <c r="F38" s="177">
        <v>36</v>
      </c>
      <c r="G38" s="175">
        <f>10^('Small Signal'!F38/30)</f>
        <v>15.848931924611136</v>
      </c>
      <c r="H38" s="175" t="str">
        <f>COMPLEX(0,G38*2*PI())</f>
        <v>99.5817762032062i</v>
      </c>
      <c r="I38" s="175">
        <f>IF('Small Signal'!$B$37&gt;=1,Q38+0,N38+0)</f>
        <v>16.857398769251262</v>
      </c>
      <c r="J38" s="175">
        <f>IF('Small Signal'!$B$37&gt;=1,R38,O38)</f>
        <v>-6.421785846846137E-2</v>
      </c>
      <c r="K38" s="175">
        <f>IF('Small Signal'!$B$37&gt;=1,Z38+0,W38+0)</f>
        <v>66.78434656518121</v>
      </c>
      <c r="L38" s="175">
        <f>IF('Small Signal'!$B$37&gt;=1,AA38,X38)</f>
        <v>101.28299023067355</v>
      </c>
      <c r="M38" s="175" t="str">
        <f>IMDIV(IMSUM('Small Signal'!$B$2*'Small Signal'!$B$16*'Small Signal'!$B$38,IMPRODUCT(H38,'Small Signal'!$B$2*'Small Signal'!$B$16*'Small Signal'!$B$38*'Small Signal'!$B$13*'Small Signal'!$B$14)),IMSUM(IMPRODUCT('Small Signal'!$B$11*'Small Signal'!$B$13*('Small Signal'!$B$14+'Small Signal'!$B$16),IMPOWER(H38,2)),IMSUM(IMPRODUCT(H38,('Small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6.96417483773004-0.00780554144041235i</v>
      </c>
      <c r="N38" s="175">
        <f>20*LOG(IMABS(M38))</f>
        <v>16.857398769251262</v>
      </c>
      <c r="O38" s="175">
        <f>(180/PI())*IMARGUMENT(M38)</f>
        <v>-6.421785846846137E-2</v>
      </c>
      <c r="P38" s="175" t="str">
        <f>IMDIV(IMSUM('Small Signal'!$B$48,IMPRODUCT(H38,'Small Signal'!$B$49)),IMSUM(IMPRODUCT('Small Signal'!$B$52,IMPOWER(H38,2)),IMSUM(IMPRODUCT(H38,'Small Signal'!$B$51),'Small Signal'!$B$50)))</f>
        <v>11.3482091792982-0.0130795900339974i</v>
      </c>
      <c r="Q38" s="175">
        <f>20*LOG(IMABS(P38))</f>
        <v>21.098552418466809</v>
      </c>
      <c r="R38" s="175">
        <f>(180/PI())*IMARGUMENT(P38)</f>
        <v>-6.6037289499077445E-2</v>
      </c>
      <c r="S38" s="175" t="str">
        <f>IMPRODUCT(IMDIV(IMSUM(IMPRODUCT(H38,'Small Signal'!$B$33*'Small Signal'!$B$6*'Small Signal'!$B$27*'Small Signal'!$B$7*'Small Signal'!$B$8),'Small Signal'!$B$33*'Small Signal'!$B$6*'Small Signal'!$B$27),IMSUM(IMSUM(IMPRODUCT(H38,('Small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Signal'!$B$5),IMPRODUCT(IMPOWER(H38,2),'Small Signal'!$B$32*'Small Signal'!$B$33*'Small Signal'!$B$8*'Small Signal'!$B$7*('Small Signal'!$B$5+'Small Signal'!$B$6)+('Small Signal'!$B$5+'Small Signal'!$B$6)*('Small Signal'!$B$9*'Small Signal'!$B$8*'Small Signal'!$B$33*'Small Signal'!$B$7)))),-1)</f>
        <v>-61.6979952385334+307.449729797106i</v>
      </c>
      <c r="T38" s="175">
        <f>20*LOG(IMABS(S38))</f>
        <v>49.926947795929948</v>
      </c>
      <c r="U38" s="175">
        <f>(180/PI())*IMARGUMENT(S38)</f>
        <v>101.34720808914201</v>
      </c>
      <c r="V38" s="175" t="str">
        <f>IMPRODUCT(M38,S38)</f>
        <v>-427.275814371807+2141.61525837853i</v>
      </c>
      <c r="W38" s="176">
        <f>20*LOG(IMABS(V38))</f>
        <v>66.78434656518121</v>
      </c>
      <c r="X38" s="175">
        <f>(180/PI())*IMARGUMENT(V38)</f>
        <v>101.28299023067355</v>
      </c>
      <c r="Y38" s="175" t="str">
        <f>IMPRODUCT(P38,S38)</f>
        <v>-696.140439488412+3489.81083033991i</v>
      </c>
      <c r="Z38" s="176">
        <f>20*LOG(IMABS(Y38))</f>
        <v>71.025500214396757</v>
      </c>
      <c r="AA38" s="175">
        <f>(180/PI())*IMARGUMENT(Y38)</f>
        <v>101.28117079964292</v>
      </c>
    </row>
    <row r="39" spans="1:27" x14ac:dyDescent="0.25">
      <c r="A39" s="182" t="s">
        <v>264</v>
      </c>
      <c r="B39" s="181">
        <f>B30*((B2-B3)/B11)</f>
        <v>959595.9595959594</v>
      </c>
      <c r="F39" s="177">
        <v>37</v>
      </c>
      <c r="G39" s="175">
        <f>10^('Small Signal'!F39/30)</f>
        <v>17.113283041617812</v>
      </c>
      <c r="H39" s="175" t="str">
        <f>COMPLEX(0,G39*2*PI())</f>
        <v>107.525928564699i</v>
      </c>
      <c r="I39" s="175">
        <f>IF('Small Signal'!$B$37&gt;=1,Q39+0,N39+0)</f>
        <v>16.857398026492586</v>
      </c>
      <c r="J39" s="175">
        <f>IF('Small Signal'!$B$37&gt;=1,R39,O39)</f>
        <v>-6.9340845033317028E-2</v>
      </c>
      <c r="K39" s="175">
        <f>IF('Small Signal'!$B$37&gt;=1,Z39+0,W39+0)</f>
        <v>66.141331956624526</v>
      </c>
      <c r="L39" s="175">
        <f>IF('Small Signal'!$B$37&gt;=1,AA39,X39)</f>
        <v>100.4710881231762</v>
      </c>
      <c r="M39" s="175" t="str">
        <f>IMDIV(IMSUM('Small Signal'!$B$2*'Small Signal'!$B$16*'Small Signal'!$B$38,IMPRODUCT(H39,'Small Signal'!$B$2*'Small Signal'!$B$16*'Small Signal'!$B$38*'Small Signal'!$B$13*'Small Signal'!$B$14)),IMSUM(IMPRODUCT('Small Signal'!$B$11*'Small Signal'!$B$13*('Small Signal'!$B$14+'Small Signal'!$B$16),IMPOWER(H39,2)),IMSUM(IMPRODUCT(H39,('Small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6.96417351644596-0.00842822833467283i</v>
      </c>
      <c r="N39" s="175">
        <f>20*LOG(IMABS(M39))</f>
        <v>16.857398026492586</v>
      </c>
      <c r="O39" s="175">
        <f>(180/PI())*IMARGUMENT(M39)</f>
        <v>-6.9340845033317028E-2</v>
      </c>
      <c r="P39" s="175" t="str">
        <f>IMDIV(IMSUM('Small Signal'!$B$48,IMPRODUCT(H39,'Small Signal'!$B$49)),IMSUM(IMPRODUCT('Small Signal'!$B$52,IMPOWER(H39,2)),IMSUM(IMPRODUCT(H39,'Small Signal'!$B$51),'Small Signal'!$B$50)))</f>
        <v>11.3482070538757-0.0141230142753633i</v>
      </c>
      <c r="Q39" s="175">
        <f>20*LOG(IMABS(P39))</f>
        <v>21.098551748871365</v>
      </c>
      <c r="R39" s="175">
        <f>(180/PI())*IMARGUMENT(P39)</f>
        <v>-7.1305422114520595E-2</v>
      </c>
      <c r="S39" s="175" t="str">
        <f>IMPRODUCT(IMDIV(IMSUM(IMPRODUCT(H39,'Small Signal'!$B$33*'Small Signal'!$B$6*'Small Signal'!$B$27*'Small Signal'!$B$7*'Small Signal'!$B$8),'Small Signal'!$B$33*'Small Signal'!$B$6*'Small Signal'!$B$27),IMSUM(IMSUM(IMPRODUCT(H39,('Small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Signal'!$B$5),IMPRODUCT(IMPOWER(H39,2),'Small Signal'!$B$32*'Small Signal'!$B$33*'Small Signal'!$B$8*'Small Signal'!$B$7*('Small Signal'!$B$5+'Small Signal'!$B$6)+('Small Signal'!$B$5+'Small Signal'!$B$6)*('Small Signal'!$B$9*'Small Signal'!$B$8*'Small Signal'!$B$33*'Small Signal'!$B$7)))),-1)</f>
        <v>-53.2696604730496+286.289823578283i</v>
      </c>
      <c r="T39" s="175">
        <f>20*LOG(IMABS(S39))</f>
        <v>49.283933930131951</v>
      </c>
      <c r="U39" s="175">
        <f>(180/PI())*IMARGUMENT(S39)</f>
        <v>100.54042896820951</v>
      </c>
      <c r="V39" s="175" t="str">
        <f>IMPRODUCT(M39,S39)</f>
        <v>-368.566242693469+1994.22097625364i</v>
      </c>
      <c r="W39" s="176">
        <f>20*LOG(IMABS(V39))</f>
        <v>66.141331956624526</v>
      </c>
      <c r="X39" s="175">
        <f>(180/PI())*IMARGUMENT(V39)</f>
        <v>100.4710881231762</v>
      </c>
      <c r="Y39" s="175" t="str">
        <f>IMPRODUCT(P39,S39)</f>
        <v>-600.471861472538+3249.62852355921i</v>
      </c>
      <c r="Z39" s="176">
        <f>20*LOG(IMABS(Y39))</f>
        <v>70.382485679003324</v>
      </c>
      <c r="AA39" s="175">
        <f>(180/PI())*IMARGUMENT(Y39)</f>
        <v>100.46912354609498</v>
      </c>
    </row>
    <row r="40" spans="1:27" x14ac:dyDescent="0.25">
      <c r="F40" s="177">
        <v>38</v>
      </c>
      <c r="G40" s="175">
        <f>10^('Small Signal'!F40/30)</f>
        <v>18.478497974222911</v>
      </c>
      <c r="H40" s="175" t="str">
        <f>COMPLEX(0,G40*2*PI())</f>
        <v>116.103826970385i</v>
      </c>
      <c r="I40" s="175">
        <f>IF('Small Signal'!$B$37&gt;=1,Q40+0,N40+0)</f>
        <v>16.857397160499723</v>
      </c>
      <c r="J40" s="175">
        <f>IF('Small Signal'!$B$37&gt;=1,R40,O40)</f>
        <v>-7.4872517771879171E-2</v>
      </c>
      <c r="K40" s="175">
        <f>IF('Small Signal'!$B$37&gt;=1,Z40+0,W40+0)</f>
        <v>65.495054940505128</v>
      </c>
      <c r="L40" s="175">
        <f>IF('Small Signal'!$B$37&gt;=1,AA40,X40)</f>
        <v>99.715556667345723</v>
      </c>
      <c r="M40" s="175" t="str">
        <f>IMDIV(IMSUM('Small Signal'!$B$2*'Small Signal'!$B$16*'Small Signal'!$B$38,IMPRODUCT(H40,'Small Signal'!$B$2*'Small Signal'!$B$16*'Small Signal'!$B$38*'Small Signal'!$B$13*'Small Signal'!$B$14)),IMSUM(IMPRODUCT('Small Signal'!$B$11*'Small Signal'!$B$13*('Small Signal'!$B$14+'Small Signal'!$B$16),IMPOWER(H40,2)),IMSUM(IMPRODUCT(H40,('Small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6.9641719759424-0.0091005898038385i</v>
      </c>
      <c r="N40" s="175">
        <f>20*LOG(IMABS(M40))</f>
        <v>16.857397160499723</v>
      </c>
      <c r="O40" s="175">
        <f>(180/PI())*IMARGUMENT(M40)</f>
        <v>-7.4872517771879171E-2</v>
      </c>
      <c r="P40" s="175" t="str">
        <f>IMDIV(IMSUM('Small Signal'!$B$48,IMPRODUCT(H40,'Small Signal'!$B$49)),IMSUM(IMPRODUCT('Small Signal'!$B$52,IMPOWER(H40,2)),IMSUM(IMPRODUCT(H40,'Small Signal'!$B$51),'Small Signal'!$B$50)))</f>
        <v>11.3482045758158-0.0152496772913391i</v>
      </c>
      <c r="Q40" s="175">
        <f>20*LOG(IMABS(P40))</f>
        <v>21.098550968180518</v>
      </c>
      <c r="R40" s="175">
        <f>(180/PI())*IMARGUMENT(P40)</f>
        <v>-7.6993820120366763E-2</v>
      </c>
      <c r="S40" s="175" t="str">
        <f>IMPRODUCT(IMDIV(IMSUM(IMPRODUCT(H40,'Small Signal'!$B$33*'Small Signal'!$B$6*'Small Signal'!$B$27*'Small Signal'!$B$7*'Small Signal'!$B$8),'Small Signal'!$B$33*'Small Signal'!$B$6*'Small Signal'!$B$27),IMSUM(IMSUM(IMPRODUCT(H40,('Small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Signal'!$B$5),IMPRODUCT(IMPOWER(H40,2),'Small Signal'!$B$32*'Small Signal'!$B$33*'Small Signal'!$B$8*'Small Signal'!$B$7*('Small Signal'!$B$5+'Small Signal'!$B$6)+('Small Signal'!$B$5+'Small Signal'!$B$6)*('Small Signal'!$B$9*'Small Signal'!$B$8*'Small Signal'!$B$33*'Small Signal'!$B$7)))),-1)</f>
        <v>-45.9670337635535+266.386034317994i</v>
      </c>
      <c r="T40" s="175">
        <f>20*LOG(IMABS(S40))</f>
        <v>48.637657780005398</v>
      </c>
      <c r="U40" s="175">
        <f>(180/PI())*IMARGUMENT(S40)</f>
        <v>99.790429185117631</v>
      </c>
      <c r="V40" s="175" t="str">
        <f>IMPRODUCT(M40,S40)</f>
        <v>-317.698058325538+1855.57648209859i</v>
      </c>
      <c r="W40" s="176">
        <f>20*LOG(IMABS(V40))</f>
        <v>65.495054940505128</v>
      </c>
      <c r="X40" s="175">
        <f>(180/PI())*IMARGUMENT(V40)</f>
        <v>99.715556667345723</v>
      </c>
      <c r="Y40" s="175" t="str">
        <f>IMPRODUCT(P40,S40)</f>
        <v>-517.581001833968+3023.70419601182i</v>
      </c>
      <c r="Z40" s="176">
        <f>20*LOG(IMABS(Y40))</f>
        <v>69.736208748185916</v>
      </c>
      <c r="AA40" s="175">
        <f>(180/PI())*IMARGUMENT(Y40)</f>
        <v>99.713435364997252</v>
      </c>
    </row>
    <row r="41" spans="1:27" x14ac:dyDescent="0.25">
      <c r="A41" s="179" t="s">
        <v>263</v>
      </c>
      <c r="B41" s="180">
        <f>B3/B4</f>
        <v>2</v>
      </c>
      <c r="F41" s="177">
        <v>39</v>
      </c>
      <c r="G41" s="175">
        <f>10^('Small Signal'!F41/30)</f>
        <v>19.952623149688804</v>
      </c>
      <c r="H41" s="175" t="str">
        <f>COMPLEX(0,G41*2*PI())</f>
        <v>125.366028613816i</v>
      </c>
      <c r="I41" s="175">
        <f>IF('Small Signal'!$B$37&gt;=1,Q41+0,N41+0)</f>
        <v>16.857396150826364</v>
      </c>
      <c r="J41" s="175">
        <f>IF('Small Signal'!$B$37&gt;=1,R41,O41)</f>
        <v>-8.084547945408968E-2</v>
      </c>
      <c r="K41" s="175">
        <f>IF('Small Signal'!$B$37&gt;=1,Z41+0,W41+0)</f>
        <v>64.84595327327925</v>
      </c>
      <c r="L41" s="175">
        <f>IF('Small Signal'!$B$37&gt;=1,AA41,X41)</f>
        <v>99.013005889022352</v>
      </c>
      <c r="M41" s="175" t="str">
        <f>IMDIV(IMSUM('Small Signal'!$B$2*'Small Signal'!$B$16*'Small Signal'!$B$38,IMPRODUCT(H41,'Small Signal'!$B$2*'Small Signal'!$B$16*'Small Signal'!$B$38*'Small Signal'!$B$13*'Small Signal'!$B$14)),IMSUM(IMPRODUCT('Small Signal'!$B$11*'Small Signal'!$B$13*('Small Signal'!$B$14+'Small Signal'!$B$16),IMPOWER(H41,2)),IMSUM(IMPRODUCT(H41,('Small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6.96417017984787-0.00982658854856489i</v>
      </c>
      <c r="N41" s="175">
        <f>20*LOG(IMABS(M41))</f>
        <v>16.857396150826364</v>
      </c>
      <c r="O41" s="175">
        <f>(180/PI())*IMARGUMENT(M41)</f>
        <v>-8.084547945408968E-2</v>
      </c>
      <c r="P41" s="175" t="str">
        <f>IMDIV(IMSUM('Small Signal'!$B$48,IMPRODUCT(H41,'Small Signal'!$B$49)),IMSUM(IMPRODUCT('Small Signal'!$B$52,IMPOWER(H41,2)),IMSUM(IMPRODUCT(H41,'Small Signal'!$B$51),'Small Signal'!$B$50)))</f>
        <v>11.3482016866111-0.0164662193227456i</v>
      </c>
      <c r="Q41" s="175">
        <f>20*LOG(IMABS(P41))</f>
        <v>21.098550057961933</v>
      </c>
      <c r="R41" s="175">
        <f>(180/PI())*IMARGUMENT(P41)</f>
        <v>-8.3136010063674937E-2</v>
      </c>
      <c r="S41" s="175" t="str">
        <f>IMPRODUCT(IMDIV(IMSUM(IMPRODUCT(H41,'Small Signal'!$B$33*'Small Signal'!$B$6*'Small Signal'!$B$27*'Small Signal'!$B$7*'Small Signal'!$B$8),'Small Signal'!$B$33*'Small Signal'!$B$6*'Small Signal'!$B$27),IMSUM(IMSUM(IMPRODUCT(H41,('Small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Signal'!$B$5),IMPRODUCT(IMPOWER(H41,2),'Small Signal'!$B$32*'Small Signal'!$B$33*'Small Signal'!$B$8*'Small Signal'!$B$7*('Small Signal'!$B$5+'Small Signal'!$B$6)+('Small Signal'!$B$5+'Small Signal'!$B$6)*('Small Signal'!$B$9*'Small Signal'!$B$8*'Small Signal'!$B$33*'Small Signal'!$B$7)))),-1)</f>
        <v>-39.6486254222903+247.704852341536i</v>
      </c>
      <c r="T41" s="175">
        <f>20*LOG(IMABS(S41))</f>
        <v>47.988557122452875</v>
      </c>
      <c r="U41" s="175">
        <f>(180/PI())*IMARGUMENT(S41)</f>
        <v>99.093851368476479</v>
      </c>
      <c r="V41" s="175" t="str">
        <f>IMPRODUCT(M41,S41)</f>
        <v>-273.685681172429+1725.44835680909i</v>
      </c>
      <c r="W41" s="176">
        <f>20*LOG(IMABS(V41))</f>
        <v>64.84595327327925</v>
      </c>
      <c r="X41" s="175">
        <f>(180/PI())*IMARGUMENT(V41)</f>
        <v>99.013005889022352</v>
      </c>
      <c r="Y41" s="175" t="str">
        <f>IMPRODUCT(P41,S41)</f>
        <v>-445.861835463083+2811.65748608602i</v>
      </c>
      <c r="Z41" s="176">
        <f>20*LOG(IMABS(Y41))</f>
        <v>69.087107180414804</v>
      </c>
      <c r="AA41" s="175">
        <f>(180/PI())*IMARGUMENT(Y41)</f>
        <v>99.01071535841281</v>
      </c>
    </row>
    <row r="42" spans="1:27" x14ac:dyDescent="0.25">
      <c r="A42" s="179" t="s">
        <v>262</v>
      </c>
      <c r="B42" s="180">
        <f>(B3*B4*B11*2*B10/(B2*(B2-B3)))^0.5</f>
        <v>0.35587179832364529</v>
      </c>
      <c r="F42" s="177">
        <v>40</v>
      </c>
      <c r="G42" s="175">
        <f>10^('Small Signal'!F42/30)</f>
        <v>21.544346900318843</v>
      </c>
      <c r="H42" s="175" t="str">
        <f>COMPLEX(0,G42*2*PI())</f>
        <v>135.367123896863i</v>
      </c>
      <c r="I42" s="175">
        <f>IF('Small Signal'!$B$37&gt;=1,Q42+0,N42+0)</f>
        <v>16.857394973633959</v>
      </c>
      <c r="J42" s="175">
        <f>IF('Small Signal'!$B$37&gt;=1,R42,O42)</f>
        <v>-8.7294933680069312E-2</v>
      </c>
      <c r="K42" s="175">
        <f>IF('Small Signal'!$B$37&gt;=1,Z42+0,W42+0)</f>
        <v>64.194409180013025</v>
      </c>
      <c r="L42" s="175">
        <f>IF('Small Signal'!$B$37&gt;=1,AA42,X42)</f>
        <v>98.360150670169858</v>
      </c>
      <c r="M42" s="175" t="str">
        <f>IMDIV(IMSUM('Small Signal'!$B$2*'Small Signal'!$B$16*'Small Signal'!$B$38,IMPRODUCT(H42,'Small Signal'!$B$2*'Small Signal'!$B$16*'Small Signal'!$B$38*'Small Signal'!$B$13*'Small Signal'!$B$14)),IMSUM(IMPRODUCT('Small Signal'!$B$11*'Small Signal'!$B$13*('Small Signal'!$B$14+'Small Signal'!$B$16),IMPOWER(H42,2)),IMSUM(IMPRODUCT(H42,('Small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6.96416808575644-0.0106105033695777i</v>
      </c>
      <c r="N42" s="175">
        <f>20*LOG(IMABS(M42))</f>
        <v>16.857394973633959</v>
      </c>
      <c r="O42" s="175">
        <f>(180/PI())*IMARGUMENT(M42)</f>
        <v>-8.7294933680069312E-2</v>
      </c>
      <c r="P42" s="175" t="str">
        <f>IMDIV(IMSUM('Small Signal'!$B$48,IMPRODUCT(H42,'Small Signal'!$B$49)),IMSUM(IMPRODUCT('Small Signal'!$B$52,IMPOWER(H42,2)),IMSUM(IMPRODUCT(H42,'Small Signal'!$B$51),'Small Signal'!$B$50)))</f>
        <v>11.3481983180473-0.0177798102989071i</v>
      </c>
      <c r="Q42" s="175">
        <f>20*LOG(IMABS(P42))</f>
        <v>21.09854899672527</v>
      </c>
      <c r="R42" s="175">
        <f>(180/PI())*IMARGUMENT(P42)</f>
        <v>-8.9768193027348675E-2</v>
      </c>
      <c r="S42" s="175" t="str">
        <f>IMPRODUCT(IMDIV(IMSUM(IMPRODUCT(H42,'Small Signal'!$B$33*'Small Signal'!$B$6*'Small Signal'!$B$27*'Small Signal'!$B$7*'Small Signal'!$B$8),'Small Signal'!$B$33*'Small Signal'!$B$6*'Small Signal'!$B$27),IMSUM(IMSUM(IMPRODUCT(H42,('Small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Signal'!$B$5),IMPRODUCT(IMPOWER(H42,2),'Small Signal'!$B$32*'Small Signal'!$B$33*'Small Signal'!$B$8*'Small Signal'!$B$7*('Small Signal'!$B$5+'Small Signal'!$B$6)+('Small Signal'!$B$5+'Small Signal'!$B$6)*('Small Signal'!$B$9*'Small Signal'!$B$8*'Small Signal'!$B$33*'Small Signal'!$B$7)))),-1)</f>
        <v>-34.1884130378224+230.204238582382i</v>
      </c>
      <c r="T42" s="175">
        <f>20*LOG(IMABS(S42))</f>
        <v>47.337014206379095</v>
      </c>
      <c r="U42" s="175">
        <f>(180/PI())*IMARGUMENT(S42)</f>
        <v>98.447445603849886</v>
      </c>
      <c r="V42" s="175" t="str">
        <f>IMPRODUCT(M42,S42)</f>
        <v>-235.651272131493+1603.54376781302i</v>
      </c>
      <c r="W42" s="176">
        <f>20*LOG(IMABS(V42))</f>
        <v>64.194409180013025</v>
      </c>
      <c r="X42" s="175">
        <f>(180/PI())*IMARGUMENT(V42)</f>
        <v>98.360150670169858</v>
      </c>
      <c r="Y42" s="175" t="str">
        <f>IMPRODUCT(P42,S42)</f>
        <v>-383.883903640523+2613.01121658618i</v>
      </c>
      <c r="Z42" s="176">
        <f>20*LOG(IMABS(Y42))</f>
        <v>68.435563203104365</v>
      </c>
      <c r="AA42" s="175">
        <f>(180/PI())*IMARGUMENT(Y42)</f>
        <v>98.357677410822546</v>
      </c>
    </row>
    <row r="43" spans="1:27" x14ac:dyDescent="0.25">
      <c r="A43" s="179" t="s">
        <v>261</v>
      </c>
      <c r="B43" s="178">
        <f>(2*B4/B42)*B41*B41*(1-(B3/B2))/(B41*(1-(B3/B2))+B41+B12)</f>
        <v>12.046809293545826</v>
      </c>
      <c r="F43" s="177">
        <v>41</v>
      </c>
      <c r="G43" s="175">
        <f>10^('Small Signal'!F43/30)</f>
        <v>23.263050671536273</v>
      </c>
      <c r="H43" s="175" t="str">
        <f>COMPLEX(0,G43*2*PI())</f>
        <v>146.166058179571i</v>
      </c>
      <c r="I43" s="175">
        <f>IF('Small Signal'!$B$37&gt;=1,Q43+0,N43+0)</f>
        <v>16.857393601128752</v>
      </c>
      <c r="J43" s="175">
        <f>IF('Small Signal'!$B$37&gt;=1,R43,O43)</f>
        <v>-9.4258892345957496E-2</v>
      </c>
      <c r="K43" s="175">
        <f>IF('Small Signal'!$B$37&gt;=1,Z43+0,W43+0)</f>
        <v>63.540755565077134</v>
      </c>
      <c r="L43" s="175">
        <f>IF('Small Signal'!$B$37&gt;=1,AA43,X43)</f>
        <v>97.753830591576801</v>
      </c>
      <c r="M43" s="175" t="str">
        <f>IMDIV(IMSUM('Small Signal'!$B$2*'Small Signal'!$B$16*'Small Signal'!$B$38,IMPRODUCT(H43,'Small Signal'!$B$2*'Small Signal'!$B$16*'Small Signal'!$B$38*'Small Signal'!$B$13*'Small Signal'!$B$14)),IMSUM(IMPRODUCT('Small Signal'!$B$11*'Small Signal'!$B$13*('Small Signal'!$B$14+'Small Signal'!$B$16),IMPOWER(H43,2)),IMSUM(IMPRODUCT(H43,('Small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6.96416564422649-0.0114569543781302i</v>
      </c>
      <c r="N43" s="175">
        <f>20*LOG(IMABS(M43))</f>
        <v>16.857393601128752</v>
      </c>
      <c r="O43" s="175">
        <f>(180/PI())*IMARGUMENT(M43)</f>
        <v>-9.4258892345957496E-2</v>
      </c>
      <c r="P43" s="175" t="str">
        <f>IMDIV(IMSUM('Small Signal'!$B$48,IMPRODUCT(H43,'Small Signal'!$B$49)),IMSUM(IMPRODUCT('Small Signal'!$B$52,IMPOWER(H43,2)),IMSUM(IMPRODUCT(H43,'Small Signal'!$B$51),'Small Signal'!$B$50)))</f>
        <v>11.3481943905922-0.0191981920838527i</v>
      </c>
      <c r="Q43" s="175">
        <f>20*LOG(IMABS(P43))</f>
        <v>21.098547759414423</v>
      </c>
      <c r="R43" s="175">
        <f>(180/PI())*IMARGUMENT(P43)</f>
        <v>-9.692945797874615E-2</v>
      </c>
      <c r="S43" s="175" t="str">
        <f>IMPRODUCT(IMDIV(IMSUM(IMPRODUCT(H43,'Small Signal'!$B$33*'Small Signal'!$B$6*'Small Signal'!$B$27*'Small Signal'!$B$7*'Small Signal'!$B$8),'Small Signal'!$B$33*'Small Signal'!$B$6*'Small Signal'!$B$27),IMSUM(IMSUM(IMPRODUCT(H43,('Small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Signal'!$B$5),IMPRODUCT(IMPOWER(H43,2),'Small Signal'!$B$32*'Small Signal'!$B$33*'Small Signal'!$B$8*'Small Signal'!$B$7*('Small Signal'!$B$5+'Small Signal'!$B$6)+('Small Signal'!$B$5+'Small Signal'!$B$6)*('Small Signal'!$B$9*'Small Signal'!$B$8*'Small Signal'!$B$33*'Small Signal'!$B$7)))),-1)</f>
        <v>-29.4747759069674+213.836158962429i</v>
      </c>
      <c r="T43" s="175">
        <f>20*LOG(IMABS(S43))</f>
        <v>46.683361963948407</v>
      </c>
      <c r="U43" s="175">
        <f>(180/PI())*IMARGUMENT(S43)</f>
        <v>97.848089483922735</v>
      </c>
      <c r="V43" s="175" t="str">
        <f>IMPRODUCT(M43,S43)</f>
        <v>-202.81731062495+1489.52812290237i</v>
      </c>
      <c r="W43" s="176">
        <f>20*LOG(IMABS(V43))</f>
        <v>63.540755565077134</v>
      </c>
      <c r="X43" s="175">
        <f>(180/PI())*IMARGUMENT(V43)</f>
        <v>97.753830591576801</v>
      </c>
      <c r="Y43" s="175" t="str">
        <f>IMPRODUCT(P43,S43)</f>
        <v>-330.380218957176+2427.22016205271i</v>
      </c>
      <c r="Z43" s="176">
        <f>20*LOG(IMABS(Y43))</f>
        <v>67.78190972336283</v>
      </c>
      <c r="AA43" s="175">
        <f>(180/PI())*IMARGUMENT(Y43)</f>
        <v>97.751160025943989</v>
      </c>
    </row>
    <row r="44" spans="1:27" x14ac:dyDescent="0.25">
      <c r="A44" s="179" t="s">
        <v>260</v>
      </c>
      <c r="B44" s="178">
        <f>B11/(B41*(1-(B3/B2))+B41+B12)+B13*(B14+1/((1/(B12+B41*(1-(B3/B2))))+1/B41))</f>
        <v>8.9801820193687551E-6</v>
      </c>
      <c r="F44" s="177">
        <v>42</v>
      </c>
      <c r="G44" s="175">
        <f>10^('Small Signal'!F44/30)</f>
        <v>25.118864315095799</v>
      </c>
      <c r="H44" s="175" t="str">
        <f>COMPLEX(0,G44*2*PI())</f>
        <v>157.826479197648i</v>
      </c>
      <c r="I44" s="175">
        <f>IF('Small Signal'!$B$37&gt;=1,Q44+0,N44+0)</f>
        <v>16.857392000905719</v>
      </c>
      <c r="J44" s="175">
        <f>IF('Small Signal'!$B$37&gt;=1,R44,O44)</f>
        <v>-0.10177839965626843</v>
      </c>
      <c r="K44" s="175">
        <f>IF('Small Signal'!$B$37&gt;=1,Z44+0,W44+0)</f>
        <v>62.885281753564755</v>
      </c>
      <c r="L44" s="175">
        <f>IF('Small Signal'!$B$37&gt;=1,AA44,X44)</f>
        <v>97.191023496146414</v>
      </c>
      <c r="M44" s="175" t="str">
        <f>IMDIV(IMSUM('Small Signal'!$B$2*'Small Signal'!$B$16*'Small Signal'!$B$38,IMPRODUCT(H44,'Small Signal'!$B$2*'Small Signal'!$B$16*'Small Signal'!$B$38*'Small Signal'!$B$13*'Small Signal'!$B$14)),IMSUM(IMPRODUCT('Small Signal'!$B$11*'Small Signal'!$B$13*('Small Signal'!$B$14+'Small Signal'!$B$16),IMPOWER(H44,2)),IMSUM(IMPRODUCT(H44,('Small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6.9641627976135-0.0123709302159508i</v>
      </c>
      <c r="N44" s="175">
        <f>20*LOG(IMABS(M44))</f>
        <v>16.857392000905719</v>
      </c>
      <c r="O44" s="175">
        <f>(180/PI())*IMARGUMENT(M44)</f>
        <v>-0.10177839965626843</v>
      </c>
      <c r="P44" s="175" t="str">
        <f>IMDIV(IMSUM('Small Signal'!$B$48,IMPRODUCT(H44,'Small Signal'!$B$49)),IMSUM(IMPRODUCT('Small Signal'!$B$52,IMPOWER(H44,2)),IMSUM(IMPRODUCT(H44,'Small Signal'!$B$51),'Small Signal'!$B$50)))</f>
        <v>11.3481898115185-0.0207297240901856i</v>
      </c>
      <c r="Q44" s="175">
        <f>20*LOG(IMABS(P44))</f>
        <v>21.098546316816314</v>
      </c>
      <c r="R44" s="175">
        <f>(180/PI())*IMARGUMENT(P44)</f>
        <v>-0.10466201213487705</v>
      </c>
      <c r="S44" s="175" t="str">
        <f>IMPRODUCT(IMDIV(IMSUM(IMPRODUCT(H44,'Small Signal'!$B$33*'Small Signal'!$B$6*'Small Signal'!$B$27*'Small Signal'!$B$7*'Small Signal'!$B$8),'Small Signal'!$B$33*'Small Signal'!$B$6*'Small Signal'!$B$27),IMSUM(IMSUM(IMPRODUCT(H44,('Small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Signal'!$B$5),IMPRODUCT(IMPOWER(H44,2),'Small Signal'!$B$32*'Small Signal'!$B$33*'Small Signal'!$B$8*'Small Signal'!$B$7*('Small Signal'!$B$5+'Small Signal'!$B$6)+('Small Signal'!$B$5+'Small Signal'!$B$6)*('Small Signal'!$B$9*'Small Signal'!$B$8*'Small Signal'!$B$33*'Small Signal'!$B$7)))),-1)</f>
        <v>-25.4093154830948+198.548646358019i</v>
      </c>
      <c r="T44" s="175">
        <f>20*LOG(IMABS(S44))</f>
        <v>46.027889752659036</v>
      </c>
      <c r="U44" s="175">
        <f>(180/PI())*IMARGUMENT(S44)</f>
        <v>97.292801895802668</v>
      </c>
      <c r="V44" s="175" t="str">
        <f>IMPRODUCT(M44,S44)</f>
        <v>-174.498378151627+1383.03943335171i</v>
      </c>
      <c r="W44" s="176">
        <f>20*LOG(IMABS(V44))</f>
        <v>62.885281753564755</v>
      </c>
      <c r="X44" s="175">
        <f>(180/PI())*IMARGUMENT(V44)</f>
        <v>97.191023496146414</v>
      </c>
      <c r="Y44" s="175" t="str">
        <f>IMPRODUCT(P44,S44)</f>
        <v>-284.233876425434+2253.69445379015i</v>
      </c>
      <c r="Z44" s="176">
        <f>20*LOG(IMABS(Y44))</f>
        <v>67.126436069475375</v>
      </c>
      <c r="AA44" s="175">
        <f>(180/PI())*IMARGUMENT(Y44)</f>
        <v>97.188139883667773</v>
      </c>
    </row>
    <row r="45" spans="1:27" x14ac:dyDescent="0.25">
      <c r="A45" s="179" t="s">
        <v>259</v>
      </c>
      <c r="B45" s="178">
        <f>(B11*B13*(B16+B14))/(B41*(1-(B3/B2))+B41+B12)</f>
        <v>1.5741783622300244E-11</v>
      </c>
      <c r="F45" s="177">
        <v>43</v>
      </c>
      <c r="G45" s="175">
        <f>10^('Small Signal'!F45/30)</f>
        <v>27.122725793320289</v>
      </c>
      <c r="H45" s="175" t="str">
        <f>COMPLEX(0,G45*2*PI())</f>
        <v>170.417112195251i</v>
      </c>
      <c r="I45" s="175">
        <f>IF('Small Signal'!$B$37&gt;=1,Q45+0,N45+0)</f>
        <v>16.857390135183355</v>
      </c>
      <c r="J45" s="175">
        <f>IF('Small Signal'!$B$37&gt;=1,R45,O45)</f>
        <v>-0.10989777400171813</v>
      </c>
      <c r="K45" s="175">
        <f>IF('Small Signal'!$B$37&gt;=1,Z45+0,W45+0)</f>
        <v>62.228238732407341</v>
      </c>
      <c r="L45" s="175">
        <f>IF('Small Signal'!$B$37&gt;=1,AA45,X45)</f>
        <v>96.668853981718655</v>
      </c>
      <c r="M45" s="175" t="str">
        <f>IMDIV(IMSUM('Small Signal'!$B$2*'Small Signal'!$B$16*'Small Signal'!$B$38,IMPRODUCT(H45,'Small Signal'!$B$2*'Small Signal'!$B$16*'Small Signal'!$B$38*'Small Signal'!$B$13*'Small Signal'!$B$14)),IMSUM(IMPRODUCT('Small Signal'!$B$11*'Small Signal'!$B$13*('Small Signal'!$B$14+'Small Signal'!$B$16),IMPOWER(H45,2)),IMSUM(IMPRODUCT(H45,('Small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6.96415947870903-0.0133578174445552i</v>
      </c>
      <c r="N45" s="175">
        <f>20*LOG(IMABS(M45))</f>
        <v>16.857390135183355</v>
      </c>
      <c r="O45" s="175">
        <f>(180/PI())*IMARGUMENT(M45)</f>
        <v>-0.10989777400171813</v>
      </c>
      <c r="P45" s="175" t="str">
        <f>IMDIV(IMSUM('Small Signal'!$B$48,IMPRODUCT(H45,'Small Signal'!$B$49)),IMSUM(IMPRODUCT('Small Signal'!$B$52,IMPOWER(H45,2)),IMSUM(IMPRODUCT(H45,'Small Signal'!$B$51),'Small Signal'!$B$50)))</f>
        <v>11.3481844727141-0.0223834325286119i</v>
      </c>
      <c r="Q45" s="175">
        <f>20*LOG(IMABS(P45))</f>
        <v>21.098544634870869</v>
      </c>
      <c r="R45" s="175">
        <f>(180/PI())*IMARGUMENT(P45)</f>
        <v>-0.11301142970079094</v>
      </c>
      <c r="S45" s="175" t="str">
        <f>IMPRODUCT(IMDIV(IMSUM(IMPRODUCT(H45,'Small Signal'!$B$33*'Small Signal'!$B$6*'Small Signal'!$B$27*'Small Signal'!$B$7*'Small Signal'!$B$8),'Small Signal'!$B$33*'Small Signal'!$B$6*'Small Signal'!$B$27),IMSUM(IMSUM(IMPRODUCT(H45,('Small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Signal'!$B$5),IMPRODUCT(IMPOWER(H45,2),'Small Signal'!$B$32*'Small Signal'!$B$33*'Small Signal'!$B$8*'Small Signal'!$B$7*('Small Signal'!$B$5+'Small Signal'!$B$6)+('Small Signal'!$B$5+'Small Signal'!$B$6)*('Small Signal'!$B$9*'Small Signal'!$B$8*'Small Signal'!$B$33*'Small Signal'!$B$7)))),-1)</f>
        <v>-21.9056362960919+184.287452956809i</v>
      </c>
      <c r="T45" s="175">
        <f>20*LOG(IMABS(S45))</f>
        <v>45.370848597223954</v>
      </c>
      <c r="U45" s="175">
        <f>(180/PI())*IMARGUMENT(S45)</f>
        <v>96.778751755720378</v>
      </c>
      <c r="V45" s="175" t="str">
        <f>IMPRODUCT(M45,S45)</f>
        <v>-150.092666494662+1283.69982380696i</v>
      </c>
      <c r="W45" s="176">
        <f>20*LOG(IMABS(V45))</f>
        <v>62.228238732407341</v>
      </c>
      <c r="X45" s="175">
        <f>(180/PI())*IMARGUMENT(V45)</f>
        <v>96.668853981718655</v>
      </c>
      <c r="Y45" s="175" t="str">
        <f>IMPRODUCT(P45,S45)</f>
        <v>-244.464215911104+2091.81833549252i</v>
      </c>
      <c r="Z45" s="176">
        <f>20*LOG(IMABS(Y45))</f>
        <v>66.469393232094816</v>
      </c>
      <c r="AA45" s="175">
        <f>(180/PI())*IMARGUMENT(Y45)</f>
        <v>96.665740326019588</v>
      </c>
    </row>
    <row r="46" spans="1:27" x14ac:dyDescent="0.25">
      <c r="A46" s="179" t="s">
        <v>258</v>
      </c>
      <c r="B46" s="178">
        <f>1/(B13*B14)</f>
        <v>56818181.818181813</v>
      </c>
      <c r="F46" s="177">
        <v>44</v>
      </c>
      <c r="G46" s="175">
        <f>10^('Small Signal'!F46/30)</f>
        <v>29.286445646252368</v>
      </c>
      <c r="H46" s="175" t="str">
        <f>COMPLEX(0,G46*2*PI())</f>
        <v>184.012164984046i</v>
      </c>
      <c r="I46" s="175">
        <f>IF('Small Signal'!$B$37&gt;=1,Q46+0,N46+0)</f>
        <v>16.857387959911776</v>
      </c>
      <c r="J46" s="175">
        <f>IF('Small Signal'!$B$37&gt;=1,R46,O46)</f>
        <v>-0.1186648691264066</v>
      </c>
      <c r="K46" s="175">
        <f>IF('Small Signal'!$B$37&gt;=1,Z46+0,W46+0)</f>
        <v>61.569843886374819</v>
      </c>
      <c r="L46" s="175">
        <f>IF('Small Signal'!$B$37&gt;=1,AA46,X46)</f>
        <v>96.184597861999237</v>
      </c>
      <c r="M46" s="175" t="str">
        <f>IMDIV(IMSUM('Small Signal'!$B$2*'Small Signal'!$B$16*'Small Signal'!$B$38,IMPRODUCT(H46,'Small Signal'!$B$2*'Small Signal'!$B$16*'Small Signal'!$B$38*'Small Signal'!$B$13*'Small Signal'!$B$14)),IMSUM(IMPRODUCT('Small Signal'!$B$11*'Small Signal'!$B$13*('Small Signal'!$B$14+'Small Signal'!$B$16),IMPOWER(H46,2)),IMSUM(IMPRODUCT(H46,('Small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6.96415560915408-0.0144234322764381i</v>
      </c>
      <c r="N46" s="175">
        <f>20*LOG(IMABS(M46))</f>
        <v>16.857387959911776</v>
      </c>
      <c r="O46" s="175">
        <f>(180/PI())*IMARGUMENT(M46)</f>
        <v>-0.1186648691264066</v>
      </c>
      <c r="P46" s="175" t="str">
        <f>IMDIV(IMSUM('Small Signal'!$B$48,IMPRODUCT(H46,'Small Signal'!$B$49)),IMSUM(IMPRODUCT('Small Signal'!$B$52,IMPOWER(H46,2)),IMSUM(IMPRODUCT(H46,'Small Signal'!$B$51),'Small Signal'!$B$50)))</f>
        <v>11.3481782481303-0.0241690635823496i</v>
      </c>
      <c r="Q46" s="175">
        <f>20*LOG(IMABS(P46))</f>
        <v>21.098542673867279</v>
      </c>
      <c r="R46" s="175">
        <f>(180/PI())*IMARGUMENT(P46)</f>
        <v>-0.12202692044582987</v>
      </c>
      <c r="S46" s="175" t="str">
        <f>IMPRODUCT(IMDIV(IMSUM(IMPRODUCT(H46,'Small Signal'!$B$33*'Small Signal'!$B$6*'Small Signal'!$B$27*'Small Signal'!$B$7*'Small Signal'!$B$8),'Small Signal'!$B$33*'Small Signal'!$B$6*'Small Signal'!$B$27),IMSUM(IMSUM(IMPRODUCT(H46,('Small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Signal'!$B$5),IMPRODUCT(IMPOWER(H46,2),'Small Signal'!$B$32*'Small Signal'!$B$33*'Small Signal'!$B$8*'Small Signal'!$B$7*('Small Signal'!$B$5+'Small Signal'!$B$6)+('Small Signal'!$B$5+'Small Signal'!$B$6)*('Small Signal'!$B$9*'Small Signal'!$B$8*'Small Signal'!$B$33*'Small Signal'!$B$7)))),-1)</f>
        <v>-18.8881398924714+170.997353979047i</v>
      </c>
      <c r="T46" s="175">
        <f>20*LOG(IMABS(S46))</f>
        <v>44.712455926463058</v>
      </c>
      <c r="U46" s="175">
        <f>(180/PI())*IMARGUMENT(S46)</f>
        <v>96.303262731125614</v>
      </c>
      <c r="V46" s="175" t="str">
        <f>IMPRODUCT(M46,S46)</f>
        <v>-129.073576624075+1191.12461367025i</v>
      </c>
      <c r="W46" s="176">
        <f>20*LOG(IMABS(V46))</f>
        <v>61.569843886374819</v>
      </c>
      <c r="X46" s="175">
        <f>(180/PI())*IMARGUMENT(V46)</f>
        <v>96.184597861999237</v>
      </c>
      <c r="Y46" s="175" t="str">
        <f>IMPRODUCT(P46,S46)</f>
        <v>-210.213132354653+1940.96496156687i</v>
      </c>
      <c r="Z46" s="176">
        <f>20*LOG(IMABS(Y46))</f>
        <v>65.810998600330336</v>
      </c>
      <c r="AA46" s="175">
        <f>(180/PI())*IMARGUMENT(Y46)</f>
        <v>96.181235810679794</v>
      </c>
    </row>
    <row r="47" spans="1:27" x14ac:dyDescent="0.25">
      <c r="F47" s="177">
        <v>45</v>
      </c>
      <c r="G47" s="175">
        <f>10^('Small Signal'!F47/30)</f>
        <v>31.622776601683803</v>
      </c>
      <c r="H47" s="175" t="str">
        <f>COMPLEX(0,G47*2*PI())</f>
        <v>198.691765315922i</v>
      </c>
      <c r="I47" s="175">
        <f>IF('Small Signal'!$B$37&gt;=1,Q47+0,N47+0)</f>
        <v>16.857385423732648</v>
      </c>
      <c r="J47" s="175">
        <f>IF('Small Signal'!$B$37&gt;=1,R47,O47)</f>
        <v>-0.12813135612148138</v>
      </c>
      <c r="K47" s="175">
        <f>IF('Small Signal'!$B$37&gt;=1,Z47+0,W47+0)</f>
        <v>60.910285242264109</v>
      </c>
      <c r="L47" s="175">
        <f>IF('Small Signal'!$B$37&gt;=1,AA47,X47)</f>
        <v>95.735683472833571</v>
      </c>
      <c r="M47" s="175" t="str">
        <f>IMDIV(IMSUM('Small Signal'!$B$2*'Small Signal'!$B$16*'Small Signal'!$B$38,IMPRODUCT(H47,'Small Signal'!$B$2*'Small Signal'!$B$16*'Small Signal'!$B$38*'Small Signal'!$B$13*'Small Signal'!$B$14)),IMSUM(IMPRODUCT('Small Signal'!$B$11*'Small Signal'!$B$13*('Small Signal'!$B$14+'Small Signal'!$B$16),IMPOWER(H47,2)),IMSUM(IMPRODUCT(H47,('Small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6.96415109758907-0.015574054834279i</v>
      </c>
      <c r="N47" s="175">
        <f>20*LOG(IMABS(M47))</f>
        <v>16.857385423732648</v>
      </c>
      <c r="O47" s="175">
        <f>(180/PI())*IMARGUMENT(M47)</f>
        <v>-0.12813135612148138</v>
      </c>
      <c r="P47" s="175" t="str">
        <f>IMDIV(IMSUM('Small Signal'!$B$48,IMPRODUCT(H47,'Small Signal'!$B$49)),IMSUM(IMPRODUCT('Small Signal'!$B$52,IMPOWER(H47,2)),IMSUM(IMPRODUCT(H47,'Small Signal'!$B$51),'Small Signal'!$B$50)))</f>
        <v>11.3481709908052-0.0260971408184755i</v>
      </c>
      <c r="Q47" s="175">
        <f>20*LOG(IMABS(P47))</f>
        <v>21.098540387505945</v>
      </c>
      <c r="R47" s="175">
        <f>(180/PI())*IMARGUMENT(P47)</f>
        <v>-0.13176161969890995</v>
      </c>
      <c r="S47" s="175" t="str">
        <f>IMPRODUCT(IMDIV(IMSUM(IMPRODUCT(H47,'Small Signal'!$B$33*'Small Signal'!$B$6*'Small Signal'!$B$27*'Small Signal'!$B$7*'Small Signal'!$B$8),'Small Signal'!$B$33*'Small Signal'!$B$6*'Small Signal'!$B$27),IMSUM(IMSUM(IMPRODUCT(H47,('Small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Signal'!$B$5),IMPRODUCT(IMPOWER(H47,2),'Small Signal'!$B$32*'Small Signal'!$B$33*'Small Signal'!$B$8*'Small Signal'!$B$7*('Small Signal'!$B$5+'Small Signal'!$B$6)+('Small Signal'!$B$5+'Small Signal'!$B$6)*('Small Signal'!$B$9*'Small Signal'!$B$8*'Small Signal'!$B$33*'Small Signal'!$B$7)))),-1)</f>
        <v>-16.2908671862497+158.623159225341i</v>
      </c>
      <c r="T47" s="175">
        <f>20*LOG(IMABS(S47))</f>
        <v>44.052899818531472</v>
      </c>
      <c r="U47" s="175">
        <f>(180/PI())*IMARGUMENT(S47)</f>
        <v>95.863814828955043</v>
      </c>
      <c r="V47" s="175" t="str">
        <f>IMPRODUCT(M47,S47)</f>
        <v>-110.981654816037+1104.92936328106i</v>
      </c>
      <c r="W47" s="176">
        <f>20*LOG(IMABS(V47))</f>
        <v>60.910285242264109</v>
      </c>
      <c r="X47" s="175">
        <f>(180/PI())*IMARGUMENT(V47)</f>
        <v>95.735683472833571</v>
      </c>
      <c r="Y47" s="175" t="str">
        <f>IMPRODUCT(P47,S47)</f>
        <v>-180.731935494684+1800.5078790459i</v>
      </c>
      <c r="Z47" s="176">
        <f>20*LOG(IMABS(Y47))</f>
        <v>65.151440206037392</v>
      </c>
      <c r="AA47" s="175">
        <f>(180/PI())*IMARGUMENT(Y47)</f>
        <v>95.732053209256136</v>
      </c>
    </row>
    <row r="48" spans="1:27" x14ac:dyDescent="0.25">
      <c r="A48" s="179" t="s">
        <v>257</v>
      </c>
      <c r="B48" s="178">
        <f>B38*B43*B11*B10*B46</f>
        <v>1153382702.0963085</v>
      </c>
      <c r="F48" s="177">
        <v>46</v>
      </c>
      <c r="G48" s="175">
        <f>10^('Small Signal'!F48/30)</f>
        <v>34.145488738336034</v>
      </c>
      <c r="H48" s="175" t="str">
        <f>COMPLEX(0,G48*2*PI())</f>
        <v>214.542433147179i</v>
      </c>
      <c r="I48" s="175">
        <f>IF('Small Signal'!$B$37&gt;=1,Q48+0,N48+0)</f>
        <v>16.85738246676673</v>
      </c>
      <c r="J48" s="175">
        <f>IF('Small Signal'!$B$37&gt;=1,R48,O48)</f>
        <v>-0.13835302790459941</v>
      </c>
      <c r="K48" s="175">
        <f>IF('Small Signal'!$B$37&gt;=1,Z48+0,W48+0)</f>
        <v>60.249725246439127</v>
      </c>
      <c r="L48" s="175">
        <f>IF('Small Signal'!$B$37&gt;=1,AA48,X48)</f>
        <v>95.319690554237098</v>
      </c>
      <c r="M48" s="175" t="str">
        <f>IMDIV(IMSUM('Small Signal'!$B$2*'Small Signal'!$B$16*'Small Signal'!$B$38,IMPRODUCT(H48,'Small Signal'!$B$2*'Small Signal'!$B$16*'Small Signal'!$B$38*'Small Signal'!$B$13*'Small Signal'!$B$14)),IMSUM(IMPRODUCT('Small Signal'!$B$11*'Small Signal'!$B$13*('Small Signal'!$B$14+'Small Signal'!$B$16),IMPOWER(H48,2)),IMSUM(IMPRODUCT(H48,('Small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6.96414583749705-0.0168164661389685i</v>
      </c>
      <c r="N48" s="175">
        <f>20*LOG(IMABS(M48))</f>
        <v>16.85738246676673</v>
      </c>
      <c r="O48" s="175">
        <f>(180/PI())*IMARGUMENT(M48)</f>
        <v>-0.13835302790459941</v>
      </c>
      <c r="P48" s="175" t="str">
        <f>IMDIV(IMSUM('Small Signal'!$B$48,IMPRODUCT(H48,'Small Signal'!$B$49)),IMSUM(IMPRODUCT('Small Signal'!$B$52,IMPOWER(H48,2)),IMSUM(IMPRODUCT(H48,'Small Signal'!$B$51),'Small Signal'!$B$50)))</f>
        <v>11.3481625293946-0.0281790271729101i</v>
      </c>
      <c r="Q48" s="175">
        <f>20*LOG(IMABS(P48))</f>
        <v>21.098537721805705</v>
      </c>
      <c r="R48" s="175">
        <f>(180/PI())*IMARGUMENT(P48)</f>
        <v>-0.14227290146981753</v>
      </c>
      <c r="S48" s="175" t="str">
        <f>IMPRODUCT(IMDIV(IMSUM(IMPRODUCT(H48,'Small Signal'!$B$33*'Small Signal'!$B$6*'Small Signal'!$B$27*'Small Signal'!$B$7*'Small Signal'!$B$8),'Small Signal'!$B$33*'Small Signal'!$B$6*'Small Signal'!$B$27),IMSUM(IMSUM(IMPRODUCT(H48,('Small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Signal'!$B$5),IMPRODUCT(IMPOWER(H48,2),'Small Signal'!$B$32*'Small Signal'!$B$33*'Small Signal'!$B$8*'Small Signal'!$B$7*('Small Signal'!$B$5+'Small Signal'!$B$6)+('Small Signal'!$B$5+'Small Signal'!$B$6)*('Small Signal'!$B$9*'Small Signal'!$B$8*'Small Signal'!$B$33*'Small Signal'!$B$7)))),-1)</f>
        <v>-14.0564115325406+147.110483025856i</v>
      </c>
      <c r="T48" s="175">
        <f>20*LOG(IMABS(S48))</f>
        <v>43.392342779672376</v>
      </c>
      <c r="U48" s="175">
        <f>(180/PI())*IMARGUMENT(S48)</f>
        <v>95.458043582141713</v>
      </c>
      <c r="V48" s="175" t="str">
        <f>IMPRODUCT(M48,S48)</f>
        <v>-95.4170214079965+1024.73523718527i</v>
      </c>
      <c r="W48" s="176">
        <f>20*LOG(IMABS(V48))</f>
        <v>60.249725246439127</v>
      </c>
      <c r="X48" s="175">
        <f>(180/PI())*IMARGUMENT(V48)</f>
        <v>95.319690554237098</v>
      </c>
      <c r="Y48" s="175" t="str">
        <f>IMPRODUCT(P48,S48)</f>
        <v>-155.369012352722+1669.82976715769i</v>
      </c>
      <c r="Z48" s="176">
        <f>20*LOG(IMABS(Y48))</f>
        <v>64.490880501478088</v>
      </c>
      <c r="AA48" s="175">
        <f>(180/PI())*IMARGUMENT(Y48)</f>
        <v>95.315770680671889</v>
      </c>
    </row>
    <row r="49" spans="1:27" x14ac:dyDescent="0.25">
      <c r="A49" s="179" t="s">
        <v>256</v>
      </c>
      <c r="B49" s="178">
        <f>B38*B43*B11*B10</f>
        <v>20.29953555689503</v>
      </c>
      <c r="F49" s="177">
        <v>47</v>
      </c>
      <c r="G49" s="175">
        <f>10^('Small Signal'!F49/30)</f>
        <v>36.869450645195769</v>
      </c>
      <c r="H49" s="175" t="str">
        <f>COMPLEX(0,G49*2*PI())</f>
        <v>231.657590577677i</v>
      </c>
      <c r="I49" s="175">
        <f>IF('Small Signal'!$B$37&gt;=1,Q49+0,N49+0)</f>
        <v>16.857379019200025</v>
      </c>
      <c r="J49" s="175">
        <f>IF('Small Signal'!$B$37&gt;=1,R49,O49)</f>
        <v>-0.1493901279763469</v>
      </c>
      <c r="K49" s="175">
        <f>IF('Small Signal'!$B$37&gt;=1,Z49+0,W49+0)</f>
        <v>59.588304108040262</v>
      </c>
      <c r="L49" s="175">
        <f>IF('Small Signal'!$B$37&gt;=1,AA49,X49)</f>
        <v>94.934347308727681</v>
      </c>
      <c r="M49" s="175" t="str">
        <f>IMDIV(IMSUM('Small Signal'!$B$2*'Small Signal'!$B$16*'Small Signal'!$B$38,IMPRODUCT(H49,'Small Signal'!$B$2*'Small Signal'!$B$16*'Small Signal'!$B$38*'Small Signal'!$B$13*'Small Signal'!$B$14)),IMSUM(IMPRODUCT('Small Signal'!$B$11*'Small Signal'!$B$13*('Small Signal'!$B$14+'Small Signal'!$B$16),IMPOWER(H49,2)),IMSUM(IMPRODUCT(H49,('Small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6.96413970468893-0.0181579880430576i</v>
      </c>
      <c r="N49" s="175">
        <f>20*LOG(IMABS(M49))</f>
        <v>16.857379019200025</v>
      </c>
      <c r="O49" s="175">
        <f>(180/PI())*IMARGUMENT(M49)</f>
        <v>-0.1493901279763469</v>
      </c>
      <c r="P49" s="175" t="str">
        <f>IMDIV(IMSUM('Small Signal'!$B$48,IMPRODUCT(H49,'Small Signal'!$B$49)),IMSUM(IMPRODUCT('Small Signal'!$B$52,IMPOWER(H49,2)),IMSUM(IMPRODUCT(H49,'Small Signal'!$B$51),'Small Signal'!$B$50)))</f>
        <v>11.3481526641267-0.0304269918722569i</v>
      </c>
      <c r="Q49" s="175">
        <f>20*LOG(IMABS(P49))</f>
        <v>21.098534613829241</v>
      </c>
      <c r="R49" s="175">
        <f>(180/PI())*IMARGUMENT(P49)</f>
        <v>-0.15362271653925055</v>
      </c>
      <c r="S49" s="175" t="str">
        <f>IMPRODUCT(IMDIV(IMSUM(IMPRODUCT(H49,'Small Signal'!$B$33*'Small Signal'!$B$6*'Small Signal'!$B$27*'Small Signal'!$B$7*'Small Signal'!$B$8),'Small Signal'!$B$33*'Small Signal'!$B$6*'Small Signal'!$B$27),IMSUM(IMSUM(IMPRODUCT(H49,('Small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Signal'!$B$5),IMPRODUCT(IMPOWER(H49,2),'Small Signal'!$B$32*'Small Signal'!$B$33*'Small Signal'!$B$8*'Small Signal'!$B$7*('Small Signal'!$B$5+'Small Signal'!$B$6)+('Small Signal'!$B$5+'Small Signal'!$B$6)*('Small Signal'!$B$9*'Small Signal'!$B$8*'Small Signal'!$B$33*'Small Signal'!$B$7)))),-1)</f>
        <v>-12.134915126216+136.406316784934i</v>
      </c>
      <c r="T49" s="175">
        <f>20*LOG(IMABS(S49))</f>
        <v>42.730925088840237</v>
      </c>
      <c r="U49" s="175">
        <f>(180/PI())*IMARGUMENT(S49)</f>
        <v>95.083737436704013</v>
      </c>
      <c r="V49" s="175" t="str">
        <f>IMPRODUCT(M49,S49)</f>
        <v>-82.0323799743328+950.1729923361i</v>
      </c>
      <c r="W49" s="176">
        <f>20*LOG(IMABS(V49))</f>
        <v>59.588304108040262</v>
      </c>
      <c r="X49" s="175">
        <f>(180/PI())*IMARGUMENT(V49)</f>
        <v>94.934347308727681</v>
      </c>
      <c r="Y49" s="175" t="str">
        <f>IMPRODUCT(P49,S49)</f>
        <v>-133.55843552638+1548.32893619058i</v>
      </c>
      <c r="Z49" s="176">
        <f>20*LOG(IMABS(Y49))</f>
        <v>63.82945970266951</v>
      </c>
      <c r="AA49" s="175">
        <f>(180/PI())*IMARGUMENT(Y49)</f>
        <v>94.930114720164767</v>
      </c>
    </row>
    <row r="50" spans="1:27" x14ac:dyDescent="0.25">
      <c r="A50" s="179" t="s">
        <v>255</v>
      </c>
      <c r="B50" s="178">
        <f>B11*B46*B10-B38*B43*B46*B30*B42</f>
        <v>101635542.83186159</v>
      </c>
      <c r="F50" s="177">
        <v>48</v>
      </c>
      <c r="G50" s="175">
        <f>10^('Small Signal'!F50/30)</f>
        <v>39.810717055349755</v>
      </c>
      <c r="H50" s="175" t="str">
        <f>COMPLEX(0,G50*2*PI())</f>
        <v>250.138112470457i</v>
      </c>
      <c r="I50" s="175">
        <f>IF('Small Signal'!$B$37&gt;=1,Q50+0,N50+0)</f>
        <v>16.857374999635752</v>
      </c>
      <c r="J50" s="175">
        <f>IF('Small Signal'!$B$37&gt;=1,R50,O50)</f>
        <v>-0.16130770538695771</v>
      </c>
      <c r="K50" s="175">
        <f>IF('Small Signal'!$B$37&gt;=1,Z50+0,W50+0)</f>
        <v>58.926142743882579</v>
      </c>
      <c r="L50" s="175">
        <f>IF('Small Signal'!$B$37&gt;=1,AA50,X50)</f>
        <v>94.57752612414312</v>
      </c>
      <c r="M50" s="175" t="str">
        <f>IMDIV(IMSUM('Small Signal'!$B$2*'Small Signal'!$B$16*'Small Signal'!$B$38,IMPRODUCT(H50,'Small Signal'!$B$2*'Small Signal'!$B$16*'Small Signal'!$B$38*'Small Signal'!$B$13*'Small Signal'!$B$14)),IMSUM(IMPRODUCT('Small Signal'!$B$11*'Small Signal'!$B$13*('Small Signal'!$B$14+'Small Signal'!$B$16),IMPOWER(H50,2)),IMSUM(IMPRODUCT(H50,('Small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6.9641325543718-0.0196065263432289i</v>
      </c>
      <c r="N50" s="175">
        <f>20*LOG(IMABS(M50))</f>
        <v>16.857374999635752</v>
      </c>
      <c r="O50" s="175">
        <f>(180/PI())*IMARGUMENT(M50)</f>
        <v>-0.16130770538695771</v>
      </c>
      <c r="P50" s="175" t="str">
        <f>IMDIV(IMSUM('Small Signal'!$B$48,IMPRODUCT(H50,'Small Signal'!$B$49)),IMSUM(IMPRODUCT('Small Signal'!$B$52,IMPOWER(H50,2)),IMSUM(IMPRODUCT(H50,'Small Signal'!$B$51),'Small Signal'!$B$50)))</f>
        <v>11.3481411620861-0.0328542826842547i</v>
      </c>
      <c r="Q50" s="175">
        <f>20*LOG(IMABS(P50))</f>
        <v>21.098530990197407</v>
      </c>
      <c r="R50" s="175">
        <f>(180/PI())*IMARGUMENT(P50)</f>
        <v>-0.16587795750671086</v>
      </c>
      <c r="S50" s="175" t="str">
        <f>IMPRODUCT(IMDIV(IMSUM(IMPRODUCT(H50,'Small Signal'!$B$33*'Small Signal'!$B$6*'Small Signal'!$B$27*'Small Signal'!$B$7*'Small Signal'!$B$8),'Small Signal'!$B$33*'Small Signal'!$B$6*'Small Signal'!$B$27),IMSUM(IMSUM(IMPRODUCT(H50,('Small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Signal'!$B$5),IMPRODUCT(IMPOWER(H50,2),'Small Signal'!$B$32*'Small Signal'!$B$33*'Small Signal'!$B$8*'Small Signal'!$B$7*('Small Signal'!$B$5+'Small Signal'!$B$6)+('Small Signal'!$B$5+'Small Signal'!$B$6)*('Small Signal'!$B$9*'Small Signal'!$B$8*'Small Signal'!$B$33*'Small Signal'!$B$7)))),-1)</f>
        <v>-10.483154316745+126.459442004236i</v>
      </c>
      <c r="T50" s="175">
        <f>20*LOG(IMABS(S50))</f>
        <v>42.068767744246827</v>
      </c>
      <c r="U50" s="175">
        <f>(180/PI())*IMARGUMENT(S50)</f>
        <v>94.738833829530094</v>
      </c>
      <c r="V50" s="175" t="str">
        <f>IMPRODUCT(M50,S50)</f>
        <v>-70.526645868741+880.885855110664i</v>
      </c>
      <c r="W50" s="176">
        <f>20*LOG(IMABS(V50))</f>
        <v>58.926142743882579</v>
      </c>
      <c r="X50" s="175">
        <f>(180/PI())*IMARGUMENT(V50)</f>
        <v>94.57752612414312</v>
      </c>
      <c r="Y50" s="175" t="str">
        <f>IMPRODUCT(P50,S50)</f>
        <v>-114.809580754654+1435.42401565806i</v>
      </c>
      <c r="Z50" s="176">
        <f>20*LOG(IMABS(Y50))</f>
        <v>63.167298734444266</v>
      </c>
      <c r="AA50" s="175">
        <f>(180/PI())*IMARGUMENT(Y50)</f>
        <v>94.572955872023357</v>
      </c>
    </row>
    <row r="51" spans="1:27" x14ac:dyDescent="0.25">
      <c r="A51" s="179" t="s">
        <v>254</v>
      </c>
      <c r="B51" s="178">
        <f>B11*B46*B10*B44-B42*B38*B43*B30</f>
        <v>1178.1276755959898</v>
      </c>
      <c r="F51" s="177">
        <v>49</v>
      </c>
      <c r="G51" s="175">
        <f>10^('Small Signal'!F51/30)</f>
        <v>42.986623470822771</v>
      </c>
      <c r="H51" s="175" t="str">
        <f>COMPLEX(0,G51*2*PI())</f>
        <v>270.092920997135i</v>
      </c>
      <c r="I51" s="175">
        <f>IF('Small Signal'!$B$37&gt;=1,Q51+0,N51+0)</f>
        <v>16.857370313172442</v>
      </c>
      <c r="J51" s="175">
        <f>IF('Small Signal'!$B$37&gt;=1,R51,O51)</f>
        <v>-0.1741759980000194</v>
      </c>
      <c r="K51" s="175">
        <f>IF('Small Signal'!$B$37&gt;=1,Z51+0,W51+0)</f>
        <v>58.263345362306886</v>
      </c>
      <c r="L51" s="175">
        <f>IF('Small Signal'!$B$37&gt;=1,AA51,X51)</f>
        <v>94.247238353556085</v>
      </c>
      <c r="M51" s="175" t="str">
        <f>IMDIV(IMSUM('Small Signal'!$B$2*'Small Signal'!$B$16*'Small Signal'!$B$38,IMPRODUCT(H51,'Small Signal'!$B$2*'Small Signal'!$B$16*'Small Signal'!$B$38*'Small Signal'!$B$13*'Small Signal'!$B$14)),IMSUM(IMPRODUCT('Small Signal'!$B$11*'Small Signal'!$B$13*('Small Signal'!$B$14+'Small Signal'!$B$16),IMPOWER(H51,2)),IMSUM(IMPRODUCT(H51,('Small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6.9641242177306-0.0211706173236642i</v>
      </c>
      <c r="N51" s="175">
        <f>20*LOG(IMABS(M51))</f>
        <v>16.857370313172442</v>
      </c>
      <c r="O51" s="175">
        <f>(180/PI())*IMARGUMENT(M51)</f>
        <v>-0.1741759980000194</v>
      </c>
      <c r="P51" s="175" t="str">
        <f>IMDIV(IMSUM('Small Signal'!$B$48,IMPRODUCT(H51,'Small Signal'!$B$49)),IMSUM(IMPRODUCT('Small Signal'!$B$52,IMPOWER(H51,2)),IMSUM(IMPRODUCT(H51,'Small Signal'!$B$51),'Small Signal'!$B$50)))</f>
        <v>11.3481277517144-0.0354752039193265i</v>
      </c>
      <c r="Q51" s="175">
        <f>20*LOG(IMABS(P51))</f>
        <v>21.098526765356162</v>
      </c>
      <c r="R51" s="175">
        <f>(180/PI())*IMARGUMENT(P51)</f>
        <v>-0.17911085294340623</v>
      </c>
      <c r="S51" s="175" t="str">
        <f>IMPRODUCT(IMDIV(IMSUM(IMPRODUCT(H51,'Small Signal'!$B$33*'Small Signal'!$B$6*'Small Signal'!$B$27*'Small Signal'!$B$7*'Small Signal'!$B$8),'Small Signal'!$B$33*'Small Signal'!$B$6*'Small Signal'!$B$27),IMSUM(IMSUM(IMPRODUCT(H51,('Small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Signal'!$B$5),IMPRODUCT(IMPOWER(H51,2),'Small Signal'!$B$32*'Small Signal'!$B$33*'Small Signal'!$B$8*'Small Signal'!$B$7*('Small Signal'!$B$5+'Small Signal'!$B$6)+('Small Signal'!$B$5+'Small Signal'!$B$6)*('Small Signal'!$B$9*'Small Signal'!$B$8*'Small Signal'!$B$33*'Small Signal'!$B$7)))),-1)</f>
        <v>-9.06371452523523+117.220715760997i</v>
      </c>
      <c r="T51" s="175">
        <f>20*LOG(IMABS(S51))</f>
        <v>41.40597504913444</v>
      </c>
      <c r="U51" s="175">
        <f>(180/PI())*IMARGUMENT(S51)</f>
        <v>94.421414351556109</v>
      </c>
      <c r="V51" s="175" t="str">
        <f>IMPRODUCT(M51,S51)</f>
        <v>-60.6391989120052+816.531509882619i</v>
      </c>
      <c r="W51" s="176">
        <f>20*LOG(IMABS(V51))</f>
        <v>58.263345362306886</v>
      </c>
      <c r="X51" s="175">
        <f>(180/PI())*IMARGUMENT(V51)</f>
        <v>94.247238353556085</v>
      </c>
      <c r="Y51" s="175" t="str">
        <f>IMPRODUCT(P51,S51)</f>
        <v>-98.6977615422481+1330.55719472424i</v>
      </c>
      <c r="Z51" s="176">
        <f>20*LOG(IMABS(Y51))</f>
        <v>62.504501814490567</v>
      </c>
      <c r="AA51" s="175">
        <f>(180/PI())*IMARGUMENT(Y51)</f>
        <v>94.242303498612713</v>
      </c>
    </row>
    <row r="52" spans="1:27" x14ac:dyDescent="0.25">
      <c r="A52" s="179" t="s">
        <v>253</v>
      </c>
      <c r="B52" s="178">
        <f>B11*B46*B10*B45</f>
        <v>2.0661091004269072E-3</v>
      </c>
      <c r="F52" s="177">
        <v>50</v>
      </c>
      <c r="G52" s="175">
        <f>10^('Small Signal'!F52/30)</f>
        <v>46.415888336127807</v>
      </c>
      <c r="H52" s="175" t="str">
        <f>COMPLEX(0,G52*2*PI())</f>
        <v>291.639627613247i</v>
      </c>
      <c r="I52" s="175">
        <f>IF('Small Signal'!$B$37&gt;=1,Q52+0,N52+0)</f>
        <v>16.857364849163609</v>
      </c>
      <c r="J52" s="175">
        <f>IF('Small Signal'!$B$37&gt;=1,R52,O52)</f>
        <v>-0.18807084630528023</v>
      </c>
      <c r="K52" s="175">
        <f>IF('Small Signal'!$B$37&gt;=1,Z52+0,W52+0)</f>
        <v>57.600001722810525</v>
      </c>
      <c r="L52" s="175">
        <f>IF('Small Signal'!$B$37&gt;=1,AA52,X52)</f>
        <v>93.941628464751915</v>
      </c>
      <c r="M52" s="175" t="str">
        <f>IMDIV(IMSUM('Small Signal'!$B$2*'Small Signal'!$B$16*'Small Signal'!$B$38,IMPRODUCT(H52,'Small Signal'!$B$2*'Small Signal'!$B$16*'Small Signal'!$B$38*'Small Signal'!$B$13*'Small Signal'!$B$14)),IMSUM(IMPRODUCT('Small Signal'!$B$11*'Small Signal'!$B$13*('Small Signal'!$B$14+'Small Signal'!$B$16),IMPOWER(H52,2)),IMSUM(IMPRODUCT(H52,('Small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6.96411449794303-0.0228594780018378i</v>
      </c>
      <c r="N52" s="175">
        <f>20*LOG(IMABS(M52))</f>
        <v>16.857364849163609</v>
      </c>
      <c r="O52" s="175">
        <f>(180/PI())*IMARGUMENT(M52)</f>
        <v>-0.18807084630528023</v>
      </c>
      <c r="P52" s="175" t="str">
        <f>IMDIV(IMSUM('Small Signal'!$B$48,IMPRODUCT(H52,'Small Signal'!$B$49)),IMSUM(IMPRODUCT('Small Signal'!$B$52,IMPOWER(H52,2)),IMSUM(IMPRODUCT(H52,'Small Signal'!$B$51),'Small Signal'!$B$50)))</f>
        <v>11.3481121164008-0.0383052006387362i</v>
      </c>
      <c r="Q52" s="175">
        <f>20*LOG(IMABS(P52))</f>
        <v>21.098521839557776</v>
      </c>
      <c r="R52" s="175">
        <f>(180/PI())*IMARGUMENT(P52)</f>
        <v>-0.19339939296764747</v>
      </c>
      <c r="S52" s="175" t="str">
        <f>IMPRODUCT(IMDIV(IMSUM(IMPRODUCT(H52,'Small Signal'!$B$33*'Small Signal'!$B$6*'Small Signal'!$B$27*'Small Signal'!$B$7*'Small Signal'!$B$8),'Small Signal'!$B$33*'Small Signal'!$B$6*'Small Signal'!$B$27),IMSUM(IMSUM(IMPRODUCT(H52,('Small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Signal'!$B$5),IMPRODUCT(IMPOWER(H52,2),'Small Signal'!$B$32*'Small Signal'!$B$33*'Small Signal'!$B$8*'Small Signal'!$B$7*('Small Signal'!$B$5+'Small Signal'!$B$6)+('Small Signal'!$B$5+'Small Signal'!$B$6)*('Small Signal'!$B$9*'Small Signal'!$B$8*'Small Signal'!$B$33*'Small Signal'!$B$7)))),-1)</f>
        <v>-7.84425215147874+108.643255291108i</v>
      </c>
      <c r="T52" s="175">
        <f>20*LOG(IMABS(S52))</f>
        <v>40.742636873646909</v>
      </c>
      <c r="U52" s="175">
        <f>(180/PI())*IMARGUMENT(S52)</f>
        <v>94.129699311057209</v>
      </c>
      <c r="V52" s="175" t="str">
        <f>IMPRODUCT(M52,S52)</f>
        <v>-52.1447420292588+756.783384786029i</v>
      </c>
      <c r="W52" s="176">
        <f>20*LOG(IMABS(V52))</f>
        <v>57.600001722810525</v>
      </c>
      <c r="X52" s="175">
        <f>(180/PI())*IMARGUMENT(V52)</f>
        <v>93.941628464751915</v>
      </c>
      <c r="Y52" s="175" t="str">
        <f>IMPRODUCT(P52,S52)</f>
        <v>-84.8558511923276+1233.19631738677i</v>
      </c>
      <c r="Z52" s="176">
        <f>20*LOG(IMABS(Y52))</f>
        <v>61.841158713204678</v>
      </c>
      <c r="AA52" s="175">
        <f>(180/PI())*IMARGUMENT(Y52)</f>
        <v>93.93629991808956</v>
      </c>
    </row>
    <row r="53" spans="1:27" x14ac:dyDescent="0.25">
      <c r="F53" s="177">
        <v>51</v>
      </c>
      <c r="G53" s="175">
        <f>10^('Small Signal'!F53/30)</f>
        <v>50.118723362727238</v>
      </c>
      <c r="H53" s="175" t="str">
        <f>COMPLEX(0,G53*2*PI())</f>
        <v>314.905226247286i</v>
      </c>
      <c r="I53" s="175">
        <f>IF('Small Signal'!$B$37&gt;=1,Q53+0,N53+0)</f>
        <v>16.857358478605484</v>
      </c>
      <c r="J53" s="175">
        <f>IF('Small Signal'!$B$37&gt;=1,R53,O53)</f>
        <v>-0.20307414021091832</v>
      </c>
      <c r="K53" s="175">
        <f>IF('Small Signal'!$B$37&gt;=1,Z53+0,W53+0)</f>
        <v>56.936189106730893</v>
      </c>
      <c r="L53" s="175">
        <f>IF('Small Signal'!$B$37&gt;=1,AA53,X53)</f>
        <v>93.658967805307952</v>
      </c>
      <c r="M53" s="175" t="str">
        <f>IMDIV(IMSUM('Small Signal'!$B$2*'Small Signal'!$B$16*'Small Signal'!$B$38,IMPRODUCT(H53,'Small Signal'!$B$2*'Small Signal'!$B$16*'Small Signal'!$B$38*'Small Signal'!$B$13*'Small Signal'!$B$14)),IMSUM(IMPRODUCT('Small Signal'!$B$11*'Small Signal'!$B$13*('Small Signal'!$B$14+'Small Signal'!$B$16),IMPOWER(H53,2)),IMSUM(IMPRODUCT(H53,('Small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6.96410316553326-0.0246830603693555i</v>
      </c>
      <c r="N53" s="175">
        <f>20*LOG(IMABS(M53))</f>
        <v>16.857358478605484</v>
      </c>
      <c r="O53" s="175">
        <f>(180/PI())*IMARGUMENT(M53)</f>
        <v>-0.20307414021091832</v>
      </c>
      <c r="P53" s="175" t="str">
        <f>IMDIV(IMSUM('Small Signal'!$B$48,IMPRODUCT(H53,'Small Signal'!$B$49)),IMSUM(IMPRODUCT('Small Signal'!$B$52,IMPOWER(H53,2)),IMSUM(IMPRODUCT(H53,'Small Signal'!$B$51),'Small Signal'!$B$50)))</f>
        <v>11.3480938870063-0.0413609495603376i</v>
      </c>
      <c r="Q53" s="175">
        <f>20*LOG(IMABS(P53))</f>
        <v>21.098516096504696</v>
      </c>
      <c r="R53" s="175">
        <f>(180/PI())*IMARGUMENT(P53)</f>
        <v>-0.20882778874403607</v>
      </c>
      <c r="S53" s="175" t="str">
        <f>IMPRODUCT(IMDIV(IMSUM(IMPRODUCT(H53,'Small Signal'!$B$33*'Small Signal'!$B$6*'Small Signal'!$B$27*'Small Signal'!$B$7*'Small Signal'!$B$8),'Small Signal'!$B$33*'Small Signal'!$B$6*'Small Signal'!$B$27),IMSUM(IMSUM(IMPRODUCT(H53,('Small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Signal'!$B$5),IMPRODUCT(IMPOWER(H53,2),'Small Signal'!$B$32*'Small Signal'!$B$33*'Small Signal'!$B$8*'Small Signal'!$B$7*('Small Signal'!$B$5+'Small Signal'!$B$6)+('Small Signal'!$B$5+'Small Signal'!$B$6)*('Small Signal'!$B$9*'Small Signal'!$B$8*'Small Signal'!$B$33*'Small Signal'!$B$7)))),-1)</f>
        <v>-6.79683876035658+100.682543648829i</v>
      </c>
      <c r="T53" s="175">
        <f>20*LOG(IMABS(S53))</f>
        <v>40.078830628125417</v>
      </c>
      <c r="U53" s="175">
        <f>(180/PI())*IMARGUMENT(S53)</f>
        <v>93.862041945518868</v>
      </c>
      <c r="V53" s="175" t="str">
        <f>IMPRODUCT(M53,S53)</f>
        <v>-44.8487330235941+701.331387720193i</v>
      </c>
      <c r="W53" s="176">
        <f>20*LOG(IMABS(V53))</f>
        <v>56.936189106730893</v>
      </c>
      <c r="X53" s="175">
        <f>(180/PI())*IMARGUMENT(V53)</f>
        <v>93.658967805307952</v>
      </c>
      <c r="Y53" s="175" t="str">
        <f>IMPRODUCT(P53,S53)</f>
        <v>-72.9668387779043+1142.83608181466i</v>
      </c>
      <c r="Z53" s="176">
        <f>20*LOG(IMABS(Y53))</f>
        <v>61.177346724630127</v>
      </c>
      <c r="AA53" s="175">
        <f>(180/PI())*IMARGUMENT(Y53)</f>
        <v>93.653214156774823</v>
      </c>
    </row>
    <row r="54" spans="1:27" x14ac:dyDescent="0.25">
      <c r="F54" s="177">
        <v>52</v>
      </c>
      <c r="G54" s="175">
        <f>10^('Small Signal'!F54/30)</f>
        <v>54.11695265464639</v>
      </c>
      <c r="H54" s="175" t="str">
        <f>COMPLEX(0,G54*2*PI())</f>
        <v>340.026841789008i</v>
      </c>
      <c r="I54" s="175">
        <f>IF('Small Signal'!$B$37&gt;=1,Q54+0,N54+0)</f>
        <v>16.857351051091541</v>
      </c>
      <c r="J54" s="175">
        <f>IF('Small Signal'!$B$37&gt;=1,R54,O54)</f>
        <v>-0.21927430143777454</v>
      </c>
      <c r="K54" s="175">
        <f>IF('Small Signal'!$B$37&gt;=1,Z54+0,W54+0)</f>
        <v>56.271974032035381</v>
      </c>
      <c r="L54" s="175">
        <f>IF('Small Signal'!$B$37&gt;=1,AA54,X54)</f>
        <v>93.397648174805724</v>
      </c>
      <c r="M54" s="175" t="str">
        <f>IMDIV(IMSUM('Small Signal'!$B$2*'Small Signal'!$B$16*'Small Signal'!$B$38,IMPRODUCT(H54,'Small Signal'!$B$2*'Small Signal'!$B$16*'Small Signal'!$B$38*'Small Signal'!$B$13*'Small Signal'!$B$14)),IMSUM(IMPRODUCT('Small Signal'!$B$11*'Small Signal'!$B$13*('Small Signal'!$B$14+'Small Signal'!$B$16),IMPOWER(H54,2)),IMSUM(IMPRODUCT(H54,('Small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6.96408995295503-0.0266521099430944i</v>
      </c>
      <c r="N54" s="175">
        <f>20*LOG(IMABS(M54))</f>
        <v>16.857351051091541</v>
      </c>
      <c r="O54" s="175">
        <f>(180/PI())*IMARGUMENT(M54)</f>
        <v>-0.21927430143777454</v>
      </c>
      <c r="P54" s="175" t="str">
        <f>IMDIV(IMSUM('Small Signal'!$B$48,IMPRODUCT(H54,'Small Signal'!$B$49)),IMSUM(IMPRODUCT('Small Signal'!$B$52,IMPOWER(H54,2)),IMSUM(IMPRODUCT(H54,'Small Signal'!$B$51),'Small Signal'!$B$50)))</f>
        <v>11.3480726331514-0.0446604571910256i</v>
      </c>
      <c r="Q54" s="175">
        <f>20*LOG(IMABS(P54))</f>
        <v>21.098509400605217</v>
      </c>
      <c r="R54" s="175">
        <f>(180/PI())*IMARGUMENT(P54)</f>
        <v>-0.22548696860582612</v>
      </c>
      <c r="S54" s="175" t="str">
        <f>IMPRODUCT(IMDIV(IMSUM(IMPRODUCT(H54,'Small Signal'!$B$33*'Small Signal'!$B$6*'Small Signal'!$B$27*'Small Signal'!$B$7*'Small Signal'!$B$8),'Small Signal'!$B$33*'Small Signal'!$B$6*'Small Signal'!$B$27),IMSUM(IMSUM(IMPRODUCT(H54,('Small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Signal'!$B$5),IMPRODUCT(IMPOWER(H54,2),'Small Signal'!$B$32*'Small Signal'!$B$33*'Small Signal'!$B$8*'Small Signal'!$B$7*('Small Signal'!$B$5+'Small Signal'!$B$6)+('Small Signal'!$B$5+'Small Signal'!$B$6)*('Small Signal'!$B$9*'Small Signal'!$B$8*'Small Signal'!$B$33*'Small Signal'!$B$7)))),-1)</f>
        <v>-5.89738161512453+93.2964743887127i</v>
      </c>
      <c r="T54" s="175">
        <f>20*LOG(IMABS(S54))</f>
        <v>39.414622980943847</v>
      </c>
      <c r="U54" s="175">
        <f>(180/PI())*IMARGUMENT(S54)</f>
        <v>93.616922476243488</v>
      </c>
      <c r="V54" s="175" t="str">
        <f>IMPRODUCT(M54,S54)</f>
        <v>-38.5833481619194+649.882217599743i</v>
      </c>
      <c r="W54" s="176">
        <f>20*LOG(IMABS(V54))</f>
        <v>56.271974032035381</v>
      </c>
      <c r="X54" s="175">
        <f>(180/PI())*IMARGUMENT(V54)</f>
        <v>93.397648174805724</v>
      </c>
      <c r="Y54" s="175" t="str">
        <f>IMPRODUCT(P54,S54)</f>
        <v>-62.7572517133342+1058.99854753922i</v>
      </c>
      <c r="Z54" s="176">
        <f>20*LOG(IMABS(Y54))</f>
        <v>60.513132381549042</v>
      </c>
      <c r="AA54" s="175">
        <f>(180/PI())*IMARGUMENT(Y54)</f>
        <v>93.391435507637681</v>
      </c>
    </row>
    <row r="55" spans="1:27" x14ac:dyDescent="0.25">
      <c r="F55" s="177">
        <v>53</v>
      </c>
      <c r="G55" s="175">
        <f>10^('Small Signal'!F55/30)</f>
        <v>58.434141337351775</v>
      </c>
      <c r="H55" s="175" t="str">
        <f>COMPLEX(0,G55*2*PI())</f>
        <v>367.152538288504i</v>
      </c>
      <c r="I55" s="175">
        <f>IF('Small Signal'!$B$37&gt;=1,Q55+0,N55+0)</f>
        <v>16.85734239126171</v>
      </c>
      <c r="J55" s="175">
        <f>IF('Small Signal'!$B$37&gt;=1,R55,O55)</f>
        <v>-0.23676680434512865</v>
      </c>
      <c r="K55" s="175">
        <f>IF('Small Signal'!$B$37&gt;=1,Z55+0,W55+0)</f>
        <v>55.607413742668726</v>
      </c>
      <c r="L55" s="175">
        <f>IF('Small Signal'!$B$37&gt;=1,AA55,X55)</f>
        <v>93.156175351391141</v>
      </c>
      <c r="M55" s="175" t="str">
        <f>IMDIV(IMSUM('Small Signal'!$B$2*'Small Signal'!$B$16*'Small Signal'!$B$38,IMPRODUCT(H55,'Small Signal'!$B$2*'Small Signal'!$B$16*'Small Signal'!$B$38*'Small Signal'!$B$13*'Small Signal'!$B$14)),IMSUM(IMPRODUCT('Small Signal'!$B$11*'Small Signal'!$B$13*('Small Signal'!$B$14+'Small Signal'!$B$16),IMPOWER(H55,2)),IMSUM(IMPRODUCT(H55,('Small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6.96407454827622-0.0287782289661601i</v>
      </c>
      <c r="N55" s="175">
        <f>20*LOG(IMABS(M55))</f>
        <v>16.85734239126171</v>
      </c>
      <c r="O55" s="175">
        <f>(180/PI())*IMARGUMENT(M55)</f>
        <v>-0.23676680434512865</v>
      </c>
      <c r="P55" s="175" t="str">
        <f>IMDIV(IMSUM('Small Signal'!$B$48,IMPRODUCT(H55,'Small Signal'!$B$49)),IMSUM(IMPRODUCT('Small Signal'!$B$52,IMPOWER(H55,2)),IMSUM(IMPRODUCT(H55,'Small Signal'!$B$51),'Small Signal'!$B$50)))</f>
        <v>11.3480478530554-0.048223165755824i</v>
      </c>
      <c r="Q55" s="175">
        <f>20*LOG(IMABS(P55))</f>
        <v>21.098501593771356</v>
      </c>
      <c r="R55" s="175">
        <f>(180/PI())*IMARGUMENT(P55)</f>
        <v>-0.24347511371342939</v>
      </c>
      <c r="S55" s="175" t="str">
        <f>IMPRODUCT(IMDIV(IMSUM(IMPRODUCT(H55,'Small Signal'!$B$33*'Small Signal'!$B$6*'Small Signal'!$B$27*'Small Signal'!$B$7*'Small Signal'!$B$8),'Small Signal'!$B$33*'Small Signal'!$B$6*'Small Signal'!$B$27),IMSUM(IMSUM(IMPRODUCT(H55,('Small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Signal'!$B$5),IMPRODUCT(IMPOWER(H55,2),'Small Signal'!$B$32*'Small Signal'!$B$33*'Small Signal'!$B$8*'Small Signal'!$B$7*('Small Signal'!$B$5+'Small Signal'!$B$6)+('Small Signal'!$B$5+'Small Signal'!$B$6)*('Small Signal'!$B$9*'Small Signal'!$B$8*'Small Signal'!$B$33*'Small Signal'!$B$7)))),-1)</f>
        <v>-5.12511402889532+86.4453498035691i</v>
      </c>
      <c r="T55" s="175">
        <f>20*LOG(IMABS(S55))</f>
        <v>38.750071351407009</v>
      </c>
      <c r="U55" s="175">
        <f>(180/PI())*IMARGUMENT(S55)</f>
        <v>93.392942155736264</v>
      </c>
      <c r="V55" s="175" t="str">
        <f>IMPRODUCT(M55,S55)</f>
        <v>-33.2039320959364+602.159352088872i</v>
      </c>
      <c r="W55" s="176">
        <f>20*LOG(IMABS(V55))</f>
        <v>55.607413742668726</v>
      </c>
      <c r="X55" s="175">
        <f>(180/PI())*IMARGUMENT(V55)</f>
        <v>93.156175351391141</v>
      </c>
      <c r="Y55" s="175" t="str">
        <f>IMPRODUCT(P55,S55)</f>
        <v>-53.9913708198719+981.233115468348i</v>
      </c>
      <c r="Z55" s="176">
        <f>20*LOG(IMABS(Y55))</f>
        <v>59.848572945178368</v>
      </c>
      <c r="AA55" s="175">
        <f>(180/PI())*IMARGUMENT(Y55)</f>
        <v>93.14946704202282</v>
      </c>
    </row>
    <row r="56" spans="1:27" x14ac:dyDescent="0.25">
      <c r="F56" s="177">
        <v>54</v>
      </c>
      <c r="G56" s="175">
        <f>10^('Small Signal'!F56/30)</f>
        <v>63.095734448019364</v>
      </c>
      <c r="H56" s="175" t="str">
        <f>COMPLEX(0,G56*2*PI())</f>
        <v>396.4421916295i</v>
      </c>
      <c r="I56" s="175">
        <f>IF('Small Signal'!$B$37&gt;=1,Q56+0,N56+0)</f>
        <v>16.857332294662648</v>
      </c>
      <c r="J56" s="175">
        <f>IF('Small Signal'!$B$37&gt;=1,R56,O56)</f>
        <v>-0.25565473824054374</v>
      </c>
      <c r="K56" s="175">
        <f>IF('Small Signal'!$B$37&gt;=1,Z56+0,W56+0)</f>
        <v>54.942557500169649</v>
      </c>
      <c r="L56" s="175">
        <f>IF('Small Signal'!$B$37&gt;=1,AA56,X56)</f>
        <v>92.933162684147362</v>
      </c>
      <c r="M56" s="175" t="str">
        <f>IMDIV(IMSUM('Small Signal'!$B$2*'Small Signal'!$B$16*'Small Signal'!$B$38,IMPRODUCT(H56,'Small Signal'!$B$2*'Small Signal'!$B$16*'Small Signal'!$B$38*'Small Signal'!$B$13*'Small Signal'!$B$14)),IMSUM(IMPRODUCT('Small Signal'!$B$11*'Small Signal'!$B$13*('Small Signal'!$B$14+'Small Signal'!$B$16),IMPOWER(H56,2)),IMSUM(IMPRODUCT(H56,('Small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6.96405658781604-0.0310739446241352i</v>
      </c>
      <c r="N56" s="175">
        <f>20*LOG(IMABS(M56))</f>
        <v>16.857332294662648</v>
      </c>
      <c r="O56" s="175">
        <f>(180/PI())*IMARGUMENT(M56)</f>
        <v>-0.25565473824054374</v>
      </c>
      <c r="P56" s="175" t="str">
        <f>IMDIV(IMSUM('Small Signal'!$B$48,IMPRODUCT(H56,'Small Signal'!$B$49)),IMSUM(IMPRODUCT('Small Signal'!$B$52,IMPOWER(H56,2)),IMSUM(IMPRODUCT(H56,'Small Signal'!$B$51),'Small Signal'!$B$50)))</f>
        <v>11.3480189616928-0.0520700675373468i</v>
      </c>
      <c r="Q56" s="175">
        <f>20*LOG(IMABS(P56))</f>
        <v>21.098492491687434</v>
      </c>
      <c r="R56" s="175">
        <f>(180/PI())*IMARGUMENT(P56)</f>
        <v>-0.2628982363921436</v>
      </c>
      <c r="S56" s="175" t="str">
        <f>IMPRODUCT(IMDIV(IMSUM(IMPRODUCT(H56,'Small Signal'!$B$33*'Small Signal'!$B$6*'Small Signal'!$B$27*'Small Signal'!$B$7*'Small Signal'!$B$8),'Small Signal'!$B$33*'Small Signal'!$B$6*'Small Signal'!$B$27),IMSUM(IMSUM(IMPRODUCT(H56,('Small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Signal'!$B$5),IMPRODUCT(IMPOWER(H56,2),'Small Signal'!$B$32*'Small Signal'!$B$33*'Small Signal'!$B$8*'Small Signal'!$B$7*('Small Signal'!$B$5+'Small Signal'!$B$6)+('Small Signal'!$B$5+'Small Signal'!$B$6)*('Small Signal'!$B$9*'Small Signal'!$B$8*'Small Signal'!$B$33*'Small Signal'!$B$7)))),-1)</f>
        <v>-4.46214884386144+80.0918443975952i</v>
      </c>
      <c r="T56" s="175">
        <f>20*LOG(IMABS(S56))</f>
        <v>38.085225205507001</v>
      </c>
      <c r="U56" s="175">
        <f>(180/PI())*IMARGUMENT(S56)</f>
        <v>93.188817422387913</v>
      </c>
      <c r="V56" s="175" t="str">
        <f>IMPRODUCT(M56,S56)</f>
        <v>-28.5858875142533+557.902793173489i</v>
      </c>
      <c r="W56" s="176">
        <f>20*LOG(IMABS(V56))</f>
        <v>54.942557500169649</v>
      </c>
      <c r="X56" s="175">
        <f>(180/PI())*IMARGUMENT(V56)</f>
        <v>92.933162684147362</v>
      </c>
      <c r="Y56" s="175" t="str">
        <f>IMPRODUCT(P56,S56)</f>
        <v>-46.4661619430618+909.116113292521i</v>
      </c>
      <c r="Z56" s="176">
        <f>20*LOG(IMABS(Y56))</f>
        <v>59.183717697194432</v>
      </c>
      <c r="AA56" s="175">
        <f>(180/PI())*IMARGUMENT(Y56)</f>
        <v>92.925919185995781</v>
      </c>
    </row>
    <row r="57" spans="1:27" x14ac:dyDescent="0.25">
      <c r="F57" s="177">
        <v>55</v>
      </c>
      <c r="G57" s="175">
        <f>10^('Small Signal'!F57/30)</f>
        <v>68.129206905796124</v>
      </c>
      <c r="H57" s="175" t="str">
        <f>COMPLEX(0,G57*2*PI())</f>
        <v>428.068431820296i</v>
      </c>
      <c r="I57" s="175">
        <f>IF('Small Signal'!$B$37&gt;=1,Q57+0,N57+0)</f>
        <v>16.857320522921327</v>
      </c>
      <c r="J57" s="175">
        <f>IF('Small Signal'!$B$37&gt;=1,R57,O57)</f>
        <v>-0.27604941446636239</v>
      </c>
      <c r="K57" s="175">
        <f>IF('Small Signal'!$B$37&gt;=1,Z57+0,W57+0)</f>
        <v>54.277447702520845</v>
      </c>
      <c r="L57" s="175">
        <f>IF('Small Signal'!$B$37&gt;=1,AA57,X57)</f>
        <v>92.727324834141271</v>
      </c>
      <c r="M57" s="175" t="str">
        <f>IMDIV(IMSUM('Small Signal'!$B$2*'Small Signal'!$B$16*'Small Signal'!$B$38,IMPRODUCT(H57,'Small Signal'!$B$2*'Small Signal'!$B$16*'Small Signal'!$B$38*'Small Signal'!$B$13*'Small Signal'!$B$14)),IMSUM(IMPRODUCT('Small Signal'!$B$11*'Small Signal'!$B$13*('Small Signal'!$B$14+'Small Signal'!$B$16),IMPOWER(H57,2)),IMSUM(IMPRODUCT(H57,('Small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6.96403564756115-0.0335527826698334i</v>
      </c>
      <c r="N57" s="175">
        <f>20*LOG(IMABS(M57))</f>
        <v>16.857320522921327</v>
      </c>
      <c r="O57" s="175">
        <f>(180/PI())*IMARGUMENT(M57)</f>
        <v>-0.27604941446636239</v>
      </c>
      <c r="P57" s="175" t="str">
        <f>IMDIV(IMSUM('Small Signal'!$B$48,IMPRODUCT(H57,'Small Signal'!$B$49)),IMSUM(IMPRODUCT('Small Signal'!$B$52,IMPOWER(H57,2)),IMSUM(IMPRODUCT(H57,'Small Signal'!$B$51),'Small Signal'!$B$50)))</f>
        <v>11.3479852769839-0.056223828286178i</v>
      </c>
      <c r="Q57" s="175">
        <f>20*LOG(IMABS(P57))</f>
        <v>21.098481879458411</v>
      </c>
      <c r="R57" s="175">
        <f>(180/PI())*IMARGUMENT(P57)</f>
        <v>-0.28387080454017671</v>
      </c>
      <c r="S57" s="175" t="str">
        <f>IMPRODUCT(IMDIV(IMSUM(IMPRODUCT(H57,'Small Signal'!$B$33*'Small Signal'!$B$6*'Small Signal'!$B$27*'Small Signal'!$B$7*'Small Signal'!$B$8),'Small Signal'!$B$33*'Small Signal'!$B$6*'Small Signal'!$B$27),IMSUM(IMSUM(IMPRODUCT(H57,('Small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Signal'!$B$5),IMPRODUCT(IMPOWER(H57,2),'Small Signal'!$B$32*'Small Signal'!$B$33*'Small Signal'!$B$8*'Small Signal'!$B$7*('Small Signal'!$B$5+'Small Signal'!$B$6)+('Small Signal'!$B$5+'Small Signal'!$B$6)*('Small Signal'!$B$9*'Small Signal'!$B$8*'Small Signal'!$B$33*'Small Signal'!$B$7)))),-1)</f>
        <v>-3.893088477403+74.2009429095114i</v>
      </c>
      <c r="T57" s="175">
        <f>20*LOG(IMABS(S57))</f>
        <v>37.420127179599518</v>
      </c>
      <c r="U57" s="175">
        <f>(180/PI())*IMARGUMENT(S57)</f>
        <v>93.003374248607628</v>
      </c>
      <c r="V57" s="175" t="str">
        <f>IMPRODUCT(M57,S57)</f>
        <v>-24.6219588244045+516.868635456084i</v>
      </c>
      <c r="W57" s="176">
        <f>20*LOG(IMABS(V57))</f>
        <v>54.277447702520845</v>
      </c>
      <c r="X57" s="175">
        <f>(180/PI())*IMARGUMENT(V57)</f>
        <v>92.727324834141271</v>
      </c>
      <c r="Y57" s="175" t="str">
        <f>IMPRODUCT(P57,S57)</f>
        <v>-40.006849650748+842.250092013515i</v>
      </c>
      <c r="Z57" s="176">
        <f>20*LOG(IMABS(Y57))</f>
        <v>58.518609059057937</v>
      </c>
      <c r="AA57" s="175">
        <f>(180/PI())*IMARGUMENT(Y57)</f>
        <v>92.719503444067442</v>
      </c>
    </row>
    <row r="58" spans="1:27" x14ac:dyDescent="0.25">
      <c r="F58" s="177">
        <v>56</v>
      </c>
      <c r="G58" s="175">
        <f>10^('Small Signal'!F58/30)</f>
        <v>73.564225445964155</v>
      </c>
      <c r="H58" s="175" t="str">
        <f>COMPLEX(0,G58*2*PI())</f>
        <v>462.217660456129i</v>
      </c>
      <c r="I58" s="175">
        <f>IF('Small Signal'!$B$37&gt;=1,Q58+0,N58+0)</f>
        <v>16.857306798117868</v>
      </c>
      <c r="J58" s="175">
        <f>IF('Small Signal'!$B$37&gt;=1,R58,O58)</f>
        <v>-0.29807102181380229</v>
      </c>
      <c r="K58" s="175">
        <f>IF('Small Signal'!$B$37&gt;=1,Z58+0,W58+0)</f>
        <v>53.612120852549097</v>
      </c>
      <c r="L58" s="175">
        <f>IF('Small Signal'!$B$37&gt;=1,AA58,X58)</f>
        <v>92.537471724281062</v>
      </c>
      <c r="M58" s="175" t="str">
        <f>IMDIV(IMSUM('Small Signal'!$B$2*'Small Signal'!$B$16*'Small Signal'!$B$38,IMPRODUCT(H58,'Small Signal'!$B$2*'Small Signal'!$B$16*'Small Signal'!$B$38*'Small Signal'!$B$13*'Small Signal'!$B$14)),IMSUM(IMPRODUCT('Small Signal'!$B$11*'Small Signal'!$B$13*('Small Signal'!$B$14+'Small Signal'!$B$16),IMPOWER(H58,2)),IMSUM(IMPRODUCT(H58,('Small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6.96401123315813-0.0362293468793662i</v>
      </c>
      <c r="N58" s="175">
        <f>20*LOG(IMABS(M58))</f>
        <v>16.857306798117868</v>
      </c>
      <c r="O58" s="175">
        <f>(180/PI())*IMARGUMENT(M58)</f>
        <v>-0.29807102181380229</v>
      </c>
      <c r="P58" s="175" t="str">
        <f>IMDIV(IMSUM('Small Signal'!$B$48,IMPRODUCT(H58,'Small Signal'!$B$49)),IMSUM(IMPRODUCT('Small Signal'!$B$52,IMPOWER(H58,2)),IMSUM(IMPRODUCT(H58,'Small Signal'!$B$51),'Small Signal'!$B$50)))</f>
        <v>11.3479460036966-0.0607089204127178i</v>
      </c>
      <c r="Q58" s="175">
        <f>20*LOG(IMABS(P58))</f>
        <v>21.098469506537491</v>
      </c>
      <c r="R58" s="175">
        <f>(180/PI())*IMARGUMENT(P58)</f>
        <v>-0.30651641576487665</v>
      </c>
      <c r="S58" s="175" t="str">
        <f>IMPRODUCT(IMDIV(IMSUM(IMPRODUCT(H58,'Small Signal'!$B$33*'Small Signal'!$B$6*'Small Signal'!$B$27*'Small Signal'!$B$7*'Small Signal'!$B$8),'Small Signal'!$B$33*'Small Signal'!$B$6*'Small Signal'!$B$27),IMSUM(IMSUM(IMPRODUCT(H58,('Small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Signal'!$B$5),IMPRODUCT(IMPOWER(H58,2),'Small Signal'!$B$32*'Small Signal'!$B$33*'Small Signal'!$B$8*'Small Signal'!$B$7*('Small Signal'!$B$5+'Small Signal'!$B$6)+('Small Signal'!$B$5+'Small Signal'!$B$6)*('Small Signal'!$B$9*'Small Signal'!$B$8*'Small Signal'!$B$33*'Small Signal'!$B$7)))),-1)</f>
        <v>-3.40468528998652+68.7398602594379i</v>
      </c>
      <c r="T58" s="175">
        <f>20*LOG(IMABS(S58))</f>
        <v>36.754814054431229</v>
      </c>
      <c r="U58" s="175">
        <f>(180/PI())*IMARGUMENT(S58)</f>
        <v>92.835542746094873</v>
      </c>
      <c r="V58" s="175" t="str">
        <f>IMPRODUCT(M58,S58)</f>
        <v>-21.219866363056+478.828508536832i</v>
      </c>
      <c r="W58" s="176">
        <f>20*LOG(IMABS(V58))</f>
        <v>53.612120852549097</v>
      </c>
      <c r="X58" s="175">
        <f>(180/PI())*IMARGUMENT(V58)</f>
        <v>92.537471724281062</v>
      </c>
      <c r="Y58" s="175" t="str">
        <f>IMPRODUCT(P58,S58)</f>
        <v>-34.4630621246756+780.262917294051i</v>
      </c>
      <c r="Z58" s="176">
        <f>20*LOG(IMABS(Y58))</f>
        <v>57.85328356096872</v>
      </c>
      <c r="AA58" s="175">
        <f>(180/PI())*IMARGUMENT(Y58)</f>
        <v>92.529026330329984</v>
      </c>
    </row>
    <row r="59" spans="1:27" x14ac:dyDescent="0.25">
      <c r="F59" s="177">
        <v>57</v>
      </c>
      <c r="G59" s="175">
        <f>10^('Small Signal'!F59/30)</f>
        <v>79.432823472428197</v>
      </c>
      <c r="H59" s="175" t="str">
        <f>COMPLEX(0,G59*2*PI())</f>
        <v>499.091149349751i</v>
      </c>
      <c r="I59" s="175">
        <f>IF('Small Signal'!$B$37&gt;=1,Q59+0,N59+0)</f>
        <v>16.857290796225275</v>
      </c>
      <c r="J59" s="175">
        <f>IF('Small Signal'!$B$37&gt;=1,R59,O59)</f>
        <v>-0.32184933409333155</v>
      </c>
      <c r="K59" s="175">
        <f>IF('Small Signal'!$B$37&gt;=1,Z59+0,W59+0)</f>
        <v>52.946608395705788</v>
      </c>
      <c r="L59" s="175">
        <f>IF('Small Signal'!$B$37&gt;=1,AA59,X59)</f>
        <v>92.362502740219398</v>
      </c>
      <c r="M59" s="175" t="str">
        <f>IMDIV(IMSUM('Small Signal'!$B$2*'Small Signal'!$B$16*'Small Signal'!$B$38,IMPRODUCT(H59,'Small Signal'!$B$2*'Small Signal'!$B$16*'Small Signal'!$B$38*'Small Signal'!$B$13*'Small Signal'!$B$14)),IMSUM(IMPRODUCT('Small Signal'!$B$11*'Small Signal'!$B$13*('Small Signal'!$B$14+'Small Signal'!$B$16),IMPOWER(H59,2)),IMSUM(IMPRODUCT(H59,('Small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6.96398276824672-0.039119404793812i</v>
      </c>
      <c r="N59" s="175">
        <f>20*LOG(IMABS(M59))</f>
        <v>16.857290796225275</v>
      </c>
      <c r="O59" s="175">
        <f>(180/PI())*IMARGUMENT(M59)</f>
        <v>-0.32184933409333155</v>
      </c>
      <c r="P59" s="175" t="str">
        <f>IMDIV(IMSUM('Small Signal'!$B$48,IMPRODUCT(H59,'Small Signal'!$B$49)),IMSUM(IMPRODUCT('Small Signal'!$B$52,IMPOWER(H59,2)),IMSUM(IMPRODUCT(H59,'Small Signal'!$B$51),'Small Signal'!$B$50)))</f>
        <v>11.3479002146769-0.0655517667243492i</v>
      </c>
      <c r="Q59" s="175">
        <f>20*LOG(IMABS(P59))</f>
        <v>21.098455080811085</v>
      </c>
      <c r="R59" s="175">
        <f>(180/PI())*IMARGUMENT(P59)</f>
        <v>-0.33096852519257935</v>
      </c>
      <c r="S59" s="175" t="str">
        <f>IMPRODUCT(IMDIV(IMSUM(IMPRODUCT(H59,'Small Signal'!$B$33*'Small Signal'!$B$6*'Small Signal'!$B$27*'Small Signal'!$B$7*'Small Signal'!$B$8),'Small Signal'!$B$33*'Small Signal'!$B$6*'Small Signal'!$B$27),IMSUM(IMSUM(IMPRODUCT(H59,('Small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Signal'!$B$5),IMPRODUCT(IMPOWER(H59,2),'Small Signal'!$B$32*'Small Signal'!$B$33*'Small Signal'!$B$8*'Small Signal'!$B$7*('Small Signal'!$B$5+'Small Signal'!$B$6)+('Small Signal'!$B$5+'Small Signal'!$B$6)*('Small Signal'!$B$9*'Small Signal'!$B$8*'Small Signal'!$B$33*'Small Signal'!$B$7)))),-1)</f>
        <v>-2.98554645574083+63.677949211408i</v>
      </c>
      <c r="T59" s="175">
        <f>20*LOG(IMABS(S59))</f>
        <v>36.089317599480509</v>
      </c>
      <c r="U59" s="175">
        <f>(180/PI())*IMARGUMENT(S59)</f>
        <v>92.684352074312741</v>
      </c>
      <c r="V59" s="175" t="str">
        <f>IMPRODUCT(M59,S59)</f>
        <v>-18.3002505999383+443.568933825868i</v>
      </c>
      <c r="W59" s="176">
        <f>20*LOG(IMABS(V59))</f>
        <v>52.946608395705788</v>
      </c>
      <c r="X59" s="175">
        <f>(180/PI())*IMARGUMENT(V59)</f>
        <v>92.362502740219398</v>
      </c>
      <c r="Y59" s="175" t="str">
        <f>IMPRODUCT(P59,S59)</f>
        <v>-29.7054811938381+722.806721371133i</v>
      </c>
      <c r="Z59" s="176">
        <f>20*LOG(IMABS(Y59))</f>
        <v>57.187772680291609</v>
      </c>
      <c r="AA59" s="175">
        <f>(180/PI())*IMARGUMENT(Y59)</f>
        <v>92.353383549120153</v>
      </c>
    </row>
    <row r="60" spans="1:27" x14ac:dyDescent="0.25">
      <c r="F60" s="177">
        <v>58</v>
      </c>
      <c r="G60" s="175">
        <f>10^('Small Signal'!F60/30)</f>
        <v>85.769589859089479</v>
      </c>
      <c r="H60" s="175" t="str">
        <f>COMPLEX(0,G60*2*PI())</f>
        <v>538.90622680545i</v>
      </c>
      <c r="I60" s="175">
        <f>IF('Small Signal'!$B$37&gt;=1,Q60+0,N60+0)</f>
        <v>16.857272139460871</v>
      </c>
      <c r="J60" s="175">
        <f>IF('Small Signal'!$B$37&gt;=1,R60,O60)</f>
        <v>-0.34752447398862651</v>
      </c>
      <c r="K60" s="175">
        <f>IF('Small Signal'!$B$37&gt;=1,Z60+0,W60+0)</f>
        <v>52.280937444763545</v>
      </c>
      <c r="L60" s="175">
        <f>IF('Small Signal'!$B$37&gt;=1,AA60,X60)</f>
        <v>92.201401210541107</v>
      </c>
      <c r="M60" s="175" t="str">
        <f>IMDIV(IMSUM('Small Signal'!$B$2*'Small Signal'!$B$16*'Small Signal'!$B$38,IMPRODUCT(H60,'Small Signal'!$B$2*'Small Signal'!$B$16*'Small Signal'!$B$38*'Small Signal'!$B$13*'Small Signal'!$B$14)),IMSUM(IMPRODUCT('Small Signal'!$B$11*'Small Signal'!$B$13*('Small Signal'!$B$14+'Small Signal'!$B$16),IMPOWER(H60,2)),IMSUM(IMPRODUCT(H60,('Small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6.96394958085849-0.042239980234203i</v>
      </c>
      <c r="N60" s="175">
        <f>20*LOG(IMABS(M60))</f>
        <v>16.857272139460871</v>
      </c>
      <c r="O60" s="175">
        <f>(180/PI())*IMARGUMENT(M60)</f>
        <v>-0.34752447398862651</v>
      </c>
      <c r="P60" s="175" t="str">
        <f>IMDIV(IMSUM('Small Signal'!$B$48,IMPRODUCT(H60,'Small Signal'!$B$49)),IMSUM(IMPRODUCT('Small Signal'!$B$52,IMPOWER(H60,2)),IMSUM(IMPRODUCT(H60,'Small Signal'!$B$51),'Small Signal'!$B$50)))</f>
        <v>11.3478468289687-0.0707808955284538i</v>
      </c>
      <c r="Q60" s="175">
        <f>20*LOG(IMABS(P60))</f>
        <v>21.098438261703802</v>
      </c>
      <c r="R60" s="175">
        <f>(180/PI())*IMARGUMENT(P60)</f>
        <v>-0.35737123120645725</v>
      </c>
      <c r="S60" s="175" t="str">
        <f>IMPRODUCT(IMDIV(IMSUM(IMPRODUCT(H60,'Small Signal'!$B$33*'Small Signal'!$B$6*'Small Signal'!$B$27*'Small Signal'!$B$7*'Small Signal'!$B$8),'Small Signal'!$B$33*'Small Signal'!$B$6*'Small Signal'!$B$27),IMSUM(IMSUM(IMPRODUCT(H60,('Small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Signal'!$B$5),IMPRODUCT(IMPOWER(H60,2),'Small Signal'!$B$32*'Small Signal'!$B$33*'Small Signal'!$B$8*'Small Signal'!$B$7*('Small Signal'!$B$5+'Small Signal'!$B$6)+('Small Signal'!$B$5+'Small Signal'!$B$6)*('Small Signal'!$B$9*'Small Signal'!$B$8*'Small Signal'!$B$33*'Small Signal'!$B$7)))),-1)</f>
        <v>-2.62587799905587+58.9866002627948i</v>
      </c>
      <c r="T60" s="175">
        <f>20*LOG(IMABS(S60))</f>
        <v>35.42366530530267</v>
      </c>
      <c r="U60" s="175">
        <f>(180/PI())*IMARGUMENT(S60)</f>
        <v>92.548925684529721</v>
      </c>
      <c r="V60" s="175" t="str">
        <f>IMPRODUCT(M60,S60)</f>
        <v>-15.7948891617274+410.890627211135i</v>
      </c>
      <c r="W60" s="176">
        <f>20*LOG(IMABS(V60))</f>
        <v>52.280937444763545</v>
      </c>
      <c r="X60" s="175">
        <f>(180/PI())*IMARGUMENT(V60)</f>
        <v>92.201401210541107</v>
      </c>
      <c r="Y60" s="175" t="str">
        <f>IMPRODUCT(P60,S60)</f>
        <v>-25.6229369340653+669.556766740122i</v>
      </c>
      <c r="Z60" s="176">
        <f>20*LOG(IMABS(Y60))</f>
        <v>56.522103567006468</v>
      </c>
      <c r="AA60" s="175">
        <f>(180/PI())*IMARGUMENT(Y60)</f>
        <v>92.191554453323263</v>
      </c>
    </row>
    <row r="61" spans="1:27" x14ac:dyDescent="0.25">
      <c r="F61" s="177">
        <v>59</v>
      </c>
      <c r="G61" s="175">
        <f>10^('Small Signal'!F61/30)</f>
        <v>92.611872812879369</v>
      </c>
      <c r="H61" s="175" t="str">
        <f>COMPLEX(0,G61*2*PI())</f>
        <v>581.897558528268i</v>
      </c>
      <c r="I61" s="175">
        <f>IF('Small Signal'!$B$37&gt;=1,Q61+0,N61+0)</f>
        <v>16.857250387369252</v>
      </c>
      <c r="J61" s="175">
        <f>IF('Small Signal'!$B$37&gt;=1,R61,O61)</f>
        <v>-0.37524773764190611</v>
      </c>
      <c r="K61" s="175">
        <f>IF('Small Signal'!$B$37&gt;=1,Z61+0,W61+0)</f>
        <v>51.615131406879364</v>
      </c>
      <c r="L61" s="175">
        <f>IF('Small Signal'!$B$37&gt;=1,AA61,X61)</f>
        <v>92.053229183639189</v>
      </c>
      <c r="M61" s="175" t="str">
        <f>IMDIV(IMSUM('Small Signal'!$B$2*'Small Signal'!$B$16*'Small Signal'!$B$38,IMPRODUCT(H61,'Small Signal'!$B$2*'Small Signal'!$B$16*'Small Signal'!$B$38*'Small Signal'!$B$13*'Small Signal'!$B$14)),IMSUM(IMPRODUCT('Small Signal'!$B$11*'Small Signal'!$B$13*('Small Signal'!$B$14+'Small Signal'!$B$16),IMPOWER(H61,2)),IMSUM(IMPRODUCT(H61,('Small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6.96391088756061-0.0456094531128937i</v>
      </c>
      <c r="N61" s="175">
        <f>20*LOG(IMABS(M61))</f>
        <v>16.857250387369252</v>
      </c>
      <c r="O61" s="175">
        <f>(180/PI())*IMARGUMENT(M61)</f>
        <v>-0.37524773764190611</v>
      </c>
      <c r="P61" s="175" t="str">
        <f>IMDIV(IMSUM('Small Signal'!$B$48,IMPRODUCT(H61,'Small Signal'!$B$49)),IMSUM(IMPRODUCT('Small Signal'!$B$52,IMPOWER(H61,2)),IMSUM(IMPRODUCT(H61,'Small Signal'!$B$51),'Small Signal'!$B$50)))</f>
        <v>11.3477845863046-0.0764271079818917i</v>
      </c>
      <c r="Q61" s="175">
        <f>20*LOG(IMABS(P61))</f>
        <v>21.098418652138928</v>
      </c>
      <c r="R61" s="175">
        <f>(180/PI())*IMARGUMENT(P61)</f>
        <v>-0.38588012369916946</v>
      </c>
      <c r="S61" s="175" t="str">
        <f>IMPRODUCT(IMDIV(IMSUM(IMPRODUCT(H61,'Small Signal'!$B$33*'Small Signal'!$B$6*'Small Signal'!$B$27*'Small Signal'!$B$7*'Small Signal'!$B$8),'Small Signal'!$B$33*'Small Signal'!$B$6*'Small Signal'!$B$27),IMSUM(IMSUM(IMPRODUCT(H61,('Small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Signal'!$B$5),IMPRODUCT(IMPOWER(H61,2),'Small Signal'!$B$32*'Small Signal'!$B$33*'Small Signal'!$B$8*'Small Signal'!$B$7*('Small Signal'!$B$5+'Small Signal'!$B$6)+('Small Signal'!$B$5+'Small Signal'!$B$6)*('Small Signal'!$B$9*'Small Signal'!$B$8*'Small Signal'!$B$33*'Small Signal'!$B$7)))),-1)</f>
        <v>-2.3172631623954+54.6391372413117i</v>
      </c>
      <c r="T61" s="175">
        <f>20*LOG(IMABS(S61))</f>
        <v>34.757881019510123</v>
      </c>
      <c r="U61" s="175">
        <f>(180/PI())*IMARGUMENT(S61)</f>
        <v>92.428476921281103</v>
      </c>
      <c r="V61" s="175" t="str">
        <f>IMPRODUCT(M61,S61)</f>
        <v>-13.6451529978119+380.607771827244i</v>
      </c>
      <c r="W61" s="176">
        <f>20*LOG(IMABS(V61))</f>
        <v>51.615131406879364</v>
      </c>
      <c r="X61" s="175">
        <f>(180/PI())*IMARGUMENT(V61)</f>
        <v>92.053229183639189</v>
      </c>
      <c r="Y61" s="175" t="str">
        <f>IMPRODUCT(P61,S61)</f>
        <v>-22.1198919546628+620.210261117873i</v>
      </c>
      <c r="Z61" s="176">
        <f>20*LOG(IMABS(Y61))</f>
        <v>55.856299671649047</v>
      </c>
      <c r="AA61" s="175">
        <f>(180/PI())*IMARGUMENT(Y61)</f>
        <v>92.042596797581936</v>
      </c>
    </row>
    <row r="62" spans="1:27" x14ac:dyDescent="0.25">
      <c r="F62" s="177">
        <v>60</v>
      </c>
      <c r="G62" s="175">
        <f>10^('Small Signal'!F62/30)</f>
        <v>100</v>
      </c>
      <c r="H62" s="175" t="str">
        <f>COMPLEX(0,G62*2*PI())</f>
        <v>628.318530717959i</v>
      </c>
      <c r="I62" s="175">
        <f>IF('Small Signal'!$B$37&gt;=1,Q62+0,N62+0)</f>
        <v>16.857225026426526</v>
      </c>
      <c r="J62" s="175">
        <f>IF('Small Signal'!$B$37&gt;=1,R62,O62)</f>
        <v>-0.40518248476242991</v>
      </c>
      <c r="K62" s="175">
        <f>IF('Small Signal'!$B$37&gt;=1,Z62+0,W62+0)</f>
        <v>50.949210526604674</v>
      </c>
      <c r="L62" s="175">
        <f>IF('Small Signal'!$B$37&gt;=1,AA62,X62)</f>
        <v>91.917122510379116</v>
      </c>
      <c r="M62" s="175" t="str">
        <f>IMDIV(IMSUM('Small Signal'!$B$2*'Small Signal'!$B$16*'Small Signal'!$B$38,IMPRODUCT(H62,'Small Signal'!$B$2*'Small Signal'!$B$16*'Small Signal'!$B$38*'Small Signal'!$B$13*'Small Signal'!$B$14)),IMSUM(IMPRODUCT('Small Signal'!$B$11*'Small Signal'!$B$13*('Small Signal'!$B$14+'Small Signal'!$B$16),IMPOWER(H62,2)),IMSUM(IMPRODUCT(H62,('Small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6.96386577497131-0.0492476671016435i</v>
      </c>
      <c r="N62" s="175">
        <f>20*LOG(IMABS(M62))</f>
        <v>16.857225026426526</v>
      </c>
      <c r="O62" s="175">
        <f>(180/PI())*IMARGUMENT(M62)</f>
        <v>-0.40518248476242991</v>
      </c>
      <c r="P62" s="175" t="str">
        <f>IMDIV(IMSUM('Small Signal'!$B$48,IMPRODUCT(H62,'Small Signal'!$B$49)),IMSUM(IMPRODUCT('Small Signal'!$B$52,IMPOWER(H62,2)),IMSUM(IMPRODUCT(H62,'Small Signal'!$B$51),'Small Signal'!$B$50)))</f>
        <v>11.3477120173683-0.0825236586310625i</v>
      </c>
      <c r="Q62" s="175">
        <f>20*LOG(IMABS(P62))</f>
        <v>21.098395789166062</v>
      </c>
      <c r="R62" s="175">
        <f>(180/PI())*IMARGUMENT(P62)</f>
        <v>-0.41666319978400496</v>
      </c>
      <c r="S62" s="175" t="str">
        <f>IMPRODUCT(IMDIV(IMSUM(IMPRODUCT(H62,'Small Signal'!$B$33*'Small Signal'!$B$6*'Small Signal'!$B$27*'Small Signal'!$B$7*'Small Signal'!$B$8),'Small Signal'!$B$33*'Small Signal'!$B$6*'Small Signal'!$B$27),IMSUM(IMSUM(IMPRODUCT(H62,('Small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Signal'!$B$5),IMPRODUCT(IMPOWER(H62,2),'Small Signal'!$B$32*'Small Signal'!$B$33*'Small Signal'!$B$8*'Small Signal'!$B$7*('Small Signal'!$B$5+'Small Signal'!$B$6)+('Small Signal'!$B$5+'Small Signal'!$B$6)*('Small Signal'!$B$9*'Small Signal'!$B$8*'Small Signal'!$B$33*'Small Signal'!$B$7)))),-1)</f>
        <v>-2.05247076692434+50.6107112654472i</v>
      </c>
      <c r="T62" s="175">
        <f>20*LOG(IMABS(S62))</f>
        <v>34.09198550017814</v>
      </c>
      <c r="U62" s="175">
        <f>(180/PI())*IMARGUMENT(S62)</f>
        <v>92.32230499514155</v>
      </c>
      <c r="V62" s="175" t="str">
        <f>IMPRODUCT(M62,S62)</f>
        <v>-11.8006714677354+352.547279425468i</v>
      </c>
      <c r="W62" s="176">
        <f>20*LOG(IMABS(V62))</f>
        <v>50.949210526604674</v>
      </c>
      <c r="X62" s="175">
        <f>(180/PI())*IMARGUMENT(V62)</f>
        <v>91.917122510379116</v>
      </c>
      <c r="Y62" s="175" t="str">
        <f>IMPRODUCT(P62,S62)</f>
        <v>-19.1142661275794+574.485153831392i</v>
      </c>
      <c r="Z62" s="176">
        <f>20*LOG(IMABS(Y62))</f>
        <v>55.190381289344202</v>
      </c>
      <c r="AA62" s="175">
        <f>(180/PI())*IMARGUMENT(Y62)</f>
        <v>91.905641795357539</v>
      </c>
    </row>
    <row r="63" spans="1:27" x14ac:dyDescent="0.25">
      <c r="F63" s="177">
        <v>61</v>
      </c>
      <c r="G63" s="175">
        <f>10^('Small Signal'!F63/30)</f>
        <v>107.97751623277095</v>
      </c>
      <c r="H63" s="175" t="str">
        <f>COMPLEX(0,G63*2*PI())</f>
        <v>678.442743499492i</v>
      </c>
      <c r="I63" s="175">
        <f>IF('Small Signal'!$B$37&gt;=1,Q63+0,N63+0)</f>
        <v>16.857195457920543</v>
      </c>
      <c r="J63" s="175">
        <f>IF('Small Signal'!$B$37&gt;=1,R63,O63)</f>
        <v>-0.43750509941840449</v>
      </c>
      <c r="K63" s="175">
        <f>IF('Small Signal'!$B$37&gt;=1,Z63+0,W63+0)</f>
        <v>50.283192356756274</v>
      </c>
      <c r="L63" s="175">
        <f>IF('Small Signal'!$B$37&gt;=1,AA63,X63)</f>
        <v>91.79228623536882</v>
      </c>
      <c r="M63" s="175" t="str">
        <f>IMDIV(IMSUM('Small Signal'!$B$2*'Small Signal'!$B$16*'Small Signal'!$B$38,IMPRODUCT(H63,'Small Signal'!$B$2*'Small Signal'!$B$16*'Small Signal'!$B$38*'Small Signal'!$B$13*'Small Signal'!$B$14)),IMSUM(IMPRODUCT('Small Signal'!$B$11*'Small Signal'!$B$13*('Small Signal'!$B$14+'Small Signal'!$B$16),IMPOWER(H63,2)),IMSUM(IMPRODUCT(H63,('Small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6.9638131782116-0.053176045755812i</v>
      </c>
      <c r="N63" s="175">
        <f>20*LOG(IMABS(M63))</f>
        <v>16.857195457920543</v>
      </c>
      <c r="O63" s="175">
        <f>(180/PI())*IMARGUMENT(M63)</f>
        <v>-0.43750509941840449</v>
      </c>
      <c r="P63" s="175" t="str">
        <f>IMDIV(IMSUM('Small Signal'!$B$48,IMPRODUCT(H63,'Small Signal'!$B$49)),IMSUM(IMPRODUCT('Small Signal'!$B$52,IMPOWER(H63,2)),IMSUM(IMPRODUCT(H63,'Small Signal'!$B$51),'Small Signal'!$B$50)))</f>
        <v>11.3476274091277-0.0891064501534954i</v>
      </c>
      <c r="Q63" s="175">
        <f>20*LOG(IMABS(P63))</f>
        <v>21.098369133034378</v>
      </c>
      <c r="R63" s="175">
        <f>(180/PI())*IMARGUMENT(P63)</f>
        <v>-0.44990185229148638</v>
      </c>
      <c r="S63" s="175" t="str">
        <f>IMPRODUCT(IMDIV(IMSUM(IMPRODUCT(H63,'Small Signal'!$B$33*'Small Signal'!$B$6*'Small Signal'!$B$27*'Small Signal'!$B$7*'Small Signal'!$B$8),'Small Signal'!$B$33*'Small Signal'!$B$6*'Small Signal'!$B$27),IMSUM(IMSUM(IMPRODUCT(H63,('Small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Signal'!$B$5),IMPRODUCT(IMPOWER(H63,2),'Small Signal'!$B$32*'Small Signal'!$B$33*'Small Signal'!$B$8*'Small Signal'!$B$7*('Small Signal'!$B$5+'Small Signal'!$B$6)+('Small Signal'!$B$5+'Small Signal'!$B$6)*('Small Signal'!$B$9*'Small Signal'!$B$8*'Small Signal'!$B$33*'Small Signal'!$B$7)))),-1)</f>
        <v>-1.82528970262721+46.8781950675979i</v>
      </c>
      <c r="T63" s="175">
        <f>20*LOG(IMABS(S63))</f>
        <v>33.42599689883572</v>
      </c>
      <c r="U63" s="175">
        <f>(180/PI())*IMARGUMENT(S63)</f>
        <v>92.229791334787237</v>
      </c>
      <c r="V63" s="175" t="str">
        <f>IMPRODUCT(M63,S63)</f>
        <v>-10.2181794393448+326.548054271257i</v>
      </c>
      <c r="W63" s="176">
        <f>20*LOG(IMABS(V63))</f>
        <v>50.283192356756274</v>
      </c>
      <c r="X63" s="175">
        <f>(180/PI())*IMARGUMENT(V63)</f>
        <v>91.79228623536882</v>
      </c>
      <c r="Y63" s="175" t="str">
        <f>IMPRODUCT(P63,S63)</f>
        <v>-16.5355579070543+532.118936325412i</v>
      </c>
      <c r="Z63" s="176">
        <f>20*LOG(IMABS(Y63))</f>
        <v>54.524366031870102</v>
      </c>
      <c r="AA63" s="175">
        <f>(180/PI())*IMARGUMENT(Y63)</f>
        <v>91.779889482495733</v>
      </c>
    </row>
    <row r="64" spans="1:27" x14ac:dyDescent="0.25">
      <c r="F64" s="177">
        <v>62</v>
      </c>
      <c r="G64" s="175">
        <f>10^('Small Signal'!F64/30)</f>
        <v>116.59144011798328</v>
      </c>
      <c r="H64" s="175" t="str">
        <f>COMPLEX(0,G64*2*PI())</f>
        <v>732.565623492221i</v>
      </c>
      <c r="I64" s="175">
        <f>IF('Small Signal'!$B$37&gt;=1,Q64+0,N64+0)</f>
        <v>16.857160983821494</v>
      </c>
      <c r="J64" s="175">
        <f>IF('Small Signal'!$B$37&gt;=1,R64,O64)</f>
        <v>-0.4724060270669298</v>
      </c>
      <c r="K64" s="175">
        <f>IF('Small Signal'!$B$37&gt;=1,Z64+0,W64+0)</f>
        <v>49.617092167598059</v>
      </c>
      <c r="L64" s="175">
        <f>IF('Small Signal'!$B$37&gt;=1,AA64,X64)</f>
        <v>91.677990294973014</v>
      </c>
      <c r="M64" s="175" t="str">
        <f>IMDIV(IMSUM('Small Signal'!$B$2*'Small Signal'!$B$16*'Small Signal'!$B$38,IMPRODUCT(H64,'Small Signal'!$B$2*'Small Signal'!$B$16*'Small Signal'!$B$38*'Small Signal'!$B$13*'Small Signal'!$B$14)),IMSUM(IMPRODUCT('Small Signal'!$B$11*'Small Signal'!$B$13*('Small Signal'!$B$14+'Small Signal'!$B$16),IMPOWER(H64,2)),IMSUM(IMPRODUCT(H64,('Small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6.96375185578621-0.0574177177348085i</v>
      </c>
      <c r="N64" s="175">
        <f>20*LOG(IMABS(M64))</f>
        <v>16.857160983821494</v>
      </c>
      <c r="O64" s="175">
        <f>(180/PI())*IMARGUMENT(M64)</f>
        <v>-0.4724060270669298</v>
      </c>
      <c r="P64" s="175" t="str">
        <f>IMDIV(IMSUM('Small Signal'!$B$48,IMPRODUCT(H64,'Small Signal'!$B$49)),IMSUM(IMPRODUCT('Small Signal'!$B$52,IMPOWER(H64,2)),IMSUM(IMPRODUCT(H64,'Small Signal'!$B$51),'Small Signal'!$B$50)))</f>
        <v>11.3475287644222-0.0962142433818503i</v>
      </c>
      <c r="Q64" s="175">
        <f>20*LOG(IMABS(P64))</f>
        <v>21.098338054453777</v>
      </c>
      <c r="R64" s="175">
        <f>(180/PI())*IMARGUMENT(P64)</f>
        <v>-0.48579193678912808</v>
      </c>
      <c r="S64" s="175" t="str">
        <f>IMPRODUCT(IMDIV(IMSUM(IMPRODUCT(H64,'Small Signal'!$B$33*'Small Signal'!$B$6*'Small Signal'!$B$27*'Small Signal'!$B$7*'Small Signal'!$B$8),'Small Signal'!$B$33*'Small Signal'!$B$6*'Small Signal'!$B$27),IMSUM(IMSUM(IMPRODUCT(H64,('Small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Signal'!$B$5),IMPRODUCT(IMPOWER(H64,2),'Small Signal'!$B$32*'Small Signal'!$B$33*'Small Signal'!$B$8*'Small Signal'!$B$7*('Small Signal'!$B$5+'Small Signal'!$B$6)+('Small Signal'!$B$5+'Small Signal'!$B$6)*('Small Signal'!$B$9*'Small Signal'!$B$8*'Small Signal'!$B$33*'Small Signal'!$B$7)))),-1)</f>
        <v>-1.63038612882908+43.4200791592739i</v>
      </c>
      <c r="T64" s="175">
        <f>20*LOG(IMABS(S64))</f>
        <v>32.759931183776551</v>
      </c>
      <c r="U64" s="175">
        <f>(180/PI())*IMARGUMENT(S64)</f>
        <v>92.150396322039953</v>
      </c>
      <c r="V64" s="175" t="str">
        <f>IMPRODUCT(M64,S64)</f>
        <v>-8.86052258109137+302.460269874322i</v>
      </c>
      <c r="W64" s="176">
        <f>20*LOG(IMABS(V64))</f>
        <v>49.617092167598059</v>
      </c>
      <c r="X64" s="175">
        <f>(180/PI())*IMARGUMENT(V64)</f>
        <v>91.677990294973014</v>
      </c>
      <c r="Y64" s="175" t="str">
        <f>IMPRODUCT(P64,S64)</f>
        <v>-14.3232234301134+492.867463581155i</v>
      </c>
      <c r="Z64" s="176">
        <f>20*LOG(IMABS(Y64))</f>
        <v>53.858269238230321</v>
      </c>
      <c r="AA64" s="175">
        <f>(180/PI())*IMARGUMENT(Y64)</f>
        <v>91.664604385250826</v>
      </c>
    </row>
    <row r="65" spans="6:27" x14ac:dyDescent="0.25">
      <c r="F65" s="177">
        <v>63</v>
      </c>
      <c r="G65" s="175">
        <f>10^('Small Signal'!F65/30)</f>
        <v>125.89254117941677</v>
      </c>
      <c r="H65" s="175" t="str">
        <f>COMPLEX(0,G65*2*PI())</f>
        <v>791.006165022012i</v>
      </c>
      <c r="I65" s="175">
        <f>IF('Small Signal'!$B$37&gt;=1,Q65+0,N65+0)</f>
        <v>16.857120790309928</v>
      </c>
      <c r="J65" s="175">
        <f>IF('Small Signal'!$B$37&gt;=1,R65,O65)</f>
        <v>-0.5100908937979568</v>
      </c>
      <c r="K65" s="175">
        <f>IF('Small Signal'!$B$37&gt;=1,Z65+0,W65+0)</f>
        <v>48.95092330349938</v>
      </c>
      <c r="L65" s="175">
        <f>IF('Small Signal'!$B$37&gt;=1,AA65,X65)</f>
        <v>91.573565516793565</v>
      </c>
      <c r="M65" s="175" t="str">
        <f>IMDIV(IMSUM('Small Signal'!$B$2*'Small Signal'!$B$16*'Small Signal'!$B$38,IMPRODUCT(H65,'Small Signal'!$B$2*'Small Signal'!$B$16*'Small Signal'!$B$38*'Small Signal'!$B$13*'Small Signal'!$B$14)),IMSUM(IMPRODUCT('Small Signal'!$B$11*'Small Signal'!$B$13*('Small Signal'!$B$14+'Small Signal'!$B$16),IMPOWER(H65,2)),IMSUM(IMPRODUCT(H65,('Small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6.96368036030285-0.0619976518010936i</v>
      </c>
      <c r="N65" s="175">
        <f>20*LOG(IMABS(M65))</f>
        <v>16.857120790309928</v>
      </c>
      <c r="O65" s="175">
        <f>(180/PI())*IMARGUMENT(M65)</f>
        <v>-0.5100908937979568</v>
      </c>
      <c r="P65" s="175" t="str">
        <f>IMDIV(IMSUM('Small Signal'!$B$48,IMPRODUCT(H65,'Small Signal'!$B$49)),IMSUM(IMPRODUCT('Small Signal'!$B$52,IMPOWER(H65,2)),IMSUM(IMPRODUCT(H65,'Small Signal'!$B$51),'Small Signal'!$B$50)))</f>
        <v>11.347413754853-0.103888883763981i</v>
      </c>
      <c r="Q65" s="175">
        <f>20*LOG(IMABS(P65))</f>
        <v>21.098301819743458</v>
      </c>
      <c r="R65" s="175">
        <f>(180/PI())*IMARGUMENT(P65)</f>
        <v>-0.52454492330199576</v>
      </c>
      <c r="S65" s="175" t="str">
        <f>IMPRODUCT(IMDIV(IMSUM(IMPRODUCT(H65,'Small Signal'!$B$33*'Small Signal'!$B$6*'Small Signal'!$B$27*'Small Signal'!$B$7*'Small Signal'!$B$8),'Small Signal'!$B$33*'Small Signal'!$B$6*'Small Signal'!$B$27),IMSUM(IMSUM(IMPRODUCT(H65,('Small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Signal'!$B$5),IMPRODUCT(IMPOWER(H65,2),'Small Signal'!$B$32*'Small Signal'!$B$33*'Small Signal'!$B$8*'Small Signal'!$B$7*('Small Signal'!$B$5+'Small Signal'!$B$6)+('Small Signal'!$B$5+'Small Signal'!$B$6)*('Small Signal'!$B$9*'Small Signal'!$B$8*'Small Signal'!$B$33*'Small Signal'!$B$7)))),-1)</f>
        <v>-1.46318037440632+40.2163709083479i</v>
      </c>
      <c r="T65" s="175">
        <f>20*LOG(IMABS(S65))</f>
        <v>32.093802513189438</v>
      </c>
      <c r="U65" s="175">
        <f>(180/PI())*IMARGUMENT(S65)</f>
        <v>92.083656410591516</v>
      </c>
      <c r="V65" s="175" t="str">
        <f>IMPRODUCT(M65,S65)</f>
        <v>-7.69579987655448+280.144666004492i</v>
      </c>
      <c r="W65" s="176">
        <f>20*LOG(IMABS(V65))</f>
        <v>48.95092330349938</v>
      </c>
      <c r="X65" s="175">
        <f>(180/PI())*IMARGUMENT(V65)</f>
        <v>91.573565516793565</v>
      </c>
      <c r="Y65" s="175" t="str">
        <f>IMPRODUCT(P65,S65)</f>
        <v>-12.4252792236627+456.503808591499i</v>
      </c>
      <c r="Z65" s="176">
        <f>20*LOG(IMABS(Y65))</f>
        <v>53.192104332932892</v>
      </c>
      <c r="AA65" s="175">
        <f>(180/PI())*IMARGUMENT(Y65)</f>
        <v>91.559111487289528</v>
      </c>
    </row>
    <row r="66" spans="6:27" x14ac:dyDescent="0.25">
      <c r="F66" s="177">
        <v>64</v>
      </c>
      <c r="G66" s="175">
        <f>10^('Small Signal'!F66/30)</f>
        <v>135.93563908785265</v>
      </c>
      <c r="H66" s="175" t="str">
        <f>COMPLEX(0,G66*2*PI())</f>
        <v>854.108810238863i</v>
      </c>
      <c r="I66" s="175">
        <f>IF('Small Signal'!$B$37&gt;=1,Q66+0,N66+0)</f>
        <v>16.857073928574003</v>
      </c>
      <c r="J66" s="175">
        <f>IF('Small Signal'!$B$37&gt;=1,R66,O66)</f>
        <v>-0.55078171421757582</v>
      </c>
      <c r="K66" s="175">
        <f>IF('Small Signal'!$B$37&gt;=1,Z66+0,W66+0)</f>
        <v>48.284697495125471</v>
      </c>
      <c r="L66" s="175">
        <f>IF('Small Signal'!$B$37&gt;=1,AA66,X66)</f>
        <v>91.478399912909566</v>
      </c>
      <c r="M66" s="175" t="str">
        <f>IMDIV(IMSUM('Small Signal'!$B$2*'Small Signal'!$B$16*'Small Signal'!$B$38,IMPRODUCT(H66,'Small Signal'!$B$2*'Small Signal'!$B$16*'Small Signal'!$B$38*'Small Signal'!$B$13*'Small Signal'!$B$14)),IMSUM(IMPRODUCT('Small Signal'!$B$11*'Small Signal'!$B$13*('Small Signal'!$B$14+'Small Signal'!$B$16),IMPOWER(H66,2)),IMSUM(IMPRODUCT(H66,('Small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6.96359700434144-0.0669428023232529i</v>
      </c>
      <c r="N66" s="175">
        <f>20*LOG(IMABS(M66))</f>
        <v>16.857073928574003</v>
      </c>
      <c r="O66" s="175">
        <f>(180/PI())*IMARGUMENT(M66)</f>
        <v>-0.55078171421757582</v>
      </c>
      <c r="P66" s="175" t="str">
        <f>IMDIV(IMSUM('Small Signal'!$B$48,IMPRODUCT(H66,'Small Signal'!$B$49)),IMSUM(IMPRODUCT('Small Signal'!$B$52,IMPOWER(H66,2)),IMSUM(IMPRODUCT(H66,'Small Signal'!$B$51),'Small Signal'!$B$50)))</f>
        <v>11.3472796658692-0.112175545487828i</v>
      </c>
      <c r="Q66" s="175">
        <f>20*LOG(IMABS(P66))</f>
        <v>21.098259573518625</v>
      </c>
      <c r="R66" s="175">
        <f>(180/PI())*IMARGUMENT(P66)</f>
        <v>-0.56638913938221702</v>
      </c>
      <c r="S66" s="175" t="str">
        <f>IMPRODUCT(IMDIV(IMSUM(IMPRODUCT(H66,'Small Signal'!$B$33*'Small Signal'!$B$6*'Small Signal'!$B$27*'Small Signal'!$B$7*'Small Signal'!$B$8),'Small Signal'!$B$33*'Small Signal'!$B$6*'Small Signal'!$B$27),IMSUM(IMSUM(IMPRODUCT(H66,('Small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Signal'!$B$5),IMPRODUCT(IMPOWER(H66,2),'Small Signal'!$B$32*'Small Signal'!$B$33*'Small Signal'!$B$8*'Small Signal'!$B$7*('Small Signal'!$B$5+'Small Signal'!$B$6)+('Small Signal'!$B$5+'Small Signal'!$B$6)*('Small Signal'!$B$9*'Small Signal'!$B$8*'Small Signal'!$B$33*'Small Signal'!$B$7)))),-1)</f>
        <v>-1.31974089755984+37.2484972778358i</v>
      </c>
      <c r="T66" s="175">
        <f>20*LOG(IMABS(S66))</f>
        <v>31.427623566551471</v>
      </c>
      <c r="U66" s="175">
        <f>(180/PI())*IMARGUMENT(S66)</f>
        <v>92.02918162712713</v>
      </c>
      <c r="V66" s="175" t="str">
        <f>IMPRODUCT(M66,S66)</f>
        <v>-6.6966249706462+259.471871214181i</v>
      </c>
      <c r="W66" s="176">
        <f>20*LOG(IMABS(V66))</f>
        <v>48.284697495125471</v>
      </c>
      <c r="X66" s="175">
        <f>(180/PI())*IMARGUMENT(V66)</f>
        <v>91.478399912909566</v>
      </c>
      <c r="Y66" s="175" t="str">
        <f>IMPRODUCT(P66,S66)</f>
        <v>-10.7970985503536+422.817158400057i</v>
      </c>
      <c r="Z66" s="176">
        <f>20*LOG(IMABS(Y66))</f>
        <v>52.5258831400701</v>
      </c>
      <c r="AA66" s="175">
        <f>(180/PI())*IMARGUMENT(Y66)</f>
        <v>91.462792487744906</v>
      </c>
    </row>
    <row r="67" spans="6:27" x14ac:dyDescent="0.25">
      <c r="F67" s="177">
        <v>65</v>
      </c>
      <c r="G67" s="175">
        <f>10^('Small Signal'!F67/30)</f>
        <v>146.77992676220697</v>
      </c>
      <c r="H67" s="175" t="str">
        <f>COMPLEX(0,G67*2*PI())</f>
        <v>922.245479221195i</v>
      </c>
      <c r="I67" s="175">
        <f>IF('Small Signal'!$B$37&gt;=1,Q67+0,N67+0)</f>
        <v>16.857019292423875</v>
      </c>
      <c r="J67" s="175">
        <f>IF('Small Signal'!$B$37&gt;=1,R67,O67)</f>
        <v>-0.59471819487397859</v>
      </c>
      <c r="K67" s="175">
        <f>IF('Small Signal'!$B$37&gt;=1,Z67+0,W67+0)</f>
        <v>47.618425134260136</v>
      </c>
      <c r="L67" s="175">
        <f>IF('Small Signal'!$B$37&gt;=1,AA67,X67)</f>
        <v>91.39193525750764</v>
      </c>
      <c r="M67" s="175" t="str">
        <f>IMDIV(IMSUM('Small Signal'!$B$2*'Small Signal'!$B$16*'Small Signal'!$B$38,IMPRODUCT(H67,'Small Signal'!$B$2*'Small Signal'!$B$16*'Small Signal'!$B$38*'Small Signal'!$B$13*'Small Signal'!$B$14)),IMSUM(IMPRODUCT('Small Signal'!$B$11*'Small Signal'!$B$13*('Small Signal'!$B$14+'Small Signal'!$B$16),IMPOWER(H67,2)),IMSUM(IMPRODUCT(H67,('Small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6.96349982067156-0.0722822660524263i</v>
      </c>
      <c r="N67" s="175">
        <f>20*LOG(IMABS(M67))</f>
        <v>16.857019292423875</v>
      </c>
      <c r="O67" s="175">
        <f>(180/PI())*IMARGUMENT(M67)</f>
        <v>-0.59471819487397859</v>
      </c>
      <c r="P67" s="175" t="str">
        <f>IMDIV(IMSUM('Small Signal'!$B$48,IMPRODUCT(H67,'Small Signal'!$B$49)),IMSUM(IMPRODUCT('Small Signal'!$B$52,IMPOWER(H67,2)),IMSUM(IMPRODUCT(H67,'Small Signal'!$B$51),'Small Signal'!$B$50)))</f>
        <v>11.3471233327582-0.121122994576586i</v>
      </c>
      <c r="Q67" s="175">
        <f>20*LOG(IMABS(P67))</f>
        <v>21.098210318506773</v>
      </c>
      <c r="R67" s="175">
        <f>(180/PI())*IMARGUMENT(P67)</f>
        <v>-0.61157111167767686</v>
      </c>
      <c r="S67" s="175" t="str">
        <f>IMPRODUCT(IMDIV(IMSUM(IMPRODUCT(H67,'Small Signal'!$B$33*'Small Signal'!$B$6*'Small Signal'!$B$27*'Small Signal'!$B$7*'Small Signal'!$B$8),'Small Signal'!$B$33*'Small Signal'!$B$6*'Small Signal'!$B$27),IMSUM(IMSUM(IMPRODUCT(H67,('Small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Signal'!$B$5),IMPRODUCT(IMPOWER(H67,2),'Small Signal'!$B$32*'Small Signal'!$B$33*'Small Signal'!$B$8*'Small Signal'!$B$7*('Small Signal'!$B$5+'Small Signal'!$B$6)+('Small Signal'!$B$5+'Small Signal'!$B$6)*('Small Signal'!$B$9*'Small Signal'!$B$8*'Small Signal'!$B$33*'Small Signal'!$B$7)))),-1)</f>
        <v>-1.19669299794977+34.4992117264524i</v>
      </c>
      <c r="T67" s="175">
        <f>20*LOG(IMABS(S67))</f>
        <v>30.761405841836272</v>
      </c>
      <c r="U67" s="175">
        <f>(180/PI())*IMARGUMENT(S67)</f>
        <v>91.986653452381617</v>
      </c>
      <c r="V67" s="175" t="str">
        <f>IMPRODUCT(M67,S67)</f>
        <v>-5.83949027601172+240.321754352122i</v>
      </c>
      <c r="W67" s="176">
        <f>20*LOG(IMABS(V67))</f>
        <v>47.618425134260136</v>
      </c>
      <c r="X67" s="175">
        <f>(180/PI())*IMARGUMENT(V67)</f>
        <v>91.39193525750764</v>
      </c>
      <c r="Y67" s="175" t="str">
        <f>IMPRODUCT(P67,S67)</f>
        <v>-9.40037520434461+391.611757382494i</v>
      </c>
      <c r="Z67" s="176">
        <f>20*LOG(IMABS(Y67))</f>
        <v>51.859616160343045</v>
      </c>
      <c r="AA67" s="175">
        <f>(180/PI())*IMARGUMENT(Y67)</f>
        <v>91.375082340703941</v>
      </c>
    </row>
    <row r="68" spans="6:27" x14ac:dyDescent="0.25">
      <c r="F68" s="177">
        <v>66</v>
      </c>
      <c r="G68" s="175">
        <f>10^('Small Signal'!F68/30)</f>
        <v>158.48931924611153</v>
      </c>
      <c r="H68" s="175" t="str">
        <f>COMPLEX(0,G68*2*PI())</f>
        <v>995.817762032063i</v>
      </c>
      <c r="I68" s="175">
        <f>IF('Small Signal'!$B$37&gt;=1,Q68+0,N68+0)</f>
        <v>16.856955592196009</v>
      </c>
      <c r="J68" s="175">
        <f>IF('Small Signal'!$B$37&gt;=1,R68,O68)</f>
        <v>-0.64215914063686586</v>
      </c>
      <c r="K68" s="175">
        <f>IF('Small Signal'!$B$37&gt;=1,Z68+0,W68+0)</f>
        <v>46.952115517545394</v>
      </c>
      <c r="L68" s="175">
        <f>IF('Small Signal'!$B$37&gt;=1,AA68,X68)</f>
        <v>91.313663938456997</v>
      </c>
      <c r="M68" s="175" t="str">
        <f>IMDIV(IMSUM('Small Signal'!$B$2*'Small Signal'!$B$16*'Small Signal'!$B$38,IMPRODUCT(H68,'Small Signal'!$B$2*'Small Signal'!$B$16*'Small Signal'!$B$38*'Small Signal'!$B$13*'Small Signal'!$B$14)),IMSUM(IMPRODUCT('Small Signal'!$B$11*'Small Signal'!$B$13*('Small Signal'!$B$14+'Small Signal'!$B$16),IMPOWER(H68,2)),IMSUM(IMPRODUCT(H68,('Small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6.96338651588423-0.0780474509850101i</v>
      </c>
      <c r="N68" s="175">
        <f>20*LOG(IMABS(M68))</f>
        <v>16.856955592196009</v>
      </c>
      <c r="O68" s="175">
        <f>(180/PI())*IMARGUMENT(M68)</f>
        <v>-0.64215914063686586</v>
      </c>
      <c r="P68" s="175" t="str">
        <f>IMDIV(IMSUM('Small Signal'!$B$48,IMPRODUCT(H68,'Small Signal'!$B$49)),IMSUM(IMPRODUCT('Small Signal'!$B$52,IMPOWER(H68,2)),IMSUM(IMPRODUCT(H68,'Small Signal'!$B$51),'Small Signal'!$B$50)))</f>
        <v>11.3469410660365-0.130783872336924i</v>
      </c>
      <c r="Q68" s="175">
        <f>20*LOG(IMABS(P68))</f>
        <v>21.098152892018007</v>
      </c>
      <c r="R68" s="175">
        <f>(180/PI())*IMARGUMENT(P68)</f>
        <v>-0.66035701368514443</v>
      </c>
      <c r="S68" s="175" t="str">
        <f>IMPRODUCT(IMDIV(IMSUM(IMPRODUCT(H68,'Small Signal'!$B$33*'Small Signal'!$B$6*'Small Signal'!$B$27*'Small Signal'!$B$7*'Small Signal'!$B$8),'Small Signal'!$B$33*'Small Signal'!$B$6*'Small Signal'!$B$27),IMSUM(IMSUM(IMPRODUCT(H68,('Small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Signal'!$B$5),IMPRODUCT(IMPOWER(H68,2),'Small Signal'!$B$32*'Small Signal'!$B$33*'Small Signal'!$B$8*'Small Signal'!$B$7*('Small Signal'!$B$5+'Small Signal'!$B$6)+('Small Signal'!$B$5+'Small Signal'!$B$6)*('Small Signal'!$B$9*'Small Signal'!$B$8*'Small Signal'!$B$33*'Small Signal'!$B$7)))),-1)</f>
        <v>-1.09114027071024+31.9525055787881i</v>
      </c>
      <c r="T68" s="175">
        <f>20*LOG(IMABS(S68))</f>
        <v>30.095159925349371</v>
      </c>
      <c r="U68" s="175">
        <f>(180/PI())*IMARGUMENT(S68)</f>
        <v>91.955823079093861</v>
      </c>
      <c r="V68" s="175" t="str">
        <f>IMPRODUCT(M68,S68)</f>
        <v>-5.10421983499323+222.582807212845i</v>
      </c>
      <c r="W68" s="176">
        <f>20*LOG(IMABS(V68))</f>
        <v>46.952115517545394</v>
      </c>
      <c r="X68" s="175">
        <f>(180/PI())*IMARGUMENT(V68)</f>
        <v>91.313663938456997</v>
      </c>
      <c r="Y68" s="175" t="str">
        <f>IMPRODUCT(P68,S68)</f>
        <v>-8.20223193606713+362.705901264577i</v>
      </c>
      <c r="Z68" s="176">
        <f>20*LOG(IMABS(Y68))</f>
        <v>51.193312817367371</v>
      </c>
      <c r="AA68" s="175">
        <f>(180/PI())*IMARGUMENT(Y68)</f>
        <v>91.295466065408718</v>
      </c>
    </row>
    <row r="69" spans="6:27" x14ac:dyDescent="0.25">
      <c r="F69" s="177">
        <v>67</v>
      </c>
      <c r="G69" s="175">
        <f>10^('Small Signal'!F69/30)</f>
        <v>171.13283041617817</v>
      </c>
      <c r="H69" s="175" t="str">
        <f>COMPLEX(0,G69*2*PI())</f>
        <v>1075.25928564699i</v>
      </c>
      <c r="I69" s="175">
        <f>IF('Small Signal'!$B$37&gt;=1,Q69+0,N69+0)</f>
        <v>16.856881324333454</v>
      </c>
      <c r="J69" s="175">
        <f>IF('Small Signal'!$B$37&gt;=1,R69,O69)</f>
        <v>-0.69338397197749624</v>
      </c>
      <c r="K69" s="175">
        <f>IF('Small Signal'!$B$37&gt;=1,Z69+0,W69+0)</f>
        <v>46.285777064741609</v>
      </c>
      <c r="L69" s="175">
        <f>IF('Small Signal'!$B$37&gt;=1,AA69,X69)</f>
        <v>91.243126071746374</v>
      </c>
      <c r="M69" s="175" t="str">
        <f>IMDIV(IMSUM('Small Signal'!$B$2*'Small Signal'!$B$16*'Small Signal'!$B$38,IMPRODUCT(H69,'Small Signal'!$B$2*'Small Signal'!$B$16*'Small Signal'!$B$38*'Small Signal'!$B$13*'Small Signal'!$B$14)),IMSUM(IMPRODUCT('Small Signal'!$B$11*'Small Signal'!$B$13*('Small Signal'!$B$14+'Small Signal'!$B$16),IMPOWER(H69,2)),IMSUM(IMPRODUCT(H69,('Small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6.96325441635078-0.0842722581670532i</v>
      </c>
      <c r="N69" s="175">
        <f>20*LOG(IMABS(M69))</f>
        <v>16.856881324333454</v>
      </c>
      <c r="O69" s="175">
        <f>(180/PI())*IMARGUMENT(M69)</f>
        <v>-0.69338397197749624</v>
      </c>
      <c r="P69" s="175" t="str">
        <f>IMDIV(IMSUM('Small Signal'!$B$48,IMPRODUCT(H69,'Small Signal'!$B$49)),IMSUM(IMPRODUCT('Small Signal'!$B$52,IMPOWER(H69,2)),IMSUM(IMPRODUCT(H69,'Small Signal'!$B$51),'Small Signal'!$B$50)))</f>
        <v>11.3467285644911-0.141215000619619i</v>
      </c>
      <c r="Q69" s="175">
        <f>20*LOG(IMABS(P69))</f>
        <v>21.098085938516284</v>
      </c>
      <c r="R69" s="175">
        <f>(180/PI())*IMARGUMENT(P69)</f>
        <v>-0.71303422794154903</v>
      </c>
      <c r="S69" s="175" t="str">
        <f>IMPRODUCT(IMDIV(IMSUM(IMPRODUCT(H69,'Small Signal'!$B$33*'Small Signal'!$B$6*'Small Signal'!$B$27*'Small Signal'!$B$7*'Small Signal'!$B$8),'Small Signal'!$B$33*'Small Signal'!$B$6*'Small Signal'!$B$27),IMSUM(IMSUM(IMPRODUCT(H69,('Small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Signal'!$B$5),IMPRODUCT(IMPOWER(H69,2),'Small Signal'!$B$32*'Small Signal'!$B$33*'Small Signal'!$B$8*'Small Signal'!$B$7*('Small Signal'!$B$5+'Small Signal'!$B$6)+('Small Signal'!$B$5+'Small Signal'!$B$6)*('Small Signal'!$B$9*'Small Signal'!$B$8*'Small Signal'!$B$33*'Small Signal'!$B$7)))),-1)</f>
        <v>-1.00059705462625+29.5935240257766i</v>
      </c>
      <c r="T69" s="175">
        <f>20*LOG(IMABS(S69))</f>
        <v>29.428895740408173</v>
      </c>
      <c r="U69" s="175">
        <f>(180/PI())*IMARGUMENT(S69)</f>
        <v>91.936510043723857</v>
      </c>
      <c r="V69" s="175" t="str">
        <f>IMPRODUCT(M69,S69)</f>
        <v>-4.47349876284068+206.15155944118i</v>
      </c>
      <c r="W69" s="176">
        <f>20*LOG(IMABS(V69))</f>
        <v>46.285777064741609</v>
      </c>
      <c r="X69" s="175">
        <f>(180/PI())*IMARGUMENT(V69)</f>
        <v>91.243126071746374</v>
      </c>
      <c r="Y69" s="175" t="str">
        <f>IMPRODUCT(P69,S69)</f>
        <v>-7.17445366763658+335.930983700922i</v>
      </c>
      <c r="Z69" s="176">
        <f>20*LOG(IMABS(Y69))</f>
        <v>50.526981678924457</v>
      </c>
      <c r="AA69" s="175">
        <f>(180/PI())*IMARGUMENT(Y69)</f>
        <v>91.223475815782322</v>
      </c>
    </row>
    <row r="70" spans="6:27" x14ac:dyDescent="0.25">
      <c r="F70" s="177">
        <v>68</v>
      </c>
      <c r="G70" s="175">
        <f>10^('Small Signal'!F70/30)</f>
        <v>184.7849797422291</v>
      </c>
      <c r="H70" s="175" t="str">
        <f>COMPLEX(0,G70*2*PI())</f>
        <v>1161.03826970385i</v>
      </c>
      <c r="I70" s="175">
        <f>IF('Small Signal'!$B$37&gt;=1,Q70+0,N70+0)</f>
        <v>16.856794735926869</v>
      </c>
      <c r="J70" s="175">
        <f>IF('Small Signal'!$B$37&gt;=1,R70,O70)</f>
        <v>-0.74869436166195136</v>
      </c>
      <c r="K70" s="175">
        <f>IF('Small Signal'!$B$37&gt;=1,Z70+0,W70+0)</f>
        <v>45.619417516544196</v>
      </c>
      <c r="L70" s="175">
        <f>IF('Small Signal'!$B$37&gt;=1,AA70,X70)</f>
        <v>91.179906867387075</v>
      </c>
      <c r="M70" s="175" t="str">
        <f>IMDIV(IMSUM('Small Signal'!$B$2*'Small Signal'!$B$16*'Small Signal'!$B$38,IMPRODUCT(H70,'Small Signal'!$B$2*'Small Signal'!$B$16*'Small Signal'!$B$38*'Small Signal'!$B$13*'Small Signal'!$B$14)),IMSUM(IMPRODUCT('Small Signal'!$B$11*'Small Signal'!$B$13*('Small Signal'!$B$14+'Small Signal'!$B$16),IMPOWER(H70,2)),IMSUM(IMPRODUCT(H70,('Small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6.96310040524319-0.0909932773359364i</v>
      </c>
      <c r="N70" s="175">
        <f>20*LOG(IMABS(M70))</f>
        <v>16.856794735926869</v>
      </c>
      <c r="O70" s="175">
        <f>(180/PI())*IMARGUMENT(M70)</f>
        <v>-0.74869436166195136</v>
      </c>
      <c r="P70" s="175" t="str">
        <f>IMDIV(IMSUM('Small Signal'!$B$48,IMPRODUCT(H70,'Small Signal'!$B$49)),IMSUM(IMPRODUCT('Small Signal'!$B$52,IMPOWER(H70,2)),IMSUM(IMPRODUCT(H70,'Small Signal'!$B$51),'Small Signal'!$B$50)))</f>
        <v>11.3464808138314-0.152477710425863i</v>
      </c>
      <c r="Q70" s="175">
        <f>20*LOG(IMABS(P70))</f>
        <v>21.098007877645102</v>
      </c>
      <c r="R70" s="175">
        <f>(180/PI())*IMARGUMENT(P70)</f>
        <v>-0.76991303150920354</v>
      </c>
      <c r="S70" s="175" t="str">
        <f>IMPRODUCT(IMDIV(IMSUM(IMPRODUCT(H70,'Small Signal'!$B$33*'Small Signal'!$B$6*'Small Signal'!$B$27*'Small Signal'!$B$7*'Small Signal'!$B$8),'Small Signal'!$B$33*'Small Signal'!$B$6*'Small Signal'!$B$27),IMSUM(IMSUM(IMPRODUCT(H70,('Small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Signal'!$B$5),IMPRODUCT(IMPOWER(H70,2),'Small Signal'!$B$32*'Small Signal'!$B$33*'Small Signal'!$B$8*'Small Signal'!$B$7*('Small Signal'!$B$5+'Small Signal'!$B$6)+('Small Signal'!$B$5+'Small Signal'!$B$6)*('Small Signal'!$B$9*'Small Signal'!$B$8*'Small Signal'!$B$33*'Small Signal'!$B$7)))),-1)</f>
        <v>-0.922930358239895+27.4084868047254i</v>
      </c>
      <c r="T70" s="175">
        <f>20*LOG(IMABS(S70))</f>
        <v>28.762622780617335</v>
      </c>
      <c r="U70" s="175">
        <f>(180/PI())*IMARGUMENT(S70)</f>
        <v>91.928601229049022</v>
      </c>
      <c r="V70" s="175" t="str">
        <f>IMPRODUCT(M70,S70)</f>
        <v>-3.93246871029072+190.932026035135i</v>
      </c>
      <c r="W70" s="176">
        <f>20*LOG(IMABS(V70))</f>
        <v>45.619417516544196</v>
      </c>
      <c r="X70" s="175">
        <f>(180/PI())*IMARGUMENT(V70)</f>
        <v>91.179906867387075</v>
      </c>
      <c r="Y70" s="175" t="str">
        <f>IMPRODUCT(P70,S70)</f>
        <v>-6.2928282880495+311.130595973875i</v>
      </c>
      <c r="Z70" s="176">
        <f>20*LOG(IMABS(Y70))</f>
        <v>49.860630658262444</v>
      </c>
      <c r="AA70" s="175">
        <f>(180/PI())*IMARGUMENT(Y70)</f>
        <v>91.158688197539831</v>
      </c>
    </row>
    <row r="71" spans="6:27" x14ac:dyDescent="0.25">
      <c r="F71" s="177">
        <v>69</v>
      </c>
      <c r="G71" s="175">
        <f>10^('Small Signal'!F71/30)</f>
        <v>199.52623149688802</v>
      </c>
      <c r="H71" s="175" t="str">
        <f>COMPLEX(0,G71*2*PI())</f>
        <v>1253.66028613816i</v>
      </c>
      <c r="I71" s="175">
        <f>IF('Small Signal'!$B$37&gt;=1,Q71+0,N71+0)</f>
        <v>16.856693783382447</v>
      </c>
      <c r="J71" s="175">
        <f>IF('Small Signal'!$B$37&gt;=1,R71,O71)</f>
        <v>-0.8084159999627375</v>
      </c>
      <c r="K71" s="175">
        <f>IF('Small Signal'!$B$37&gt;=1,Z71+0,W71+0)</f>
        <v>44.953044116533469</v>
      </c>
      <c r="L71" s="175">
        <f>IF('Small Signal'!$B$37&gt;=1,AA71,X71)</f>
        <v>91.123634235296336</v>
      </c>
      <c r="M71" s="175" t="str">
        <f>IMDIV(IMSUM('Small Signal'!$B$2*'Small Signal'!$B$16*'Small Signal'!$B$38,IMPRODUCT(H71,'Small Signal'!$B$2*'Small Signal'!$B$16*'Small Signal'!$B$38*'Small Signal'!$B$13*'Small Signal'!$B$14)),IMSUM(IMPRODUCT('Small Signal'!$B$11*'Small Signal'!$B$13*('Small Signal'!$B$14+'Small Signal'!$B$16),IMPOWER(H71,2)),IMSUM(IMPRODUCT(H71,('Small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6.96292084914234-0.098249997331026i</v>
      </c>
      <c r="N71" s="175">
        <f>20*LOG(IMABS(M71))</f>
        <v>16.856693783382447</v>
      </c>
      <c r="O71" s="175">
        <f>(180/PI())*IMARGUMENT(M71)</f>
        <v>-0.8084159999627375</v>
      </c>
      <c r="P71" s="175" t="str">
        <f>IMDIV(IMSUM('Small Signal'!$B$48,IMPRODUCT(H71,'Small Signal'!$B$49)),IMSUM(IMPRODUCT('Small Signal'!$B$52,IMPOWER(H71,2)),IMSUM(IMPRODUCT(H71,'Small Signal'!$B$51),'Small Signal'!$B$50)))</f>
        <v>11.3461919685786-0.164638195461514i</v>
      </c>
      <c r="Q71" s="175">
        <f>20*LOG(IMABS(P71))</f>
        <v>21.097916866955934</v>
      </c>
      <c r="R71" s="175">
        <f>(180/PI())*IMARGUMENT(P71)</f>
        <v>-0.83132841424700232</v>
      </c>
      <c r="S71" s="175" t="str">
        <f>IMPRODUCT(IMDIV(IMSUM(IMPRODUCT(H71,'Small Signal'!$B$33*'Small Signal'!$B$6*'Small Signal'!$B$27*'Small Signal'!$B$7*'Small Signal'!$B$8),'Small Signal'!$B$33*'Small Signal'!$B$6*'Small Signal'!$B$27),IMSUM(IMSUM(IMPRODUCT(H71,('Small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Signal'!$B$5),IMPRODUCT(IMPOWER(H71,2),'Small Signal'!$B$32*'Small Signal'!$B$33*'Small Signal'!$B$8*'Small Signal'!$B$7*('Small Signal'!$B$5+'Small Signal'!$B$6)+('Small Signal'!$B$5+'Small Signal'!$B$6)*('Small Signal'!$B$9*'Small Signal'!$B$8*'Small Signal'!$B$33*'Small Signal'!$B$7)))),-1)</f>
        <v>-0.856309950715151+25.3846135250375i</v>
      </c>
      <c r="T71" s="175">
        <f>20*LOG(IMABS(S71))</f>
        <v>28.096350333151001</v>
      </c>
      <c r="U71" s="175">
        <f>(180/PI())*IMARGUMENT(S71)</f>
        <v>91.932050235259069</v>
      </c>
      <c r="V71" s="175" t="str">
        <f>IMPRODUCT(M71,S71)</f>
        <v>-3.46838019807851+176.835187211277i</v>
      </c>
      <c r="W71" s="176">
        <f>20*LOG(IMABS(V71))</f>
        <v>44.953044116533469</v>
      </c>
      <c r="X71" s="175">
        <f>(180/PI())*IMARGUMENT(V71)</f>
        <v>91.123634235296336</v>
      </c>
      <c r="Y71" s="175" t="str">
        <f>IMPRODUCT(P71,S71)</f>
        <v>-5.53658012216807+288.159679428294i</v>
      </c>
      <c r="Z71" s="176">
        <f>20*LOG(IMABS(Y71))</f>
        <v>49.194267200106943</v>
      </c>
      <c r="AA71" s="175">
        <f>(180/PI())*IMARGUMENT(Y71)</f>
        <v>91.100721821012073</v>
      </c>
    </row>
    <row r="72" spans="6:27" x14ac:dyDescent="0.25">
      <c r="F72" s="177">
        <v>70</v>
      </c>
      <c r="G72" s="175">
        <f>10^('Small Signal'!F72/30)</f>
        <v>215.44346900318848</v>
      </c>
      <c r="H72" s="175" t="str">
        <f>COMPLEX(0,G72*2*PI())</f>
        <v>1353.67123896863i</v>
      </c>
      <c r="I72" s="175">
        <f>IF('Small Signal'!$B$37&gt;=1,Q72+0,N72+0)</f>
        <v>16.85657608424663</v>
      </c>
      <c r="J72" s="175">
        <f>IF('Small Signal'!$B$37&gt;=1,R72,O72)</f>
        <v>-0.8729004981113675</v>
      </c>
      <c r="K72" s="175">
        <f>IF('Small Signal'!$B$37&gt;=1,Z72+0,W72+0)</f>
        <v>44.286663781479227</v>
      </c>
      <c r="L72" s="175">
        <f>IF('Small Signal'!$B$37&gt;=1,AA72,X72)</f>
        <v>91.073976619728242</v>
      </c>
      <c r="M72" s="175" t="str">
        <f>IMDIV(IMSUM('Small Signal'!$B$2*'Small Signal'!$B$16*'Small Signal'!$B$38,IMPRODUCT(H72,'Small Signal'!$B$2*'Small Signal'!$B$16*'Small Signal'!$B$38*'Small Signal'!$B$13*'Small Signal'!$B$14)),IMSUM(IMPRODUCT('Small Signal'!$B$11*'Small Signal'!$B$13*('Small Signal'!$B$14+'Small Signal'!$B$16),IMPOWER(H72,2)),IMSUM(IMPRODUCT(H72,('Small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6.96271151252058-0.106085032234893i</v>
      </c>
      <c r="N72" s="175">
        <f>20*LOG(IMABS(M72))</f>
        <v>16.85657608424663</v>
      </c>
      <c r="O72" s="175">
        <f>(180/PI())*IMARGUMENT(M72)</f>
        <v>-0.8729004981113675</v>
      </c>
      <c r="P72" s="175" t="str">
        <f>IMDIV(IMSUM('Small Signal'!$B$48,IMPRODUCT(H72,'Small Signal'!$B$49)),IMSUM(IMPRODUCT('Small Signal'!$B$52,IMPOWER(H72,2)),IMSUM(IMPRODUCT(H72,'Small Signal'!$B$51),'Small Signal'!$B$50)))</f>
        <v>11.3458552144316-0.17776789230211i</v>
      </c>
      <c r="Q72" s="175">
        <f>20*LOG(IMABS(P72))</f>
        <v>21.09781075846421</v>
      </c>
      <c r="R72" s="175">
        <f>(180/PI())*IMARGUMENT(P72)</f>
        <v>-0.89764204002735271</v>
      </c>
      <c r="S72" s="175" t="str">
        <f>IMPRODUCT(IMDIV(IMSUM(IMPRODUCT(H72,'Small Signal'!$B$33*'Small Signal'!$B$6*'Small Signal'!$B$27*'Small Signal'!$B$7*'Small Signal'!$B$8),'Small Signal'!$B$33*'Small Signal'!$B$6*'Small Signal'!$B$27),IMSUM(IMSUM(IMPRODUCT(H72,('Small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Signal'!$B$5),IMPRODUCT(IMPOWER(H72,2),'Small Signal'!$B$32*'Small Signal'!$B$33*'Small Signal'!$B$8*'Small Signal'!$B$7*('Small Signal'!$B$5+'Small Signal'!$B$6)+('Small Signal'!$B$5+'Small Signal'!$B$6)*('Small Signal'!$B$9*'Small Signal'!$B$8*'Small Signal'!$B$33*'Small Signal'!$B$7)))),-1)</f>
        <v>-0.799165481792191+23.5100535447894i</v>
      </c>
      <c r="T72" s="175">
        <f>20*LOG(IMABS(S72))</f>
        <v>27.430087697232622</v>
      </c>
      <c r="U72" s="175">
        <f>(180/PI())*IMARGUMENT(S72)</f>
        <v>91.946877117839605</v>
      </c>
      <c r="V72" s="175" t="str">
        <f>IMPRODUCT(M72,S72)</f>
        <v>-3.0702939123405+163.778499972177i</v>
      </c>
      <c r="W72" s="176">
        <f>20*LOG(IMABS(V72))</f>
        <v>44.286663781479227</v>
      </c>
      <c r="X72" s="175">
        <f>(180/PI())*IMARGUMENT(V72)</f>
        <v>91.073976619728242</v>
      </c>
      <c r="Y72" s="175" t="str">
        <f>IMPRODUCT(P72,S72)</f>
        <v>-4.88788318221871+266.883729566014i</v>
      </c>
      <c r="Z72" s="176">
        <f>20*LOG(IMABS(Y72))</f>
        <v>48.527898455696842</v>
      </c>
      <c r="AA72" s="175">
        <f>(180/PI())*IMARGUMENT(Y72)</f>
        <v>91.049235077812241</v>
      </c>
    </row>
    <row r="73" spans="6:27" x14ac:dyDescent="0.25">
      <c r="F73" s="177">
        <v>71</v>
      </c>
      <c r="G73" s="175">
        <f>10^('Small Signal'!F73/30)</f>
        <v>232.6305067153628</v>
      </c>
      <c r="H73" s="175" t="str">
        <f>COMPLEX(0,G73*2*PI())</f>
        <v>1461.66058179571i</v>
      </c>
      <c r="I73" s="175">
        <f>IF('Small Signal'!$B$37&gt;=1,Q73+0,N73+0)</f>
        <v>16.85643886105693</v>
      </c>
      <c r="J73" s="175">
        <f>IF('Small Signal'!$B$37&gt;=1,R73,O73)</f>
        <v>-0.94252744035342606</v>
      </c>
      <c r="K73" s="175">
        <f>IF('Small Signal'!$B$37&gt;=1,Z73+0,W73+0)</f>
        <v>43.620283263950419</v>
      </c>
      <c r="L73" s="175">
        <f>IF('Small Signal'!$B$37&gt;=1,AA73,X73)</f>
        <v>91.030641050946883</v>
      </c>
      <c r="M73" s="175" t="str">
        <f>IMDIV(IMSUM('Small Signal'!$B$2*'Small Signal'!$B$16*'Small Signal'!$B$38,IMPRODUCT(H73,'Small Signal'!$B$2*'Small Signal'!$B$16*'Small Signal'!$B$38*'Small Signal'!$B$13*'Small Signal'!$B$14)),IMSUM(IMPRODUCT('Small Signal'!$B$11*'Small Signal'!$B$13*('Small Signal'!$B$14+'Small Signal'!$B$16),IMPOWER(H73,2)),IMSUM(IMPRODUCT(H73,('Small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6.96246745810472-0.114544364227541i</v>
      </c>
      <c r="N73" s="175">
        <f>20*LOG(IMABS(M73))</f>
        <v>16.85643886105693</v>
      </c>
      <c r="O73" s="175">
        <f>(180/PI())*IMARGUMENT(M73)</f>
        <v>-0.94252744035342606</v>
      </c>
      <c r="P73" s="175" t="str">
        <f>IMDIV(IMSUM('Small Signal'!$B$48,IMPRODUCT(H73,'Small Signal'!$B$49)),IMSUM(IMPRODUCT('Small Signal'!$B$52,IMPOWER(H73,2)),IMSUM(IMPRODUCT(H73,'Small Signal'!$B$51),'Small Signal'!$B$50)))</f>
        <v>11.3454626078935-0.191943888879698i</v>
      </c>
      <c r="Q73" s="175">
        <f>20*LOG(IMABS(P73))</f>
        <v>21.09768704801084</v>
      </c>
      <c r="R73" s="175">
        <f>(180/PI())*IMARGUMENT(P73)</f>
        <v>-0.96924436175773443</v>
      </c>
      <c r="S73" s="175" t="str">
        <f>IMPRODUCT(IMDIV(IMSUM(IMPRODUCT(H73,'Small Signal'!$B$33*'Small Signal'!$B$6*'Small Signal'!$B$27*'Small Signal'!$B$7*'Small Signal'!$B$8),'Small Signal'!$B$33*'Small Signal'!$B$6*'Small Signal'!$B$27),IMSUM(IMSUM(IMPRODUCT(H73,('Small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Signal'!$B$5),IMPRODUCT(IMPOWER(H73,2),'Small Signal'!$B$32*'Small Signal'!$B$33*'Small Signal'!$B$8*'Small Signal'!$B$7*('Small Signal'!$B$5+'Small Signal'!$B$6)+('Small Signal'!$B$5+'Small Signal'!$B$6)*('Small Signal'!$B$9*'Small Signal'!$B$8*'Small Signal'!$B$33*'Small Signal'!$B$7)))),-1)</f>
        <v>-0.750149649867479+21.7738202597019i</v>
      </c>
      <c r="T73" s="175">
        <f>20*LOG(IMABS(S73))</f>
        <v>26.763844402893511</v>
      </c>
      <c r="U73" s="175">
        <f>(180/PI())*IMARGUMENT(S73)</f>
        <v>91.973168491300299</v>
      </c>
      <c r="V73" s="175" t="str">
        <f>IMPRODUCT(M73,S73)</f>
        <v>-2.72882412745867+151.685440411515i</v>
      </c>
      <c r="W73" s="176">
        <f>20*LOG(IMABS(V73))</f>
        <v>43.620283263950419</v>
      </c>
      <c r="X73" s="175">
        <f>(180/PI())*IMARGUMENT(V73)</f>
        <v>91.030641050946883</v>
      </c>
      <c r="Y73" s="175" t="str">
        <f>IMPRODUCT(P73,S73)</f>
        <v>-4.33144306648115+247.178050228479i</v>
      </c>
      <c r="Z73" s="176">
        <f>20*LOG(IMABS(Y73))</f>
        <v>47.861531450904344</v>
      </c>
      <c r="AA73" s="175">
        <f>(180/PI())*IMARGUMENT(Y73)</f>
        <v>91.003924129542582</v>
      </c>
    </row>
    <row r="74" spans="6:27" x14ac:dyDescent="0.25">
      <c r="F74" s="177">
        <v>72</v>
      </c>
      <c r="G74" s="175">
        <f>10^('Small Signal'!F74/30)</f>
        <v>251.18864315095806</v>
      </c>
      <c r="H74" s="175" t="str">
        <f>COMPLEX(0,G74*2*PI())</f>
        <v>1578.26479197648i</v>
      </c>
      <c r="I74" s="175">
        <f>IF('Small Signal'!$B$37&gt;=1,Q74+0,N74+0)</f>
        <v>16.856278875902785</v>
      </c>
      <c r="J74" s="175">
        <f>IF('Small Signal'!$B$37&gt;=1,R74,O74)</f>
        <v>-1.017706595621874</v>
      </c>
      <c r="K74" s="175">
        <f>IF('Small Signal'!$B$37&gt;=1,Z74+0,W74+0)</f>
        <v>42.953909311005077</v>
      </c>
      <c r="L74" s="175">
        <f>IF('Small Signal'!$B$37&gt;=1,AA74,X74)</f>
        <v>90.993371402971803</v>
      </c>
      <c r="M74" s="175" t="str">
        <f>IMDIV(IMSUM('Small Signal'!$B$2*'Small Signal'!$B$16*'Small Signal'!$B$38,IMPRODUCT(H74,'Small Signal'!$B$2*'Small Signal'!$B$16*'Small Signal'!$B$38*'Small Signal'!$B$13*'Small Signal'!$B$14)),IMSUM(IMPRODUCT('Small Signal'!$B$11*'Small Signal'!$B$13*('Small Signal'!$B$14+'Small Signal'!$B$16),IMPOWER(H74,2)),IMSUM(IMPRODUCT(H74,('Small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6.96218293080163-0.123677604144215i</v>
      </c>
      <c r="N74" s="175">
        <f>20*LOG(IMABS(M74))</f>
        <v>16.856278875902785</v>
      </c>
      <c r="O74" s="175">
        <f>(180/PI())*IMARGUMENT(M74)</f>
        <v>-1.017706595621874</v>
      </c>
      <c r="P74" s="175" t="str">
        <f>IMDIV(IMSUM('Small Signal'!$B$48,IMPRODUCT(H74,'Small Signal'!$B$49)),IMSUM(IMPRODUCT('Small Signal'!$B$52,IMPOWER(H74,2)),IMSUM(IMPRODUCT(H74,'Small Signal'!$B$51),'Small Signal'!$B$50)))</f>
        <v>11.3450048894228-0.207249363032795i</v>
      </c>
      <c r="Q74" s="175">
        <f>20*LOG(IMABS(P74))</f>
        <v>21.097542816242122</v>
      </c>
      <c r="R74" s="175">
        <f>(180/PI())*IMARGUMENT(P74)</f>
        <v>-1.0465569017909309</v>
      </c>
      <c r="S74" s="175" t="str">
        <f>IMPRODUCT(IMDIV(IMSUM(IMPRODUCT(H74,'Small Signal'!$B$33*'Small Signal'!$B$6*'Small Signal'!$B$27*'Small Signal'!$B$7*'Small Signal'!$B$8),'Small Signal'!$B$33*'Small Signal'!$B$6*'Small Signal'!$B$27),IMSUM(IMSUM(IMPRODUCT(H74,('Small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Signal'!$B$5),IMPRODUCT(IMPOWER(H74,2),'Small Signal'!$B$32*'Small Signal'!$B$33*'Small Signal'!$B$8*'Small Signal'!$B$7*('Small Signal'!$B$5+'Small Signal'!$B$6)+('Small Signal'!$B$5+'Small Signal'!$B$6)*('Small Signal'!$B$9*'Small Signal'!$B$8*'Small Signal'!$B$33*'Small Signal'!$B$7)))),-1)</f>
        <v>-0.708106571742509+20.1657296359237i</v>
      </c>
      <c r="T74" s="175">
        <f>20*LOG(IMABS(S74))</f>
        <v>26.097630435102324</v>
      </c>
      <c r="U74" s="175">
        <f>(180/PI())*IMARGUMENT(S74)</f>
        <v>92.011077998593692</v>
      </c>
      <c r="V74" s="175" t="str">
        <f>IMPRODUCT(M74,S74)</f>
        <v>-2.43591835978312+140.48507558266i</v>
      </c>
      <c r="W74" s="176">
        <f>20*LOG(IMABS(V74))</f>
        <v>42.953909311005077</v>
      </c>
      <c r="X74" s="175">
        <f>(180/PI())*IMARGUMENT(V74)</f>
        <v>90.993371402971803</v>
      </c>
      <c r="Y74" s="175" t="str">
        <f>IMPRODUCT(P74,S74)</f>
        <v>-3.85413789651444+228.927055954286i</v>
      </c>
      <c r="Z74" s="176">
        <f>20*LOG(IMABS(Y74))</f>
        <v>47.195173251344464</v>
      </c>
      <c r="AA74" s="175">
        <f>(180/PI())*IMARGUMENT(Y74)</f>
        <v>90.964521096802756</v>
      </c>
    </row>
    <row r="75" spans="6:27" x14ac:dyDescent="0.25">
      <c r="F75" s="177">
        <v>73</v>
      </c>
      <c r="G75" s="175">
        <f>10^('Small Signal'!F75/30)</f>
        <v>271.22725793320296</v>
      </c>
      <c r="H75" s="175" t="str">
        <f>COMPLEX(0,G75*2*PI())</f>
        <v>1704.17112195251i</v>
      </c>
      <c r="I75" s="175">
        <f>IF('Small Signal'!$B$37&gt;=1,Q75+0,N75+0)</f>
        <v>16.856092354164495</v>
      </c>
      <c r="J75" s="175">
        <f>IF('Small Signal'!$B$37&gt;=1,R75,O75)</f>
        <v>-1.0988803005067598</v>
      </c>
      <c r="K75" s="175">
        <f>IF('Small Signal'!$B$37&gt;=1,Z75+0,W75+0)</f>
        <v>42.287548822635429</v>
      </c>
      <c r="L75" s="175">
        <f>IF('Small Signal'!$B$37&gt;=1,AA75,X75)</f>
        <v>90.961946846313936</v>
      </c>
      <c r="M75" s="175" t="str">
        <f>IMDIV(IMSUM('Small Signal'!$B$2*'Small Signal'!$B$16*'Small Signal'!$B$38,IMPRODUCT(H75,'Small Signal'!$B$2*'Small Signal'!$B$16*'Small Signal'!$B$38*'Small Signal'!$B$13*'Small Signal'!$B$14)),IMSUM(IMPRODUCT('Small Signal'!$B$11*'Small Signal'!$B$13*('Small Signal'!$B$14+'Small Signal'!$B$16),IMPOWER(H75,2)),IMSUM(IMPRODUCT(H75,('Small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6.96185122249297-0.133538270718145i</v>
      </c>
      <c r="N75" s="175">
        <f>20*LOG(IMABS(M75))</f>
        <v>16.856092354164495</v>
      </c>
      <c r="O75" s="175">
        <f>(180/PI())*IMARGUMENT(M75)</f>
        <v>-1.0988803005067598</v>
      </c>
      <c r="P75" s="175" t="str">
        <f>IMDIV(IMSUM('Small Signal'!$B$48,IMPRODUCT(H75,'Small Signal'!$B$49)),IMSUM(IMPRODUCT('Small Signal'!$B$52,IMPOWER(H75,2)),IMSUM(IMPRODUCT(H75,'Small Signal'!$B$51),'Small Signal'!$B$50)))</f>
        <v>11.344471265764-0.223774052866224i</v>
      </c>
      <c r="Q75" s="175">
        <f>20*LOG(IMABS(P75))</f>
        <v>21.097374659824499</v>
      </c>
      <c r="R75" s="175">
        <f>(180/PI())*IMARGUMENT(P75)</f>
        <v>-1.1300347100553108</v>
      </c>
      <c r="S75" s="175" t="str">
        <f>IMPRODUCT(IMDIV(IMSUM(IMPRODUCT(H75,'Small Signal'!$B$33*'Small Signal'!$B$6*'Small Signal'!$B$27*'Small Signal'!$B$7*'Small Signal'!$B$8),'Small Signal'!$B$33*'Small Signal'!$B$6*'Small Signal'!$B$27),IMSUM(IMSUM(IMPRODUCT(H75,('Small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Signal'!$B$5),IMPRODUCT(IMPOWER(H75,2),'Small Signal'!$B$32*'Small Signal'!$B$33*'Small Signal'!$B$8*'Small Signal'!$B$7*('Small Signal'!$B$5+'Small Signal'!$B$6)+('Small Signal'!$B$5+'Small Signal'!$B$6)*('Small Signal'!$B$9*'Small Signal'!$B$8*'Small Signal'!$B$33*'Small Signal'!$B$7)))),-1)</f>
        <v>-0.672044624289244+18.6763427983287i</v>
      </c>
      <c r="T75" s="175">
        <f>20*LOG(IMABS(S75))</f>
        <v>25.431456468470969</v>
      </c>
      <c r="U75" s="175">
        <f>(180/PI())*IMARGUMENT(S75)</f>
        <v>92.060827146820685</v>
      </c>
      <c r="V75" s="175" t="str">
        <f>IMPRODUCT(M75,S75)</f>
        <v>-2.18466816854981+130.111663619215i</v>
      </c>
      <c r="W75" s="176">
        <f>20*LOG(IMABS(V75))</f>
        <v>42.287548822635429</v>
      </c>
      <c r="X75" s="175">
        <f>(180/PI())*IMARGUMENT(V75)</f>
        <v>90.961946846313936</v>
      </c>
      <c r="Y75" s="175" t="str">
        <f>IMPRODUCT(P75,S75)</f>
        <v>-3.44471000885956+212.023620374483i</v>
      </c>
      <c r="Z75" s="176">
        <f>20*LOG(IMABS(Y75))</f>
        <v>46.528831128295487</v>
      </c>
      <c r="AA75" s="175">
        <f>(180/PI())*IMARGUMENT(Y75)</f>
        <v>90.930792436765373</v>
      </c>
    </row>
    <row r="76" spans="6:27" x14ac:dyDescent="0.25">
      <c r="F76" s="177">
        <v>74</v>
      </c>
      <c r="G76" s="175">
        <f>10^('Small Signal'!F76/30)</f>
        <v>292.86445646252383</v>
      </c>
      <c r="H76" s="175" t="str">
        <f>COMPLEX(0,G76*2*PI())</f>
        <v>1840.12164984047i</v>
      </c>
      <c r="I76" s="175">
        <f>IF('Small Signal'!$B$37&gt;=1,Q76+0,N76+0)</f>
        <v>16.855874895647563</v>
      </c>
      <c r="J76" s="175">
        <f>IF('Small Signal'!$B$37&gt;=1,R76,O76)</f>
        <v>-1.1865260258588235</v>
      </c>
      <c r="K76" s="175">
        <f>IF('Small Signal'!$B$37&gt;=1,Z76+0,W76+0)</f>
        <v>41.621209013629667</v>
      </c>
      <c r="L76" s="175">
        <f>IF('Small Signal'!$B$37&gt;=1,AA76,X76)</f>
        <v>90.936180484601024</v>
      </c>
      <c r="M76" s="175" t="str">
        <f>IMDIV(IMSUM('Small Signal'!$B$2*'Small Signal'!$B$16*'Small Signal'!$B$38,IMPRODUCT(H76,'Small Signal'!$B$2*'Small Signal'!$B$16*'Small Signal'!$B$38*'Small Signal'!$B$13*'Small Signal'!$B$14)),IMSUM(IMPRODUCT('Small Signal'!$B$11*'Small Signal'!$B$13*('Small Signal'!$B$14+'Small Signal'!$B$16),IMPOWER(H76,2)),IMSUM(IMPRODUCT(H76,('Small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6.96146451457081-0.144184089456969i</v>
      </c>
      <c r="N76" s="175">
        <f>20*LOG(IMABS(M76))</f>
        <v>16.855874895647563</v>
      </c>
      <c r="O76" s="175">
        <f>(180/PI())*IMARGUMENT(M76)</f>
        <v>-1.1865260258588235</v>
      </c>
      <c r="P76" s="175" t="str">
        <f>IMDIV(IMSUM('Small Signal'!$B$48,IMPRODUCT(H76,'Small Signal'!$B$49)),IMSUM(IMPRODUCT('Small Signal'!$B$52,IMPOWER(H76,2)),IMSUM(IMPRODUCT(H76,'Small Signal'!$B$51),'Small Signal'!$B$50)))</f>
        <v>11.3438491564071-0.24161476063906i</v>
      </c>
      <c r="Q76" s="175">
        <f>20*LOG(IMABS(P76))</f>
        <v>21.097178611282349</v>
      </c>
      <c r="R76" s="175">
        <f>(180/PI())*IMARGUMENT(P76)</f>
        <v>-1.220169012997486</v>
      </c>
      <c r="S76" s="175" t="str">
        <f>IMPRODUCT(IMDIV(IMSUM(IMPRODUCT(H76,'Small Signal'!$B$33*'Small Signal'!$B$6*'Small Signal'!$B$27*'Small Signal'!$B$7*'Small Signal'!$B$8),'Small Signal'!$B$33*'Small Signal'!$B$6*'Small Signal'!$B$27),IMSUM(IMSUM(IMPRODUCT(H76,('Small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Signal'!$B$5),IMPRODUCT(IMPOWER(H76,2),'Small Signal'!$B$32*'Small Signal'!$B$33*'Small Signal'!$B$8*'Small Signal'!$B$7*('Small Signal'!$B$5+'Small Signal'!$B$6)+('Small Signal'!$B$5+'Small Signal'!$B$6)*('Small Signal'!$B$9*'Small Signal'!$B$8*'Small Signal'!$B$33*'Small Signal'!$B$7)))),-1)</f>
        <v>-0.641113129365787+17.2969124743419i</v>
      </c>
      <c r="T76" s="175">
        <f>20*LOG(IMABS(S76))</f>
        <v>24.765334117982086</v>
      </c>
      <c r="U76" s="175">
        <f>(180/PI())*IMARGUMENT(S76)</f>
        <v>92.122706510459849</v>
      </c>
      <c r="V76" s="175" t="str">
        <f>IMPRODUCT(M76,S76)</f>
        <v>-1.9691467243755+120.504280714565i</v>
      </c>
      <c r="W76" s="176">
        <f>20*LOG(IMABS(V76))</f>
        <v>41.621209013629667</v>
      </c>
      <c r="X76" s="175">
        <f>(180/PI())*IMARGUMENT(V76)</f>
        <v>90.936180484601024</v>
      </c>
      <c r="Y76" s="175" t="str">
        <f>IMPRODUCT(P76,S76)</f>
        <v>-3.09350126443471+196.368468375805i</v>
      </c>
      <c r="Z76" s="176">
        <f>20*LOG(IMABS(Y76))</f>
        <v>45.862512729264431</v>
      </c>
      <c r="AA76" s="175">
        <f>(180/PI())*IMARGUMENT(Y76)</f>
        <v>90.902537497462362</v>
      </c>
    </row>
    <row r="77" spans="6:27" x14ac:dyDescent="0.25">
      <c r="F77" s="177">
        <v>75</v>
      </c>
      <c r="G77" s="175">
        <f>10^('Small Signal'!F77/30)</f>
        <v>316.22776601683825</v>
      </c>
      <c r="H77" s="175" t="str">
        <f>COMPLEX(0,G77*2*PI())</f>
        <v>1986.91765315922i</v>
      </c>
      <c r="I77" s="175">
        <f>IF('Small Signal'!$B$37&gt;=1,Q77+0,N77+0)</f>
        <v>16.855621371038243</v>
      </c>
      <c r="J77" s="175">
        <f>IF('Small Signal'!$B$37&gt;=1,R77,O77)</f>
        <v>-1.2811591400061708</v>
      </c>
      <c r="K77" s="175">
        <f>IF('Small Signal'!$B$37&gt;=1,Z77+0,W77+0)</f>
        <v>40.954897582571618</v>
      </c>
      <c r="L77" s="175">
        <f>IF('Small Signal'!$B$37&gt;=1,AA77,X77)</f>
        <v>90.915918163806353</v>
      </c>
      <c r="M77" s="175" t="str">
        <f>IMDIV(IMSUM('Small Signal'!$B$2*'Small Signal'!$B$16*'Small Signal'!$B$38,IMPRODUCT(H77,'Small Signal'!$B$2*'Small Signal'!$B$16*'Small Signal'!$B$38*'Small Signal'!$B$13*'Small Signal'!$B$14)),IMSUM(IMPRODUCT('Small Signal'!$B$11*'Small Signal'!$B$13*('Small Signal'!$B$14+'Small Signal'!$B$16),IMPOWER(H77,2)),IMSUM(IMPRODUCT(H77,('Small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6.961013694583-0.155677312037948i</v>
      </c>
      <c r="N77" s="175">
        <f>20*LOG(IMABS(M77))</f>
        <v>16.855621371038243</v>
      </c>
      <c r="O77" s="175">
        <f>(180/PI())*IMARGUMENT(M77)</f>
        <v>-1.2811591400061708</v>
      </c>
      <c r="P77" s="175" t="str">
        <f>IMDIV(IMSUM('Small Signal'!$B$48,IMPRODUCT(H77,'Small Signal'!$B$49)),IMSUM(IMPRODUCT('Small Signal'!$B$52,IMPOWER(H77,2)),IMSUM(IMPRODUCT(H77,'Small Signal'!$B$51),'Small Signal'!$B$50)))</f>
        <v>11.3431238983138-0.260875891825232i</v>
      </c>
      <c r="Q77" s="175">
        <f>20*LOG(IMABS(P77))</f>
        <v>21.096950045585579</v>
      </c>
      <c r="R77" s="175">
        <f>(180/PI())*IMARGUMENT(P77)</f>
        <v>-1.3174900671941834</v>
      </c>
      <c r="S77" s="175" t="str">
        <f>IMPRODUCT(IMDIV(IMSUM(IMPRODUCT(H77,'Small Signal'!$B$33*'Small Signal'!$B$6*'Small Signal'!$B$27*'Small Signal'!$B$7*'Small Signal'!$B$8),'Small Signal'!$B$33*'Small Signal'!$B$6*'Small Signal'!$B$27),IMSUM(IMSUM(IMPRODUCT(H77,('Small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Signal'!$B$5),IMPRODUCT(IMPOWER(H77,2),'Small Signal'!$B$32*'Small Signal'!$B$33*'Small Signal'!$B$8*'Small Signal'!$B$7*('Small Signal'!$B$5+'Small Signal'!$B$6)+('Small Signal'!$B$5+'Small Signal'!$B$6)*('Small Signal'!$B$9*'Small Signal'!$B$8*'Small Signal'!$B$33*'Small Signal'!$B$7)))),-1)</f>
        <v>-0.61458234074378+16.0193330876851i</v>
      </c>
      <c r="T77" s="175">
        <f>20*LOG(IMABS(S77))</f>
        <v>24.099276211533333</v>
      </c>
      <c r="U77" s="175">
        <f>(180/PI())*IMARGUMENT(S77)</f>
        <v>92.19707730381252</v>
      </c>
      <c r="V77" s="175" t="str">
        <f>IMPRODUCT(M77,S77)</f>
        <v>-1.78426937463495+111.606473528296i</v>
      </c>
      <c r="W77" s="176">
        <f>20*LOG(IMABS(V77))</f>
        <v>40.954897582571618</v>
      </c>
      <c r="X77" s="175">
        <f>(180/PI())*IMARGUMENT(V77)</f>
        <v>90.915918163806353</v>
      </c>
      <c r="Y77" s="175" t="str">
        <f>IMPRODUCT(P77,S77)</f>
        <v>-2.79222583107711+181.869609698211i</v>
      </c>
      <c r="Z77" s="176">
        <f>20*LOG(IMABS(Y77))</f>
        <v>45.196226257118894</v>
      </c>
      <c r="AA77" s="175">
        <f>(180/PI())*IMARGUMENT(Y77)</f>
        <v>90.879587236618335</v>
      </c>
    </row>
    <row r="78" spans="6:27" x14ac:dyDescent="0.25">
      <c r="F78" s="177">
        <v>76</v>
      </c>
      <c r="G78" s="175">
        <f>10^('Small Signal'!F78/30)</f>
        <v>341.4548873833603</v>
      </c>
      <c r="H78" s="175" t="str">
        <f>COMPLEX(0,G78*2*PI())</f>
        <v>2145.42433147179i</v>
      </c>
      <c r="I78" s="175">
        <f>IF('Small Signal'!$B$37&gt;=1,Q78+0,N78+0)</f>
        <v>16.855325801268204</v>
      </c>
      <c r="J78" s="175">
        <f>IF('Small Signal'!$B$37&gt;=1,R78,O78)</f>
        <v>-1.3833358821689059</v>
      </c>
      <c r="K78" s="175">
        <f>IF('Small Signal'!$B$37&gt;=1,Z78+0,W78+0)</f>
        <v>40.288622891842138</v>
      </c>
      <c r="L78" s="175">
        <f>IF('Small Signal'!$B$37&gt;=1,AA78,X78)</f>
        <v>90.901037442373337</v>
      </c>
      <c r="M78" s="175" t="str">
        <f>IMDIV(IMSUM('Small Signal'!$B$2*'Small Signal'!$B$16*'Small Signal'!$B$38,IMPRODUCT(H78,'Small Signal'!$B$2*'Small Signal'!$B$16*'Small Signal'!$B$38*'Small Signal'!$B$13*'Small Signal'!$B$14)),IMSUM(IMPRODUCT('Small Signal'!$B$11*'Small Signal'!$B$13*('Small Signal'!$B$14+'Small Signal'!$B$16),IMPOWER(H78,2)),IMSUM(IMPRODUCT(H78,('Small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6.96048814277711-0.168085057002889i</v>
      </c>
      <c r="N78" s="175">
        <f>20*LOG(IMABS(M78))</f>
        <v>16.855325801268204</v>
      </c>
      <c r="O78" s="175">
        <f>(180/PI())*IMARGUMENT(M78)</f>
        <v>-1.3833358821689059</v>
      </c>
      <c r="P78" s="175" t="str">
        <f>IMDIV(IMSUM('Small Signal'!$B$48,IMPRODUCT(H78,'Small Signal'!$B$49)),IMSUM(IMPRODUCT('Small Signal'!$B$52,IMPOWER(H78,2)),IMSUM(IMPRODUCT(H78,'Small Signal'!$B$51),'Small Signal'!$B$50)))</f>
        <v>11.3422784021051-0.281670030857736i</v>
      </c>
      <c r="Q78" s="175">
        <f>20*LOG(IMABS(P78))</f>
        <v>21.096683571306176</v>
      </c>
      <c r="R78" s="175">
        <f>(180/PI())*IMARGUMENT(P78)</f>
        <v>-1.4225702322437519</v>
      </c>
      <c r="S78" s="175" t="str">
        <f>IMPRODUCT(IMDIV(IMSUM(IMPRODUCT(H78,'Small Signal'!$B$33*'Small Signal'!$B$6*'Small Signal'!$B$27*'Small Signal'!$B$7*'Small Signal'!$B$8),'Small Signal'!$B$33*'Small Signal'!$B$6*'Small Signal'!$B$27),IMSUM(IMSUM(IMPRODUCT(H78,('Small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Signal'!$B$5),IMPRODUCT(IMPOWER(H78,2),'Small Signal'!$B$32*'Small Signal'!$B$33*'Small Signal'!$B$8*'Small Signal'!$B$7*('Small Signal'!$B$5+'Small Signal'!$B$6)+('Small Signal'!$B$5+'Small Signal'!$B$6)*('Small Signal'!$B$9*'Small Signal'!$B$8*'Small Signal'!$B$33*'Small Signal'!$B$7)))),-1)</f>
        <v>-0.591826267331964+14.8360942954005i</v>
      </c>
      <c r="T78" s="175">
        <f>20*LOG(IMABS(S78))</f>
        <v>23.433297090573902</v>
      </c>
      <c r="U78" s="175">
        <f>(180/PI())*IMARGUMENT(S78)</f>
        <v>92.284373324542244</v>
      </c>
      <c r="V78" s="175" t="str">
        <f>IMPRODUCT(M78,S78)</f>
        <v>-1.62567396100554+103.365935580139i</v>
      </c>
      <c r="W78" s="176">
        <f>20*LOG(IMABS(V78))</f>
        <v>40.288622891842138</v>
      </c>
      <c r="X78" s="175">
        <f>(180/PI())*IMARGUMENT(V78)</f>
        <v>90.901037442373337</v>
      </c>
      <c r="Y78" s="175" t="str">
        <f>IMPRODUCT(P78,S78)</f>
        <v>-2.53377515176407+168.441811621298i</v>
      </c>
      <c r="Z78" s="176">
        <f>20*LOG(IMABS(Y78))</f>
        <v>44.529980661880096</v>
      </c>
      <c r="AA78" s="175">
        <f>(180/PI())*IMARGUMENT(Y78)</f>
        <v>90.861803092298487</v>
      </c>
    </row>
    <row r="79" spans="6:27" x14ac:dyDescent="0.25">
      <c r="F79" s="177">
        <v>77</v>
      </c>
      <c r="G79" s="175">
        <f>10^('Small Signal'!F79/30)</f>
        <v>368.69450645195781</v>
      </c>
      <c r="H79" s="175" t="str">
        <f>COMPLEX(0,G79*2*PI())</f>
        <v>2316.57590577677i</v>
      </c>
      <c r="I79" s="175">
        <f>IF('Small Signal'!$B$37&gt;=1,Q79+0,N79+0)</f>
        <v>16.854981216985017</v>
      </c>
      <c r="J79" s="175">
        <f>IF('Small Signal'!$B$37&gt;=1,R79,O79)</f>
        <v>-1.4936565601990235</v>
      </c>
      <c r="K79" s="175">
        <f>IF('Small Signal'!$B$37&gt;=1,Z79+0,W79+0)</f>
        <v>39.622394162705383</v>
      </c>
      <c r="L79" s="175">
        <f>IF('Small Signal'!$B$37&gt;=1,AA79,X79)</f>
        <v>90.891446709801642</v>
      </c>
      <c r="M79" s="175" t="str">
        <f>IMDIV(IMSUM('Small Signal'!$B$2*'Small Signal'!$B$16*'Small Signal'!$B$38,IMPRODUCT(H79,'Small Signal'!$B$2*'Small Signal'!$B$16*'Small Signal'!$B$38*'Small Signal'!$B$13*'Small Signal'!$B$14)),IMSUM(IMPRODUCT('Small Signal'!$B$11*'Small Signal'!$B$13*('Small Signal'!$B$14+'Small Signal'!$B$16),IMPOWER(H79,2)),IMSUM(IMPRODUCT(H79,('Small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6.95987548366356-0.181479672376449i</v>
      </c>
      <c r="N79" s="175">
        <f>20*LOG(IMABS(M79))</f>
        <v>16.854981216985017</v>
      </c>
      <c r="O79" s="175">
        <f>(180/PI())*IMARGUMENT(M79)</f>
        <v>-1.4936565601990235</v>
      </c>
      <c r="P79" s="175" t="str">
        <f>IMDIV(IMSUM('Small Signal'!$B$48,IMPRODUCT(H79,'Small Signal'!$B$49)),IMSUM(IMPRODUCT('Small Signal'!$B$52,IMPOWER(H79,2)),IMSUM(IMPRODUCT(H79,'Small Signal'!$B$51),'Small Signal'!$B$50)))</f>
        <v>11.3412927518168-0.304118554855415i</v>
      </c>
      <c r="Q79" s="175">
        <f>20*LOG(IMABS(P79))</f>
        <v>21.096372903805971</v>
      </c>
      <c r="R79" s="175">
        <f>(180/PI())*IMARGUMENT(P79)</f>
        <v>-1.536027278270597</v>
      </c>
      <c r="S79" s="175" t="str">
        <f>IMPRODUCT(IMDIV(IMSUM(IMPRODUCT(H79,'Small Signal'!$B$33*'Small Signal'!$B$6*'Small Signal'!$B$27*'Small Signal'!$B$7*'Small Signal'!$B$8),'Small Signal'!$B$33*'Small Signal'!$B$6*'Small Signal'!$B$27),IMSUM(IMSUM(IMPRODUCT(H79,('Small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Signal'!$B$5),IMPRODUCT(IMPOWER(H79,2),'Small Signal'!$B$32*'Small Signal'!$B$33*'Small Signal'!$B$8*'Small Signal'!$B$7*('Small Signal'!$B$5+'Small Signal'!$B$6)+('Small Signal'!$B$5+'Small Signal'!$B$6)*('Small Signal'!$B$9*'Small Signal'!$B$8*'Small Signal'!$B$33*'Small Signal'!$B$7)))),-1)</f>
        <v>-0.572307932150952+13.7402377638649i</v>
      </c>
      <c r="T79" s="175">
        <f>20*LOG(IMABS(S79))</f>
        <v>22.76741294572037</v>
      </c>
      <c r="U79" s="175">
        <f>(180/PI())*IMARGUMENT(S79)</f>
        <v>92.385103270000656</v>
      </c>
      <c r="V79" s="175" t="str">
        <f>IMPRODUCT(M79,S79)</f>
        <v>-1.48961809832289+95.7342062084567i</v>
      </c>
      <c r="W79" s="176">
        <f>20*LOG(IMABS(V79))</f>
        <v>39.622394162705383</v>
      </c>
      <c r="X79" s="175">
        <f>(180/PI())*IMARGUMENT(V79)</f>
        <v>90.891446709801642</v>
      </c>
      <c r="Y79" s="175" t="str">
        <f>IMPRODUCT(P79,S79)</f>
        <v>-2.31205055059446+156.006108420819i</v>
      </c>
      <c r="Z79" s="176">
        <f>20*LOG(IMABS(Y79))</f>
        <v>43.863785849526373</v>
      </c>
      <c r="AA79" s="175">
        <f>(180/PI())*IMARGUMENT(Y79)</f>
        <v>90.849075991730061</v>
      </c>
    </row>
    <row r="80" spans="6:27" x14ac:dyDescent="0.25">
      <c r="F80" s="177">
        <v>78</v>
      </c>
      <c r="G80" s="175">
        <f>10^('Small Signal'!F80/30)</f>
        <v>398.10717055349761</v>
      </c>
      <c r="H80" s="175" t="str">
        <f>COMPLEX(0,G80*2*PI())</f>
        <v>2501.38112470457i</v>
      </c>
      <c r="I80" s="175">
        <f>IF('Small Signal'!$B$37&gt;=1,Q80+0,N80+0)</f>
        <v>16.854579494870418</v>
      </c>
      <c r="J80" s="175">
        <f>IF('Small Signal'!$B$37&gt;=1,R80,O80)</f>
        <v>-1.6127689872215454</v>
      </c>
      <c r="K80" s="175">
        <f>IF('Small Signal'!$B$37&gt;=1,Z80+0,W80+0)</f>
        <v>38.956221689863554</v>
      </c>
      <c r="L80" s="175">
        <f>IF('Small Signal'!$B$37&gt;=1,AA80,X80)</f>
        <v>90.887084440131574</v>
      </c>
      <c r="M80" s="175" t="str">
        <f>IMDIV(IMSUM('Small Signal'!$B$2*'Small Signal'!$B$16*'Small Signal'!$B$38,IMPRODUCT(H80,'Small Signal'!$B$2*'Small Signal'!$B$16*'Small Signal'!$B$38*'Small Signal'!$B$13*'Small Signal'!$B$14)),IMSUM(IMPRODUCT('Small Signal'!$B$11*'Small Signal'!$B$13*('Small Signal'!$B$14+'Small Signal'!$B$16),IMPOWER(H80,2)),IMSUM(IMPRODUCT(H80,('Small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6.95916129694932-0.195939120606063i</v>
      </c>
      <c r="N80" s="175">
        <f>20*LOG(IMABS(M80))</f>
        <v>16.854579494870418</v>
      </c>
      <c r="O80" s="175">
        <f>(180/PI())*IMARGUMENT(M80)</f>
        <v>-1.6127689872215454</v>
      </c>
      <c r="P80" s="175" t="str">
        <f>IMDIV(IMSUM('Small Signal'!$B$48,IMPRODUCT(H80,'Small Signal'!$B$49)),IMSUM(IMPRODUCT('Small Signal'!$B$52,IMPOWER(H80,2)),IMSUM(IMPRODUCT(H80,'Small Signal'!$B$51),'Small Signal'!$B$50)))</f>
        <v>11.3401437390827-0.32835228631794i</v>
      </c>
      <c r="Q80" s="175">
        <f>20*LOG(IMABS(P80))</f>
        <v>21.096010717509515</v>
      </c>
      <c r="R80" s="175">
        <f>(180/PI())*IMARGUMENT(P80)</f>
        <v>-1.6585279440437108</v>
      </c>
      <c r="S80" s="175" t="str">
        <f>IMPRODUCT(IMDIV(IMSUM(IMPRODUCT(H80,'Small Signal'!$B$33*'Small Signal'!$B$6*'Small Signal'!$B$27*'Small Signal'!$B$7*'Small Signal'!$B$8),'Small Signal'!$B$33*'Small Signal'!$B$6*'Small Signal'!$B$27),IMSUM(IMSUM(IMPRODUCT(H80,('Small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Signal'!$B$5),IMPRODUCT(IMPOWER(H80,2),'Small Signal'!$B$32*'Small Signal'!$B$33*'Small Signal'!$B$8*'Small Signal'!$B$7*('Small Signal'!$B$5+'Small Signal'!$B$6)+('Small Signal'!$B$5+'Small Signal'!$B$6)*('Small Signal'!$B$9*'Small Signal'!$B$8*'Small Signal'!$B$33*'Small Signal'!$B$7)))),-1)</f>
        <v>-0.555566722701621+12.7253169843295i</v>
      </c>
      <c r="T80" s="175">
        <f>20*LOG(IMABS(S80))</f>
        <v>22.10164219499314</v>
      </c>
      <c r="U80" s="175">
        <f>(180/PI())*IMARGUMENT(S80)</f>
        <v>92.499853427353116</v>
      </c>
      <c r="V80" s="175" t="str">
        <f>IMPRODUCT(M80,S80)</f>
        <v>-1.37289101515518+88.6663907038418i</v>
      </c>
      <c r="W80" s="176">
        <f>20*LOG(IMABS(V80))</f>
        <v>38.956221689863554</v>
      </c>
      <c r="X80" s="175">
        <f>(180/PI())*IMARGUMENT(V80)</f>
        <v>90.887084440131574</v>
      </c>
      <c r="Y80" s="175" t="str">
        <f>IMPRODUCT(P80,S80)</f>
        <v>-2.12181956616238+144.489345331288i</v>
      </c>
      <c r="Z80" s="176">
        <f>20*LOG(IMABS(Y80))</f>
        <v>43.19765291250264</v>
      </c>
      <c r="AA80" s="175">
        <f>(180/PI())*IMARGUMENT(Y80)</f>
        <v>90.841325483309404</v>
      </c>
    </row>
    <row r="81" spans="6:27" x14ac:dyDescent="0.25">
      <c r="F81" s="177">
        <v>79</v>
      </c>
      <c r="G81" s="175">
        <f>10^('Small Signal'!F81/30)</f>
        <v>429.86623470822781</v>
      </c>
      <c r="H81" s="175" t="str">
        <f>COMPLEX(0,G81*2*PI())</f>
        <v>2700.92920997135i</v>
      </c>
      <c r="I81" s="175">
        <f>IF('Small Signal'!$B$37&gt;=1,Q81+0,N81+0)</f>
        <v>16.854111167024101</v>
      </c>
      <c r="J81" s="175">
        <f>IF('Small Signal'!$B$37&gt;=1,R81,O81)</f>
        <v>-1.7413721720621489</v>
      </c>
      <c r="K81" s="175">
        <f>IF('Small Signal'!$B$37&gt;=1,Z81+0,W81+0)</f>
        <v>38.290117080248706</v>
      </c>
      <c r="L81" s="175">
        <f>IF('Small Signal'!$B$37&gt;=1,AA81,X81)</f>
        <v>90.887918565133006</v>
      </c>
      <c r="M81" s="175" t="str">
        <f>IMDIV(IMSUM('Small Signal'!$B$2*'Small Signal'!$B$16*'Small Signal'!$B$38,IMPRODUCT(H81,'Small Signal'!$B$2*'Small Signal'!$B$16*'Small Signal'!$B$38*'Small Signal'!$B$13*'Small Signal'!$B$14)),IMSUM(IMPRODUCT('Small Signal'!$B$11*'Small Signal'!$B$13*('Small Signal'!$B$14+'Small Signal'!$B$16),IMPOWER(H81,2)),IMSUM(IMPRODUCT(H81,('Small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6.95832878131257-0.211547385908379i</v>
      </c>
      <c r="N81" s="175">
        <f>20*LOG(IMABS(M81))</f>
        <v>16.854111167024101</v>
      </c>
      <c r="O81" s="175">
        <f>(180/PI())*IMARGUMENT(M81)</f>
        <v>-1.7413721720621489</v>
      </c>
      <c r="P81" s="175" t="str">
        <f>IMDIV(IMSUM('Small Signal'!$B$48,IMPRODUCT(H81,'Small Signal'!$B$49)),IMSUM(IMPRODUCT('Small Signal'!$B$52,IMPOWER(H81,2)),IMSUM(IMPRODUCT(H81,'Small Signal'!$B$51),'Small Signal'!$B$50)))</f>
        <v>11.3388043211624-0.354512185329811i</v>
      </c>
      <c r="Q81" s="175">
        <f>20*LOG(IMABS(P81))</f>
        <v>21.095588473834887</v>
      </c>
      <c r="R81" s="175">
        <f>(180/PI())*IMARGUMENT(P81)</f>
        <v>-1.7907917622880283</v>
      </c>
      <c r="S81" s="175" t="str">
        <f>IMPRODUCT(IMDIV(IMSUM(IMPRODUCT(H81,'Small Signal'!$B$33*'Small Signal'!$B$6*'Small Signal'!$B$27*'Small Signal'!$B$7*'Small Signal'!$B$8),'Small Signal'!$B$33*'Small Signal'!$B$6*'Small Signal'!$B$27),IMSUM(IMSUM(IMPRODUCT(H81,('Small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Signal'!$B$5),IMPRODUCT(IMPOWER(H81,2),'Small Signal'!$B$32*'Small Signal'!$B$33*'Small Signal'!$B$8*'Small Signal'!$B$7*('Small Signal'!$B$5+'Small Signal'!$B$6)+('Small Signal'!$B$5+'Small Signal'!$B$6)*('Small Signal'!$B$9*'Small Signal'!$B$8*'Small Signal'!$B$33*'Small Signal'!$B$7)))),-1)</f>
        <v>-0.541207536775366+11.7853599350914i</v>
      </c>
      <c r="T81" s="175">
        <f>20*LOG(IMABS(S81))</f>
        <v>21.436005913224601</v>
      </c>
      <c r="U81" s="175">
        <f>(180/PI())*IMARGUMENT(S81)</f>
        <v>92.629290737195163</v>
      </c>
      <c r="V81" s="175" t="str">
        <f>IMPRODUCT(M81,S81)</f>
        <v>-1.27273789354938+82.1209002741133i</v>
      </c>
      <c r="W81" s="176">
        <f>20*LOG(IMABS(V81))</f>
        <v>38.290117080248706</v>
      </c>
      <c r="X81" s="175">
        <f>(180/PI())*IMARGUMENT(V81)</f>
        <v>90.887918565133006</v>
      </c>
      <c r="Y81" s="175" t="str">
        <f>IMPRODUCT(P81,S81)</f>
        <v>-1.95859265114653+133.823754825048i</v>
      </c>
      <c r="Z81" s="176">
        <f>20*LOG(IMABS(Y81))</f>
        <v>42.531594387059506</v>
      </c>
      <c r="AA81" s="175">
        <f>(180/PI())*IMARGUMENT(Y81)</f>
        <v>90.838498974907139</v>
      </c>
    </row>
    <row r="82" spans="6:27" x14ac:dyDescent="0.25">
      <c r="F82" s="177">
        <v>80</v>
      </c>
      <c r="G82" s="175">
        <f>10^('Small Signal'!F82/30)</f>
        <v>464.15888336127819</v>
      </c>
      <c r="H82" s="175" t="str">
        <f>COMPLEX(0,G82*2*PI())</f>
        <v>2916.39627613247i</v>
      </c>
      <c r="I82" s="175">
        <f>IF('Small Signal'!$B$37&gt;=1,Q82+0,N82+0)</f>
        <v>16.853565199024061</v>
      </c>
      <c r="J82" s="175">
        <f>IF('Small Signal'!$B$37&gt;=1,R82,O82)</f>
        <v>-1.8802202784643902</v>
      </c>
      <c r="K82" s="175">
        <f>IF('Small Signal'!$B$37&gt;=1,Z82+0,W82+0)</f>
        <v>37.624093521287627</v>
      </c>
      <c r="L82" s="175">
        <f>IF('Small Signal'!$B$37&gt;=1,AA82,X82)</f>
        <v>90.893945949738097</v>
      </c>
      <c r="M82" s="175" t="str">
        <f>IMDIV(IMSUM('Small Signal'!$B$2*'Small Signal'!$B$16*'Small Signal'!$B$38,IMPRODUCT(H82,'Small Signal'!$B$2*'Small Signal'!$B$16*'Small Signal'!$B$38*'Small Signal'!$B$13*'Small Signal'!$B$14)),IMSUM(IMPRODUCT('Small Signal'!$B$11*'Small Signal'!$B$13*('Small Signal'!$B$14+'Small Signal'!$B$16),IMPOWER(H82,2)),IMSUM(IMPRODUCT(H82,('Small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6.95735836348054-0.228394903681733i</v>
      </c>
      <c r="N82" s="175">
        <f>20*LOG(IMABS(M82))</f>
        <v>16.853565199024061</v>
      </c>
      <c r="O82" s="175">
        <f>(180/PI())*IMARGUMENT(M82)</f>
        <v>-1.8802202784643902</v>
      </c>
      <c r="P82" s="175" t="str">
        <f>IMDIV(IMSUM('Small Signal'!$B$48,IMPRODUCT(H82,'Small Signal'!$B$49)),IMSUM(IMPRODUCT('Small Signal'!$B$52,IMPOWER(H82,2)),IMSUM(IMPRODUCT(H82,'Small Signal'!$B$51),'Small Signal'!$B$50)))</f>
        <v>11.3372429905814-0.38275008120161i</v>
      </c>
      <c r="Q82" s="175">
        <f>20*LOG(IMABS(P82))</f>
        <v>21.095096220802795</v>
      </c>
      <c r="R82" s="175">
        <f>(180/PI())*IMARGUMENT(P82)</f>
        <v>-1.9335951692136524</v>
      </c>
      <c r="S82" s="175" t="str">
        <f>IMPRODUCT(IMDIV(IMSUM(IMPRODUCT(H82,'Small Signal'!$B$33*'Small Signal'!$B$6*'Small Signal'!$B$27*'Small Signal'!$B$7*'Small Signal'!$B$8),'Small Signal'!$B$33*'Small Signal'!$B$6*'Small Signal'!$B$27),IMSUM(IMSUM(IMPRODUCT(H82,('Small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Signal'!$B$5),IMPRODUCT(IMPOWER(H82,2),'Small Signal'!$B$32*'Small Signal'!$B$33*'Small Signal'!$B$8*'Small Signal'!$B$7*('Small Signal'!$B$5+'Small Signal'!$B$6)+('Small Signal'!$B$5+'Small Signal'!$B$6)*('Small Signal'!$B$9*'Small Signal'!$B$8*'Small Signal'!$B$33*'Small Signal'!$B$7)))),-1)</f>
        <v>-0.528891469429547+10.9148344051573i</v>
      </c>
      <c r="T82" s="175">
        <f>20*LOG(IMABS(S82))</f>
        <v>20.770528322263573</v>
      </c>
      <c r="U82" s="175">
        <f>(180/PI())*IMARGUMENT(S82)</f>
        <v>92.774166228202489</v>
      </c>
      <c r="V82" s="175" t="str">
        <f>IMPRODUCT(M82,S82)</f>
        <v>-1.1867949355412+76.0592105509447i</v>
      </c>
      <c r="W82" s="176">
        <f>20*LOG(IMABS(V82))</f>
        <v>37.624093521287627</v>
      </c>
      <c r="X82" s="175">
        <f>(180/PI())*IMARGUMENT(V82)</f>
        <v>90.893945949738097</v>
      </c>
      <c r="Y82" s="175" t="str">
        <f>IMPRODUCT(P82,S82)</f>
        <v>-1.81851734969235+123.946563106097i</v>
      </c>
      <c r="Z82" s="176">
        <f>20*LOG(IMABS(Y82))</f>
        <v>41.865624543066346</v>
      </c>
      <c r="AA82" s="175">
        <f>(180/PI())*IMARGUMENT(Y82)</f>
        <v>90.840571058988843</v>
      </c>
    </row>
    <row r="83" spans="6:27" x14ac:dyDescent="0.25">
      <c r="F83" s="177">
        <v>81</v>
      </c>
      <c r="G83" s="175">
        <f>10^('Small Signal'!F83/30)</f>
        <v>501.18723362727269</v>
      </c>
      <c r="H83" s="175" t="str">
        <f>COMPLEX(0,G83*2*PI())</f>
        <v>3149.05226247286i</v>
      </c>
      <c r="I83" s="175">
        <f>IF('Small Signal'!$B$37&gt;=1,Q83+0,N83+0)</f>
        <v>16.852928731574433</v>
      </c>
      <c r="J83" s="175">
        <f>IF('Small Signal'!$B$37&gt;=1,R83,O83)</f>
        <v>-2.0301268679532516</v>
      </c>
      <c r="K83" s="175">
        <f>IF('Small Signal'!$B$37&gt;=1,Z83+0,W83+0)</f>
        <v>36.958166084430879</v>
      </c>
      <c r="L83" s="175">
        <f>IF('Small Signal'!$B$37&gt;=1,AA83,X83)</f>
        <v>90.905191949200315</v>
      </c>
      <c r="M83" s="175" t="str">
        <f>IMDIV(IMSUM('Small Signal'!$B$2*'Small Signal'!$B$16*'Small Signal'!$B$38,IMPRODUCT(H83,'Small Signal'!$B$2*'Small Signal'!$B$16*'Small Signal'!$B$38*'Small Signal'!$B$13*'Small Signal'!$B$14)),IMSUM(IMPRODUCT('Small Signal'!$B$11*'Small Signal'!$B$13*('Small Signal'!$B$14+'Small Signal'!$B$16),IMPOWER(H83,2)),IMSUM(IMPRODUCT(H83,('Small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6.95622724392414-0.246579011076064i</v>
      </c>
      <c r="N83" s="175">
        <f>20*LOG(IMABS(M83))</f>
        <v>16.852928731574433</v>
      </c>
      <c r="O83" s="175">
        <f>(180/PI())*IMARGUMENT(M83)</f>
        <v>-2.0301268679532516</v>
      </c>
      <c r="P83" s="175" t="str">
        <f>IMDIV(IMSUM('Small Signal'!$B$48,IMPRODUCT(H83,'Small Signal'!$B$49)),IMSUM(IMPRODUCT('Small Signal'!$B$52,IMPOWER(H83,2)),IMSUM(IMPRODUCT(H83,'Small Signal'!$B$51),'Small Signal'!$B$50)))</f>
        <v>11.3354230422723-0.413229442649774i</v>
      </c>
      <c r="Q83" s="175">
        <f>20*LOG(IMABS(P83))</f>
        <v>21.09452235971029</v>
      </c>
      <c r="R83" s="175">
        <f>(180/PI())*IMARGUMENT(P83)</f>
        <v>-2.0877759155455529</v>
      </c>
      <c r="S83" s="175" t="str">
        <f>IMPRODUCT(IMDIV(IMSUM(IMPRODUCT(H83,'Small Signal'!$B$33*'Small Signal'!$B$6*'Small Signal'!$B$27*'Small Signal'!$B$7*'Small Signal'!$B$8),'Small Signal'!$B$33*'Small Signal'!$B$6*'Small Signal'!$B$27),IMSUM(IMSUM(IMPRODUCT(H83,('Small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Signal'!$B$5),IMPRODUCT(IMPOWER(H83,2),'Small Signal'!$B$32*'Small Signal'!$B$33*'Small Signal'!$B$8*'Small Signal'!$B$7*('Small Signal'!$B$5+'Small Signal'!$B$6)+('Small Signal'!$B$5+'Small Signal'!$B$6)*('Small Signal'!$B$9*'Small Signal'!$B$8*'Small Signal'!$B$33*'Small Signal'!$B$7)))),-1)</f>
        <v>-0.518327822712068+10.1086158027777i</v>
      </c>
      <c r="T83" s="175">
        <f>20*LOG(IMABS(S83))</f>
        <v>20.105237352856442</v>
      </c>
      <c r="U83" s="175">
        <f>(180/PI())*IMARGUMENT(S83)</f>
        <v>92.935318817153558</v>
      </c>
      <c r="V83" s="175" t="str">
        <f>IMPRODUCT(M83,S83)</f>
        <v>-1.11303363363677+70.4456374075819i</v>
      </c>
      <c r="W83" s="176">
        <f>20*LOG(IMABS(V83))</f>
        <v>36.958166084430879</v>
      </c>
      <c r="X83" s="175">
        <f>(180/PI())*IMARGUMENT(V83)</f>
        <v>90.905191949200315</v>
      </c>
      <c r="Y83" s="175" t="str">
        <f>IMPRODUCT(P83,S83)</f>
        <v>-1.69828747087868+114.799624813573i</v>
      </c>
      <c r="Z83" s="176">
        <f>20*LOG(IMABS(Y83))</f>
        <v>41.199759712566703</v>
      </c>
      <c r="AA83" s="175">
        <f>(180/PI())*IMARGUMENT(Y83)</f>
        <v>90.847542901608023</v>
      </c>
    </row>
    <row r="84" spans="6:27" x14ac:dyDescent="0.25">
      <c r="F84" s="177">
        <v>82</v>
      </c>
      <c r="G84" s="175">
        <f>10^('Small Signal'!F84/30)</f>
        <v>541.16952654646434</v>
      </c>
      <c r="H84" s="175" t="str">
        <f>COMPLEX(0,G84*2*PI())</f>
        <v>3400.26841789008i</v>
      </c>
      <c r="I84" s="175">
        <f>IF('Small Signal'!$B$37&gt;=1,Q84+0,N84+0)</f>
        <v>16.8521867798469</v>
      </c>
      <c r="J84" s="175">
        <f>IF('Small Signal'!$B$37&gt;=1,R84,O84)</f>
        <v>-2.1919694407035331</v>
      </c>
      <c r="K84" s="175">
        <f>IF('Small Signal'!$B$37&gt;=1,Z84+0,W84+0)</f>
        <v>36.292352070378314</v>
      </c>
      <c r="L84" s="175">
        <f>IF('Small Signal'!$B$37&gt;=1,AA84,X84)</f>
        <v>90.921710023421369</v>
      </c>
      <c r="M84" s="175" t="str">
        <f>IMDIV(IMSUM('Small Signal'!$B$2*'Small Signal'!$B$16*'Small Signal'!$B$38,IMPRODUCT(H84,'Small Signal'!$B$2*'Small Signal'!$B$16*'Small Signal'!$B$38*'Small Signal'!$B$13*'Small Signal'!$B$14)),IMSUM(IMPRODUCT('Small Signal'!$B$11*'Small Signal'!$B$13*('Small Signal'!$B$14+'Small Signal'!$B$16),IMPOWER(H84,2)),IMSUM(IMPRODUCT(H84,('Small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6.95490886918078-0.266204417062931i</v>
      </c>
      <c r="N84" s="175">
        <f>20*LOG(IMABS(M84))</f>
        <v>16.8521867798469</v>
      </c>
      <c r="O84" s="175">
        <f>(180/PI())*IMARGUMENT(M84)</f>
        <v>-2.1919694407035331</v>
      </c>
      <c r="P84" s="175" t="str">
        <f>IMDIV(IMSUM('Small Signal'!$B$48,IMPRODUCT(H84,'Small Signal'!$B$49)),IMSUM(IMPRODUCT('Small Signal'!$B$52,IMPOWER(H84,2)),IMSUM(IMPRODUCT(H84,'Small Signal'!$B$51),'Small Signal'!$B$50)))</f>
        <v>11.3333017219515-0.446126184516215i</v>
      </c>
      <c r="Q84" s="175">
        <f>20*LOG(IMABS(P84))</f>
        <v>21.093853373512331</v>
      </c>
      <c r="R84" s="175">
        <f>(180/PI())*IMARGUMENT(P84)</f>
        <v>-2.2542377963340403</v>
      </c>
      <c r="S84" s="175" t="str">
        <f>IMPRODUCT(IMDIV(IMSUM(IMPRODUCT(H84,'Small Signal'!$B$33*'Small Signal'!$B$6*'Small Signal'!$B$27*'Small Signal'!$B$7*'Small Signal'!$B$8),'Small Signal'!$B$33*'Small Signal'!$B$6*'Small Signal'!$B$27),IMSUM(IMSUM(IMPRODUCT(H84,('Small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Signal'!$B$5),IMPRODUCT(IMPOWER(H84,2),'Small Signal'!$B$32*'Small Signal'!$B$33*'Small Signal'!$B$8*'Small Signal'!$B$7*('Small Signal'!$B$5+'Small Signal'!$B$6)+('Small Signal'!$B$5+'Small Signal'!$B$6)*('Small Signal'!$B$9*'Small Signal'!$B$8*'Small Signal'!$B$33*'Small Signal'!$B$7)))),-1)</f>
        <v>-0.509267250561843+9.36195728117374i</v>
      </c>
      <c r="T84" s="175">
        <f>20*LOG(IMABS(S84))</f>
        <v>19.440165290531418</v>
      </c>
      <c r="U84" s="175">
        <f>(180/PI())*IMARGUMENT(S84)</f>
        <v>93.113679464124914</v>
      </c>
      <c r="V84" s="175" t="str">
        <f>IMPRODUCT(M84,S84)</f>
        <v>-1.04971293711295+65.2471289192919i</v>
      </c>
      <c r="W84" s="176">
        <f>20*LOG(IMABS(V84))</f>
        <v>36.292352070378314</v>
      </c>
      <c r="X84" s="175">
        <f>(180/PI())*IMARGUMENT(V84)</f>
        <v>90.921710023421369</v>
      </c>
      <c r="Y84" s="175" t="str">
        <f>IMPRODUCT(P84,S84)</f>
        <v>-1.5950651262722+106.329084030955i</v>
      </c>
      <c r="Z84" s="176">
        <f>20*LOG(IMABS(Y84))</f>
        <v>40.534018664043749</v>
      </c>
      <c r="AA84" s="175">
        <f>(180/PI())*IMARGUMENT(Y84)</f>
        <v>90.859441667790861</v>
      </c>
    </row>
    <row r="85" spans="6:27" x14ac:dyDescent="0.25">
      <c r="F85" s="177">
        <v>83</v>
      </c>
      <c r="G85" s="175">
        <f>10^('Small Signal'!F85/30)</f>
        <v>584.34141337351787</v>
      </c>
      <c r="H85" s="175" t="str">
        <f>COMPLEX(0,G85*2*PI())</f>
        <v>3671.52538288504i</v>
      </c>
      <c r="I85" s="175">
        <f>IF('Small Signal'!$B$37&gt;=1,Q85+0,N85+0)</f>
        <v>16.851321883695331</v>
      </c>
      <c r="J85" s="175">
        <f>IF('Small Signal'!$B$37&gt;=1,R85,O85)</f>
        <v>-2.3666942878077686</v>
      </c>
      <c r="K85" s="175">
        <f>IF('Small Signal'!$B$37&gt;=1,Z85+0,W85+0)</f>
        <v>35.626671403160188</v>
      </c>
      <c r="L85" s="175">
        <f>IF('Small Signal'!$B$37&gt;=1,AA85,X85)</f>
        <v>90.943581378628025</v>
      </c>
      <c r="M85" s="175" t="str">
        <f>IMDIV(IMSUM('Small Signal'!$B$2*'Small Signal'!$B$16*'Small Signal'!$B$38,IMPRODUCT(H85,'Small Signal'!$B$2*'Small Signal'!$B$16*'Small Signal'!$B$38*'Small Signal'!$B$13*'Small Signal'!$B$14)),IMSUM(IMPRODUCT('Small Signal'!$B$11*'Small Signal'!$B$13*('Small Signal'!$B$14+'Small Signal'!$B$16),IMPOWER(H85,2)),IMSUM(IMPRODUCT(H85,('Small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6.95337231934633-0.28738368937153i</v>
      </c>
      <c r="N85" s="175">
        <f>20*LOG(IMABS(M85))</f>
        <v>16.851321883695331</v>
      </c>
      <c r="O85" s="175">
        <f>(180/PI())*IMARGUMENT(M85)</f>
        <v>-2.3666942878077686</v>
      </c>
      <c r="P85" s="175" t="str">
        <f>IMDIV(IMSUM('Small Signal'!$B$48,IMPRODUCT(H85,'Small Signal'!$B$49)),IMSUM(IMPRODUCT('Small Signal'!$B$52,IMPOWER(H85,2)),IMSUM(IMPRODUCT(H85,'Small Signal'!$B$51),'Small Signal'!$B$50)))</f>
        <v>11.3308292370394-0.481629507584894i</v>
      </c>
      <c r="Q85" s="175">
        <f>20*LOG(IMABS(P85))</f>
        <v>21.093073510710731</v>
      </c>
      <c r="R85" s="175">
        <f>(180/PI())*IMARGUMENT(P85)</f>
        <v>-2.433955716474232</v>
      </c>
      <c r="S85" s="175" t="str">
        <f>IMPRODUCT(IMDIV(IMSUM(IMPRODUCT(H85,'Small Signal'!$B$33*'Small Signal'!$B$6*'Small Signal'!$B$27*'Small Signal'!$B$7*'Small Signal'!$B$8),'Small Signal'!$B$33*'Small Signal'!$B$6*'Small Signal'!$B$27),IMSUM(IMSUM(IMPRODUCT(H85,('Small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Signal'!$B$5),IMPRODUCT(IMPOWER(H85,2),'Small Signal'!$B$32*'Small Signal'!$B$33*'Small Signal'!$B$8*'Small Signal'!$B$7*('Small Signal'!$B$5+'Small Signal'!$B$6)+('Small Signal'!$B$5+'Small Signal'!$B$6)*('Small Signal'!$B$9*'Small Signal'!$B$8*'Small Signal'!$B$33*'Small Signal'!$B$7)))),-1)</f>
        <v>-0.501495877828543+8.6704620229074i</v>
      </c>
      <c r="T85" s="175">
        <f>20*LOG(IMABS(S85))</f>
        <v>18.775349519464854</v>
      </c>
      <c r="U85" s="175">
        <f>(180/PI())*IMARGUMENT(S85)</f>
        <v>93.3102756664358</v>
      </c>
      <c r="V85" s="175" t="str">
        <f>IMPRODUCT(M85,S85)</f>
        <v>-0.995338190460412+60.4330723616029i</v>
      </c>
      <c r="W85" s="176">
        <f>20*LOG(IMABS(V85))</f>
        <v>35.626671403160188</v>
      </c>
      <c r="X85" s="175">
        <f>(180/PI())*IMARGUMENT(V85)</f>
        <v>90.943581378628025</v>
      </c>
      <c r="Y85" s="175" t="str">
        <f>IMPRODUCT(P85,S85)</f>
        <v>-1.50641380012798+98.4850598004933i</v>
      </c>
      <c r="Z85" s="176">
        <f>20*LOG(IMABS(Y85))</f>
        <v>39.868423030175578</v>
      </c>
      <c r="AA85" s="175">
        <f>(180/PI())*IMARGUMENT(Y85)</f>
        <v>90.876319949961569</v>
      </c>
    </row>
    <row r="86" spans="6:27" x14ac:dyDescent="0.25">
      <c r="F86" s="177">
        <v>84</v>
      </c>
      <c r="G86" s="175">
        <f>10^('Small Signal'!F86/30)</f>
        <v>630.95734448019323</v>
      </c>
      <c r="H86" s="175" t="str">
        <f>COMPLEX(0,G86*2*PI())</f>
        <v>3964.421916295i</v>
      </c>
      <c r="I86" s="175">
        <f>IF('Small Signal'!$B$37&gt;=1,Q86+0,N86+0)</f>
        <v>16.850313700863602</v>
      </c>
      <c r="J86" s="175">
        <f>IF('Small Signal'!$B$37&gt;=1,R86,O86)</f>
        <v>-2.5553216667659466</v>
      </c>
      <c r="K86" s="175">
        <f>IF('Small Signal'!$B$37&gt;=1,Z86+0,W86+0)</f>
        <v>34.96114708103336</v>
      </c>
      <c r="L86" s="175">
        <f>IF('Small Signal'!$B$37&gt;=1,AA86,X86)</f>
        <v>90.970914599818869</v>
      </c>
      <c r="M86" s="175" t="str">
        <f>IMDIV(IMSUM('Small Signal'!$B$2*'Small Signal'!$B$16*'Small Signal'!$B$38,IMPRODUCT(H86,'Small Signal'!$B$2*'Small Signal'!$B$16*'Small Signal'!$B$38*'Small Signal'!$B$13*'Small Signal'!$B$14)),IMSUM(IMPRODUCT('Small Signal'!$B$11*'Small Signal'!$B$13*('Small Signal'!$B$14+'Small Signal'!$B$16),IMPOWER(H86,2)),IMSUM(IMPRODUCT(H86,('Small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6.95158159763035-0.310237754393274i</v>
      </c>
      <c r="N86" s="175">
        <f>20*LOG(IMABS(M86))</f>
        <v>16.850313700863602</v>
      </c>
      <c r="O86" s="175">
        <f>(180/PI())*IMARGUMENT(M86)</f>
        <v>-2.5553216667659466</v>
      </c>
      <c r="P86" s="175" t="str">
        <f>IMDIV(IMSUM('Small Signal'!$B$48,IMPRODUCT(H86,'Small Signal'!$B$49)),IMSUM(IMPRODUCT('Small Signal'!$B$52,IMPOWER(H86,2)),IMSUM(IMPRODUCT(H86,'Small Signal'!$B$51),'Small Signal'!$B$50)))</f>
        <v>11.3279476086857-0.519942766173142i</v>
      </c>
      <c r="Q86" s="175">
        <f>20*LOG(IMABS(P86))</f>
        <v>21.09216441757177</v>
      </c>
      <c r="R86" s="175">
        <f>(180/PI())*IMARGUMENT(P86)</f>
        <v>-2.6279811080445858</v>
      </c>
      <c r="S86" s="175" t="str">
        <f>IMPRODUCT(IMDIV(IMSUM(IMPRODUCT(H86,'Small Signal'!$B$33*'Small Signal'!$B$6*'Small Signal'!$B$27*'Small Signal'!$B$7*'Small Signal'!$B$8),'Small Signal'!$B$33*'Small Signal'!$B$6*'Small Signal'!$B$27),IMSUM(IMSUM(IMPRODUCT(H86,('Small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Signal'!$B$5),IMPRODUCT(IMPOWER(H86,2),'Small Signal'!$B$32*'Small Signal'!$B$33*'Small Signal'!$B$8*'Small Signal'!$B$7*('Small Signal'!$B$5+'Small Signal'!$B$6)+('Small Signal'!$B$5+'Small Signal'!$B$6)*('Small Signal'!$B$9*'Small Signal'!$B$8*'Small Signal'!$B$33*'Small Signal'!$B$7)))),-1)</f>
        <v>-0.494830255144302+8.0300575334648i</v>
      </c>
      <c r="T86" s="175">
        <f>20*LOG(IMABS(S86))</f>
        <v>18.110833380169755</v>
      </c>
      <c r="U86" s="175">
        <f>(180/PI())*IMARGUMENT(S86)</f>
        <v>93.526236266584803</v>
      </c>
      <c r="V86" s="175" t="str">
        <f>IMPRODUCT(M86,S86)</f>
        <v>-0.948625878780948+55.9751152047087i</v>
      </c>
      <c r="W86" s="176">
        <f>20*LOG(IMABS(V86))</f>
        <v>34.96114708103336</v>
      </c>
      <c r="X86" s="175">
        <f>(180/PI())*IMARGUMENT(V86)</f>
        <v>90.970914599818869</v>
      </c>
      <c r="Y86" s="175" t="str">
        <f>IMPRODUCT(P86,S86)</f>
        <v>-1.43024087898806+91.2213544454671i</v>
      </c>
      <c r="Z86" s="176">
        <f>20*LOG(IMABS(Y86))</f>
        <v>39.202997797741531</v>
      </c>
      <c r="AA86" s="175">
        <f>(180/PI())*IMARGUMENT(Y86)</f>
        <v>90.898255158540223</v>
      </c>
    </row>
    <row r="87" spans="6:27" x14ac:dyDescent="0.25">
      <c r="F87" s="177">
        <v>85</v>
      </c>
      <c r="G87" s="175">
        <f>10^('Small Signal'!F87/30)</f>
        <v>681.29206905796195</v>
      </c>
      <c r="H87" s="175" t="str">
        <f>COMPLEX(0,G87*2*PI())</f>
        <v>4280.68431820297i</v>
      </c>
      <c r="I87" s="175">
        <f>IF('Small Signal'!$B$37&gt;=1,Q87+0,N87+0)</f>
        <v>16.849138534095292</v>
      </c>
      <c r="J87" s="175">
        <f>IF('Small Signal'!$B$37&gt;=1,R87,O87)</f>
        <v>-2.7589513096595817</v>
      </c>
      <c r="K87" s="175">
        <f>IF('Small Signal'!$B$37&gt;=1,Z87+0,W87+0)</f>
        <v>34.295805693026431</v>
      </c>
      <c r="L87" s="175">
        <f>IF('Small Signal'!$B$37&gt;=1,AA87,X87)</f>
        <v>91.003845228789956</v>
      </c>
      <c r="M87" s="175" t="str">
        <f>IMDIV(IMSUM('Small Signal'!$B$2*'Small Signal'!$B$16*'Small Signal'!$B$38,IMPRODUCT(H87,'Small Signal'!$B$2*'Small Signal'!$B$16*'Small Signal'!$B$38*'Small Signal'!$B$13*'Small Signal'!$B$14)),IMSUM(IMPRODUCT('Small Signal'!$B$11*'Small Signal'!$B$13*('Small Signal'!$B$14+'Small Signal'!$B$16),IMPOWER(H87,2)),IMSUM(IMPRODUCT(H87,('Small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6.94949480703738-0.334896404535332i</v>
      </c>
      <c r="N87" s="175">
        <f>20*LOG(IMABS(M87))</f>
        <v>16.849138534095292</v>
      </c>
      <c r="O87" s="175">
        <f>(180/PI())*IMARGUMENT(M87)</f>
        <v>-2.7589513096595817</v>
      </c>
      <c r="P87" s="175" t="str">
        <f>IMDIV(IMSUM('Small Signal'!$B$48,IMPRODUCT(H87,'Small Signal'!$B$49)),IMSUM(IMPRODUCT('Small Signal'!$B$52,IMPOWER(H87,2)),IMSUM(IMPRODUCT(H87,'Small Signal'!$B$51),'Small Signal'!$B$50)))</f>
        <v>11.3245893403952-0.561284355750182i</v>
      </c>
      <c r="Q87" s="175">
        <f>20*LOG(IMABS(P87))</f>
        <v>21.09110471037917</v>
      </c>
      <c r="R87" s="175">
        <f>(180/PI())*IMARGUMENT(P87)</f>
        <v>-2.8374477141435155</v>
      </c>
      <c r="S87" s="175" t="str">
        <f>IMPRODUCT(IMDIV(IMSUM(IMPRODUCT(H87,'Small Signal'!$B$33*'Small Signal'!$B$6*'Small Signal'!$B$27*'Small Signal'!$B$7*'Small Signal'!$B$8),'Small Signal'!$B$33*'Small Signal'!$B$6*'Small Signal'!$B$27),IMSUM(IMSUM(IMPRODUCT(H87,('Small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Signal'!$B$5),IMPRODUCT(IMPOWER(H87,2),'Small Signal'!$B$32*'Small Signal'!$B$33*'Small Signal'!$B$8*'Small Signal'!$B$7*('Small Signal'!$B$5+'Small Signal'!$B$6)+('Small Signal'!$B$5+'Small Signal'!$B$6)*('Small Signal'!$B$9*'Small Signal'!$B$8*'Small Signal'!$B$33*'Small Signal'!$B$7)))),-1)</f>
        <v>-0.489113030960408+7.43697180360758i</v>
      </c>
      <c r="T87" s="175">
        <f>20*LOG(IMABS(S87))</f>
        <v>17.446667158931142</v>
      </c>
      <c r="U87" s="175">
        <f>(180/PI())*IMARGUMENT(S87)</f>
        <v>93.76279653844955</v>
      </c>
      <c r="V87" s="175" t="str">
        <f>IMPRODUCT(M87,S87)</f>
        <v>-0.908473351054846+51.8469991247343i</v>
      </c>
      <c r="W87" s="176">
        <f>20*LOG(IMABS(V87))</f>
        <v>34.295805693026431</v>
      </c>
      <c r="X87" s="175">
        <f>(180/PI())*IMARGUMENT(V87)</f>
        <v>91.003845228789956</v>
      </c>
      <c r="Y87" s="175" t="str">
        <f>IMPRODUCT(P87,S87)</f>
        <v>-1.36474828914247+84.4951831044257i</v>
      </c>
      <c r="Z87" s="176">
        <f>20*LOG(IMABS(Y87))</f>
        <v>38.537771869310312</v>
      </c>
      <c r="AA87" s="175">
        <f>(180/PI())*IMARGUMENT(Y87)</f>
        <v>90.925348824306013</v>
      </c>
    </row>
    <row r="88" spans="6:27" x14ac:dyDescent="0.25">
      <c r="F88" s="177">
        <v>86</v>
      </c>
      <c r="G88" s="175">
        <f>10^('Small Signal'!F88/30)</f>
        <v>735.64225445964166</v>
      </c>
      <c r="H88" s="175" t="str">
        <f>COMPLEX(0,G88*2*PI())</f>
        <v>4622.17660456129i</v>
      </c>
      <c r="I88" s="175">
        <f>IF('Small Signal'!$B$37&gt;=1,Q88+0,N88+0)</f>
        <v>16.847768781675391</v>
      </c>
      <c r="J88" s="175">
        <f>IF('Small Signal'!$B$37&gt;=1,R88,O88)</f>
        <v>-2.9787682701009239</v>
      </c>
      <c r="K88" s="175">
        <f>IF('Small Signal'!$B$37&gt;=1,Z88+0,W88+0)</f>
        <v>33.630678010876153</v>
      </c>
      <c r="L88" s="175">
        <f>IF('Small Signal'!$B$37&gt;=1,AA88,X88)</f>
        <v>91.042535231676851</v>
      </c>
      <c r="M88" s="175" t="str">
        <f>IMDIV(IMSUM('Small Signal'!$B$2*'Small Signal'!$B$16*'Small Signal'!$B$38,IMPRODUCT(H88,'Small Signal'!$B$2*'Small Signal'!$B$16*'Small Signal'!$B$38*'Small Signal'!$B$13*'Small Signal'!$B$14)),IMSUM(IMPRODUCT('Small Signal'!$B$11*'Small Signal'!$B$13*('Small Signal'!$B$14+'Small Signal'!$B$16),IMPOWER(H88,2)),IMSUM(IMPRODUCT(H88,('Small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6.94706319722197-0.361498805433768i</v>
      </c>
      <c r="N88" s="175">
        <f>20*LOG(IMABS(M88))</f>
        <v>16.847768781675391</v>
      </c>
      <c r="O88" s="175">
        <f>(180/PI())*IMARGUMENT(M88)</f>
        <v>-2.9787682701009239</v>
      </c>
      <c r="P88" s="175" t="str">
        <f>IMDIV(IMSUM('Small Signal'!$B$48,IMPRODUCT(H88,'Small Signal'!$B$49)),IMSUM(IMPRODUCT('Small Signal'!$B$52,IMPOWER(H88,2)),IMSUM(IMPRODUCT(H88,'Small Signal'!$B$51),'Small Signal'!$B$50)))</f>
        <v>11.3206758753347-0.605888609726756i</v>
      </c>
      <c r="Q88" s="175">
        <f>20*LOG(IMABS(P88))</f>
        <v>21.089869478146824</v>
      </c>
      <c r="R88" s="175">
        <f>(180/PI())*IMARGUMENT(P88)</f>
        <v>-3.0635777516797167</v>
      </c>
      <c r="S88" s="175" t="str">
        <f>IMPRODUCT(IMDIV(IMSUM(IMPRODUCT(H88,'Small Signal'!$B$33*'Small Signal'!$B$6*'Small Signal'!$B$27*'Small Signal'!$B$7*'Small Signal'!$B$8),'Small Signal'!$B$33*'Small Signal'!$B$6*'Small Signal'!$B$27),IMSUM(IMSUM(IMPRODUCT(H88,('Small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Signal'!$B$5),IMPRODUCT(IMPOWER(H88,2),'Small Signal'!$B$32*'Small Signal'!$B$33*'Small Signal'!$B$8*'Small Signal'!$B$7*('Small Signal'!$B$5+'Small Signal'!$B$6)+('Small Signal'!$B$5+'Small Signal'!$B$6)*('Small Signal'!$B$9*'Small Signal'!$B$8*'Small Signal'!$B$33*'Small Signal'!$B$7)))),-1)</f>
        <v>-0.484209238880782+6.88771120878383i</v>
      </c>
      <c r="T88" s="175">
        <f>20*LOG(IMABS(S88))</f>
        <v>16.782909229200754</v>
      </c>
      <c r="U88" s="175">
        <f>(180/PI())*IMARGUMENT(S88)</f>
        <v>94.02130350177778</v>
      </c>
      <c r="V88" s="175" t="str">
        <f>IMPRODUCT(M88,S88)</f>
        <v>-0.873932809035413+48.0244061130708i</v>
      </c>
      <c r="W88" s="176">
        <f>20*LOG(IMABS(V88))</f>
        <v>33.630678010876153</v>
      </c>
      <c r="X88" s="175">
        <f>(180/PI())*IMARGUMENT(V88)</f>
        <v>91.042535231676851</v>
      </c>
      <c r="Y88" s="175" t="str">
        <f>IMPRODUCT(P88,S88)</f>
        <v>-1.30839008072242+78.2669229801138i</v>
      </c>
      <c r="Z88" s="176">
        <f>20*LOG(IMABS(Y88))</f>
        <v>37.872778707347578</v>
      </c>
      <c r="AA88" s="175">
        <f>(180/PI())*IMARGUMENT(Y88)</f>
        <v>90.957725750098064</v>
      </c>
    </row>
    <row r="89" spans="6:27" x14ac:dyDescent="0.25">
      <c r="F89" s="177">
        <v>87</v>
      </c>
      <c r="G89" s="175">
        <f>10^('Small Signal'!F89/30)</f>
        <v>794.32823472428208</v>
      </c>
      <c r="H89" s="175" t="str">
        <f>COMPLEX(0,G89*2*PI())</f>
        <v>4990.91149349751i</v>
      </c>
      <c r="I89" s="175">
        <f>IF('Small Signal'!$B$37&gt;=1,Q89+0,N89+0)</f>
        <v>16.84617229937432</v>
      </c>
      <c r="J89" s="175">
        <f>IF('Small Signal'!$B$37&gt;=1,R89,O89)</f>
        <v>-3.2160491103852022</v>
      </c>
      <c r="K89" s="175">
        <f>IF('Small Signal'!$B$37&gt;=1,Z89+0,W89+0)</f>
        <v>32.965799667025053</v>
      </c>
      <c r="L89" s="175">
        <f>IF('Small Signal'!$B$37&gt;=1,AA89,X89)</f>
        <v>91.087172286324417</v>
      </c>
      <c r="M89" s="175" t="str">
        <f>IMDIV(IMSUM('Small Signal'!$B$2*'Small Signal'!$B$16*'Small Signal'!$B$38,IMPRODUCT(H89,'Small Signal'!$B$2*'Small Signal'!$B$16*'Small Signal'!$B$38*'Small Signal'!$B$13*'Small Signal'!$B$14)),IMSUM(IMPRODUCT('Small Signal'!$B$11*'Small Signal'!$B$13*('Small Signal'!$B$14+'Small Signal'!$B$16),IMPOWER(H89,2)),IMSUM(IMPRODUCT(H89,('Small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6.94423006237915-0.390193992811397i</v>
      </c>
      <c r="N89" s="175">
        <f>20*LOG(IMABS(M89))</f>
        <v>16.84617229937432</v>
      </c>
      <c r="O89" s="175">
        <f>(180/PI())*IMARGUMENT(M89)</f>
        <v>-3.2160491103852022</v>
      </c>
      <c r="P89" s="175" t="str">
        <f>IMDIV(IMSUM('Small Signal'!$B$48,IMPRODUCT(H89,'Small Signal'!$B$49)),IMSUM(IMPRODUCT('Small Signal'!$B$52,IMPOWER(H89,2)),IMSUM(IMPRODUCT(H89,'Small Signal'!$B$51),'Small Signal'!$B$50)))</f>
        <v>11.3161158106644-0.6540066905994i</v>
      </c>
      <c r="Q89" s="175">
        <f>20*LOG(IMABS(P89))</f>
        <v>21.088429704766337</v>
      </c>
      <c r="R89" s="175">
        <f>(180/PI())*IMARGUMENT(P89)</f>
        <v>-3.3076884623208671</v>
      </c>
      <c r="S89" s="175" t="str">
        <f>IMPRODUCT(IMDIV(IMSUM(IMPRODUCT(H89,'Small Signal'!$B$33*'Small Signal'!$B$6*'Small Signal'!$B$27*'Small Signal'!$B$7*'Small Signal'!$B$8),'Small Signal'!$B$33*'Small Signal'!$B$6*'Small Signal'!$B$27),IMSUM(IMSUM(IMPRODUCT(H89,('Small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Signal'!$B$5),IMPRODUCT(IMPOWER(H89,2),'Small Signal'!$B$32*'Small Signal'!$B$33*'Small Signal'!$B$8*'Small Signal'!$B$7*('Small Signal'!$B$5+'Small Signal'!$B$6)+('Small Signal'!$B$5+'Small Signal'!$B$6)*('Small Signal'!$B$9*'Small Signal'!$B$8*'Small Signal'!$B$33*'Small Signal'!$B$7)))),-1)</f>
        <v>-0.480003112867835+6.37904002232408i</v>
      </c>
      <c r="T89" s="175">
        <f>20*LOG(IMABS(S89))</f>
        <v>16.119627367650736</v>
      </c>
      <c r="U89" s="175">
        <f>(180/PI())*IMARGUMENT(S89)</f>
        <v>94.303221396709631</v>
      </c>
      <c r="V89" s="175" t="str">
        <f>IMPRODUCT(M89,S89)</f>
        <v>-0.844188949798056+44.4848158233144i</v>
      </c>
      <c r="W89" s="176">
        <f>20*LOG(IMABS(V89))</f>
        <v>32.965799667025053</v>
      </c>
      <c r="X89" s="175">
        <f>(180/PI())*IMARGUMENT(V89)</f>
        <v>91.087172286324417</v>
      </c>
      <c r="Y89" s="175" t="str">
        <f>IMPRODUCT(P89,S89)</f>
        <v>-1.25983596049054+72.4998809008066i</v>
      </c>
      <c r="Z89" s="176">
        <f>20*LOG(IMABS(Y89))</f>
        <v>37.208057072417077</v>
      </c>
      <c r="AA89" s="175">
        <f>(180/PI())*IMARGUMENT(Y89)</f>
        <v>90.995532934388748</v>
      </c>
    </row>
    <row r="90" spans="6:27" x14ac:dyDescent="0.25">
      <c r="F90" s="177">
        <v>88</v>
      </c>
      <c r="G90" s="175">
        <f>10^('Small Signal'!F90/30)</f>
        <v>857.69589859089422</v>
      </c>
      <c r="H90" s="175" t="str">
        <f>COMPLEX(0,G90*2*PI())</f>
        <v>5389.0622680545i</v>
      </c>
      <c r="I90" s="175">
        <f>IF('Small Signal'!$B$37&gt;=1,Q90+0,N90+0)</f>
        <v>16.844311660006387</v>
      </c>
      <c r="J90" s="175">
        <f>IF('Small Signal'!$B$37&gt;=1,R90,O90)</f>
        <v>-3.4721684239727724</v>
      </c>
      <c r="K90" s="175">
        <f>IF('Small Signal'!$B$37&gt;=1,Z90+0,W90+0)</f>
        <v>32.301211930231432</v>
      </c>
      <c r="L90" s="175">
        <f>IF('Small Signal'!$B$37&gt;=1,AA90,X90)</f>
        <v>91.137968802842522</v>
      </c>
      <c r="M90" s="175" t="str">
        <f>IMDIV(IMSUM('Small Signal'!$B$2*'Small Signal'!$B$16*'Small Signal'!$B$38,IMPRODUCT(H90,'Small Signal'!$B$2*'Small Signal'!$B$16*'Small Signal'!$B$38*'Small Signal'!$B$13*'Small Signal'!$B$14)),IMSUM(IMPRODUCT('Small Signal'!$B$11*'Small Signal'!$B$13*('Small Signal'!$B$14+'Small Signal'!$B$16),IMPOWER(H90,2)),IMSUM(IMPRODUCT(H90,('Small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6.94092946869976-0.421141345452779i</v>
      </c>
      <c r="N90" s="175">
        <f>20*LOG(IMABS(M90))</f>
        <v>16.844311660006387</v>
      </c>
      <c r="O90" s="175">
        <f>(180/PI())*IMARGUMENT(M90)</f>
        <v>-3.4721684239727724</v>
      </c>
      <c r="P90" s="175" t="str">
        <f>IMDIV(IMSUM('Small Signal'!$B$48,IMPRODUCT(H90,'Small Signal'!$B$49)),IMSUM(IMPRODUCT('Small Signal'!$B$52,IMPOWER(H90,2)),IMSUM(IMPRODUCT(H90,'Small Signal'!$B$51),'Small Signal'!$B$50)))</f>
        <v>11.3108028331784-0.705907455615873i</v>
      </c>
      <c r="Q90" s="175">
        <f>20*LOG(IMABS(P90))</f>
        <v>21.086751597911828</v>
      </c>
      <c r="R90" s="175">
        <f>(180/PI())*IMARGUMENT(P90)</f>
        <v>-3.5711990562481821</v>
      </c>
      <c r="S90" s="175" t="str">
        <f>IMPRODUCT(IMDIV(IMSUM(IMPRODUCT(H90,'Small Signal'!$B$33*'Small Signal'!$B$6*'Small Signal'!$B$27*'Small Signal'!$B$7*'Small Signal'!$B$8),'Small Signal'!$B$33*'Small Signal'!$B$6*'Small Signal'!$B$27),IMSUM(IMSUM(IMPRODUCT(H90,('Small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Signal'!$B$5),IMPRODUCT(IMPOWER(H90,2),'Small Signal'!$B$32*'Small Signal'!$B$33*'Small Signal'!$B$8*'Small Signal'!$B$7*('Small Signal'!$B$5+'Small Signal'!$B$6)+('Small Signal'!$B$5+'Small Signal'!$B$6)*('Small Signal'!$B$9*'Small Signal'!$B$8*'Small Signal'!$B$33*'Small Signal'!$B$7)))),-1)</f>
        <v>-0.476395355298+5.9079614272231i</v>
      </c>
      <c r="T90" s="175">
        <f>20*LOG(IMABS(S90))</f>
        <v>15.45690027022504</v>
      </c>
      <c r="U90" s="175">
        <f>(180/PI())*IMARGUMENT(S90)</f>
        <v>94.610137226815297</v>
      </c>
      <c r="V90" s="175" t="str">
        <f>IMPRODUCT(M90,S90)</f>
        <v>-0.818539735995723+41.207373351052i</v>
      </c>
      <c r="W90" s="176">
        <f>20*LOG(IMABS(V90))</f>
        <v>32.301211930231432</v>
      </c>
      <c r="X90" s="175">
        <f>(180/PI())*IMARGUMENT(V90)</f>
        <v>91.137968802842522</v>
      </c>
      <c r="Y90" s="175" t="str">
        <f>IMPRODUCT(P90,S90)</f>
        <v>-1.21793991544987+67.1600778824694i</v>
      </c>
      <c r="Z90" s="176">
        <f>20*LOG(IMABS(Y90))</f>
        <v>36.543651868136863</v>
      </c>
      <c r="AA90" s="175">
        <f>(180/PI())*IMARGUMENT(Y90)</f>
        <v>91.038938170567121</v>
      </c>
    </row>
    <row r="91" spans="6:27" x14ac:dyDescent="0.25">
      <c r="F91" s="177">
        <v>89</v>
      </c>
      <c r="G91" s="175">
        <f>10^('Small Signal'!F91/30)</f>
        <v>926.11872812879471</v>
      </c>
      <c r="H91" s="175" t="str">
        <f>COMPLEX(0,G91*2*PI())</f>
        <v>5818.97558528269i</v>
      </c>
      <c r="I91" s="175">
        <f>IF('Small Signal'!$B$37&gt;=1,Q91+0,N91+0)</f>
        <v>16.8421432948501</v>
      </c>
      <c r="J91" s="175">
        <f>IF('Small Signal'!$B$37&gt;=1,R91,O91)</f>
        <v>-3.7486056800623779</v>
      </c>
      <c r="K91" s="175">
        <f>IF('Small Signal'!$B$37&gt;=1,Z91+0,W91+0)</f>
        <v>31.636962591106315</v>
      </c>
      <c r="L91" s="175">
        <f>IF('Small Signal'!$B$37&gt;=1,AA91,X91)</f>
        <v>91.195160569756879</v>
      </c>
      <c r="M91" s="175" t="str">
        <f>IMDIV(IMSUM('Small Signal'!$B$2*'Small Signal'!$B$16*'Small Signal'!$B$38,IMPRODUCT(H91,'Small Signal'!$B$2*'Small Signal'!$B$16*'Small Signal'!$B$38*'Small Signal'!$B$13*'Small Signal'!$B$14)),IMSUM(IMPRODUCT('Small Signal'!$B$11*'Small Signal'!$B$13*('Small Signal'!$B$14+'Small Signal'!$B$16),IMPOWER(H91,2)),IMSUM(IMPRODUCT(H91,('Small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6.93708478749442-0.454511016611339i</v>
      </c>
      <c r="N91" s="175">
        <f>20*LOG(IMABS(M91))</f>
        <v>16.8421432948501</v>
      </c>
      <c r="O91" s="175">
        <f>(180/PI())*IMARGUMENT(M91)</f>
        <v>-3.7486056800623779</v>
      </c>
      <c r="P91" s="175" t="str">
        <f>IMDIV(IMSUM('Small Signal'!$B$48,IMPRODUCT(H91,'Small Signal'!$B$49)),IMSUM(IMPRODUCT('Small Signal'!$B$52,IMPOWER(H91,2)),IMSUM(IMPRODUCT(H91,'Small Signal'!$B$51),'Small Signal'!$B$50)))</f>
        <v>11.3046133362317-0.761878270804809i</v>
      </c>
      <c r="Q91" s="175">
        <f>20*LOG(IMABS(P91))</f>
        <v>21.084795810168163</v>
      </c>
      <c r="R91" s="175">
        <f>(180/PI())*IMARGUMENT(P91)</f>
        <v>-3.8556380471372691</v>
      </c>
      <c r="S91" s="175" t="str">
        <f>IMPRODUCT(IMDIV(IMSUM(IMPRODUCT(H91,'Small Signal'!$B$33*'Small Signal'!$B$6*'Small Signal'!$B$27*'Small Signal'!$B$7*'Small Signal'!$B$8),'Small Signal'!$B$33*'Small Signal'!$B$6*'Small Signal'!$B$27),IMSUM(IMSUM(IMPRODUCT(H91,('Small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Signal'!$B$5),IMPRODUCT(IMPOWER(H91,2),'Small Signal'!$B$32*'Small Signal'!$B$33*'Small Signal'!$B$8*'Small Signal'!$B$7*('Small Signal'!$B$5+'Small Signal'!$B$6)+('Small Signal'!$B$5+'Small Signal'!$B$6)*('Small Signal'!$B$9*'Small Signal'!$B$8*'Small Signal'!$B$33*'Small Signal'!$B$7)))),-1)</f>
        <v>-0.473300793490848+5.47169991899979i</v>
      </c>
      <c r="T91" s="175">
        <f>20*LOG(IMABS(S91))</f>
        <v>14.794819296256209</v>
      </c>
      <c r="U91" s="175">
        <f>(180/PI())*IMARGUMENT(S91)</f>
        <v>94.943766249819248</v>
      </c>
      <c r="V91" s="175" t="str">
        <f>IMPRODUCT(M91,S91)</f>
        <v>-0.796379841657624+38.1727666946404i</v>
      </c>
      <c r="W91" s="176">
        <f>20*LOG(IMABS(V91))</f>
        <v>31.636962591106315</v>
      </c>
      <c r="X91" s="175">
        <f>(180/PI())*IMARGUMENT(V91)</f>
        <v>91.195160569756879</v>
      </c>
      <c r="Y91" s="175" t="str">
        <f>IMPRODUCT(P91,S91)</f>
        <v>-1.18171318949531+62.2160494662983i</v>
      </c>
      <c r="Z91" s="176">
        <f>20*LOG(IMABS(Y91))</f>
        <v>35.879615106424374</v>
      </c>
      <c r="AA91" s="175">
        <f>(180/PI())*IMARGUMENT(Y91)</f>
        <v>91.088128202681986</v>
      </c>
    </row>
    <row r="92" spans="6:27" x14ac:dyDescent="0.25">
      <c r="F92" s="177">
        <v>90</v>
      </c>
      <c r="G92" s="175">
        <f>10^('Small Signal'!F92/30)</f>
        <v>1000</v>
      </c>
      <c r="H92" s="175" t="str">
        <f>COMPLEX(0,G92*2*PI())</f>
        <v>6283.18530717959i</v>
      </c>
      <c r="I92" s="175">
        <f>IF('Small Signal'!$B$37&gt;=1,Q92+0,N92+0)</f>
        <v>16.839616498997827</v>
      </c>
      <c r="J92" s="175">
        <f>IF('Small Signal'!$B$37&gt;=1,R92,O92)</f>
        <v>-4.0469523660610989</v>
      </c>
      <c r="K92" s="175">
        <f>IF('Small Signal'!$B$37&gt;=1,Z92+0,W92+0)</f>
        <v>30.973106970428844</v>
      </c>
      <c r="L92" s="175">
        <f>IF('Small Signal'!$B$37&gt;=1,AA92,X92)</f>
        <v>91.259004892473769</v>
      </c>
      <c r="M92" s="175" t="str">
        <f>IMDIV(IMSUM('Small Signal'!$B$2*'Small Signal'!$B$16*'Small Signal'!$B$38,IMPRODUCT(H92,'Small Signal'!$B$2*'Small Signal'!$B$16*'Small Signal'!$B$38*'Small Signal'!$B$13*'Small Signal'!$B$14)),IMSUM(IMPRODUCT('Small Signal'!$B$11*'Small Signal'!$B$13*('Small Signal'!$B$14+'Small Signal'!$B$16),IMPOWER(H92,2)),IMSUM(IMPRODUCT(H92,('Small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6.93260700765107-0.490484300973459i</v>
      </c>
      <c r="N92" s="175">
        <f>20*LOG(IMABS(M92))</f>
        <v>16.839616498997827</v>
      </c>
      <c r="O92" s="175">
        <f>(180/PI())*IMARGUMENT(M92)</f>
        <v>-4.0469523660610989</v>
      </c>
      <c r="P92" s="175" t="str">
        <f>IMDIV(IMSUM('Small Signal'!$B$48,IMPRODUCT(H92,'Small Signal'!$B$49)),IMSUM(IMPRODUCT('Small Signal'!$B$52,IMPOWER(H92,2)),IMSUM(IMPRODUCT(H92,'Small Signal'!$B$51),'Small Signal'!$B$50)))</f>
        <v>11.2974036734646-0.822225739285648i</v>
      </c>
      <c r="Q92" s="175">
        <f>20*LOG(IMABS(P92))</f>
        <v>21.08251653576691</v>
      </c>
      <c r="R92" s="175">
        <f>(180/PI())*IMARGUMENT(P92)</f>
        <v>-4.1626509684611408</v>
      </c>
      <c r="S92" s="175" t="str">
        <f>IMPRODUCT(IMDIV(IMSUM(IMPRODUCT(H92,'Small Signal'!$B$33*'Small Signal'!$B$6*'Small Signal'!$B$27*'Small Signal'!$B$7*'Small Signal'!$B$8),'Small Signal'!$B$33*'Small Signal'!$B$6*'Small Signal'!$B$27),IMSUM(IMSUM(IMPRODUCT(H92,('Small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Signal'!$B$5),IMPRODUCT(IMPOWER(H92,2),'Small Signal'!$B$32*'Small Signal'!$B$33*'Small Signal'!$B$8*'Small Signal'!$B$7*('Small Signal'!$B$5+'Small Signal'!$B$6)+('Small Signal'!$B$5+'Small Signal'!$B$6)*('Small Signal'!$B$9*'Small Signal'!$B$8*'Small Signal'!$B$33*'Small Signal'!$B$7)))),-1)</f>
        <v>-0.470646369474447+5.067684999421i</v>
      </c>
      <c r="T92" s="175">
        <f>20*LOG(IMABS(S92))</f>
        <v>14.133490471431017</v>
      </c>
      <c r="U92" s="175">
        <f>(180/PI())*IMARGUMENT(S92)</f>
        <v>95.30595725853486</v>
      </c>
      <c r="V92" s="175" t="str">
        <f>IMPRODUCT(M92,S92)</f>
        <v>-0.777186384649392+35.3631131950916i</v>
      </c>
      <c r="W92" s="176">
        <f>20*LOG(IMABS(V92))</f>
        <v>30.973106970428844</v>
      </c>
      <c r="X92" s="175">
        <f>(180/PI())*IMARGUMENT(V92)</f>
        <v>91.259004892473769</v>
      </c>
      <c r="Y92" s="175" t="str">
        <f>IMPRODUCT(P92,S92)</f>
        <v>-1.15030097828767+57.6386606875035i</v>
      </c>
      <c r="Z92" s="176">
        <f>20*LOG(IMABS(Y92))</f>
        <v>35.216007007197931</v>
      </c>
      <c r="AA92" s="175">
        <f>(180/PI())*IMARGUMENT(Y92)</f>
        <v>91.143306290073724</v>
      </c>
    </row>
    <row r="93" spans="6:27" x14ac:dyDescent="0.25">
      <c r="F93" s="177">
        <v>91</v>
      </c>
      <c r="G93" s="175">
        <f>10^('Small Signal'!F93/30)</f>
        <v>1079.7751623277097</v>
      </c>
      <c r="H93" s="175" t="str">
        <f>COMPLEX(0,G93*2*PI())</f>
        <v>6784.42743499492i</v>
      </c>
      <c r="I93" s="175">
        <f>IF('Small Signal'!$B$37&gt;=1,Q93+0,N93+0)</f>
        <v>16.836672280313991</v>
      </c>
      <c r="J93" s="175">
        <f>IF('Small Signal'!$B$37&gt;=1,R93,O93)</f>
        <v>-4.3689193895729836</v>
      </c>
      <c r="K93" s="175">
        <f>IF('Small Signal'!$B$37&gt;=1,Z93+0,W93+0)</f>
        <v>30.30970906324422</v>
      </c>
      <c r="L93" s="175">
        <f>IF('Small Signal'!$B$37&gt;=1,AA93,X93)</f>
        <v>91.329778059524344</v>
      </c>
      <c r="M93" s="175" t="str">
        <f>IMDIV(IMSUM('Small Signal'!$B$2*'Small Signal'!$B$16*'Small Signal'!$B$38,IMPRODUCT(H93,'Small Signal'!$B$2*'Small Signal'!$B$16*'Small Signal'!$B$38*'Small Signal'!$B$13*'Small Signal'!$B$14)),IMSUM(IMPRODUCT('Small Signal'!$B$11*'Small Signal'!$B$13*('Small Signal'!$B$14+'Small Signal'!$B$16),IMPOWER(H93,2)),IMSUM(IMPRODUCT(H93,('Small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6.92739279877054-0.529253907861305i</v>
      </c>
      <c r="N93" s="175">
        <f>20*LOG(IMABS(M93))</f>
        <v>16.836672280313991</v>
      </c>
      <c r="O93" s="175">
        <f>(180/PI())*IMARGUMENT(M93)</f>
        <v>-4.3689193895729836</v>
      </c>
      <c r="P93" s="175" t="str">
        <f>IMDIV(IMSUM('Small Signal'!$B$48,IMPRODUCT(H93,'Small Signal'!$B$49)),IMSUM(IMPRODUCT('Small Signal'!$B$52,IMPOWER(H93,2)),IMSUM(IMPRODUCT(H93,'Small Signal'!$B$51),'Small Signal'!$B$50)))</f>
        <v>11.2890070003776-0.887276299887628i</v>
      </c>
      <c r="Q93" s="175">
        <f>20*LOG(IMABS(P93))</f>
        <v>21.079860464003804</v>
      </c>
      <c r="R93" s="175">
        <f>(180/PI())*IMARGUMENT(P93)</f>
        <v>-4.4940084502421849</v>
      </c>
      <c r="S93" s="175" t="str">
        <f>IMPRODUCT(IMDIV(IMSUM(IMPRODUCT(H93,'Small Signal'!$B$33*'Small Signal'!$B$6*'Small Signal'!$B$27*'Small Signal'!$B$7*'Small Signal'!$B$8),'Small Signal'!$B$33*'Small Signal'!$B$6*'Small Signal'!$B$27),IMSUM(IMSUM(IMPRODUCT(H93,('Small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Signal'!$B$5),IMPRODUCT(IMPOWER(H93,2),'Small Signal'!$B$32*'Small Signal'!$B$33*'Small Signal'!$B$8*'Small Signal'!$B$7*('Small Signal'!$B$5+'Small Signal'!$B$6)+('Small Signal'!$B$5+'Small Signal'!$B$6)*('Small Signal'!$B$9*'Small Signal'!$B$8*'Small Signal'!$B$33*'Small Signal'!$B$7)))),-1)</f>
        <v>-0.468369415592916+4.69353606776265i</v>
      </c>
      <c r="T93" s="175">
        <f>20*LOG(IMABS(S93))</f>
        <v>13.47303678293024</v>
      </c>
      <c r="U93" s="175">
        <f>(180/PI())*IMARGUMENT(S93)</f>
        <v>95.698697449097324</v>
      </c>
      <c r="V93" s="175" t="str">
        <f>IMPRODUCT(M93,S93)</f>
        <v>-0.760506611191368+32.761854300114i</v>
      </c>
      <c r="W93" s="176">
        <f>20*LOG(IMABS(V93))</f>
        <v>30.30970906324422</v>
      </c>
      <c r="X93" s="175">
        <f>(180/PI())*IMARGUMENT(V93)</f>
        <v>91.329778059524344</v>
      </c>
      <c r="Y93" s="175" t="str">
        <f>IMPRODUCT(P93,S93)</f>
        <v>-1.12296229579762+53.4009346075451i</v>
      </c>
      <c r="Z93" s="176">
        <f>20*LOG(IMABS(Y93))</f>
        <v>34.552897246934037</v>
      </c>
      <c r="AA93" s="175">
        <f>(180/PI())*IMARGUMENT(Y93)</f>
        <v>91.204688998855133</v>
      </c>
    </row>
    <row r="94" spans="6:27" x14ac:dyDescent="0.25">
      <c r="F94" s="177">
        <v>92</v>
      </c>
      <c r="G94" s="175">
        <f>10^('Small Signal'!F94/30)</f>
        <v>1165.914401179833</v>
      </c>
      <c r="H94" s="175" t="str">
        <f>COMPLEX(0,G94*2*PI())</f>
        <v>7325.65623492221i</v>
      </c>
      <c r="I94" s="175">
        <f>IF('Small Signal'!$B$37&gt;=1,Q94+0,N94+0)</f>
        <v>16.833242029096226</v>
      </c>
      <c r="J94" s="175">
        <f>IF('Small Signal'!$B$37&gt;=1,R94,O94)</f>
        <v>-4.7163446833435101</v>
      </c>
      <c r="K94" s="175">
        <f>IF('Small Signal'!$B$37&gt;=1,Z94+0,W94+0)</f>
        <v>29.64684283130687</v>
      </c>
      <c r="L94" s="175">
        <f>IF('Small Signal'!$B$37&gt;=1,AA94,X94)</f>
        <v>91.407771934384158</v>
      </c>
      <c r="M94" s="175" t="str">
        <f>IMDIV(IMSUM('Small Signal'!$B$2*'Small Signal'!$B$16*'Small Signal'!$B$38,IMPRODUCT(H94,'Small Signal'!$B$2*'Small Signal'!$B$16*'Small Signal'!$B$38*'Small Signal'!$B$13*'Small Signal'!$B$14)),IMSUM(IMPRODUCT('Small Signal'!$B$11*'Small Signal'!$B$13*('Small Signal'!$B$14+'Small Signal'!$B$16),IMPOWER(H94,2)),IMSUM(IMPRODUCT(H94,('Small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6.92132229431015-0.571024103405169i</v>
      </c>
      <c r="N94" s="175">
        <f>20*LOG(IMABS(M94))</f>
        <v>16.833242029096226</v>
      </c>
      <c r="O94" s="175">
        <f>(180/PI())*IMARGUMENT(M94)</f>
        <v>-4.7163446833435101</v>
      </c>
      <c r="P94" s="175" t="str">
        <f>IMDIV(IMSUM('Small Signal'!$B$48,IMPRODUCT(H94,'Small Signal'!$B$49)),IMSUM(IMPRODUCT('Small Signal'!$B$52,IMPOWER(H94,2)),IMSUM(IMPRODUCT(H94,'Small Signal'!$B$51),'Small Signal'!$B$50)))</f>
        <v>11.2792296506068-0.957376639843559i</v>
      </c>
      <c r="Q94" s="175">
        <f>20*LOG(IMABS(P94))</f>
        <v>21.076765567870801</v>
      </c>
      <c r="R94" s="175">
        <f>(180/PI())*IMARGUMENT(P94)</f>
        <v>-4.851614621117502</v>
      </c>
      <c r="S94" s="175" t="str">
        <f>IMPRODUCT(IMDIV(IMSUM(IMPRODUCT(H94,'Small Signal'!$B$33*'Small Signal'!$B$6*'Small Signal'!$B$27*'Small Signal'!$B$7*'Small Signal'!$B$8),'Small Signal'!$B$33*'Small Signal'!$B$6*'Small Signal'!$B$27),IMSUM(IMSUM(IMPRODUCT(H94,('Small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Signal'!$B$5),IMPRODUCT(IMPOWER(H94,2),'Small Signal'!$B$32*'Small Signal'!$B$33*'Small Signal'!$B$8*'Small Signal'!$B$7*('Small Signal'!$B$5+'Small Signal'!$B$6)+('Small Signal'!$B$5+'Small Signal'!$B$6)*('Small Signal'!$B$9*'Small Signal'!$B$8*'Small Signal'!$B$33*'Small Signal'!$B$7)))),-1)</f>
        <v>-0.466416175292869+4.34704842276824i</v>
      </c>
      <c r="T94" s="175">
        <f>20*LOG(IMABS(S94))</f>
        <v>12.813600802210638</v>
      </c>
      <c r="U94" s="175">
        <f>(180/PI())*IMARGUMENT(S94)</f>
        <v>96.124116617727665</v>
      </c>
      <c r="V94" s="175" t="str">
        <f>IMPRODUCT(M94,S94)</f>
        <v>-0.745947244411317+30.3536580412619i</v>
      </c>
      <c r="W94" s="176">
        <f>20*LOG(IMABS(V94))</f>
        <v>29.64684283130687</v>
      </c>
      <c r="X94" s="175">
        <f>(180/PI())*IMARGUMENT(V94)</f>
        <v>91.407771934384158</v>
      </c>
      <c r="Y94" s="175" t="str">
        <f>IMPRODUCT(P94,S94)</f>
        <v>-1.09905254165885+49.4778934133816i</v>
      </c>
      <c r="Z94" s="176">
        <f>20*LOG(IMABS(Y94))</f>
        <v>33.890366370081431</v>
      </c>
      <c r="AA94" s="175">
        <f>(180/PI())*IMARGUMENT(Y94)</f>
        <v>91.272501996610174</v>
      </c>
    </row>
    <row r="95" spans="6:27" x14ac:dyDescent="0.25">
      <c r="F95" s="177">
        <v>93</v>
      </c>
      <c r="G95" s="175">
        <f>10^('Small Signal'!F95/30)</f>
        <v>1258.925411794168</v>
      </c>
      <c r="H95" s="175" t="str">
        <f>COMPLEX(0,G95*2*PI())</f>
        <v>7910.06165022013i</v>
      </c>
      <c r="I95" s="175">
        <f>IF('Small Signal'!$B$37&gt;=1,Q95+0,N95+0)</f>
        <v>16.829245982793207</v>
      </c>
      <c r="J95" s="175">
        <f>IF('Small Signal'!$B$37&gt;=1,R95,O95)</f>
        <v>-5.0912009334871966</v>
      </c>
      <c r="K95" s="175">
        <f>IF('Small Signal'!$B$37&gt;=1,Z95+0,W95+0)</f>
        <v>28.984593655107695</v>
      </c>
      <c r="L95" s="175">
        <f>IF('Small Signal'!$B$37&gt;=1,AA95,X95)</f>
        <v>91.493289425750461</v>
      </c>
      <c r="M95" s="175" t="str">
        <f>IMDIV(IMSUM('Small Signal'!$B$2*'Small Signal'!$B$16*'Small Signal'!$B$38,IMPRODUCT(H95,'Small Signal'!$B$2*'Small Signal'!$B$16*'Small Signal'!$B$38*'Small Signal'!$B$13*'Small Signal'!$B$14)),IMSUM(IMPRODUCT('Small Signal'!$B$11*'Small Signal'!$B$13*('Small Signal'!$B$14+'Small Signal'!$B$16),IMPOWER(H95,2)),IMSUM(IMPRODUCT(H95,('Small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6.91425656263597-0.616010674669897i</v>
      </c>
      <c r="N95" s="175">
        <f>20*LOG(IMABS(M95))</f>
        <v>16.829245982793207</v>
      </c>
      <c r="O95" s="175">
        <f>(180/PI())*IMARGUMENT(M95)</f>
        <v>-5.0912009334871966</v>
      </c>
      <c r="P95" s="175" t="str">
        <f>IMDIV(IMSUM('Small Signal'!$B$48,IMPRODUCT(H95,'Small Signal'!$B$49)),IMSUM(IMPRODUCT('Small Signal'!$B$52,IMPOWER(H95,2)),IMSUM(IMPRODUCT(H95,'Small Signal'!$B$51),'Small Signal'!$B$50)))</f>
        <v>11.2678469901806-1.03289385020559i</v>
      </c>
      <c r="Q95" s="175">
        <f>20*LOG(IMABS(P95))</f>
        <v>21.073159703685075</v>
      </c>
      <c r="R95" s="175">
        <f>(180/PI())*IMARGUMENT(P95)</f>
        <v>-5.2375157822331406</v>
      </c>
      <c r="S95" s="175" t="str">
        <f>IMPRODUCT(IMDIV(IMSUM(IMPRODUCT(H95,'Small Signal'!$B$33*'Small Signal'!$B$6*'Small Signal'!$B$27*'Small Signal'!$B$7*'Small Signal'!$B$8),'Small Signal'!$B$33*'Small Signal'!$B$6*'Small Signal'!$B$27),IMSUM(IMSUM(IMPRODUCT(H95,('Small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Signal'!$B$5),IMPRODUCT(IMPOWER(H95,2),'Small Signal'!$B$32*'Small Signal'!$B$33*'Small Signal'!$B$8*'Small Signal'!$B$7*('Small Signal'!$B$5+'Small Signal'!$B$6)+('Small Signal'!$B$5+'Small Signal'!$B$6)*('Small Signal'!$B$9*'Small Signal'!$B$8*'Small Signal'!$B$33*'Small Signal'!$B$7)))),-1)</f>
        <v>-0.464740534201052+4.02618029455636i</v>
      </c>
      <c r="T95" s="175">
        <f>20*LOG(IMABS(S95))</f>
        <v>12.155347672314477</v>
      </c>
      <c r="U95" s="175">
        <f>(180/PI())*IMARGUMENT(S95)</f>
        <v>96.584490359237662</v>
      </c>
      <c r="V95" s="175" t="str">
        <f>IMPRODUCT(M95,S95)</f>
        <v>-0.733165248930262+28.1243286540116i</v>
      </c>
      <c r="W95" s="176">
        <f>20*LOG(IMABS(V95))</f>
        <v>28.984593655107695</v>
      </c>
      <c r="X95" s="175">
        <f>(180/PI())*IMARGUMENT(V95)</f>
        <v>91.493289425750461</v>
      </c>
      <c r="Y95" s="175" t="str">
        <f>IMPRODUCT(P95,S95)</f>
        <v>-1.07800836344605+45.8464111536588i</v>
      </c>
      <c r="Z95" s="176">
        <f>20*LOG(IMABS(Y95))</f>
        <v>33.228507375999541</v>
      </c>
      <c r="AA95" s="175">
        <f>(180/PI())*IMARGUMENT(Y95)</f>
        <v>91.346974577004517</v>
      </c>
    </row>
    <row r="96" spans="6:27" x14ac:dyDescent="0.25">
      <c r="F96" s="177">
        <v>94</v>
      </c>
      <c r="G96" s="175">
        <f>10^('Small Signal'!F96/30)</f>
        <v>1359.3563908785268</v>
      </c>
      <c r="H96" s="175" t="str">
        <f>COMPLEX(0,G96*2*PI())</f>
        <v>8541.08810238863i</v>
      </c>
      <c r="I96" s="175">
        <f>IF('Small Signal'!$B$37&gt;=1,Q96+0,N96+0)</f>
        <v>16.824591457296517</v>
      </c>
      <c r="J96" s="175">
        <f>IF('Small Signal'!$B$37&gt;=1,R96,O96)</f>
        <v>-5.4956033221951666</v>
      </c>
      <c r="K96" s="175">
        <f>IF('Small Signal'!$B$37&gt;=1,Z96+0,W96+0)</f>
        <v>28.323059954136877</v>
      </c>
      <c r="L96" s="175">
        <f>IF('Small Signal'!$B$37&gt;=1,AA96,X96)</f>
        <v>91.586638536301791</v>
      </c>
      <c r="M96" s="175" t="str">
        <f>IMDIV(IMSUM('Small Signal'!$B$2*'Small Signal'!$B$16*'Small Signal'!$B$38,IMPRODUCT(H96,'Small Signal'!$B$2*'Small Signal'!$B$16*'Small Signal'!$B$38*'Small Signal'!$B$13*'Small Signal'!$B$14)),IMSUM(IMPRODUCT('Small Signal'!$B$11*'Small Signal'!$B$13*('Small Signal'!$B$14+'Small Signal'!$B$16),IMPOWER(H96,2)),IMSUM(IMPRODUCT(H96,('Small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6.90603473342596-0.664440656863264i</v>
      </c>
      <c r="N96" s="175">
        <f>20*LOG(IMABS(M96))</f>
        <v>16.824591457296517</v>
      </c>
      <c r="O96" s="175">
        <f>(180/PI())*IMARGUMENT(M96)</f>
        <v>-5.4956033221951666</v>
      </c>
      <c r="P96" s="175" t="str">
        <f>IMDIV(IMSUM('Small Signal'!$B$48,IMPRODUCT(H96,'Small Signal'!$B$49)),IMSUM(IMPRODUCT('Small Signal'!$B$52,IMPOWER(H96,2)),IMSUM(IMPRODUCT(H96,'Small Signal'!$B$51),'Small Signal'!$B$50)))</f>
        <v>11.2545986906221-1.11421523411375i</v>
      </c>
      <c r="Q96" s="175">
        <f>20*LOG(IMABS(P96))</f>
        <v>21.068958994560703</v>
      </c>
      <c r="R96" s="175">
        <f>(180/PI())*IMARGUMENT(P96)</f>
        <v>-5.65390927609646</v>
      </c>
      <c r="S96" s="175" t="str">
        <f>IMPRODUCT(IMDIV(IMSUM(IMPRODUCT(H96,'Small Signal'!$B$33*'Small Signal'!$B$6*'Small Signal'!$B$27*'Small Signal'!$B$7*'Small Signal'!$B$8),'Small Signal'!$B$33*'Small Signal'!$B$6*'Small Signal'!$B$27),IMSUM(IMSUM(IMPRODUCT(H96,('Small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Signal'!$B$5),IMPRODUCT(IMPOWER(H96,2),'Small Signal'!$B$32*'Small Signal'!$B$33*'Small Signal'!$B$8*'Small Signal'!$B$7*('Small Signal'!$B$5+'Small Signal'!$B$6)+('Small Signal'!$B$5+'Small Signal'!$B$6)*('Small Signal'!$B$9*'Small Signal'!$B$8*'Small Signal'!$B$33*'Small Signal'!$B$7)))),-1)</f>
        <v>-0.463302931560657+3.72904083143835i</v>
      </c>
      <c r="T96" s="175">
        <f>20*LOG(IMABS(S96))</f>
        <v>11.49846849684036</v>
      </c>
      <c r="U96" s="175">
        <f>(180/PI())*IMARGUMENT(S96)</f>
        <v>97.082241858496957</v>
      </c>
      <c r="V96" s="175" t="str">
        <f>IMPRODUCT(M96,S96)</f>
        <v>-0.721859797945138+26.0607228084497i</v>
      </c>
      <c r="W96" s="176">
        <f>20*LOG(IMABS(V96))</f>
        <v>28.323059954136877</v>
      </c>
      <c r="X96" s="175">
        <f>(180/PI())*IMARGUMENT(V96)</f>
        <v>91.586638536301791</v>
      </c>
      <c r="Y96" s="175" t="str">
        <f>IMPRODUCT(P96,S96)</f>
        <v>-1.05933446388314+42.4850772431368i</v>
      </c>
      <c r="Z96" s="176">
        <f>20*LOG(IMABS(Y96))</f>
        <v>32.567427491401048</v>
      </c>
      <c r="AA96" s="175">
        <f>(180/PI())*IMARGUMENT(Y96)</f>
        <v>91.428332582400515</v>
      </c>
    </row>
    <row r="97" spans="6:27" x14ac:dyDescent="0.25">
      <c r="F97" s="177">
        <v>95</v>
      </c>
      <c r="G97" s="175">
        <f>10^('Small Signal'!F97/30)</f>
        <v>1467.7992676220699</v>
      </c>
      <c r="H97" s="175" t="str">
        <f>COMPLEX(0,G97*2*PI())</f>
        <v>9222.45479221195i</v>
      </c>
      <c r="I97" s="175">
        <f>IF('Small Signal'!$B$37&gt;=1,Q97+0,N97+0)</f>
        <v>16.819170813495553</v>
      </c>
      <c r="J97" s="175">
        <f>IF('Small Signal'!$B$37&gt;=1,R97,O97)</f>
        <v>-5.9318171396909412</v>
      </c>
      <c r="K97" s="175">
        <f>IF('Small Signal'!$B$37&gt;=1,Z97+0,W97+0)</f>
        <v>27.662354979681322</v>
      </c>
      <c r="L97" s="175">
        <f>IF('Small Signal'!$B$37&gt;=1,AA97,X97)</f>
        <v>91.688124628766047</v>
      </c>
      <c r="M97" s="175" t="str">
        <f>IMDIV(IMSUM('Small Signal'!$B$2*'Small Signal'!$B$16*'Small Signal'!$B$38,IMPRODUCT(H97,'Small Signal'!$B$2*'Small Signal'!$B$16*'Small Signal'!$B$38*'Small Signal'!$B$13*'Small Signal'!$B$14)),IMSUM(IMPRODUCT('Small Signal'!$B$11*'Small Signal'!$B$13*('Small Signal'!$B$14+'Small Signal'!$B$16),IMPOWER(H97,2)),IMSUM(IMPRODUCT(H97,('Small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6.89647074791639-0.71655175045718i</v>
      </c>
      <c r="N97" s="175">
        <f>20*LOG(IMABS(M97))</f>
        <v>16.819170813495553</v>
      </c>
      <c r="O97" s="175">
        <f>(180/PI())*IMARGUMENT(M97)</f>
        <v>-5.9318171396909412</v>
      </c>
      <c r="P97" s="175" t="str">
        <f>IMDIV(IMSUM('Small Signal'!$B$48,IMPRODUCT(H97,'Small Signal'!$B$49)),IMSUM(IMPRODUCT('Small Signal'!$B$52,IMPOWER(H97,2)),IMSUM(IMPRODUCT(H97,'Small Signal'!$B$51),'Small Signal'!$B$50)))</f>
        <v>11.2391833612659-1.20174765554567i</v>
      </c>
      <c r="Q97" s="175">
        <f>20*LOG(IMABS(P97))</f>
        <v>21.064065967522431</v>
      </c>
      <c r="R97" s="175">
        <f>(180/PI())*IMARGUMENT(P97)</f>
        <v>-6.1031524439736815</v>
      </c>
      <c r="S97" s="175" t="str">
        <f>IMPRODUCT(IMDIV(IMSUM(IMPRODUCT(H97,'Small Signal'!$B$33*'Small Signal'!$B$6*'Small Signal'!$B$27*'Small Signal'!$B$7*'Small Signal'!$B$8),'Small Signal'!$B$33*'Small Signal'!$B$6*'Small Signal'!$B$27),IMSUM(IMSUM(IMPRODUCT(H97,('Small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Signal'!$B$5),IMPRODUCT(IMPOWER(H97,2),'Small Signal'!$B$32*'Small Signal'!$B$33*'Small Signal'!$B$8*'Small Signal'!$B$7*('Small Signal'!$B$5+'Small Signal'!$B$6)+('Small Signal'!$B$5+'Small Signal'!$B$6)*('Small Signal'!$B$9*'Small Signal'!$B$8*'Small Signal'!$B$33*'Small Signal'!$B$7)))),-1)</f>
        <v>-0.462069426344968+3.45387897194838i</v>
      </c>
      <c r="T97" s="175">
        <f>20*LOG(IMABS(S97))</f>
        <v>10.843184166185756</v>
      </c>
      <c r="U97" s="175">
        <f>(180/PI())*IMARGUMENT(S97)</f>
        <v>97.619941768456982</v>
      </c>
      <c r="V97" s="175" t="str">
        <f>IMPRODUCT(M97,S97)</f>
        <v>-0.711765259077722+24.1506719531658i</v>
      </c>
      <c r="W97" s="176">
        <f>20*LOG(IMABS(V97))</f>
        <v>27.662354979681322</v>
      </c>
      <c r="X97" s="175">
        <f>(180/PI())*IMARGUMENT(V97)</f>
        <v>91.688124628766047</v>
      </c>
      <c r="Y97" s="175" t="str">
        <f>IMPRODUCT(P97,S97)</f>
        <v>-1.04259205124859+39.3740699231578i</v>
      </c>
      <c r="Z97" s="176">
        <f>20*LOG(IMABS(Y97))</f>
        <v>31.907250133708182</v>
      </c>
      <c r="AA97" s="175">
        <f>(180/PI())*IMARGUMENT(Y97)</f>
        <v>91.516789324483312</v>
      </c>
    </row>
    <row r="98" spans="6:27" x14ac:dyDescent="0.25">
      <c r="F98" s="177">
        <v>96</v>
      </c>
      <c r="G98" s="175">
        <f>10^('Small Signal'!F98/30)</f>
        <v>1584.8931924611156</v>
      </c>
      <c r="H98" s="175" t="str">
        <f>COMPLEX(0,G98*2*PI())</f>
        <v>9958.17762032063i</v>
      </c>
      <c r="I98" s="175">
        <f>IF('Small Signal'!$B$37&gt;=1,Q98+0,N98+0)</f>
        <v>16.812859125121506</v>
      </c>
      <c r="J98" s="175">
        <f>IF('Small Signal'!$B$37&gt;=1,R98,O98)</f>
        <v>-6.4022650750165155</v>
      </c>
      <c r="K98" s="175">
        <f>IF('Small Signal'!$B$37&gt;=1,Z98+0,W98+0)</f>
        <v>27.002608777705408</v>
      </c>
      <c r="L98" s="175">
        <f>IF('Small Signal'!$B$37&gt;=1,AA98,X98)</f>
        <v>91.798040478725028</v>
      </c>
      <c r="M98" s="175" t="str">
        <f>IMDIV(IMSUM('Small Signal'!$B$2*'Small Signal'!$B$16*'Small Signal'!$B$38,IMPRODUCT(H98,'Small Signal'!$B$2*'Small Signal'!$B$16*'Small Signal'!$B$38*'Small Signal'!$B$13*'Small Signal'!$B$14)),IMSUM(IMPRODUCT('Small Signal'!$B$11*'Small Signal'!$B$13*('Small Signal'!$B$14+'Small Signal'!$B$16),IMPOWER(H98,2)),IMSUM(IMPRODUCT(H98,('Small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6.88534970477144-0.772591337994945i</v>
      </c>
      <c r="N98" s="175">
        <f>20*LOG(IMABS(M98))</f>
        <v>16.812859125121506</v>
      </c>
      <c r="O98" s="175">
        <f>(180/PI())*IMARGUMENT(M98)</f>
        <v>-6.4022650750165155</v>
      </c>
      <c r="P98" s="175" t="str">
        <f>IMDIV(IMSUM('Small Signal'!$B$48,IMPRODUCT(H98,'Small Signal'!$B$49)),IMSUM(IMPRODUCT('Small Signal'!$B$52,IMPOWER(H98,2)),IMSUM(IMPRODUCT(H98,'Small Signal'!$B$51),'Small Signal'!$B$50)))</f>
        <v>11.2212524835981-1.2959162890703i</v>
      </c>
      <c r="Q98" s="175">
        <f>20*LOG(IMABS(P98))</f>
        <v>21.058367410992979</v>
      </c>
      <c r="R98" s="175">
        <f>(180/PI())*IMARGUMENT(P98)</f>
        <v>-6.5877715284044589</v>
      </c>
      <c r="S98" s="175" t="str">
        <f>IMPRODUCT(IMDIV(IMSUM(IMPRODUCT(H98,'Small Signal'!$B$33*'Small Signal'!$B$6*'Small Signal'!$B$27*'Small Signal'!$B$7*'Small Signal'!$B$8),'Small Signal'!$B$33*'Small Signal'!$B$6*'Small Signal'!$B$27),IMSUM(IMSUM(IMPRODUCT(H98,('Small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Signal'!$B$5),IMPRODUCT(IMPOWER(H98,2),'Small Signal'!$B$32*'Small Signal'!$B$33*'Small Signal'!$B$8*'Small Signal'!$B$7*('Small Signal'!$B$5+'Small Signal'!$B$6)+('Small Signal'!$B$5+'Small Signal'!$B$6)*('Small Signal'!$B$9*'Small Signal'!$B$8*'Small Signal'!$B$33*'Small Signal'!$B$7)))),-1)</f>
        <v>-0.46101089601382+3.1990731373777i</v>
      </c>
      <c r="T98" s="175">
        <f>20*LOG(IMABS(S98))</f>
        <v>10.189749652583886</v>
      </c>
      <c r="U98" s="175">
        <f>(180/PI())*IMARGUMENT(S98)</f>
        <v>98.200305553741543</v>
      </c>
      <c r="V98" s="175" t="str">
        <f>IMPRODUCT(M98,S98)</f>
        <v>-0.702645041214849+22.3829103069674i</v>
      </c>
      <c r="W98" s="176">
        <f>20*LOG(IMABS(V98))</f>
        <v>27.002608777705408</v>
      </c>
      <c r="X98" s="175">
        <f>(180/PI())*IMARGUMENT(V98)</f>
        <v>91.798040478725028</v>
      </c>
      <c r="Y98" s="175" t="str">
        <f>IMPRODUCT(P98,S98)</f>
        <v>-1.02738867320587+36.4950389175947i</v>
      </c>
      <c r="Z98" s="176">
        <f>20*LOG(IMABS(Y98))</f>
        <v>31.248117063576867</v>
      </c>
      <c r="AA98" s="175">
        <f>(180/PI())*IMARGUMENT(Y98)</f>
        <v>91.612534025337084</v>
      </c>
    </row>
    <row r="99" spans="6:27" x14ac:dyDescent="0.25">
      <c r="F99" s="177">
        <v>97</v>
      </c>
      <c r="G99" s="175">
        <f>10^('Small Signal'!F99/30)</f>
        <v>1711.3283041617822</v>
      </c>
      <c r="H99" s="175" t="str">
        <f>COMPLEX(0,G99*2*PI())</f>
        <v>10752.5928564699i</v>
      </c>
      <c r="I99" s="175">
        <f>IF('Small Signal'!$B$37&gt;=1,Q99+0,N99+0)</f>
        <v>16.805511511632638</v>
      </c>
      <c r="J99" s="175">
        <f>IF('Small Signal'!$B$37&gt;=1,R99,O99)</f>
        <v>-6.9095339396525715</v>
      </c>
      <c r="K99" s="175">
        <f>IF('Small Signal'!$B$37&gt;=1,Z99+0,W99+0)</f>
        <v>26.343970309410373</v>
      </c>
      <c r="L99" s="175">
        <f>IF('Small Signal'!$B$37&gt;=1,AA99,X99)</f>
        <v>91.91665360703611</v>
      </c>
      <c r="M99" s="175" t="str">
        <f>IMDIV(IMSUM('Small Signal'!$B$2*'Small Signal'!$B$16*'Small Signal'!$B$38,IMPRODUCT(H99,'Small Signal'!$B$2*'Small Signal'!$B$16*'Small Signal'!$B$38*'Small Signal'!$B$13*'Small Signal'!$B$14)),IMSUM(IMPRODUCT('Small Signal'!$B$11*'Small Signal'!$B$13*('Small Signal'!$B$14+'Small Signal'!$B$16),IMPOWER(H99,2)),IMSUM(IMPRODUCT(H99,('Small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6.87242377984901-0.832814990266807i</v>
      </c>
      <c r="N99" s="175">
        <f>20*LOG(IMABS(M99))</f>
        <v>16.805511511632638</v>
      </c>
      <c r="O99" s="175">
        <f>(180/PI())*IMARGUMENT(M99)</f>
        <v>-6.9095339396525715</v>
      </c>
      <c r="P99" s="175" t="str">
        <f>IMDIV(IMSUM('Small Signal'!$B$48,IMPRODUCT(H99,'Small Signal'!$B$49)),IMSUM(IMPRODUCT('Small Signal'!$B$52,IMPOWER(H99,2)),IMSUM(IMPRODUCT(H99,'Small Signal'!$B$51),'Small Signal'!$B$50)))</f>
        <v>11.2004035972146-1.39716259883035i</v>
      </c>
      <c r="Q99" s="175">
        <f>20*LOG(IMABS(P99))</f>
        <v>21.051731916460504</v>
      </c>
      <c r="R99" s="175">
        <f>(180/PI())*IMARGUMENT(P99)</f>
        <v>-7.1104703314285844</v>
      </c>
      <c r="S99" s="175" t="str">
        <f>IMPRODUCT(IMDIV(IMSUM(IMPRODUCT(H99,'Small Signal'!$B$33*'Small Signal'!$B$6*'Small Signal'!$B$27*'Small Signal'!$B$7*'Small Signal'!$B$8),'Small Signal'!$B$33*'Small Signal'!$B$6*'Small Signal'!$B$27),IMSUM(IMSUM(IMPRODUCT(H99,('Small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Signal'!$B$5),IMPRODUCT(IMPOWER(H99,2),'Small Signal'!$B$32*'Small Signal'!$B$33*'Small Signal'!$B$8*'Small Signal'!$B$7*('Small Signal'!$B$5+'Small Signal'!$B$6)+('Small Signal'!$B$5+'Small Signal'!$B$6)*('Small Signal'!$B$9*'Small Signal'!$B$8*'Small Signal'!$B$33*'Small Signal'!$B$7)))),-1)</f>
        <v>-0.460102349006007+2.96312168475921i</v>
      </c>
      <c r="T99" s="175">
        <f>20*LOG(IMABS(S99))</f>
        <v>9.5384587977777464</v>
      </c>
      <c r="U99" s="175">
        <f>(180/PI())*IMARGUMENT(S99)</f>
        <v>98.826187546688686</v>
      </c>
      <c r="V99" s="175" t="str">
        <f>IMPRODUCT(M99,S99)</f>
        <v>-0.694286167421164+20.7470080622346i</v>
      </c>
      <c r="W99" s="176">
        <f>20*LOG(IMABS(V99))</f>
        <v>26.343970309410373</v>
      </c>
      <c r="X99" s="175">
        <f>(180/PI())*IMARGUMENT(V99)</f>
        <v>91.91665360703611</v>
      </c>
      <c r="Y99" s="175" t="str">
        <f>IMPRODUCT(P99,S99)</f>
        <v>-1.01336921116502+33.8309965706268i</v>
      </c>
      <c r="Z99" s="176">
        <f>20*LOG(IMABS(Y99))</f>
        <v>30.590190714238247</v>
      </c>
      <c r="AA99" s="175">
        <f>(180/PI())*IMARGUMENT(Y99)</f>
        <v>91.715717215260099</v>
      </c>
    </row>
    <row r="100" spans="6:27" x14ac:dyDescent="0.25">
      <c r="F100" s="177">
        <v>98</v>
      </c>
      <c r="G100" s="175">
        <f>10^('Small Signal'!F100/30)</f>
        <v>1847.8497974222912</v>
      </c>
      <c r="H100" s="175" t="str">
        <f>COMPLEX(0,G100*2*PI())</f>
        <v>11610.3826970385i</v>
      </c>
      <c r="I100" s="175">
        <f>IF('Small Signal'!$B$37&gt;=1,Q100+0,N100+0)</f>
        <v>16.796960098334104</v>
      </c>
      <c r="J100" s="175">
        <f>IF('Small Signal'!$B$37&gt;=1,R100,O100)</f>
        <v>-7.4563805102530791</v>
      </c>
      <c r="K100" s="175">
        <f>IF('Small Signal'!$B$37&gt;=1,Z100+0,W100+0)</f>
        <v>25.686609702947013</v>
      </c>
      <c r="L100" s="175">
        <f>IF('Small Signal'!$B$37&gt;=1,AA100,X100)</f>
        <v>92.044190303525781</v>
      </c>
      <c r="M100" s="175" t="str">
        <f>IMDIV(IMSUM('Small Signal'!$B$2*'Small Signal'!$B$16*'Small Signal'!$B$38,IMPRODUCT(H100,'Small Signal'!$B$2*'Small Signal'!$B$16*'Small Signal'!$B$38*'Small Signal'!$B$13*'Small Signal'!$B$14)),IMSUM(IMPRODUCT('Small Signal'!$B$11*'Small Signal'!$B$13*('Small Signal'!$B$14+'Small Signal'!$B$16),IMPOWER(H100,2)),IMSUM(IMPRODUCT(H100,('Small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6.85740770910744-0.89748432825262i</v>
      </c>
      <c r="N100" s="175">
        <f>20*LOG(IMABS(M100))</f>
        <v>16.796960098334104</v>
      </c>
      <c r="O100" s="175">
        <f>(180/PI())*IMARGUMENT(M100)</f>
        <v>-7.4563805102530791</v>
      </c>
      <c r="P100" s="175" t="str">
        <f>IMDIV(IMSUM('Small Signal'!$B$48,IMPRODUCT(H100,'Small Signal'!$B$49)),IMSUM(IMPRODUCT('Small Signal'!$B$52,IMPOWER(H100,2)),IMSUM(IMPRODUCT(H100,'Small Signal'!$B$51),'Small Signal'!$B$50)))</f>
        <v>11.1761726999812-1.50594133699197i</v>
      </c>
      <c r="Q100" s="175">
        <f>20*LOG(IMABS(P100))</f>
        <v>21.044007065575023</v>
      </c>
      <c r="R100" s="175">
        <f>(180/PI())*IMARGUMENT(P100)</f>
        <v>-7.6741383824933846</v>
      </c>
      <c r="S100" s="175" t="str">
        <f>IMPRODUCT(IMDIV(IMSUM(IMPRODUCT(H100,'Small Signal'!$B$33*'Small Signal'!$B$6*'Small Signal'!$B$27*'Small Signal'!$B$7*'Small Signal'!$B$8),'Small Signal'!$B$33*'Small Signal'!$B$6*'Small Signal'!$B$27),IMSUM(IMSUM(IMPRODUCT(H100,('Small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Signal'!$B$5),IMPRODUCT(IMPOWER(H100,2),'Small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-0.459322334743469+2.74463406458689i</v>
      </c>
      <c r="T100" s="175">
        <f>20*LOG(IMABS(S100))</f>
        <v>8.8896496046129094</v>
      </c>
      <c r="U100" s="175">
        <f>(180/PI())*IMARGUMENT(S100)</f>
        <v>99.500570813778864</v>
      </c>
      <c r="V100" s="175" t="str">
        <f>IMPRODUCT(M100,S100)</f>
        <v>-0.686494459480069+19.2333093902257i</v>
      </c>
      <c r="W100" s="176">
        <f>20*LOG(IMABS(V100))</f>
        <v>25.686609702947013</v>
      </c>
      <c r="X100" s="175">
        <f>(180/PI())*IMARGUMENT(V100)</f>
        <v>92.044190303525781</v>
      </c>
      <c r="Y100" s="175" t="str">
        <f>IMPRODUCT(P100,S100)</f>
        <v>-1.0002078452739+31.3662167949683i</v>
      </c>
      <c r="Z100" s="176">
        <f>20*LOG(IMABS(Y100))</f>
        <v>29.933656670187933</v>
      </c>
      <c r="AA100" s="175">
        <f>(180/PI())*IMARGUMENT(Y100)</f>
        <v>91.826432431285482</v>
      </c>
    </row>
    <row r="101" spans="6:27" x14ac:dyDescent="0.25">
      <c r="F101" s="177">
        <v>99</v>
      </c>
      <c r="G101" s="175">
        <f>10^('Small Signal'!F101/30)</f>
        <v>1995.2623149688804</v>
      </c>
      <c r="H101" s="175" t="str">
        <f>COMPLEX(0,G101*2*PI())</f>
        <v>12536.6028613816i</v>
      </c>
      <c r="I101" s="175">
        <f>IF('Small Signal'!$B$37&gt;=1,Q101+0,N101+0)</f>
        <v>16.787010565523026</v>
      </c>
      <c r="J101" s="175">
        <f>IF('Small Signal'!$B$37&gt;=1,R101,O101)</f>
        <v>-8.0457360951074683</v>
      </c>
      <c r="K101" s="175">
        <f>IF('Small Signal'!$B$37&gt;=1,Z101+0,W101+0)</f>
        <v>25.030720590323373</v>
      </c>
      <c r="L101" s="175">
        <f>IF('Small Signal'!$B$37&gt;=1,AA101,X101)</f>
        <v>92.180815672273638</v>
      </c>
      <c r="M101" s="175" t="str">
        <f>IMDIV(IMSUM('Small Signal'!$B$2*'Small Signal'!$B$16*'Small Signal'!$B$38,IMPRODUCT(H101,'Small Signal'!$B$2*'Small Signal'!$B$16*'Small Signal'!$B$38*'Small Signal'!$B$13*'Small Signal'!$B$14)),IMSUM(IMPRODUCT('Small Signal'!$B$11*'Small Signal'!$B$13*('Small Signal'!$B$14+'Small Signal'!$B$16),IMPOWER(H101,2)),IMSUM(IMPRODUCT(H101,('Small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6.83997384097769-0.96686408080233i</v>
      </c>
      <c r="N101" s="175">
        <f>20*LOG(IMABS(M101))</f>
        <v>16.787010565523026</v>
      </c>
      <c r="O101" s="175">
        <f>(180/PI())*IMARGUMENT(M101)</f>
        <v>-8.0457360951074683</v>
      </c>
      <c r="P101" s="175" t="str">
        <f>IMDIV(IMSUM('Small Signal'!$B$48,IMPRODUCT(H101,'Small Signal'!$B$49)),IMSUM(IMPRODUCT('Small Signal'!$B$52,IMPOWER(H101,2)),IMSUM(IMPRODUCT(H101,'Small Signal'!$B$51),'Small Signal'!$B$50)))</f>
        <v>11.1480258466011-1.62271630795941i</v>
      </c>
      <c r="Q101" s="175">
        <f>20*LOG(IMABS(P101))</f>
        <v>21.035016222056001</v>
      </c>
      <c r="R101" s="175">
        <f>(180/PI())*IMARGUMENT(P101)</f>
        <v>-8.2818583009477305</v>
      </c>
      <c r="S101" s="175" t="str">
        <f>IMPRODUCT(IMDIV(IMSUM(IMPRODUCT(H101,'Small Signal'!$B$33*'Small Signal'!$B$6*'Small Signal'!$B$27*'Small Signal'!$B$7*'Small Signal'!$B$8),'Small Signal'!$B$33*'Small Signal'!$B$6*'Small Signal'!$B$27),IMSUM(IMSUM(IMPRODUCT(H101,('Small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Signal'!$B$5),IMPRODUCT(IMPOWER(H101,2),'Small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-0.458652437223183+2.54232263159314i</v>
      </c>
      <c r="T101" s="175">
        <f>20*LOG(IMABS(S101))</f>
        <v>8.2437100248003361</v>
      </c>
      <c r="U101" s="175">
        <f>(180/PI())*IMARGUMENT(S101)</f>
        <v>100.22655176738111</v>
      </c>
      <c r="V101" s="175" t="str">
        <f>IMPRODUCT(M101,S101)</f>
        <v>-0.679090238408972+17.8328748625462i</v>
      </c>
      <c r="W101" s="176">
        <f>20*LOG(IMABS(V101))</f>
        <v>25.030720590323373</v>
      </c>
      <c r="X101" s="175">
        <f>(180/PI())*IMARGUMENT(V101)</f>
        <v>92.180815672273638</v>
      </c>
      <c r="Y101" s="175" t="str">
        <f>IMPRODUCT(P101,S101)</f>
        <v>-0.987600830390162+29.0861411969666i</v>
      </c>
      <c r="Z101" s="176">
        <f>20*LOG(IMABS(Y101))</f>
        <v>29.278726246856323</v>
      </c>
      <c r="AA101" s="175">
        <f>(180/PI())*IMARGUMENT(Y101)</f>
        <v>91.944693466433378</v>
      </c>
    </row>
    <row r="102" spans="6:27" x14ac:dyDescent="0.25">
      <c r="F102" s="177">
        <v>100</v>
      </c>
      <c r="G102" s="175">
        <f>10^('Small Signal'!F102/30)</f>
        <v>2154.4346900318851</v>
      </c>
      <c r="H102" s="175" t="str">
        <f>COMPLEX(0,G102*2*PI())</f>
        <v>13536.7123896863i</v>
      </c>
      <c r="I102" s="175">
        <f>IF('Small Signal'!$B$37&gt;=1,Q102+0,N102+0)</f>
        <v>16.775438249805216</v>
      </c>
      <c r="J102" s="175">
        <f>IF('Small Signal'!$B$37&gt;=1,R102,O102)</f>
        <v>-8.6807093316540751</v>
      </c>
      <c r="K102" s="175">
        <f>IF('Small Signal'!$B$37&gt;=1,Z102+0,W102+0)</f>
        <v>24.376522457539309</v>
      </c>
      <c r="L102" s="175">
        <f>IF('Small Signal'!$B$37&gt;=1,AA102,X102)</f>
        <v>92.326608954927025</v>
      </c>
      <c r="M102" s="175" t="str">
        <f>IMDIV(IMSUM('Small Signal'!$B$2*'Small Signal'!$B$16*'Small Signal'!$B$38,IMPRODUCT(H102,'Small Signal'!$B$2*'Small Signal'!$B$16*'Small Signal'!$B$38*'Small Signal'!$B$13*'Small Signal'!$B$14)),IMSUM(IMPRODUCT('Small Signal'!$B$11*'Small Signal'!$B$13*('Small Signal'!$B$14+'Small Signal'!$B$16),IMPOWER(H102,2)),IMSUM(IMPRODUCT(H102,('Small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6.81974678976249-1.0412181488499i</v>
      </c>
      <c r="N102" s="175">
        <f>20*LOG(IMABS(M102))</f>
        <v>16.775438249805216</v>
      </c>
      <c r="O102" s="175">
        <f>(180/PI())*IMARGUMENT(M102)</f>
        <v>-8.6807093316540751</v>
      </c>
      <c r="P102" s="175" t="str">
        <f>IMDIV(IMSUM('Small Signal'!$B$48,IMPRODUCT(H102,'Small Signal'!$B$49)),IMSUM(IMPRODUCT('Small Signal'!$B$52,IMPOWER(H102,2)),IMSUM(IMPRODUCT(H102,'Small Signal'!$B$51),'Small Signal'!$B$50)))</f>
        <v>11.1153499631698-1.74795459489351i</v>
      </c>
      <c r="Q102" s="175">
        <f>20*LOG(IMABS(P102))</f>
        <v>21.024554887066383</v>
      </c>
      <c r="R102" s="175">
        <f>(180/PI())*IMARGUMENT(P102)</f>
        <v>-8.9369119546718032</v>
      </c>
      <c r="S102" s="175" t="str">
        <f>IMPRODUCT(IMDIV(IMSUM(IMPRODUCT(H102,'Small Signal'!$B$33*'Small Signal'!$B$6*'Small Signal'!$B$27*'Small Signal'!$B$7*'Small Signal'!$B$8),'Small Signal'!$B$33*'Small Signal'!$B$6*'Small Signal'!$B$27),IMSUM(IMSUM(IMPRODUCT(H102,('Small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Signal'!$B$5),IMPRODUCT(IMPOWER(H102,2),'Small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-0.458076840244724+2.35499506066521i</v>
      </c>
      <c r="T102" s="175">
        <f>20*LOG(IMABS(S102))</f>
        <v>7.6010842077340985</v>
      </c>
      <c r="U102" s="175">
        <f>(180/PI())*IMARGUMENT(S102)</f>
        <v>101.00731828658108</v>
      </c>
      <c r="V102" s="175" t="str">
        <f>IMPRODUCT(M102,S102)</f>
        <v>-0.671904463107014+16.5374279245087i</v>
      </c>
      <c r="W102" s="176">
        <f>20*LOG(IMABS(V102))</f>
        <v>24.376522457539309</v>
      </c>
      <c r="X102" s="175">
        <f>(180/PI())*IMARGUMENT(V102)</f>
        <v>92.326608954927025</v>
      </c>
      <c r="Y102" s="175" t="str">
        <f>IMPRODUCT(P102,S102)</f>
        <v>-0.975259952101857+26.9772917785502i</v>
      </c>
      <c r="Z102" s="176">
        <f>20*LOG(IMABS(Y102))</f>
        <v>28.625639094800487</v>
      </c>
      <c r="AA102" s="175">
        <f>(180/PI())*IMARGUMENT(Y102)</f>
        <v>92.070406331909282</v>
      </c>
    </row>
    <row r="103" spans="6:27" x14ac:dyDescent="0.25">
      <c r="F103" s="177">
        <v>101</v>
      </c>
      <c r="G103" s="175">
        <f>10^('Small Signal'!F103/30)</f>
        <v>2326.3050671536284</v>
      </c>
      <c r="H103" s="175" t="str">
        <f>COMPLEX(0,G103*2*PI())</f>
        <v>14616.6058179571i</v>
      </c>
      <c r="I103" s="175">
        <f>IF('Small Signal'!$B$37&gt;=1,Q103+0,N103+0)</f>
        <v>16.761983764635247</v>
      </c>
      <c r="J103" s="175">
        <f>IF('Small Signal'!$B$37&gt;=1,R103,O103)</f>
        <v>-9.3645866081432967</v>
      </c>
      <c r="K103" s="175">
        <f>IF('Small Signal'!$B$37&gt;=1,Z103+0,W103+0)</f>
        <v>23.724262902067721</v>
      </c>
      <c r="L103" s="175">
        <f>IF('Small Signal'!$B$37&gt;=1,AA103,X103)</f>
        <v>92.481533333729686</v>
      </c>
      <c r="M103" s="175" t="str">
        <f>IMDIV(IMSUM('Small Signal'!$B$2*'Small Signal'!$B$16*'Small Signal'!$B$38,IMPRODUCT(H103,'Small Signal'!$B$2*'Small Signal'!$B$16*'Small Signal'!$B$38*'Small Signal'!$B$13*'Small Signal'!$B$14)),IMSUM(IMPRODUCT('Small Signal'!$B$11*'Small Signal'!$B$13*('Small Signal'!$B$14+'Small Signal'!$B$16),IMPOWER(H103,2)),IMSUM(IMPRODUCT(H103,('Small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6.79629775751885-1.12080445597953i</v>
      </c>
      <c r="N103" s="175">
        <f>20*LOG(IMABS(M103))</f>
        <v>16.761983764635247</v>
      </c>
      <c r="O103" s="175">
        <f>(180/PI())*IMARGUMENT(M103)</f>
        <v>-9.3645866081432967</v>
      </c>
      <c r="P103" s="175" t="str">
        <f>IMDIV(IMSUM('Small Signal'!$B$48,IMPRODUCT(H103,'Small Signal'!$B$49)),IMSUM(IMPRODUCT('Small Signal'!$B$52,IMPOWER(H103,2)),IMSUM(IMPRODUCT(H103,'Small Signal'!$B$51),'Small Signal'!$B$50)))</f>
        <v>11.0774429443278-1.88211889031742i</v>
      </c>
      <c r="Q103" s="175">
        <f>20*LOG(IMABS(P103))</f>
        <v>21.012386577727664</v>
      </c>
      <c r="R103" s="175">
        <f>(180/PI())*IMARGUMENT(P103)</f>
        <v>-9.6427849170264643</v>
      </c>
      <c r="S103" s="175" t="str">
        <f>IMPRODUCT(IMDIV(IMSUM(IMPRODUCT(H103,'Small Signal'!$B$33*'Small Signal'!$B$6*'Small Signal'!$B$27*'Small Signal'!$B$7*'Small Signal'!$B$8),'Small Signal'!$B$33*'Small Signal'!$B$6*'Small Signal'!$B$27),IMSUM(IMSUM(IMPRODUCT(H103,('Small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Signal'!$B$5),IMPRODUCT(IMPOWER(H103,2),'Small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-0.457581954011716+2.18154732347527i</v>
      </c>
      <c r="T103" s="175">
        <f>20*LOG(IMABS(S103))</f>
        <v>6.9622791374324633</v>
      </c>
      <c r="U103" s="175">
        <f>(180/PI())*IMARGUMENT(S103)</f>
        <v>101.84611994187298</v>
      </c>
      <c r="V103" s="175" t="str">
        <f>IMPRODUCT(M103,S103)</f>
        <v>-0.66477524684962+15.3393050754884i</v>
      </c>
      <c r="W103" s="176">
        <f>20*LOG(IMABS(V103))</f>
        <v>23.724262902067721</v>
      </c>
      <c r="X103" s="175">
        <f>(180/PI())*IMARGUMENT(V103)</f>
        <v>92.481533333729686</v>
      </c>
      <c r="Y103" s="175" t="str">
        <f>IMPRODUCT(P103,S103)</f>
        <v>-0.962906560284599+25.0271896456621i</v>
      </c>
      <c r="Z103" s="176">
        <f>20*LOG(IMABS(Y103))</f>
        <v>27.974665715160118</v>
      </c>
      <c r="AA103" s="175">
        <f>(180/PI())*IMARGUMENT(Y103)</f>
        <v>92.203335024846524</v>
      </c>
    </row>
    <row r="104" spans="6:27" x14ac:dyDescent="0.25">
      <c r="F104" s="177">
        <v>102</v>
      </c>
      <c r="G104" s="175">
        <f>10^('Small Signal'!F104/30)</f>
        <v>2511.8864315095811</v>
      </c>
      <c r="H104" s="175" t="str">
        <f>COMPLEX(0,G104*2*PI())</f>
        <v>15782.6479197648i</v>
      </c>
      <c r="I104" s="175">
        <f>IF('Small Signal'!$B$37&gt;=1,Q104+0,N104+0)</f>
        <v>16.746348114613735</v>
      </c>
      <c r="J104" s="175">
        <f>IF('Small Signal'!$B$37&gt;=1,R104,O104)</f>
        <v>-10.100829370809461</v>
      </c>
      <c r="K104" s="175">
        <f>IF('Small Signal'!$B$37&gt;=1,Z104+0,W104+0)</f>
        <v>23.074219648805105</v>
      </c>
      <c r="L104" s="175">
        <f>IF('Small Signal'!$B$37&gt;=1,AA104,X104)</f>
        <v>92.645399397328205</v>
      </c>
      <c r="M104" s="175" t="str">
        <f>IMDIV(IMSUM('Small Signal'!$B$2*'Small Signal'!$B$16*'Small Signal'!$B$38,IMPRODUCT(H104,'Small Signal'!$B$2*'Small Signal'!$B$16*'Small Signal'!$B$38*'Small Signal'!$B$13*'Small Signal'!$B$14)),IMSUM(IMPRODUCT('Small Signal'!$B$11*'Small Signal'!$B$13*('Small Signal'!$B$14+'Small Signal'!$B$16),IMPOWER(H104,2)),IMSUM(IMPRODUCT(H104,('Small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6.76913864138555-1.20586833414851i</v>
      </c>
      <c r="N104" s="175">
        <f>20*LOG(IMABS(M104))</f>
        <v>16.746348114613735</v>
      </c>
      <c r="O104" s="175">
        <f>(180/PI())*IMARGUMENT(M104)</f>
        <v>-10.100829370809461</v>
      </c>
      <c r="P104" s="175" t="str">
        <f>IMDIV(IMSUM('Small Signal'!$B$48,IMPRODUCT(H104,'Small Signal'!$B$49)),IMSUM(IMPRODUCT('Small Signal'!$B$52,IMPOWER(H104,2)),IMSUM(IMPRODUCT(H104,'Small Signal'!$B$51),'Small Signal'!$B$50)))</f>
        <v>11.0335031690589-2.02565751472113i</v>
      </c>
      <c r="Q104" s="175">
        <f>20*LOG(IMABS(P104))</f>
        <v>20.998238192011772</v>
      </c>
      <c r="R104" s="175">
        <f>(180/PI())*IMARGUMENT(P104)</f>
        <v>-10.403168607573358</v>
      </c>
      <c r="S104" s="175" t="str">
        <f>IMPRODUCT(IMDIV(IMSUM(IMPRODUCT(H104,'Small Signal'!$B$33*'Small Signal'!$B$6*'Small Signal'!$B$27*'Small Signal'!$B$7*'Small Signal'!$B$8),'Small Signal'!$B$33*'Small Signal'!$B$6*'Small Signal'!$B$27),IMSUM(IMSUM(IMPRODUCT(H104,('Small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Signal'!$B$5),IMPRODUCT(IMPOWER(H104,2),'Small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-0.457156094293635+2.02095718464603i</v>
      </c>
      <c r="T104" s="175">
        <f>20*LOG(IMABS(S104))</f>
        <v>6.3278715341913658</v>
      </c>
      <c r="U104" s="175">
        <f>(180/PI())*IMARGUMENT(S104)</f>
        <v>102.74622876813766</v>
      </c>
      <c r="V104" s="175" t="str">
        <f>IMPRODUCT(M104,S104)</f>
        <v>-0.65754470939337+14.2314094290449i</v>
      </c>
      <c r="W104" s="176">
        <f>20*LOG(IMABS(V104))</f>
        <v>23.074219648805105</v>
      </c>
      <c r="X104" s="175">
        <f>(180/PI())*IMARGUMENT(V104)</f>
        <v>92.645399397328205</v>
      </c>
      <c r="Y104" s="175" t="str">
        <f>IMPRODUCT(P104,S104)</f>
        <v>-0.950266107135522+23.2242791791308i</v>
      </c>
      <c r="Z104" s="176">
        <f>20*LOG(IMABS(Y104))</f>
        <v>27.326109726203143</v>
      </c>
      <c r="AA104" s="175">
        <f>(180/PI())*IMARGUMENT(Y104)</f>
        <v>92.343060160564306</v>
      </c>
    </row>
    <row r="105" spans="6:27" x14ac:dyDescent="0.25">
      <c r="F105" s="177">
        <v>103</v>
      </c>
      <c r="G105" s="175">
        <f>10^('Small Signal'!F105/30)</f>
        <v>2712.2725793320301</v>
      </c>
      <c r="H105" s="175" t="str">
        <f>COMPLEX(0,G105*2*PI())</f>
        <v>17041.7112195251i</v>
      </c>
      <c r="I105" s="175">
        <f>IF('Small Signal'!$B$37&gt;=1,Q105+0,N105+0)</f>
        <v>16.72818729042244</v>
      </c>
      <c r="J105" s="175">
        <f>IF('Small Signal'!$B$37&gt;=1,R105,O105)</f>
        <v>-10.893067429386569</v>
      </c>
      <c r="K105" s="175">
        <f>IF('Small Signal'!$B$37&gt;=1,Z105+0,W105+0)</f>
        <v>22.426702122725231</v>
      </c>
      <c r="L105" s="175">
        <f>IF('Small Signal'!$B$37&gt;=1,AA105,X105)</f>
        <v>92.817821493610978</v>
      </c>
      <c r="M105" s="175" t="str">
        <f>IMDIV(IMSUM('Small Signal'!$B$2*'Small Signal'!$B$16*'Small Signal'!$B$38,IMPRODUCT(H105,'Small Signal'!$B$2*'Small Signal'!$B$16*'Small Signal'!$B$38*'Small Signal'!$B$13*'Small Signal'!$B$14)),IMSUM(IMPRODUCT('Small Signal'!$B$11*'Small Signal'!$B$13*('Small Signal'!$B$14+'Small Signal'!$B$16),IMPOWER(H105,2)),IMSUM(IMPRODUCT(H105,('Small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6.73771610974769-1.29663416525817i</v>
      </c>
      <c r="N105" s="175">
        <f>20*LOG(IMABS(M105))</f>
        <v>16.72818729042244</v>
      </c>
      <c r="O105" s="175">
        <f>(180/PI())*IMARGUMENT(M105)</f>
        <v>-10.893067429386569</v>
      </c>
      <c r="P105" s="175" t="str">
        <f>IMDIV(IMSUM('Small Signal'!$B$48,IMPRODUCT(H105,'Small Signal'!$B$49)),IMSUM(IMPRODUCT('Small Signal'!$B$52,IMPOWER(H105,2)),IMSUM(IMPRODUCT(H105,'Small Signal'!$B$51),'Small Signal'!$B$50)))</f>
        <v>10.9826186666319-2.17899164955538i</v>
      </c>
      <c r="Q105" s="175">
        <f>20*LOG(IMABS(P105))</f>
        <v>20.981794830394371</v>
      </c>
      <c r="R105" s="175">
        <f>(180/PI())*IMARGUMENT(P105)</f>
        <v>-11.221959367321977</v>
      </c>
      <c r="S105" s="175" t="str">
        <f>IMPRODUCT(IMDIV(IMSUM(IMPRODUCT(H105,'Small Signal'!$B$33*'Small Signal'!$B$6*'Small Signal'!$B$27*'Small Signal'!$B$7*'Small Signal'!$B$8),'Small Signal'!$B$33*'Small Signal'!$B$6*'Small Signal'!$B$27),IMSUM(IMSUM(IMPRODUCT(H105,('Small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Signal'!$B$5),IMPRODUCT(IMPOWER(H105,2),'Small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-0.456789206574898+1.87227817928815i</v>
      </c>
      <c r="T105" s="175">
        <f>20*LOG(IMABS(S105))</f>
        <v>5.6985148323028074</v>
      </c>
      <c r="U105" s="175">
        <f>(180/PI())*IMARGUMENT(S105)</f>
        <v>103.71088892299754</v>
      </c>
      <c r="V105" s="175" t="str">
        <f>IMPRODUCT(M105,S105)</f>
        <v>-0.650056141766179+13.207167342085i</v>
      </c>
      <c r="W105" s="176">
        <f>20*LOG(IMABS(V105))</f>
        <v>22.426702122725231</v>
      </c>
      <c r="X105" s="175">
        <f>(180/PI())*IMARGUMENT(V105)</f>
        <v>92.817821493610978</v>
      </c>
      <c r="Y105" s="175" t="str">
        <f>IMPRODUCT(P105,S105)</f>
        <v>-0.937063148531821+21.5578571477114i</v>
      </c>
      <c r="Z105" s="176">
        <f>20*LOG(IMABS(Y105))</f>
        <v>26.680309662697198</v>
      </c>
      <c r="AA105" s="175">
        <f>(180/PI())*IMARGUMENT(Y105)</f>
        <v>92.488929555675554</v>
      </c>
    </row>
    <row r="106" spans="6:27" x14ac:dyDescent="0.25">
      <c r="F106" s="177">
        <v>104</v>
      </c>
      <c r="G106" s="175">
        <f>10^('Small Signal'!F106/30)</f>
        <v>2928.6445646252391</v>
      </c>
      <c r="H106" s="175" t="str">
        <f>COMPLEX(0,G106*2*PI())</f>
        <v>18401.2164984047i</v>
      </c>
      <c r="I106" s="175">
        <f>IF('Small Signal'!$B$37&gt;=1,Q106+0,N106+0)</f>
        <v>16.707106350074184</v>
      </c>
      <c r="J106" s="175">
        <f>IF('Small Signal'!$B$37&gt;=1,R106,O106)</f>
        <v>-11.745087211293129</v>
      </c>
      <c r="K106" s="175">
        <f>IF('Small Signal'!$B$37&gt;=1,Z106+0,W106+0)</f>
        <v>21.782052313749446</v>
      </c>
      <c r="L106" s="175">
        <f>IF('Small Signal'!$B$37&gt;=1,AA106,X106)</f>
        <v>92.99816632617032</v>
      </c>
      <c r="M106" s="175" t="str">
        <f>IMDIV(IMSUM('Small Signal'!$B$2*'Small Signal'!$B$16*'Small Signal'!$B$38,IMPRODUCT(H106,'Small Signal'!$B$2*'Small Signal'!$B$16*'Small Signal'!$B$38*'Small Signal'!$B$13*'Small Signal'!$B$14)),IMSUM(IMPRODUCT('Small Signal'!$B$11*'Small Signal'!$B$13*('Small Signal'!$B$14+'Small Signal'!$B$16),IMPOWER(H106,2)),IMSUM(IMPRODUCT(H106,('Small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6.70140591745693-1.39329497861059i</v>
      </c>
      <c r="N106" s="175">
        <f>20*LOG(IMABS(M106))</f>
        <v>16.707106350074184</v>
      </c>
      <c r="O106" s="175">
        <f>(180/PI())*IMARGUMENT(M106)</f>
        <v>-11.745087211293129</v>
      </c>
      <c r="P106" s="175" t="str">
        <f>IMDIV(IMSUM('Small Signal'!$B$48,IMPRODUCT(H106,'Small Signal'!$B$49)),IMSUM(IMPRODUCT('Small Signal'!$B$52,IMPOWER(H106,2)),IMSUM(IMPRODUCT(H106,'Small Signal'!$B$51),'Small Signal'!$B$50)))</f>
        <v>10.9237562918808-2.34249925955866i</v>
      </c>
      <c r="Q106" s="175">
        <f>20*LOG(IMABS(P106))</f>
        <v>20.962694056677119</v>
      </c>
      <c r="R106" s="175">
        <f>(180/PI())*IMARGUMENT(P106)</f>
        <v>-12.103253567328334</v>
      </c>
      <c r="S106" s="175" t="str">
        <f>IMPRODUCT(IMDIV(IMSUM(IMPRODUCT(H106,'Small Signal'!$B$33*'Small Signal'!$B$6*'Small Signal'!$B$27*'Small Signal'!$B$7*'Small Signal'!$B$8),'Small Signal'!$B$33*'Small Signal'!$B$6*'Small Signal'!$B$27),IMSUM(IMSUM(IMPRODUCT(H106,('Small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Signal'!$B$5),IMPRODUCT(IMPOWER(H106,2),'Small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-0.456472628679935+1.73463403654632i</v>
      </c>
      <c r="T106" s="175">
        <f>20*LOG(IMABS(S106))</f>
        <v>5.074945963675292</v>
      </c>
      <c r="U106" s="175">
        <f>(180/PI())*IMARGUMENT(S106)</f>
        <v>104.74325353746345</v>
      </c>
      <c r="V106" s="175" t="str">
        <f>IMPRODUCT(M106,S106)</f>
        <v>-0.64215148214583+12.2604878185466i</v>
      </c>
      <c r="W106" s="176">
        <f>20*LOG(IMABS(V106))</f>
        <v>21.782052313749446</v>
      </c>
      <c r="X106" s="175">
        <f>(180/PI())*IMARGUMENT(V106)</f>
        <v>92.99816632617032</v>
      </c>
      <c r="Y106" s="175" t="str">
        <f>IMPRODUCT(P106,S106)</f>
        <v>-0.923016803398803+20.018006265525i</v>
      </c>
      <c r="Z106" s="176">
        <f>20*LOG(IMABS(Y106))</f>
        <v>26.037640020352413</v>
      </c>
      <c r="AA106" s="175">
        <f>(180/PI())*IMARGUMENT(Y106)</f>
        <v>92.639999970135108</v>
      </c>
    </row>
    <row r="107" spans="6:27" x14ac:dyDescent="0.25">
      <c r="F107" s="177">
        <v>105</v>
      </c>
      <c r="G107" s="175">
        <f>10^('Small Signal'!F107/30)</f>
        <v>3162.2776601683804</v>
      </c>
      <c r="H107" s="175" t="str">
        <f>COMPLEX(0,G107*2*PI())</f>
        <v>19869.1765315922i</v>
      </c>
      <c r="I107" s="175">
        <f>IF('Small Signal'!$B$37&gt;=1,Q107+0,N107+0)</f>
        <v>16.682653019266706</v>
      </c>
      <c r="J107" s="175">
        <f>IF('Small Signal'!$B$37&gt;=1,R107,O107)</f>
        <v>-12.660813744237668</v>
      </c>
      <c r="K107" s="175">
        <f>IF('Small Signal'!$B$37&gt;=1,Z107+0,W107+0)</f>
        <v>21.140644598292546</v>
      </c>
      <c r="L107" s="175">
        <f>IF('Small Signal'!$B$37&gt;=1,AA107,X107)</f>
        <v>93.185493413844995</v>
      </c>
      <c r="M107" s="175" t="str">
        <f>IMDIV(IMSUM('Small Signal'!$B$2*'Small Signal'!$B$16*'Small Signal'!$B$38,IMPRODUCT(H107,'Small Signal'!$B$2*'Small Signal'!$B$16*'Small Signal'!$B$38*'Small Signal'!$B$13*'Small Signal'!$B$14)),IMSUM(IMPRODUCT('Small Signal'!$B$11*'Small Signal'!$B$13*('Small Signal'!$B$14+'Small Signal'!$B$16),IMPOWER(H107,2)),IMSUM(IMPRODUCT(H107,('Small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6.65950784074832-1.49599969778743i</v>
      </c>
      <c r="N107" s="175">
        <f>20*LOG(IMABS(M107))</f>
        <v>16.682653019266706</v>
      </c>
      <c r="O107" s="175">
        <f>(180/PI())*IMARGUMENT(M107)</f>
        <v>-12.660813744237668</v>
      </c>
      <c r="P107" s="175" t="str">
        <f>IMDIV(IMSUM('Small Signal'!$B$48,IMPRODUCT(H107,'Small Signal'!$B$49)),IMSUM(IMPRODUCT('Small Signal'!$B$52,IMPOWER(H107,2)),IMSUM(IMPRODUCT(H107,'Small Signal'!$B$51),'Small Signal'!$B$50)))</f>
        <v>10.8557514354825-2.51649514282611i</v>
      </c>
      <c r="Q107" s="175">
        <f>20*LOG(IMABS(P107))</f>
        <v>20.940519598896735</v>
      </c>
      <c r="R107" s="175">
        <f>(180/PI())*IMARGUMENT(P107)</f>
        <v>-13.051337683145965</v>
      </c>
      <c r="S107" s="175" t="str">
        <f>IMPRODUCT(IMDIV(IMSUM(IMPRODUCT(H107,'Small Signal'!$B$33*'Small Signal'!$B$6*'Small Signal'!$B$27*'Small Signal'!$B$7*'Small Signal'!$B$8),'Small Signal'!$B$33*'Small Signal'!$B$6*'Small Signal'!$B$27),IMSUM(IMSUM(IMPRODUCT(H107,('Small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Signal'!$B$5),IMPRODUCT(IMPOWER(H107,2),'Small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-0.456198886271198+1.60721351638837i</v>
      </c>
      <c r="T107" s="175">
        <f>20*LOG(IMABS(S107))</f>
        <v>4.4579915790258449</v>
      </c>
      <c r="U107" s="175">
        <f>(180/PI())*IMARGUMENT(S107)</f>
        <v>105.84630715808267</v>
      </c>
      <c r="V107" s="175" t="str">
        <f>IMPRODUCT(M107,S107)</f>
        <v>-0.63366912526682+11.3857244101377i</v>
      </c>
      <c r="W107" s="176">
        <f>20*LOG(IMABS(V107))</f>
        <v>21.140644598292546</v>
      </c>
      <c r="X107" s="175">
        <f>(180/PI())*IMARGUMENT(V107)</f>
        <v>93.185493413844995</v>
      </c>
      <c r="Y107" s="175" t="str">
        <f>IMPRODUCT(P107,S107)</f>
        <v>-0.907836707028269+18.5955327191241i</v>
      </c>
      <c r="Z107" s="176">
        <f>20*LOG(IMABS(Y107))</f>
        <v>25.398511177922593</v>
      </c>
      <c r="AA107" s="175">
        <f>(180/PI())*IMARGUMENT(Y107)</f>
        <v>92.794969474936693</v>
      </c>
    </row>
    <row r="108" spans="6:27" x14ac:dyDescent="0.25">
      <c r="F108" s="177">
        <v>106</v>
      </c>
      <c r="G108" s="175">
        <f>10^('Small Signal'!F108/30)</f>
        <v>3414.5488738336035</v>
      </c>
      <c r="H108" s="175" t="str">
        <f>COMPLEX(0,G108*2*PI())</f>
        <v>21454.2433147179i</v>
      </c>
      <c r="I108" s="175">
        <f>IF('Small Signal'!$B$37&gt;=1,Q108+0,N108+0)</f>
        <v>16.65431088116204</v>
      </c>
      <c r="J108" s="175">
        <f>IF('Small Signal'!$B$37&gt;=1,R108,O108)</f>
        <v>-13.6442849787777</v>
      </c>
      <c r="K108" s="175">
        <f>IF('Small Signal'!$B$37&gt;=1,Z108+0,W108+0)</f>
        <v>20.502884106364267</v>
      </c>
      <c r="L108" s="175">
        <f>IF('Small Signal'!$B$37&gt;=1,AA108,X108)</f>
        <v>93.378487472403165</v>
      </c>
      <c r="M108" s="175" t="str">
        <f>IMDIV(IMSUM('Small Signal'!$B$2*'Small Signal'!$B$16*'Small Signal'!$B$38,IMPRODUCT(H108,'Small Signal'!$B$2*'Small Signal'!$B$16*'Small Signal'!$B$38*'Small Signal'!$B$13*'Small Signal'!$B$14)),IMSUM(IMPRODUCT('Small Signal'!$B$11*'Small Signal'!$B$13*('Small Signal'!$B$14+'Small Signal'!$B$16),IMPOWER(H108,2)),IMSUM(IMPRODUCT(H108,('Small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6.61124174872063-1.60483774751582i</v>
      </c>
      <c r="N108" s="175">
        <f>20*LOG(IMABS(M108))</f>
        <v>16.65431088116204</v>
      </c>
      <c r="O108" s="175">
        <f>(180/PI())*IMARGUMENT(M108)</f>
        <v>-13.6442849787777</v>
      </c>
      <c r="P108" s="175" t="str">
        <f>IMDIV(IMSUM('Small Signal'!$B$48,IMPRODUCT(H108,'Small Signal'!$B$49)),IMSUM(IMPRODUCT('Small Signal'!$B$52,IMPOWER(H108,2)),IMSUM(IMPRODUCT(H108,'Small Signal'!$B$51),'Small Signal'!$B$50)))</f>
        <v>10.7772990060111-2.70120653832186i</v>
      </c>
      <c r="Q108" s="175">
        <f>20*LOG(IMABS(P108))</f>
        <v>20.914794518101228</v>
      </c>
      <c r="R108" s="175">
        <f>(180/PI())*IMARGUMENT(P108)</f>
        <v>-14.070672092931373</v>
      </c>
      <c r="S108" s="175" t="str">
        <f>IMPRODUCT(IMDIV(IMSUM(IMPRODUCT(H108,'Small Signal'!$B$33*'Small Signal'!$B$6*'Small Signal'!$B$27*'Small Signal'!$B$7*'Small Signal'!$B$8),'Small Signal'!$B$33*'Small Signal'!$B$6*'Small Signal'!$B$27),IMSUM(IMSUM(IMPRODUCT(H108,('Small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Signal'!$B$5),IMPRODUCT(IMPOWER(H108,2),'Small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-0.45596151639315+1.48926562928228i</v>
      </c>
      <c r="T108" s="175">
        <f>20*LOG(IMABS(S108))</f>
        <v>3.8485732252022213</v>
      </c>
      <c r="U108" s="175">
        <f>(180/PI())*IMARGUMENT(S108)</f>
        <v>107.02277245118087</v>
      </c>
      <c r="V108" s="175" t="str">
        <f>IMPRODUCT(M108,S108)</f>
        <v>-0.624442115038255+10.577639356168i</v>
      </c>
      <c r="W108" s="176">
        <f>20*LOG(IMABS(V108))</f>
        <v>20.502884106364267</v>
      </c>
      <c r="X108" s="175">
        <f>(180/PI())*IMARGUMENT(V108)</f>
        <v>93.378487472403165</v>
      </c>
      <c r="Y108" s="175" t="str">
        <f>IMPRODUCT(P108,S108)</f>
        <v>-0.891219542287896+17.2819072154547i</v>
      </c>
      <c r="Z108" s="176">
        <f>20*LOG(IMABS(Y108))</f>
        <v>24.763367743303426</v>
      </c>
      <c r="AA108" s="175">
        <f>(180/PI())*IMARGUMENT(Y108)</f>
        <v>92.952100358249496</v>
      </c>
    </row>
    <row r="109" spans="6:27" x14ac:dyDescent="0.25">
      <c r="F109" s="177">
        <v>107</v>
      </c>
      <c r="G109" s="175">
        <f>10^('Small Signal'!F109/30)</f>
        <v>3686.9450645195784</v>
      </c>
      <c r="H109" s="175" t="str">
        <f>COMPLEX(0,G109*2*PI())</f>
        <v>23165.7590577677i</v>
      </c>
      <c r="I109" s="175">
        <f>IF('Small Signal'!$B$37&gt;=1,Q109+0,N109+0)</f>
        <v>16.621492276074989</v>
      </c>
      <c r="J109" s="175">
        <f>IF('Small Signal'!$B$37&gt;=1,R109,O109)</f>
        <v>-14.699616913000021</v>
      </c>
      <c r="K109" s="175">
        <f>IF('Small Signal'!$B$37&gt;=1,Z109+0,W109+0)</f>
        <v>19.869203150111382</v>
      </c>
      <c r="L109" s="175">
        <f>IF('Small Signal'!$B$37&gt;=1,AA109,X109)</f>
        <v>93.575383443209645</v>
      </c>
      <c r="M109" s="175" t="str">
        <f>IMDIV(IMSUM('Small Signal'!$B$2*'Small Signal'!$B$16*'Small Signal'!$B$38,IMPRODUCT(H109,'Small Signal'!$B$2*'Small Signal'!$B$16*'Small Signal'!$B$38*'Small Signal'!$B$13*'Small Signal'!$B$14)),IMSUM(IMPRODUCT('Small Signal'!$B$11*'Small Signal'!$B$13*('Small Signal'!$B$14+'Small Signal'!$B$16),IMPOWER(H109,2)),IMSUM(IMPRODUCT(H109,('Small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6.55574549035407-1.71982078416861i</v>
      </c>
      <c r="N109" s="175">
        <f>20*LOG(IMABS(M109))</f>
        <v>16.621492276074989</v>
      </c>
      <c r="O109" s="175">
        <f>(180/PI())*IMARGUMENT(M109)</f>
        <v>-14.699616913000021</v>
      </c>
      <c r="P109" s="175" t="str">
        <f>IMDIV(IMSUM('Small Signal'!$B$48,IMPRODUCT(H109,'Small Signal'!$B$49)),IMSUM(IMPRODUCT('Small Signal'!$B$52,IMPOWER(H109,2)),IMSUM(IMPRODUCT(H109,'Small Signal'!$B$51),'Small Signal'!$B$50)))</f>
        <v>10.6869466802471-2.89674375768493i</v>
      </c>
      <c r="Q109" s="175">
        <f>20*LOG(IMABS(P109))</f>
        <v>20.884973910105728</v>
      </c>
      <c r="R109" s="175">
        <f>(180/PI())*IMARGUMENT(P109)</f>
        <v>-15.16586718450738</v>
      </c>
      <c r="S109" s="175" t="str">
        <f>IMPRODUCT(IMDIV(IMSUM(IMPRODUCT(H109,'Small Signal'!$B$33*'Small Signal'!$B$6*'Small Signal'!$B$27*'Small Signal'!$B$7*'Small Signal'!$B$8),'Small Signal'!$B$33*'Small Signal'!$B$6*'Small Signal'!$B$27),IMSUM(IMSUM(IMPRODUCT(H109,('Small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Signal'!$B$5),IMPRODUCT(IMPOWER(H109,2),'Small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-0.455754914897486+1.38009521064182i</v>
      </c>
      <c r="T109" s="175">
        <f>20*LOG(IMABS(S109))</f>
        <v>3.2477108740364038</v>
      </c>
      <c r="U109" s="175">
        <f>(180/PI())*IMARGUMENT(S109)</f>
        <v>108.27500035620966</v>
      </c>
      <c r="V109" s="175" t="str">
        <f>IMPRODUCT(M109,S109)</f>
        <v>-0.614296800652539+9.83136972855205i</v>
      </c>
      <c r="W109" s="176">
        <f>20*LOG(IMABS(V109))</f>
        <v>19.869203150111382</v>
      </c>
      <c r="X109" s="175">
        <f>(180/PI())*IMARGUMENT(V109)</f>
        <v>93.575383443209645</v>
      </c>
      <c r="Y109" s="175" t="str">
        <f>IMPRODUCT(P109,S109)</f>
        <v>-0.872846288332427+16.069209134557i</v>
      </c>
      <c r="Z109" s="176">
        <f>20*LOG(IMABS(Y109))</f>
        <v>24.132684784142107</v>
      </c>
      <c r="AA109" s="175">
        <f>(180/PI())*IMARGUMENT(Y109)</f>
        <v>93.109133171702283</v>
      </c>
    </row>
    <row r="110" spans="6:27" x14ac:dyDescent="0.25">
      <c r="F110" s="177">
        <v>108</v>
      </c>
      <c r="G110" s="175">
        <f>10^('Small Signal'!F110/30)</f>
        <v>3981.0717055349769</v>
      </c>
      <c r="H110" s="175" t="str">
        <f>COMPLEX(0,G110*2*PI())</f>
        <v>25013.8112470457i</v>
      </c>
      <c r="I110" s="175">
        <f>IF('Small Signal'!$B$37&gt;=1,Q110+0,N110+0)</f>
        <v>16.58353109641396</v>
      </c>
      <c r="J110" s="175">
        <f>IF('Small Signal'!$B$37&gt;=1,R110,O110)</f>
        <v>-15.830957875495807</v>
      </c>
      <c r="K110" s="175">
        <f>IF('Small Signal'!$B$37&gt;=1,Z110+0,W110+0)</f>
        <v>19.240055170751006</v>
      </c>
      <c r="L110" s="175">
        <f>IF('Small Signal'!$B$37&gt;=1,AA110,X110)</f>
        <v>93.773885830797155</v>
      </c>
      <c r="M110" s="175" t="str">
        <f>IMDIV(IMSUM('Small Signal'!$B$2*'Small Signal'!$B$16*'Small Signal'!$B$38,IMPRODUCT(H110,'Small Signal'!$B$2*'Small Signal'!$B$16*'Small Signal'!$B$38*'Small Signal'!$B$13*'Small Signal'!$B$14)),IMSUM(IMPRODUCT('Small Signal'!$B$11*'Small Signal'!$B$13*('Small Signal'!$B$14+'Small Signal'!$B$16),IMPOWER(H110,2)),IMSUM(IMPRODUCT(H110,('Small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6.49207546030569-1.84086141857142i</v>
      </c>
      <c r="N110" s="175">
        <f>20*LOG(IMABS(M110))</f>
        <v>16.58353109641396</v>
      </c>
      <c r="O110" s="175">
        <f>(180/PI())*IMARGUMENT(M110)</f>
        <v>-15.830957875495807</v>
      </c>
      <c r="P110" s="175" t="str">
        <f>IMDIV(IMSUM('Small Signal'!$B$48,IMPRODUCT(H110,'Small Signal'!$B$49)),IMSUM(IMPRODUCT('Small Signal'!$B$52,IMPOWER(H110,2)),IMSUM(IMPRODUCT(H110,'Small Signal'!$B$51),'Small Signal'!$B$50)))</f>
        <v>10.5830917262098-3.10306541517041i</v>
      </c>
      <c r="Q110" s="175">
        <f>20*LOG(IMABS(P110))</f>
        <v>20.850437255343088</v>
      </c>
      <c r="R110" s="175">
        <f>(180/PI())*IMARGUMENT(P110)</f>
        <v>-16.341650203146052</v>
      </c>
      <c r="S110" s="175" t="str">
        <f>IMPRODUCT(IMDIV(IMSUM(IMPRODUCT(H110,'Small Signal'!$B$33*'Small Signal'!$B$6*'Small Signal'!$B$27*'Small Signal'!$B$7*'Small Signal'!$B$8),'Small Signal'!$B$33*'Small Signal'!$B$6*'Small Signal'!$B$27),IMSUM(IMSUM(IMPRODUCT(H110,('Small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Signal'!$B$5),IMPRODUCT(IMPOWER(H110,2),'Small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-0.455574204148941+1.27905882399401i</v>
      </c>
      <c r="T110" s="175">
        <f>20*LOG(IMABS(S110))</f>
        <v>2.6565240743370451</v>
      </c>
      <c r="U110" s="175">
        <f>(180/PI())*IMARGUMENT(S110)</f>
        <v>109.60484370629295</v>
      </c>
      <c r="V110" s="175" t="str">
        <f>IMPRODUCT(M110,S110)</f>
        <v>-0.603052069929729+9.14239537925313i</v>
      </c>
      <c r="W110" s="176">
        <f>20*LOG(IMABS(V110))</f>
        <v>19.240055170751006</v>
      </c>
      <c r="X110" s="175">
        <f>(180/PI())*IMARGUMENT(V110)</f>
        <v>93.773885830797155</v>
      </c>
      <c r="Y110" s="175" t="str">
        <f>IMPRODUCT(P110,S110)</f>
        <v>-0.852380389898923+14.950073414485i</v>
      </c>
      <c r="Z110" s="176">
        <f>20*LOG(IMABS(Y110))</f>
        <v>23.506961329680127</v>
      </c>
      <c r="AA110" s="175">
        <f>(180/PI())*IMARGUMENT(Y110)</f>
        <v>93.263193503146908</v>
      </c>
    </row>
    <row r="111" spans="6:27" x14ac:dyDescent="0.25">
      <c r="F111" s="177">
        <v>109</v>
      </c>
      <c r="G111" s="175">
        <f>10^('Small Signal'!F111/30)</f>
        <v>4298.6623470822833</v>
      </c>
      <c r="H111" s="175" t="str">
        <f>COMPLEX(0,G111*2*PI())</f>
        <v>27009.2920997135i</v>
      </c>
      <c r="I111" s="175">
        <f>IF('Small Signal'!$B$37&gt;=1,Q111+0,N111+0)</f>
        <v>16.53967574328362</v>
      </c>
      <c r="J111" s="175">
        <f>IF('Small Signal'!$B$37&gt;=1,R111,O111)</f>
        <v>-17.042430294410877</v>
      </c>
      <c r="K111" s="175">
        <f>IF('Small Signal'!$B$37&gt;=1,Z111+0,W111+0)</f>
        <v>18.615905632710078</v>
      </c>
      <c r="L111" s="175">
        <f>IF('Small Signal'!$B$37&gt;=1,AA111,X111)</f>
        <v>93.971085247812681</v>
      </c>
      <c r="M111" s="175" t="str">
        <f>IMDIV(IMSUM('Small Signal'!$B$2*'Small Signal'!$B$16*'Small Signal'!$B$38,IMPRODUCT(H111,'Small Signal'!$B$2*'Small Signal'!$B$16*'Small Signal'!$B$38*'Small Signal'!$B$13*'Small Signal'!$B$14)),IMSUM(IMPRODUCT('Small Signal'!$B$11*'Small Signal'!$B$13*('Small Signal'!$B$14+'Small Signal'!$B$16),IMPOWER(H111,2)),IMSUM(IMPRODUCT(H111,('Small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6.41921090336326-1.96774897563769i</v>
      </c>
      <c r="N111" s="175">
        <f>20*LOG(IMABS(M111))</f>
        <v>16.53967574328362</v>
      </c>
      <c r="O111" s="175">
        <f>(180/PI())*IMARGUMENT(M111)</f>
        <v>-17.042430294410877</v>
      </c>
      <c r="P111" s="175" t="str">
        <f>IMDIV(IMSUM('Small Signal'!$B$48,IMPRODUCT(H111,'Small Signal'!$B$49)),IMSUM(IMPRODUCT('Small Signal'!$B$52,IMPOWER(H111,2)),IMSUM(IMPRODUCT(H111,'Small Signal'!$B$51),'Small Signal'!$B$50)))</f>
        <v>10.4639830519747-3.31993803669138i</v>
      </c>
      <c r="Q111" s="175">
        <f>20*LOG(IMABS(P111))</f>
        <v>20.810480596642648</v>
      </c>
      <c r="R111" s="175">
        <f>(180/PI())*IMARGUMENT(P111)</f>
        <v>-17.602821162061318</v>
      </c>
      <c r="S111" s="175" t="str">
        <f>IMPRODUCT(IMDIV(IMSUM(IMPRODUCT(H111,'Small Signal'!$B$33*'Small Signal'!$B$6*'Small Signal'!$B$27*'Small Signal'!$B$7*'Small Signal'!$B$8),'Small Signal'!$B$33*'Small Signal'!$B$6*'Small Signal'!$B$27),IMSUM(IMSUM(IMPRODUCT(H111,('Small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Signal'!$B$5),IMPRODUCT(IMPOWER(H111,2),'Small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-0.455415117890197+1.18556096874321i</v>
      </c>
      <c r="T111" s="175">
        <f>20*LOG(IMABS(S111))</f>
        <v>2.0762298894264535</v>
      </c>
      <c r="U111" s="175">
        <f>(180/PI())*IMARGUMENT(S111)</f>
        <v>111.01351554222357</v>
      </c>
      <c r="V111" s="175" t="str">
        <f>IMPRODUCT(M111,S111)</f>
        <v>-0.590519308516738+8.50650852887668i</v>
      </c>
      <c r="W111" s="176">
        <f>20*LOG(IMABS(V111))</f>
        <v>18.615905632710078</v>
      </c>
      <c r="X111" s="175">
        <f>(180/PI())*IMARGUMENT(V111)</f>
        <v>93.971085247812681</v>
      </c>
      <c r="Y111" s="175" t="str">
        <f>IMPRODUCT(P111,S111)</f>
        <v>-0.829467120268818+13.9176398563796i</v>
      </c>
      <c r="Z111" s="176">
        <f>20*LOG(IMABS(Y111))</f>
        <v>22.886710486069092</v>
      </c>
      <c r="AA111" s="175">
        <f>(180/PI())*IMARGUMENT(Y111)</f>
        <v>93.410694380162255</v>
      </c>
    </row>
    <row r="112" spans="6:27" x14ac:dyDescent="0.25">
      <c r="F112" s="177">
        <v>110</v>
      </c>
      <c r="G112" s="175">
        <f>10^('Small Signal'!F112/30)</f>
        <v>4641.5888336127782</v>
      </c>
      <c r="H112" s="175" t="str">
        <f>COMPLEX(0,G112*2*PI())</f>
        <v>29163.9627613246i</v>
      </c>
      <c r="I112" s="175">
        <f>IF('Small Signal'!$B$37&gt;=1,Q112+0,N112+0)</f>
        <v>16.489082608751076</v>
      </c>
      <c r="J112" s="175">
        <f>IF('Small Signal'!$B$37&gt;=1,R112,O112)</f>
        <v>-18.338058374988847</v>
      </c>
      <c r="K112" s="175">
        <f>IF('Small Signal'!$B$37&gt;=1,Z112+0,W112+0)</f>
        <v>17.997219318666467</v>
      </c>
      <c r="L112" s="175">
        <f>IF('Small Signal'!$B$37&gt;=1,AA112,X112)</f>
        <v>94.163376594323239</v>
      </c>
      <c r="M112" s="175" t="str">
        <f>IMDIV(IMSUM('Small Signal'!$B$2*'Small Signal'!$B$16*'Small Signal'!$B$38,IMPRODUCT(H112,'Small Signal'!$B$2*'Small Signal'!$B$16*'Small Signal'!$B$38*'Small Signal'!$B$13*'Small Signal'!$B$14)),IMSUM(IMPRODUCT('Small Signal'!$B$11*'Small Signal'!$B$13*('Small Signal'!$B$14+'Small Signal'!$B$16),IMPOWER(H112,2)),IMSUM(IMPRODUCT(H112,('Small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6.33606320778433-2.10012260254718i</v>
      </c>
      <c r="N112" s="175">
        <f>20*LOG(IMABS(M112))</f>
        <v>16.489082608751076</v>
      </c>
      <c r="O112" s="175">
        <f>(180/PI())*IMARGUMENT(M112)</f>
        <v>-18.338058374988847</v>
      </c>
      <c r="P112" s="175" t="str">
        <f>IMDIV(IMSUM('Small Signal'!$B$48,IMPRODUCT(H112,'Small Signal'!$B$49)),IMSUM(IMPRODUCT('Small Signal'!$B$52,IMPOWER(H112,2)),IMSUM(IMPRODUCT(H112,'Small Signal'!$B$51),'Small Signal'!$B$50)))</f>
        <v>10.3277305030923-3.54689017197856i</v>
      </c>
      <c r="Q112" s="175">
        <f>20*LOG(IMABS(P112))</f>
        <v>20.764308805645246</v>
      </c>
      <c r="R112" s="175">
        <f>(180/PI())*IMARGUMENT(P112)</f>
        <v>-18.954196106216532</v>
      </c>
      <c r="S112" s="175" t="str">
        <f>IMPRODUCT(IMDIV(IMSUM(IMPRODUCT(H112,'Small Signal'!$B$33*'Small Signal'!$B$6*'Small Signal'!$B$27*'Small Signal'!$B$7*'Small Signal'!$B$8),'Small Signal'!$B$33*'Small Signal'!$B$6*'Small Signal'!$B$27),IMSUM(IMSUM(IMPRODUCT(H112,('Small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Signal'!$B$5),IMPRODUCT(IMPOWER(H112,2),'Small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-0.455273900550105+1.0990505701866i</v>
      </c>
      <c r="T112" s="175">
        <f>20*LOG(IMABS(S112))</f>
        <v>1.50813670991539</v>
      </c>
      <c r="U112" s="175">
        <f>(180/PI())*IMARGUMENT(S112)</f>
        <v>112.50143496931209</v>
      </c>
      <c r="V112" s="175" t="str">
        <f>IMPRODUCT(M112,S112)</f>
        <v>-0.576503266948738+7.9197848901488i</v>
      </c>
      <c r="W112" s="176">
        <f>20*LOG(IMABS(V112))</f>
        <v>17.997219318666467</v>
      </c>
      <c r="X112" s="175">
        <f>(180/PI())*IMARGUMENT(V112)</f>
        <v>94.163376594323239</v>
      </c>
      <c r="Y112" s="175" t="str">
        <f>IMPRODUCT(P112,S112)</f>
        <v>-0.803734484070845+12.9655046215766i</v>
      </c>
      <c r="Z112" s="176">
        <f>20*LOG(IMABS(Y112))</f>
        <v>22.272445515560605</v>
      </c>
      <c r="AA112" s="175">
        <f>(180/PI())*IMARGUMENT(Y112)</f>
        <v>93.547238863095558</v>
      </c>
    </row>
    <row r="113" spans="6:27" x14ac:dyDescent="0.25">
      <c r="F113" s="177">
        <v>111</v>
      </c>
      <c r="G113" s="175">
        <f>10^('Small Signal'!F113/30)</f>
        <v>5011.8723362727324</v>
      </c>
      <c r="H113" s="175" t="str">
        <f>COMPLEX(0,G113*2*PI())</f>
        <v>31490.5226247287i</v>
      </c>
      <c r="I113" s="175">
        <f>IF('Small Signal'!$B$37&gt;=1,Q113+0,N113+0)</f>
        <v>16.430810560136283</v>
      </c>
      <c r="J113" s="175">
        <f>IF('Small Signal'!$B$37&gt;=1,R113,O113)</f>
        <v>-19.721680382376839</v>
      </c>
      <c r="K113" s="175">
        <f>IF('Small Signal'!$B$37&gt;=1,Z113+0,W113+0)</f>
        <v>17.384443583772867</v>
      </c>
      <c r="L113" s="175">
        <f>IF('Small Signal'!$B$37&gt;=1,AA113,X113)</f>
        <v>94.346385051474897</v>
      </c>
      <c r="M113" s="175" t="str">
        <f>IMDIV(IMSUM('Small Signal'!$B$2*'Small Signal'!$B$16*'Small Signal'!$B$38,IMPRODUCT(H113,'Small Signal'!$B$2*'Small Signal'!$B$16*'Small Signal'!$B$38*'Small Signal'!$B$13*'Small Signal'!$B$14)),IMSUM(IMPRODUCT('Small Signal'!$B$11*'Small Signal'!$B$13*('Small Signal'!$B$14+'Small Signal'!$B$16),IMPOWER(H113,2)),IMSUM(IMPRODUCT(H113,('Small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6.24149159114203-2.23744241492101i</v>
      </c>
      <c r="N113" s="175">
        <f>20*LOG(IMABS(M113))</f>
        <v>16.430810560136283</v>
      </c>
      <c r="O113" s="175">
        <f>(180/PI())*IMARGUMENT(M113)</f>
        <v>-19.721680382376839</v>
      </c>
      <c r="P113" s="175" t="str">
        <f>IMDIV(IMSUM('Small Signal'!$B$48,IMPRODUCT(H113,'Small Signal'!$B$49)),IMSUM(IMPRODUCT('Small Signal'!$B$52,IMPOWER(H113,2)),IMSUM(IMPRODUCT(H113,'Small Signal'!$B$51),'Small Signal'!$B$50)))</f>
        <v>10.172323785829-3.78316165143276i</v>
      </c>
      <c r="Q113" s="175">
        <f>20*LOG(IMABS(P113))</f>
        <v>20.711028295813826</v>
      </c>
      <c r="R113" s="175">
        <f>(180/PI())*IMARGUMENT(P113)</f>
        <v>-20.400536112805906</v>
      </c>
      <c r="S113" s="175" t="str">
        <f>IMPRODUCT(IMDIV(IMSUM(IMPRODUCT(H113,'Small Signal'!$B$33*'Small Signal'!$B$6*'Small Signal'!$B$27*'Small Signal'!$B$7*'Small Signal'!$B$8),'Small Signal'!$B$33*'Small Signal'!$B$6*'Small Signal'!$B$27),IMSUM(IMSUM(IMPRODUCT(H113,('Small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Signal'!$B$5),IMPRODUCT(IMPOWER(H113,2),'Small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-0.455147218621272+1.01901773108475i</v>
      </c>
      <c r="T113" s="175">
        <f>20*LOG(IMABS(S113))</f>
        <v>0.95363302363658142</v>
      </c>
      <c r="U113" s="175">
        <f>(180/PI())*IMARGUMENT(S113)</f>
        <v>114.06806543385176</v>
      </c>
      <c r="V113" s="175" t="str">
        <f>IMPRODUCT(M113,S113)</f>
        <v>-0.560804044670761+7.37855629176666i</v>
      </c>
      <c r="W113" s="176">
        <f>20*LOG(IMABS(V113))</f>
        <v>17.384443583772867</v>
      </c>
      <c r="X113" s="175">
        <f>(180/PI())*IMARGUMENT(V113)</f>
        <v>94.346385051474897</v>
      </c>
      <c r="Y113" s="175" t="str">
        <f>IMPRODUCT(P113,S113)</f>
        <v>-0.774796075665231+12.0876738073392i</v>
      </c>
      <c r="Z113" s="176">
        <f>20*LOG(IMABS(Y113))</f>
        <v>21.664661319450424</v>
      </c>
      <c r="AA113" s="175">
        <f>(180/PI())*IMARGUMENT(Y113)</f>
        <v>93.667529321045834</v>
      </c>
    </row>
    <row r="114" spans="6:27" x14ac:dyDescent="0.25">
      <c r="F114" s="177">
        <v>112</v>
      </c>
      <c r="G114" s="175">
        <f>10^('Small Signal'!F114/30)</f>
        <v>5411.6952654646393</v>
      </c>
      <c r="H114" s="175" t="str">
        <f>COMPLEX(0,G114*2*PI())</f>
        <v>34002.6841789008i</v>
      </c>
      <c r="I114" s="175">
        <f>IF('Small Signal'!$B$37&gt;=1,Q114+0,N114+0)</f>
        <v>16.363817024835623</v>
      </c>
      <c r="J114" s="175">
        <f>IF('Small Signal'!$B$37&gt;=1,R114,O114)</f>
        <v>-21.196844746477161</v>
      </c>
      <c r="K114" s="175">
        <f>IF('Small Signal'!$B$37&gt;=1,Z114+0,W114+0)</f>
        <v>16.777987339698029</v>
      </c>
      <c r="L114" s="175">
        <f>IF('Small Signal'!$B$37&gt;=1,AA114,X114)</f>
        <v>94.51490789258439</v>
      </c>
      <c r="M114" s="175" t="str">
        <f>IMDIV(IMSUM('Small Signal'!$B$2*'Small Signal'!$B$16*'Small Signal'!$B$38,IMPRODUCT(H114,'Small Signal'!$B$2*'Small Signal'!$B$16*'Small Signal'!$B$38*'Small Signal'!$B$13*'Small Signal'!$B$14)),IMSUM(IMPRODUCT('Small Signal'!$B$11*'Small Signal'!$B$13*('Small Signal'!$B$14+'Small Signal'!$B$16),IMPOWER(H114,2)),IMSUM(IMPRODUCT(H114,('Small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6.13432665336433-2.37895987144022i</v>
      </c>
      <c r="N114" s="175">
        <f>20*LOG(IMABS(M114))</f>
        <v>16.363817024835623</v>
      </c>
      <c r="O114" s="175">
        <f>(180/PI())*IMARGUMENT(M114)</f>
        <v>-21.196844746477161</v>
      </c>
      <c r="P114" s="175" t="str">
        <f>IMDIV(IMSUM('Small Signal'!$B$48,IMPRODUCT(H114,'Small Signal'!$B$49)),IMSUM(IMPRODUCT('Small Signal'!$B$52,IMPOWER(H114,2)),IMSUM(IMPRODUCT(H114,'Small Signal'!$B$51),'Small Signal'!$B$50)))</f>
        <v>9.99566367305783-4.02764935684587i</v>
      </c>
      <c r="Q114" s="175">
        <f>20*LOG(IMABS(P114))</f>
        <v>20.649640651688557</v>
      </c>
      <c r="R114" s="175">
        <f>(180/PI())*IMARGUMENT(P114)</f>
        <v>-21.946460685508104</v>
      </c>
      <c r="S114" s="175" t="str">
        <f>IMPRODUCT(IMDIV(IMSUM(IMPRODUCT(H114,'Small Signal'!$B$33*'Small Signal'!$B$6*'Small Signal'!$B$27*'Small Signal'!$B$7*'Small Signal'!$B$8),'Small Signal'!$B$33*'Small Signal'!$B$6*'Small Signal'!$B$27),IMSUM(IMSUM(IMPRODUCT(H114,('Small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Signal'!$B$5),IMPRODUCT(IMPOWER(H114,2),'Small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-0.455032082019108+0.944990725617458i</v>
      </c>
      <c r="T114" s="175">
        <f>20*LOG(IMABS(S114))</f>
        <v>0.41417031486241285</v>
      </c>
      <c r="U114" s="175">
        <f>(180/PI())*IMARGUMENT(S114)</f>
        <v>115.71175263906156</v>
      </c>
      <c r="V114" s="175" t="str">
        <f>IMPRODUCT(M114,S114)</f>
        <v>-0.54322041373857+6.87938485867862i</v>
      </c>
      <c r="W114" s="176">
        <f>20*LOG(IMABS(V114))</f>
        <v>16.777987339698029</v>
      </c>
      <c r="X114" s="175">
        <f>(180/PI())*IMARGUMENT(V114)</f>
        <v>94.51490789258439</v>
      </c>
      <c r="Y114" s="175" t="str">
        <f>IMPRODUCT(P114,S114)</f>
        <v>-0.742256364055802+11.2785191399195i</v>
      </c>
      <c r="Z114" s="176">
        <f>20*LOG(IMABS(Y114))</f>
        <v>21.063810966550985</v>
      </c>
      <c r="AA114" s="175">
        <f>(180/PI())*IMARGUMENT(Y114)</f>
        <v>93.765291953553444</v>
      </c>
    </row>
    <row r="115" spans="6:27" x14ac:dyDescent="0.25">
      <c r="F115" s="177">
        <v>113</v>
      </c>
      <c r="G115" s="175">
        <f>10^('Small Signal'!F115/30)</f>
        <v>5843.4141337351803</v>
      </c>
      <c r="H115" s="175" t="str">
        <f>COMPLEX(0,G115*2*PI())</f>
        <v>36715.2538288504i</v>
      </c>
      <c r="I115" s="175">
        <f>IF('Small Signal'!$B$37&gt;=1,Q115+0,N115+0)</f>
        <v>16.286956396603273</v>
      </c>
      <c r="J115" s="175">
        <f>IF('Small Signal'!$B$37&gt;=1,R115,O115)</f>
        <v>-22.766690040734577</v>
      </c>
      <c r="K115" s="175">
        <f>IF('Small Signal'!$B$37&gt;=1,Z115+0,W115+0)</f>
        <v>16.178195882797034</v>
      </c>
      <c r="L115" s="175">
        <f>IF('Small Signal'!$B$37&gt;=1,AA115,X115)</f>
        <v>94.662881743778868</v>
      </c>
      <c r="M115" s="175" t="str">
        <f>IMDIV(IMSUM('Small Signal'!$B$2*'Small Signal'!$B$16*'Small Signal'!$B$38,IMPRODUCT(H115,'Small Signal'!$B$2*'Small Signal'!$B$16*'Small Signal'!$B$38*'Small Signal'!$B$13*'Small Signal'!$B$14)),IMSUM(IMPRODUCT('Small Signal'!$B$11*'Small Signal'!$B$13*('Small Signal'!$B$14+'Small Signal'!$B$16),IMPOWER(H115,2)),IMSUM(IMPRODUCT(H115,('Small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6.0134031991152-2.52368918992786i</v>
      </c>
      <c r="N115" s="175">
        <f>20*LOG(IMABS(M115))</f>
        <v>16.286956396603273</v>
      </c>
      <c r="O115" s="175">
        <f>(180/PI())*IMARGUMENT(M115)</f>
        <v>-22.766690040734577</v>
      </c>
      <c r="P115" s="175" t="str">
        <f>IMDIV(IMSUM('Small Signal'!$B$48,IMPRODUCT(H115,'Small Signal'!$B$49)),IMSUM(IMPRODUCT('Small Signal'!$B$52,IMPOWER(H115,2)),IMSUM(IMPRODUCT(H115,'Small Signal'!$B$51),'Small Signal'!$B$50)))</f>
        <v>9.79560826707708-4.27885183527873i</v>
      </c>
      <c r="Q115" s="175">
        <f>20*LOG(IMABS(P115))</f>
        <v>20.579037764936977</v>
      </c>
      <c r="R115" s="175">
        <f>(180/PI())*IMARGUMENT(P115)</f>
        <v>-23.596344720060042</v>
      </c>
      <c r="S115" s="175" t="str">
        <f>IMPRODUCT(IMDIV(IMSUM(IMPRODUCT(H115,'Small Signal'!$B$33*'Small Signal'!$B$6*'Small Signal'!$B$27*'Small Signal'!$B$7*'Small Signal'!$B$8),'Small Signal'!$B$33*'Small Signal'!$B$6*'Small Signal'!$B$27),IMSUM(IMSUM(IMPRODUCT(H115,('Small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Signal'!$B$5),IMPRODUCT(IMPOWER(H115,2),'Small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-0.454925773571716+0.876533217967084i</v>
      </c>
      <c r="T115" s="175">
        <f>20*LOG(IMABS(S115))</f>
        <v>-0.10876051380623351</v>
      </c>
      <c r="U115" s="175">
        <f>(180/PI())*IMARGUMENT(S115)</f>
        <v>117.42957178451346</v>
      </c>
      <c r="V115" s="175" t="str">
        <f>IMPRODUCT(M115,S115)</f>
        <v>-0.523554695359903+6.41903891403651i</v>
      </c>
      <c r="W115" s="176">
        <f>20*LOG(IMABS(V115))</f>
        <v>16.178195882797034</v>
      </c>
      <c r="X115" s="175">
        <f>(180/PI())*IMARGUMENT(V115)</f>
        <v>94.662881743778868</v>
      </c>
      <c r="Y115" s="175" t="str">
        <f>IMPRODUCT(P115,S115)</f>
        <v>-0.705718900124308+10.532736017449i</v>
      </c>
      <c r="Z115" s="176">
        <f>20*LOG(IMABS(Y115))</f>
        <v>20.47027725113076</v>
      </c>
      <c r="AA115" s="175">
        <f>(180/PI())*IMARGUMENT(Y115)</f>
        <v>93.833227064453396</v>
      </c>
    </row>
    <row r="116" spans="6:27" x14ac:dyDescent="0.25">
      <c r="F116" s="177">
        <v>114</v>
      </c>
      <c r="G116" s="175">
        <f>10^('Small Signal'!F116/30)</f>
        <v>6309.5734448019384</v>
      </c>
      <c r="H116" s="175" t="str">
        <f>COMPLEX(0,G116*2*PI())</f>
        <v>39644.21916295i</v>
      </c>
      <c r="I116" s="175">
        <f>IF('Small Signal'!$B$37&gt;=1,Q116+0,N116+0)</f>
        <v>16.198981591555533</v>
      </c>
      <c r="J116" s="175">
        <f>IF('Small Signal'!$B$37&gt;=1,R116,O116)</f>
        <v>-24.43381009891699</v>
      </c>
      <c r="K116" s="175">
        <f>IF('Small Signal'!$B$37&gt;=1,Z116+0,W116+0)</f>
        <v>15.585322165863634</v>
      </c>
      <c r="L116" s="175">
        <f>IF('Small Signal'!$B$37&gt;=1,AA116,X116)</f>
        <v>94.783385980059847</v>
      </c>
      <c r="M116" s="175" t="str">
        <f>IMDIV(IMSUM('Small Signal'!$B$2*'Small Signal'!$B$16*'Small Signal'!$B$38,IMPRODUCT(H116,'Small Signal'!$B$2*'Small Signal'!$B$16*'Small Signal'!$B$38*'Small Signal'!$B$13*'Small Signal'!$B$14)),IMSUM(IMPRODUCT('Small Signal'!$B$11*'Small Signal'!$B$13*('Small Signal'!$B$14+'Small Signal'!$B$16),IMPOWER(H116,2)),IMSUM(IMPRODUCT(H116,('Small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5.8776034406284-2.67038233537258i</v>
      </c>
      <c r="N116" s="175">
        <f>20*LOG(IMABS(M116))</f>
        <v>16.198981591555533</v>
      </c>
      <c r="O116" s="175">
        <f>(180/PI())*IMARGUMENT(M116)</f>
        <v>-24.43381009891699</v>
      </c>
      <c r="P116" s="175" t="str">
        <f>IMDIV(IMSUM('Small Signal'!$B$48,IMPRODUCT(H116,'Small Signal'!$B$49)),IMSUM(IMPRODUCT('Small Signal'!$B$52,IMPOWER(H116,2)),IMSUM(IMPRODUCT(H116,'Small Signal'!$B$51),'Small Signal'!$B$50)))</f>
        <v>9.57003693179909-4.53481627218153i</v>
      </c>
      <c r="Q116" s="175">
        <f>20*LOG(IMABS(P116))</f>
        <v>20.497999188017918</v>
      </c>
      <c r="R116" s="175">
        <f>(180/PI())*IMARGUMENT(P116)</f>
        <v>-25.35419905425157</v>
      </c>
      <c r="S116" s="175" t="str">
        <f>IMPRODUCT(IMDIV(IMSUM(IMPRODUCT(H116,'Small Signal'!$B$33*'Small Signal'!$B$6*'Small Signal'!$B$27*'Small Signal'!$B$7*'Small Signal'!$B$8),'Small Signal'!$B$33*'Small Signal'!$B$6*'Small Signal'!$B$27),IMSUM(IMSUM(IMPRODUCT(H116,('Small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Signal'!$B$5),IMPRODUCT(IMPOWER(H116,2),'Small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-0.454825784984011+0.813241689077217i</v>
      </c>
      <c r="T116" s="175">
        <f>20*LOG(IMABS(S116))</f>
        <v>-0.61365942569189424</v>
      </c>
      <c r="U116" s="175">
        <f>(180/PI())*IMARGUMENT(S116)</f>
        <v>119.21719607897683</v>
      </c>
      <c r="V116" s="175" t="str">
        <f>IMPRODUCT(M116,S116)</f>
        <v>-0.501619357808176+5.99447089167597i</v>
      </c>
      <c r="W116" s="176">
        <f>20*LOG(IMABS(V116))</f>
        <v>15.585322165863634</v>
      </c>
      <c r="X116" s="175">
        <f>(180/PI())*IMARGUMENT(V116)</f>
        <v>94.783385980059847</v>
      </c>
      <c r="Y116" s="175" t="str">
        <f>IMPRODUCT(P116,S116)</f>
        <v>-0.664797914987741+9.84530436970087i</v>
      </c>
      <c r="Z116" s="176">
        <f>20*LOG(IMABS(Y116))</f>
        <v>19.884339762326025</v>
      </c>
      <c r="AA116" s="175">
        <f>(180/PI())*IMARGUMENT(Y116)</f>
        <v>93.86299702472526</v>
      </c>
    </row>
    <row r="117" spans="6:27" x14ac:dyDescent="0.25">
      <c r="F117" s="177">
        <v>115</v>
      </c>
      <c r="G117" s="175">
        <f>10^('Small Signal'!F117/30)</f>
        <v>6812.9206905796218</v>
      </c>
      <c r="H117" s="175" t="str">
        <f>COMPLEX(0,G117*2*PI())</f>
        <v>42806.8431820297i</v>
      </c>
      <c r="I117" s="175">
        <f>IF('Small Signal'!$B$37&gt;=1,Q117+0,N117+0)</f>
        <v>16.098549652387558</v>
      </c>
      <c r="J117" s="175">
        <f>IF('Small Signal'!$B$37&gt;=1,R117,O117)</f>
        <v>-26.200107160227628</v>
      </c>
      <c r="K117" s="175">
        <f>IF('Small Signal'!$B$37&gt;=1,Z117+0,W117+0)</f>
        <v>14.999495724965923</v>
      </c>
      <c r="L117" s="175">
        <f>IF('Small Signal'!$B$37&gt;=1,AA117,X117)</f>
        <v>94.868692945927663</v>
      </c>
      <c r="M117" s="175" t="str">
        <f>IMDIV(IMSUM('Small Signal'!$B$2*'Small Signal'!$B$16*'Small Signal'!$B$38,IMPRODUCT(H117,'Small Signal'!$B$2*'Small Signal'!$B$16*'Small Signal'!$B$38*'Small Signal'!$B$13*'Small Signal'!$B$14)),IMSUM(IMPRODUCT('Small Signal'!$B$11*'Small Signal'!$B$13*('Small Signal'!$B$14+'Small Signal'!$B$16),IMPOWER(H117,2)),IMSUM(IMPRODUCT(H117,('Small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5.72591110215964-2.81751085869224i</v>
      </c>
      <c r="N117" s="175">
        <f>20*LOG(IMABS(M117))</f>
        <v>16.098549652387558</v>
      </c>
      <c r="O117" s="175">
        <f>(180/PI())*IMARGUMENT(M117)</f>
        <v>-26.200107160227628</v>
      </c>
      <c r="P117" s="175" t="str">
        <f>IMDIV(IMSUM('Small Signal'!$B$48,IMPRODUCT(H117,'Small Signal'!$B$49)),IMSUM(IMPRODUCT('Small Signal'!$B$52,IMPOWER(H117,2)),IMSUM(IMPRODUCT(H117,'Small Signal'!$B$51),'Small Signal'!$B$50)))</f>
        <v>9.31693392362237-4.79309269896727i</v>
      </c>
      <c r="Q117" s="175">
        <f>20*LOG(IMABS(P117))</f>
        <v>20.405192520198675</v>
      </c>
      <c r="R117" s="175">
        <f>(180/PI())*IMARGUMENT(P117)</f>
        <v>-27.223535825869629</v>
      </c>
      <c r="S117" s="175" t="str">
        <f>IMPRODUCT(IMDIV(IMSUM(IMPRODUCT(H117,'Small Signal'!$B$33*'Small Signal'!$B$6*'Small Signal'!$B$27*'Small Signal'!$B$7*'Small Signal'!$B$8),'Small Signal'!$B$33*'Small Signal'!$B$6*'Small Signal'!$B$27),IMSUM(IMSUM(IMPRODUCT(H117,('Small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Signal'!$B$5),IMPRODUCT(IMPOWER(H117,2),'Small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-0.454729757775321+0.754743056339803i</v>
      </c>
      <c r="T117" s="175">
        <f>20*LOG(IMABS(S117))</f>
        <v>-1.0990539274216276</v>
      </c>
      <c r="U117" s="175">
        <f>(180/PI())*IMARGUMENT(S117)</f>
        <v>121.06880010615531</v>
      </c>
      <c r="V117" s="175" t="str">
        <f>IMPRODUCT(M117,S117)</f>
        <v>-0.47724541176811+5.60279767587643i</v>
      </c>
      <c r="W117" s="176">
        <f>20*LOG(IMABS(V117))</f>
        <v>14.999495724965923</v>
      </c>
      <c r="X117" s="175">
        <f>(180/PI())*IMARGUMENT(V117)</f>
        <v>94.868692945927663</v>
      </c>
      <c r="Y117" s="175" t="str">
        <f>IMPRODUCT(P117,S117)</f>
        <v>-0.619133673358918+9.21145306722679i</v>
      </c>
      <c r="Z117" s="176">
        <f>20*LOG(IMABS(Y117))</f>
        <v>19.306138592777049</v>
      </c>
      <c r="AA117" s="175">
        <f>(180/PI())*IMARGUMENT(Y117)</f>
        <v>93.845264280285662</v>
      </c>
    </row>
    <row r="118" spans="6:27" x14ac:dyDescent="0.25">
      <c r="F118" s="177">
        <v>116</v>
      </c>
      <c r="G118" s="175">
        <f>10^('Small Signal'!F118/30)</f>
        <v>7356.4225445964248</v>
      </c>
      <c r="H118" s="175" t="str">
        <f>COMPLEX(0,G118*2*PI())</f>
        <v>46221.7660456129i</v>
      </c>
      <c r="I118" s="175">
        <f>IF('Small Signal'!$B$37&gt;=1,Q118+0,N118+0)</f>
        <v>15.984232303839503</v>
      </c>
      <c r="J118" s="175">
        <f>IF('Small Signal'!$B$37&gt;=1,R118,O118)</f>
        <v>-28.066637961334393</v>
      </c>
      <c r="K118" s="175">
        <f>IF('Small Signal'!$B$37&gt;=1,Z118+0,W118+0)</f>
        <v>14.42069116133257</v>
      </c>
      <c r="L118" s="175">
        <f>IF('Small Signal'!$B$37&gt;=1,AA118,X118)</f>
        <v>94.910374141326542</v>
      </c>
      <c r="M118" s="175" t="str">
        <f>IMDIV(IMSUM('Small Signal'!$B$2*'Small Signal'!$B$16*'Small Signal'!$B$38,IMPRODUCT(H118,'Small Signal'!$B$2*'Small Signal'!$B$16*'Small Signal'!$B$38*'Small Signal'!$B$13*'Small Signal'!$B$14)),IMSUM(IMPRODUCT('Small Signal'!$B$11*'Small Signal'!$B$13*('Small Signal'!$B$14+'Small Signal'!$B$16),IMPOWER(H118,2)),IMSUM(IMPRODUCT(H118,('Small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5.55747598894611-2.96325853168146i</v>
      </c>
      <c r="N118" s="175">
        <f>20*LOG(IMABS(M118))</f>
        <v>15.984232303839503</v>
      </c>
      <c r="O118" s="175">
        <f>(180/PI())*IMARGUMENT(M118)</f>
        <v>-28.066637961334393</v>
      </c>
      <c r="P118" s="175" t="str">
        <f>IMDIV(IMSUM('Small Signal'!$B$48,IMPRODUCT(H118,'Small Signal'!$B$49)),IMSUM(IMPRODUCT('Small Signal'!$B$52,IMPOWER(H118,2)),IMSUM(IMPRODUCT(H118,'Small Signal'!$B$51),'Small Signal'!$B$50)))</f>
        <v>9.03449259520975-5.05070171564496i</v>
      </c>
      <c r="Q118" s="175">
        <f>20*LOG(IMABS(P118))</f>
        <v>20.29917770583582</v>
      </c>
      <c r="R118" s="175">
        <f>(180/PI())*IMARGUMENT(P118)</f>
        <v>-29.207221480485359</v>
      </c>
      <c r="S118" s="175" t="str">
        <f>IMPRODUCT(IMDIV(IMSUM(IMPRODUCT(H118,'Small Signal'!$B$33*'Small Signal'!$B$6*'Small Signal'!$B$27*'Small Signal'!$B$7*'Small Signal'!$B$8),'Small Signal'!$B$33*'Small Signal'!$B$6*'Small Signal'!$B$27),IMSUM(IMSUM(IMPRODUCT(H118,('Small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Signal'!$B$5),IMPRODUCT(IMPOWER(H118,2),'Small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-0.454635427810993+0.700692472075273i</v>
      </c>
      <c r="T118" s="175">
        <f>20*LOG(IMABS(S118))</f>
        <v>-1.5635411425069372</v>
      </c>
      <c r="U118" s="175">
        <f>(180/PI())*IMARGUMENT(S118)</f>
        <v>122.97701210266095</v>
      </c>
      <c r="V118" s="175" t="str">
        <f>IMPRODUCT(M118,S118)</f>
        <v>-0.45029252782181+5.2412838994592i</v>
      </c>
      <c r="W118" s="176">
        <f>20*LOG(IMABS(V118))</f>
        <v>14.42069116133257</v>
      </c>
      <c r="X118" s="175">
        <f>(180/PI())*IMARGUMENT(V118)</f>
        <v>94.910374141326542</v>
      </c>
      <c r="Y118" s="175" t="str">
        <f>IMPRODUCT(P118,S118)</f>
        <v>-0.568411735228344+8.62662888572123i</v>
      </c>
      <c r="Z118" s="176">
        <f>20*LOG(IMABS(Y118))</f>
        <v>18.735636563328882</v>
      </c>
      <c r="AA118" s="175">
        <f>(180/PI())*IMARGUMENT(Y118)</f>
        <v>93.769790622175577</v>
      </c>
    </row>
    <row r="119" spans="6:27" x14ac:dyDescent="0.25">
      <c r="F119" s="177">
        <v>117</v>
      </c>
      <c r="G119" s="175">
        <f>10^('Small Signal'!F119/30)</f>
        <v>7943.2823472428154</v>
      </c>
      <c r="H119" s="175" t="str">
        <f>COMPLEX(0,G119*2*PI())</f>
        <v>49909.114934975i</v>
      </c>
      <c r="I119" s="175">
        <f>IF('Small Signal'!$B$37&gt;=1,Q119+0,N119+0)</f>
        <v>15.854532268216078</v>
      </c>
      <c r="J119" s="175">
        <f>IF('Small Signal'!$B$37&gt;=1,R119,O119)</f>
        <v>-30.03346003368727</v>
      </c>
      <c r="K119" s="175">
        <f>IF('Small Signal'!$B$37&gt;=1,Z119+0,W119+0)</f>
        <v>13.848698749629911</v>
      </c>
      <c r="L119" s="175">
        <f>IF('Small Signal'!$B$37&gt;=1,AA119,X119)</f>
        <v>94.899468007097624</v>
      </c>
      <c r="M119" s="175" t="str">
        <f>IMDIV(IMSUM('Small Signal'!$B$2*'Small Signal'!$B$16*'Small Signal'!$B$38,IMPRODUCT(H119,'Small Signal'!$B$2*'Small Signal'!$B$16*'Small Signal'!$B$38*'Small Signal'!$B$13*'Small Signal'!$B$14)),IMSUM(IMPRODUCT('Small Signal'!$B$11*'Small Signal'!$B$13*('Small Signal'!$B$14+'Small Signal'!$B$16),IMPOWER(H119,2)),IMSUM(IMPRODUCT(H119,('Small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5.37168722479406-3.1055291425282i</v>
      </c>
      <c r="N119" s="175">
        <f>20*LOG(IMABS(M119))</f>
        <v>15.854532268216078</v>
      </c>
      <c r="O119" s="175">
        <f>(180/PI())*IMARGUMENT(M119)</f>
        <v>-30.03346003368727</v>
      </c>
      <c r="P119" s="175" t="str">
        <f>IMDIV(IMSUM('Small Signal'!$B$48,IMPRODUCT(H119,'Small Signal'!$B$49)),IMSUM(IMPRODUCT('Small Signal'!$B$52,IMPOWER(H119,2)),IMSUM(IMPRODUCT(H119,'Small Signal'!$B$51),'Small Signal'!$B$50)))</f>
        <v>8.72123919224241-5.30412324256761i</v>
      </c>
      <c r="Q119" s="175">
        <f>20*LOG(IMABS(P119))</f>
        <v>20.1784161224844</v>
      </c>
      <c r="R119" s="175">
        <f>(180/PI())*IMARGUMENT(P119)</f>
        <v>-31.30732227897284</v>
      </c>
      <c r="S119" s="175" t="str">
        <f>IMPRODUCT(IMDIV(IMSUM(IMPRODUCT(H119,'Small Signal'!$B$33*'Small Signal'!$B$6*'Small Signal'!$B$27*'Small Signal'!$B$7*'Small Signal'!$B$8),'Small Signal'!$B$33*'Small Signal'!$B$6*'Small Signal'!$B$27),IMSUM(IMSUM(IMPRODUCT(H119,('Small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Signal'!$B$5),IMPRODUCT(IMPOWER(H119,2),'Small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-0.454540572138818+0.650771287692869i</v>
      </c>
      <c r="T119" s="175">
        <f>20*LOG(IMABS(S119))</f>
        <v>-2.0058335185861758</v>
      </c>
      <c r="U119" s="175">
        <f>(180/PI())*IMARGUMENT(S119)</f>
        <v>124.9329280407849</v>
      </c>
      <c r="V119" s="175" t="str">
        <f>IMPRODUCT(M119,S119)</f>
        <v>-0.420660585457864+4.90732880560111i</v>
      </c>
      <c r="W119" s="176">
        <f>20*LOG(IMABS(V119))</f>
        <v>13.848698749629911</v>
      </c>
      <c r="X119" s="175">
        <f>(180/PI())*IMARGUMENT(V119)</f>
        <v>94.899468007097624</v>
      </c>
      <c r="Y119" s="175" t="str">
        <f>IMPRODUCT(P119,S119)</f>
        <v>-0.512385939553948+8.08647127278459i</v>
      </c>
      <c r="Z119" s="176">
        <f>20*LOG(IMABS(Y119))</f>
        <v>18.172582603898228</v>
      </c>
      <c r="AA119" s="175">
        <f>(180/PI())*IMARGUMENT(Y119)</f>
        <v>93.625605761812039</v>
      </c>
    </row>
    <row r="120" spans="6:27" x14ac:dyDescent="0.25">
      <c r="F120" s="177">
        <v>118</v>
      </c>
      <c r="G120" s="175">
        <f>10^('Small Signal'!F120/30)</f>
        <v>8576.9589859089447</v>
      </c>
      <c r="H120" s="175" t="str">
        <f>COMPLEX(0,G120*2*PI())</f>
        <v>53890.622680545i</v>
      </c>
      <c r="I120" s="175">
        <f>IF('Small Signal'!$B$37&gt;=1,Q120+0,N120+0)</f>
        <v>15.707905923711809</v>
      </c>
      <c r="J120" s="175">
        <f>IF('Small Signal'!$B$37&gt;=1,R120,O120)</f>
        <v>-32.099487918657488</v>
      </c>
      <c r="K120" s="175">
        <f>IF('Small Signal'!$B$37&gt;=1,Z120+0,W120+0)</f>
        <v>13.283100264292557</v>
      </c>
      <c r="L120" s="175">
        <f>IF('Small Signal'!$B$37&gt;=1,AA120,X120)</f>
        <v>94.826709329708706</v>
      </c>
      <c r="M120" s="175" t="str">
        <f>IMDIV(IMSUM('Small Signal'!$B$2*'Small Signal'!$B$16*'Small Signal'!$B$38,IMPRODUCT(H120,'Small Signal'!$B$2*'Small Signal'!$B$16*'Small Signal'!$B$38*'Small Signal'!$B$13*'Small Signal'!$B$14)),IMSUM(IMPRODUCT('Small Signal'!$B$11*'Small Signal'!$B$13*('Small Signal'!$B$14+'Small Signal'!$B$16),IMPOWER(H120,2)),IMSUM(IMPRODUCT(H120,('Small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5.16825164290571-3.24197377651339i</v>
      </c>
      <c r="N120" s="175">
        <f>20*LOG(IMABS(M120))</f>
        <v>15.707905923711809</v>
      </c>
      <c r="O120" s="175">
        <f>(180/PI())*IMARGUMENT(M120)</f>
        <v>-32.099487918657488</v>
      </c>
      <c r="P120" s="175" t="str">
        <f>IMDIV(IMSUM('Small Signal'!$B$48,IMPRODUCT(H120,'Small Signal'!$B$49)),IMSUM(IMPRODUCT('Small Signal'!$B$52,IMPOWER(H120,2)),IMSUM(IMPRODUCT(H120,'Small Signal'!$B$51),'Small Signal'!$B$50)))</f>
        <v>8.37617265704538-5.54931455851011i</v>
      </c>
      <c r="Q120" s="175">
        <f>20*LOG(IMABS(P120))</f>
        <v>20.041285233554053</v>
      </c>
      <c r="R120" s="175">
        <f>(180/PI())*IMARGUMENT(P120)</f>
        <v>-33.5249494533507</v>
      </c>
      <c r="S120" s="175" t="str">
        <f>IMPRODUCT(IMDIV(IMSUM(IMPRODUCT(H120,'Small Signal'!$B$33*'Small Signal'!$B$6*'Small Signal'!$B$27*'Small Signal'!$B$7*'Small Signal'!$B$8),'Small Signal'!$B$33*'Small Signal'!$B$6*'Small Signal'!$B$27),IMSUM(IMSUM(IMPRODUCT(H120,('Small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Signal'!$B$5),IMPRODUCT(IMPOWER(H120,2),'Small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-0.454442956902748+0.604685171356636i</v>
      </c>
      <c r="T120" s="175">
        <f>20*LOG(IMABS(S120))</f>
        <v>-2.4248056594192544</v>
      </c>
      <c r="U120" s="175">
        <f>(180/PI())*IMARGUMENT(S120)</f>
        <v>126.92619724836619</v>
      </c>
      <c r="V120" s="175" t="str">
        <f>IMPRODUCT(M120,S120)</f>
        <v>-0.388302090034836+4.59845727950457i</v>
      </c>
      <c r="W120" s="176">
        <f>20*LOG(IMABS(V120))</f>
        <v>13.283100264292557</v>
      </c>
      <c r="X120" s="175">
        <f>(180/PI())*IMARGUMENT(V120)</f>
        <v>94.826709329708706</v>
      </c>
      <c r="Y120" s="175" t="str">
        <f>IMPRODUCT(P120,S120)</f>
        <v>-0.450904445071089+7.58679431519106i</v>
      </c>
      <c r="Z120" s="176">
        <f>20*LOG(IMABS(Y120))</f>
        <v>17.616479574134804</v>
      </c>
      <c r="AA120" s="175">
        <f>(180/PI())*IMARGUMENT(Y120)</f>
        <v>93.401247795015507</v>
      </c>
    </row>
    <row r="121" spans="6:27" x14ac:dyDescent="0.25">
      <c r="F121" s="177">
        <v>119</v>
      </c>
      <c r="G121" s="175">
        <f>10^('Small Signal'!F121/30)</f>
        <v>9261.187281287941</v>
      </c>
      <c r="H121" s="175" t="str">
        <f>COMPLEX(0,G121*2*PI())</f>
        <v>58189.7558528268i</v>
      </c>
      <c r="I121" s="175">
        <f>IF('Small Signal'!$B$37&gt;=1,Q121+0,N121+0)</f>
        <v>15.542792505143851</v>
      </c>
      <c r="J121" s="175">
        <f>IF('Small Signal'!$B$37&gt;=1,R121,O121)</f>
        <v>-34.262371259609203</v>
      </c>
      <c r="K121" s="175">
        <f>IF('Small Signal'!$B$37&gt;=1,Z121+0,W121+0)</f>
        <v>12.723253327689738</v>
      </c>
      <c r="L121" s="175">
        <f>IF('Small Signal'!$B$37&gt;=1,AA121,X121)</f>
        <v>94.6828128388007</v>
      </c>
      <c r="M121" s="175" t="str">
        <f>IMDIV(IMSUM('Small Signal'!$B$2*'Small Signal'!$B$16*'Small Signal'!$B$38,IMPRODUCT(H121,'Small Signal'!$B$2*'Small Signal'!$B$16*'Small Signal'!$B$38*'Small Signal'!$B$13*'Small Signal'!$B$14)),IMSUM(IMPRODUCT('Small Signal'!$B$11*'Small Signal'!$B$13*('Small Signal'!$B$14+'Small Signal'!$B$16),IMPOWER(H121,2)),IMSUM(IMPRODUCT(H121,('Small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4.947271882402-3.37004118194169i</v>
      </c>
      <c r="N121" s="175">
        <f>20*LOG(IMABS(M121))</f>
        <v>15.542792505143851</v>
      </c>
      <c r="O121" s="175">
        <f>(180/PI())*IMARGUMENT(M121)</f>
        <v>-34.262371259609203</v>
      </c>
      <c r="P121" s="175" t="str">
        <f>IMDIV(IMSUM('Small Signal'!$B$48,IMPRODUCT(H121,'Small Signal'!$B$49)),IMSUM(IMPRODUCT('Small Signal'!$B$52,IMPOWER(H121,2)),IMSUM(IMPRODUCT(H121,'Small Signal'!$B$51),'Small Signal'!$B$50)))</f>
        <v>7.99891358168615-5.78176573514794i</v>
      </c>
      <c r="Q121" s="175">
        <f>20*LOG(IMABS(P121))</f>
        <v>19.886099344558335</v>
      </c>
      <c r="R121" s="175">
        <f>(180/PI())*IMARGUMENT(P121)</f>
        <v>-35.860113541434053</v>
      </c>
      <c r="S121" s="175" t="str">
        <f>IMPRODUCT(IMDIV(IMSUM(IMPRODUCT(H121,'Small Signal'!$B$33*'Small Signal'!$B$6*'Small Signal'!$B$27*'Small Signal'!$B$7*'Small Signal'!$B$8),'Small Signal'!$B$33*'Small Signal'!$B$6*'Small Signal'!$B$27),IMSUM(IMSUM(IMPRODUCT(H121,('Small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Signal'!$B$5),IMPRODUCT(IMPOWER(H121,2),'Small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-0.454340285141655+0.562162367840022i</v>
      </c>
      <c r="T121" s="175">
        <f>20*LOG(IMABS(S121))</f>
        <v>-2.8195391774541116</v>
      </c>
      <c r="U121" s="175">
        <f>(180/PI())*IMARGUMENT(S121)</f>
        <v>128.9451840984099</v>
      </c>
      <c r="V121" s="175" t="str">
        <f>IMPRODUCT(M121,S121)</f>
        <v>-0.35323458716509+4.31231554730198i</v>
      </c>
      <c r="W121" s="176">
        <f>20*LOG(IMABS(V121))</f>
        <v>12.723253327689738</v>
      </c>
      <c r="X121" s="175">
        <f>(180/PI())*IMARGUMENT(V121)</f>
        <v>94.6828128388007</v>
      </c>
      <c r="Y121" s="175" t="str">
        <f>IMPRODUCT(P121,S121)</f>
        <v>-0.38393756155967+7.12357729195776i</v>
      </c>
      <c r="Z121" s="176">
        <f>20*LOG(IMABS(Y121))</f>
        <v>17.066560167104221</v>
      </c>
      <c r="AA121" s="175">
        <f>(180/PI())*IMARGUMENT(Y121)</f>
        <v>93.08507055697585</v>
      </c>
    </row>
    <row r="122" spans="6:27" x14ac:dyDescent="0.25">
      <c r="F122" s="177">
        <v>120</v>
      </c>
      <c r="G122" s="175">
        <f>10^('Small Signal'!F122/30)</f>
        <v>10000</v>
      </c>
      <c r="H122" s="175" t="str">
        <f>COMPLEX(0,G122*2*PI())</f>
        <v>62831.8530717959i</v>
      </c>
      <c r="I122" s="175">
        <f>IF('Small Signal'!$B$37&gt;=1,Q122+0,N122+0)</f>
        <v>15.357649499359047</v>
      </c>
      <c r="J122" s="175">
        <f>IF('Small Signal'!$B$37&gt;=1,R122,O122)</f>
        <v>-36.518408328341103</v>
      </c>
      <c r="K122" s="175">
        <f>IF('Small Signal'!$B$37&gt;=1,Z122+0,W122+0)</f>
        <v>12.168287341152837</v>
      </c>
      <c r="L122" s="175">
        <f>IF('Small Signal'!$B$37&gt;=1,AA122,X122)</f>
        <v>94.458795108523702</v>
      </c>
      <c r="M122" s="175" t="str">
        <f>IMDIV(IMSUM('Small Signal'!$B$2*'Small Signal'!$B$16*'Small Signal'!$B$38,IMPRODUCT(H122,'Small Signal'!$B$2*'Small Signal'!$B$16*'Small Signal'!$B$38*'Small Signal'!$B$13*'Small Signal'!$B$14)),IMSUM(IMPRODUCT('Small Signal'!$B$11*'Small Signal'!$B$13*('Small Signal'!$B$14+'Small Signal'!$B$16),IMPOWER(H122,2)),IMSUM(IMPRODUCT(H122,('Small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4.70931687967566-3.48705322717028i</v>
      </c>
      <c r="N122" s="175">
        <f>20*LOG(IMABS(M122))</f>
        <v>15.357649499359047</v>
      </c>
      <c r="O122" s="175">
        <f>(180/PI())*IMARGUMENT(M122)</f>
        <v>-36.518408328341103</v>
      </c>
      <c r="P122" s="175" t="str">
        <f>IMDIV(IMSUM('Small Signal'!$B$48,IMPRODUCT(H122,'Small Signal'!$B$49)),IMSUM(IMPRODUCT('Small Signal'!$B$52,IMPOWER(H122,2)),IMSUM(IMPRODUCT(H122,'Small Signal'!$B$51),'Small Signal'!$B$50)))</f>
        <v>7.58985181113305-5.99659911838502i</v>
      </c>
      <c r="Q122" s="175">
        <f>20*LOG(IMABS(P122))</f>
        <v>19.71113660978466</v>
      </c>
      <c r="R122" s="175">
        <f>(180/PI())*IMARGUMENT(P122)</f>
        <v>-38.311599563178476</v>
      </c>
      <c r="S122" s="175" t="str">
        <f>IMPRODUCT(IMDIV(IMSUM(IMPRODUCT(H122,'Small Signal'!$B$33*'Small Signal'!$B$6*'Small Signal'!$B$27*'Small Signal'!$B$7*'Small Signal'!$B$8),'Small Signal'!$B$33*'Small Signal'!$B$6*'Small Signal'!$B$27),IMSUM(IMSUM(IMPRODUCT(H122,('Small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Signal'!$B$5),IMPRODUCT(IMPOWER(H122,2),'Small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-0.454230143291599+0.522952090031715i</v>
      </c>
      <c r="T122" s="175">
        <f>20*LOG(IMABS(S122))</f>
        <v>-3.1893621582062086</v>
      </c>
      <c r="U122" s="175">
        <f>(180/PI())*IMARGUMENT(S122)</f>
        <v>130.97720343686478</v>
      </c>
      <c r="V122" s="175" t="str">
        <f>IMPRODUCT(M122,S122)</f>
        <v>-0.315551907860087+4.04667179189101i</v>
      </c>
      <c r="W122" s="176">
        <f>20*LOG(IMABS(V122))</f>
        <v>12.168287341152837</v>
      </c>
      <c r="X122" s="175">
        <f>(180/PI())*IMARGUMENT(V122)</f>
        <v>94.458795108523702</v>
      </c>
      <c r="Y122" s="175" t="str">
        <f>IMPRODUCT(P122,S122)</f>
        <v>-0.311605433691182+6.69296494446933i</v>
      </c>
      <c r="Z122" s="176">
        <f>20*LOG(IMABS(Y122))</f>
        <v>16.521774451578452</v>
      </c>
      <c r="AA122" s="175">
        <f>(180/PI())*IMARGUMENT(Y122)</f>
        <v>92.665603873686308</v>
      </c>
    </row>
    <row r="123" spans="6:27" x14ac:dyDescent="0.25">
      <c r="F123" s="177">
        <v>121</v>
      </c>
      <c r="G123" s="175">
        <f>10^('Small Signal'!F123/30)</f>
        <v>10797.751623277109</v>
      </c>
      <c r="H123" s="175" t="str">
        <f>COMPLEX(0,G123*2*PI())</f>
        <v>67844.2743499492i</v>
      </c>
      <c r="I123" s="175">
        <f>IF('Small Signal'!$B$37&gt;=1,Q123+0,N123+0)</f>
        <v>15.150993198588372</v>
      </c>
      <c r="J123" s="175">
        <f>IF('Small Signal'!$B$37&gt;=1,R123,O123)</f>
        <v>-38.862508978633734</v>
      </c>
      <c r="K123" s="175">
        <f>IF('Small Signal'!$B$37&gt;=1,Z123+0,W123+0)</f>
        <v>11.617113271580294</v>
      </c>
      <c r="L123" s="175">
        <f>IF('Small Signal'!$B$37&gt;=1,AA123,X123)</f>
        <v>94.146310736662272</v>
      </c>
      <c r="M123" s="175" t="str">
        <f>IMDIV(IMSUM('Small Signal'!$B$2*'Small Signal'!$B$16*'Small Signal'!$B$38,IMPRODUCT(H123,'Small Signal'!$B$2*'Small Signal'!$B$16*'Small Signal'!$B$38*'Small Signal'!$B$13*'Small Signal'!$B$14)),IMSUM(IMPRODUCT('Small Signal'!$B$11*'Small Signal'!$B$13*('Small Signal'!$B$14+'Small Signal'!$B$16),IMPOWER(H123,2)),IMSUM(IMPRODUCT(H123,('Small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4.45547605885238-3.59030492670455i</v>
      </c>
      <c r="N123" s="175">
        <f>20*LOG(IMABS(M123))</f>
        <v>15.150993198588372</v>
      </c>
      <c r="O123" s="175">
        <f>(180/PI())*IMARGUMENT(M123)</f>
        <v>-38.862508978633734</v>
      </c>
      <c r="P123" s="175" t="str">
        <f>IMDIV(IMSUM('Small Signal'!$B$48,IMPRODUCT(H123,'Small Signal'!$B$49)),IMSUM(IMPRODUCT('Small Signal'!$B$52,IMPOWER(H123,2)),IMSUM(IMPRODUCT(H123,'Small Signal'!$B$51),'Small Signal'!$B$50)))</f>
        <v>7.15027873013934-6.18871639977172i</v>
      </c>
      <c r="Q123" s="175">
        <f>20*LOG(IMABS(P123))</f>
        <v>19.51467188296191</v>
      </c>
      <c r="R123" s="175">
        <f>(180/PI())*IMARGUMENT(P123)</f>
        <v>-40.876876135396543</v>
      </c>
      <c r="S123" s="175" t="str">
        <f>IMPRODUCT(IMDIV(IMSUM(IMPRODUCT(H123,'Small Signal'!$B$33*'Small Signal'!$B$6*'Small Signal'!$B$27*'Small Signal'!$B$7*'Small Signal'!$B$8),'Small Signal'!$B$33*'Small Signal'!$B$6*'Small Signal'!$B$27),IMSUM(IMSUM(IMPRODUCT(H123,('Small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Signal'!$B$5),IMPRODUCT(IMPOWER(H123,2),'Small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-0.45410994519751+0.486823032258529i</v>
      </c>
      <c r="T123" s="175">
        <f>20*LOG(IMABS(S123))</f>
        <v>-3.5338799270080772</v>
      </c>
      <c r="U123" s="175">
        <f>(180/PI())*IMARGUMENT(S123)</f>
        <v>133.00881971529603</v>
      </c>
      <c r="V123" s="175" t="str">
        <f>IMPRODUCT(M123,S123)</f>
        <v>-0.275432857763227+3.79942153863395i</v>
      </c>
      <c r="W123" s="176">
        <f>20*LOG(IMABS(V123))</f>
        <v>11.617113271580294</v>
      </c>
      <c r="X123" s="175">
        <f>(180/PI())*IMARGUMENT(V123)</f>
        <v>94.146310736662272</v>
      </c>
      <c r="Y123" s="175" t="str">
        <f>IMPRODUCT(P123,S123)</f>
        <v>-0.234202998765542+6.29127803804337i</v>
      </c>
      <c r="Z123" s="176">
        <f>20*LOG(IMABS(Y123))</f>
        <v>15.980791955953839</v>
      </c>
      <c r="AA123" s="175">
        <f>(180/PI())*IMARGUMENT(Y123)</f>
        <v>92.13194357989947</v>
      </c>
    </row>
    <row r="124" spans="6:27" x14ac:dyDescent="0.25">
      <c r="F124" s="177">
        <v>122</v>
      </c>
      <c r="G124" s="175">
        <f>10^('Small Signal'!F124/30)</f>
        <v>11659.144011798313</v>
      </c>
      <c r="H124" s="175" t="str">
        <f>COMPLEX(0,G124*2*PI())</f>
        <v>73256.562349222i</v>
      </c>
      <c r="I124" s="175">
        <f>IF('Small Signal'!$B$37&gt;=1,Q124+0,N124+0)</f>
        <v>14.921442605502476</v>
      </c>
      <c r="J124" s="175">
        <f>IF('Small Signal'!$B$37&gt;=1,R124,O124)</f>
        <v>-41.288219795161908</v>
      </c>
      <c r="K124" s="175">
        <f>IF('Small Signal'!$B$37&gt;=1,Z124+0,W124+0)</f>
        <v>11.068448243131705</v>
      </c>
      <c r="L124" s="175">
        <f>IF('Small Signal'!$B$37&gt;=1,AA124,X124)</f>
        <v>93.737972639895787</v>
      </c>
      <c r="M124" s="175" t="str">
        <f>IMDIV(IMSUM('Small Signal'!$B$2*'Small Signal'!$B$16*'Small Signal'!$B$38,IMPRODUCT(H124,'Small Signal'!$B$2*'Small Signal'!$B$16*'Small Signal'!$B$38*'Small Signal'!$B$13*'Small Signal'!$B$14)),IMSUM(IMPRODUCT('Small Signal'!$B$11*'Small Signal'!$B$13*('Small Signal'!$B$14+'Small Signal'!$B$16),IMPOWER(H124,2)),IMSUM(IMPRODUCT(H124,('Small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4.18738810247506-3.67718519483793i</v>
      </c>
      <c r="N124" s="175">
        <f>20*LOG(IMABS(M124))</f>
        <v>14.921442605502476</v>
      </c>
      <c r="O124" s="175">
        <f>(180/PI())*IMARGUMENT(M124)</f>
        <v>-41.288219795161908</v>
      </c>
      <c r="P124" s="175" t="str">
        <f>IMDIV(IMSUM('Small Signal'!$B$48,IMPRODUCT(H124,'Small Signal'!$B$49)),IMSUM(IMPRODUCT('Small Signal'!$B$52,IMPOWER(H124,2)),IMSUM(IMPRODUCT(H124,'Small Signal'!$B$51),'Small Signal'!$B$50)))</f>
        <v>6.68248775726831-6.35299196951838i</v>
      </c>
      <c r="Q124" s="175">
        <f>20*LOG(IMABS(P124))</f>
        <v>19.295014317375141</v>
      </c>
      <c r="R124" s="175">
        <f>(180/PI())*IMARGUMENT(P124)</f>
        <v>-43.552051839640434</v>
      </c>
      <c r="S124" s="175" t="str">
        <f>IMPRODUCT(IMDIV(IMSUM(IMPRODUCT(H124,'Small Signal'!$B$33*'Small Signal'!$B$6*'Small Signal'!$B$27*'Small Signal'!$B$7*'Small Signal'!$B$8),'Small Signal'!$B$33*'Small Signal'!$B$6*'Small Signal'!$B$27),IMSUM(IMSUM(IMPRODUCT(H124,('Small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Signal'!$B$5),IMPRODUCT(IMPOWER(H124,2),'Small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-0.453976872405924+0.45356199621894i</v>
      </c>
      <c r="T124" s="175">
        <f>20*LOG(IMABS(S124))</f>
        <v>-3.8529943623707719</v>
      </c>
      <c r="U124" s="175">
        <f>(180/PI())*IMARGUMENT(S124)</f>
        <v>135.02619243505771</v>
      </c>
      <c r="V124" s="175" t="str">
        <f>IMPRODUCT(M124,S124)</f>
        <v>-0.233145896873981+3.56859714071192i</v>
      </c>
      <c r="W124" s="176">
        <f>20*LOG(IMABS(V124))</f>
        <v>11.068448243131705</v>
      </c>
      <c r="X124" s="175">
        <f>(180/PI())*IMARGUMENT(V124)</f>
        <v>93.737972639895787</v>
      </c>
      <c r="Y124" s="175" t="str">
        <f>IMPRODUCT(P124,S124)</f>
        <v>-0.152219172277893+5.91503391163715i</v>
      </c>
      <c r="Z124" s="176">
        <f>20*LOG(IMABS(Y124))</f>
        <v>15.442019955004371</v>
      </c>
      <c r="AA124" s="175">
        <f>(180/PI())*IMARGUMENT(Y124)</f>
        <v>91.474140595417254</v>
      </c>
    </row>
    <row r="125" spans="6:27" x14ac:dyDescent="0.25">
      <c r="F125" s="177">
        <v>123</v>
      </c>
      <c r="G125" s="175">
        <f>10^('Small Signal'!F125/30)</f>
        <v>12589.254117941671</v>
      </c>
      <c r="H125" s="175" t="str">
        <f>COMPLEX(0,G125*2*PI())</f>
        <v>79100.6165022012i</v>
      </c>
      <c r="I125" s="175">
        <f>IF('Small Signal'!$B$37&gt;=1,Q125+0,N125+0)</f>
        <v>14.667764135298871</v>
      </c>
      <c r="J125" s="175">
        <f>IF('Small Signal'!$B$37&gt;=1,R125,O125)</f>
        <v>-43.787820977481594</v>
      </c>
      <c r="K125" s="175">
        <f>IF('Small Signal'!$B$37&gt;=1,Z125+0,W125+0)</f>
        <v>10.520854165084756</v>
      </c>
      <c r="L125" s="175">
        <f>IF('Small Signal'!$B$37&gt;=1,AA125,X125)</f>
        <v>93.227623809154196</v>
      </c>
      <c r="M125" s="175" t="str">
        <f>IMDIV(IMSUM('Small Signal'!$B$2*'Small Signal'!$B$16*'Small Signal'!$B$38,IMPRODUCT(H125,'Small Signal'!$B$2*'Small Signal'!$B$16*'Small Signal'!$B$38*'Small Signal'!$B$13*'Small Signal'!$B$14)),IMSUM(IMPRODUCT('Small Signal'!$B$11*'Small Signal'!$B$13*('Small Signal'!$B$14+'Small Signal'!$B$16),IMPOWER(H125,2)),IMSUM(IMPRODUCT(H125,('Small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3.9072361662872-3.74531078159935i</v>
      </c>
      <c r="N125" s="175">
        <f>20*LOG(IMABS(M125))</f>
        <v>14.667764135298871</v>
      </c>
      <c r="O125" s="175">
        <f>(180/PI())*IMARGUMENT(M125)</f>
        <v>-43.787820977481594</v>
      </c>
      <c r="P125" s="175" t="str">
        <f>IMDIV(IMSUM('Small Signal'!$B$48,IMPRODUCT(H125,'Small Signal'!$B$49)),IMSUM(IMPRODUCT('Small Signal'!$B$52,IMPOWER(H125,2)),IMSUM(IMPRODUCT(H125,'Small Signal'!$B$51),'Small Signal'!$B$50)))</f>
        <v>6.18982592299475-6.48450494629186i</v>
      </c>
      <c r="Q125" s="175">
        <f>20*LOG(IMABS(P125))</f>
        <v>19.05054786332564</v>
      </c>
      <c r="R125" s="175">
        <f>(180/PI())*IMARGUMENT(P125)</f>
        <v>-46.331890671622077</v>
      </c>
      <c r="S125" s="175" t="str">
        <f>IMPRODUCT(IMDIV(IMSUM(IMPRODUCT(H125,'Small Signal'!$B$33*'Small Signal'!$B$6*'Small Signal'!$B$27*'Small Signal'!$B$7*'Small Signal'!$B$8),'Small Signal'!$B$33*'Small Signal'!$B$6*'Small Signal'!$B$27),IMSUM(IMSUM(IMPRODUCT(H125,('Small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Signal'!$B$5),IMPRODUCT(IMPOWER(H125,2),'Small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-0.453827809455776+0.422972620872387i</v>
      </c>
      <c r="T125" s="175">
        <f>20*LOG(IMABS(S125))</f>
        <v>-4.1469099702141161</v>
      </c>
      <c r="U125" s="175">
        <f>(180/PI())*IMARGUMENT(S125)</f>
        <v>137.01544478663581</v>
      </c>
      <c r="V125" s="175" t="str">
        <f>IMPRODUCT(M125,S125)</f>
        <v>-0.189048513097819+3.35238010936621i</v>
      </c>
      <c r="W125" s="176">
        <f>20*LOG(IMABS(V125))</f>
        <v>10.520854165084756</v>
      </c>
      <c r="X125" s="175">
        <f>(180/PI())*IMARGUMENT(V125)</f>
        <v>93.227623809154196</v>
      </c>
      <c r="Y125" s="175" t="str">
        <f>IMPRODUCT(P125,S125)</f>
        <v>-0.0663470873522587+5.56097556857371i</v>
      </c>
      <c r="Z125" s="176">
        <f>20*LOG(IMABS(Y125))</f>
        <v>14.903637893111522</v>
      </c>
      <c r="AA125" s="175">
        <f>(180/PI())*IMARGUMENT(Y125)</f>
        <v>90.68355411501372</v>
      </c>
    </row>
    <row r="126" spans="6:27" x14ac:dyDescent="0.25">
      <c r="F126" s="177">
        <v>124</v>
      </c>
      <c r="G126" s="175">
        <f>10^('Small Signal'!F126/30)</f>
        <v>13593.563908785283</v>
      </c>
      <c r="H126" s="175" t="str">
        <f>COMPLEX(0,G126*2*PI())</f>
        <v>85410.8810238864i</v>
      </c>
      <c r="I126" s="175">
        <f>IF('Small Signal'!$B$37&gt;=1,Q126+0,N126+0)</f>
        <v>14.388913965170858</v>
      </c>
      <c r="J126" s="175">
        <f>IF('Small Signal'!$B$37&gt;=1,R126,O126)</f>
        <v>-46.352499224969975</v>
      </c>
      <c r="K126" s="175">
        <f>IF('Small Signal'!$B$37&gt;=1,Z126+0,W126+0)</f>
        <v>9.9727877755664682</v>
      </c>
      <c r="L126" s="175">
        <f>IF('Small Signal'!$B$37&gt;=1,AA126,X126)</f>
        <v>92.610530153425799</v>
      </c>
      <c r="M126" s="175" t="str">
        <f>IMDIV(IMSUM('Small Signal'!$B$2*'Small Signal'!$B$16*'Small Signal'!$B$38,IMPRODUCT(H126,'Small Signal'!$B$2*'Small Signal'!$B$16*'Small Signal'!$B$38*'Small Signal'!$B$13*'Small Signal'!$B$14)),IMSUM(IMPRODUCT('Small Signal'!$B$11*'Small Signal'!$B$13*('Small Signal'!$B$14+'Small Signal'!$B$16),IMPOWER(H126,2)),IMSUM(IMPRODUCT(H126,('Small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3.61770403959318-3.79266242199276i</v>
      </c>
      <c r="N126" s="175">
        <f>20*LOG(IMABS(M126))</f>
        <v>14.388913965170858</v>
      </c>
      <c r="O126" s="175">
        <f>(180/PI())*IMARGUMENT(M126)</f>
        <v>-46.352499224969975</v>
      </c>
      <c r="P126" s="175" t="str">
        <f>IMDIV(IMSUM('Small Signal'!$B$48,IMPRODUCT(H126,'Small Signal'!$B$49)),IMSUM(IMPRODUCT('Small Signal'!$B$52,IMPOWER(H126,2)),IMSUM(IMPRODUCT(H126,'Small Signal'!$B$51),'Small Signal'!$B$50)))</f>
        <v>5.67668144005292-6.57879533846135i</v>
      </c>
      <c r="Q126" s="175">
        <f>20*LOG(IMABS(P126))</f>
        <v>18.779772089772948</v>
      </c>
      <c r="R126" s="175">
        <f>(180/PI())*IMARGUMENT(P126)</f>
        <v>-49.209894886679599</v>
      </c>
      <c r="S126" s="175" t="str">
        <f>IMPRODUCT(IMDIV(IMSUM(IMPRODUCT(H126,'Small Signal'!$B$33*'Small Signal'!$B$6*'Small Signal'!$B$27*'Small Signal'!$B$7*'Small Signal'!$B$8),'Small Signal'!$B$33*'Small Signal'!$B$6*'Small Signal'!$B$27),IMSUM(IMSUM(IMPRODUCT(H126,('Small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Signal'!$B$5),IMPRODUCT(IMPOWER(H126,2),'Small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-0.453659272810948+0.394874208103001i</v>
      </c>
      <c r="T126" s="175">
        <f>20*LOG(IMABS(S126))</f>
        <v>-4.416126189604392</v>
      </c>
      <c r="U126" s="175">
        <f>(180/PI())*IMARGUMENT(S126)</f>
        <v>138.96302937839579</v>
      </c>
      <c r="V126" s="175" t="str">
        <f>IMPRODUCT(M126,S126)</f>
        <v>-0.14358041336067+3.14911449416403i</v>
      </c>
      <c r="W126" s="176">
        <f>20*LOG(IMABS(V126))</f>
        <v>9.9727877755664682</v>
      </c>
      <c r="X126" s="175">
        <f>(180/PI())*IMARGUMENT(V126)</f>
        <v>92.610530153425799</v>
      </c>
      <c r="Y126" s="175" t="str">
        <f>IMPRODUCT(P126,S126)</f>
        <v>0.0225174254728278+5.22610659751233i</v>
      </c>
      <c r="Z126" s="176">
        <f>20*LOG(IMABS(Y126))</f>
        <v>14.363645900168557</v>
      </c>
      <c r="AA126" s="175">
        <f>(180/PI())*IMARGUMENT(Y126)</f>
        <v>89.753134491716168</v>
      </c>
    </row>
    <row r="127" spans="6:27" x14ac:dyDescent="0.25">
      <c r="F127" s="177">
        <v>125</v>
      </c>
      <c r="G127" s="175">
        <f>10^('Small Signal'!F127/30)</f>
        <v>14677.992676220729</v>
      </c>
      <c r="H127" s="175" t="str">
        <f>COMPLEX(0,G127*2*PI())</f>
        <v>92224.5479221197i</v>
      </c>
      <c r="I127" s="175">
        <f>IF('Small Signal'!$B$37&gt;=1,Q127+0,N127+0)</f>
        <v>14.084074579604657</v>
      </c>
      <c r="J127" s="175">
        <f>IF('Small Signal'!$B$37&gt;=1,R127,O127)</f>
        <v>-48.972593950213387</v>
      </c>
      <c r="K127" s="175">
        <f>IF('Small Signal'!$B$37&gt;=1,Z127+0,W127+0)</f>
        <v>9.4226578339754568</v>
      </c>
      <c r="L127" s="175">
        <f>IF('Small Signal'!$B$37&gt;=1,AA127,X127)</f>
        <v>91.883471342641698</v>
      </c>
      <c r="M127" s="175" t="str">
        <f>IMDIV(IMSUM('Small Signal'!$B$2*'Small Signal'!$B$16*'Small Signal'!$B$38,IMPRODUCT(H127,'Small Signal'!$B$2*'Small Signal'!$B$16*'Small Signal'!$B$38*'Small Signal'!$B$13*'Small Signal'!$B$14)),IMSUM(IMPRODUCT('Small Signal'!$B$11*'Small Signal'!$B$13*('Small Signal'!$B$14+'Small Signal'!$B$16),IMPOWER(H127,2)),IMSUM(IMPRODUCT(H127,('Small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3.32189194349284-3.81770989879999i</v>
      </c>
      <c r="N127" s="175">
        <f>20*LOG(IMABS(M127))</f>
        <v>14.084074579604657</v>
      </c>
      <c r="O127" s="175">
        <f>(180/PI())*IMARGUMENT(M127)</f>
        <v>-48.972593950213387</v>
      </c>
      <c r="P127" s="175" t="str">
        <f>IMDIV(IMSUM('Small Signal'!$B$48,IMPRODUCT(H127,'Small Signal'!$B$49)),IMSUM(IMPRODUCT('Small Signal'!$B$52,IMPOWER(H127,2)),IMSUM(IMPRODUCT(H127,'Small Signal'!$B$51),'Small Signal'!$B$50)))</f>
        <v>5.14839730778336-6.63212347893623i</v>
      </c>
      <c r="Q127" s="175">
        <f>20*LOG(IMABS(P127))</f>
        <v>18.481340208000557</v>
      </c>
      <c r="R127" s="175">
        <f>(180/PI())*IMARGUMENT(P127)</f>
        <v>-52.178458008598227</v>
      </c>
      <c r="S127" s="175" t="str">
        <f>IMPRODUCT(IMDIV(IMSUM(IMPRODUCT(H127,'Small Signal'!$B$33*'Small Signal'!$B$6*'Small Signal'!$B$27*'Small Signal'!$B$7*'Small Signal'!$B$8),'Small Signal'!$B$33*'Small Signal'!$B$6*'Small Signal'!$B$27),IMSUM(IMSUM(IMPRODUCT(H127,('Small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Signal'!$B$5),IMPRODUCT(IMPOWER(H127,2),'Small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-0.453467331988591+0.369100636368392i</v>
      </c>
      <c r="T127" s="175">
        <f>20*LOG(IMABS(S127))</f>
        <v>-4.6614167456292073</v>
      </c>
      <c r="U127" s="175">
        <f>(180/PI())*IMARGUMENT(S127)</f>
        <v>140.85606529285508</v>
      </c>
      <c r="V127" s="175" t="str">
        <f>IMPRODUCT(M127,S127)</f>
        <v>-0.0972503236531077+2.95731915240551i</v>
      </c>
      <c r="W127" s="176">
        <f>20*LOG(IMABS(V127))</f>
        <v>9.4226578339754568</v>
      </c>
      <c r="X127" s="175">
        <f>(180/PI())*IMARGUMENT(V127)</f>
        <v>91.883471342641698</v>
      </c>
      <c r="Y127" s="175" t="str">
        <f>IMPRODUCT(P127,S127)</f>
        <v>0.113291005371352+4.90772806199226i</v>
      </c>
      <c r="Z127" s="176">
        <f>20*LOG(IMABS(Y127))</f>
        <v>13.819923462371351</v>
      </c>
      <c r="AA127" s="175">
        <f>(180/PI())*IMARGUMENT(Y127)</f>
        <v>88.677607284256851</v>
      </c>
    </row>
    <row r="128" spans="6:27" x14ac:dyDescent="0.25">
      <c r="F128" s="177">
        <v>126</v>
      </c>
      <c r="G128" s="175">
        <f>10^('Small Signal'!F128/30)</f>
        <v>15848.931924611146</v>
      </c>
      <c r="H128" s="175" t="str">
        <f>COMPLEX(0,G128*2*PI())</f>
        <v>99581.7762032062i</v>
      </c>
      <c r="I128" s="175">
        <f>IF('Small Signal'!$B$37&gt;=1,Q128+0,N128+0)</f>
        <v>13.75268216382934</v>
      </c>
      <c r="J128" s="175">
        <f>IF('Small Signal'!$B$37&gt;=1,R128,O128)</f>
        <v>-51.637906377786145</v>
      </c>
      <c r="K128" s="175">
        <f>IF('Small Signal'!$B$37&gt;=1,Z128+0,W128+0)</f>
        <v>8.8688840845547539</v>
      </c>
      <c r="L128" s="175">
        <f>IF('Small Signal'!$B$37&gt;=1,AA128,X128)</f>
        <v>91.044717939880258</v>
      </c>
      <c r="M128" s="175" t="str">
        <f>IMDIV(IMSUM('Small Signal'!$B$2*'Small Signal'!$B$16*'Small Signal'!$B$38,IMPRODUCT(H128,'Small Signal'!$B$2*'Small Signal'!$B$16*'Small Signal'!$B$38*'Small Signal'!$B$13*'Small Signal'!$B$14)),IMSUM(IMPRODUCT('Small Signal'!$B$11*'Small Signal'!$B$13*('Small Signal'!$B$14+'Small Signal'!$B$16),IMPOWER(H128,2)),IMSUM(IMPRODUCT(H128,('Small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3.02319586496802-3.81951223766464i</v>
      </c>
      <c r="N128" s="175">
        <f>20*LOG(IMABS(M128))</f>
        <v>13.75268216382934</v>
      </c>
      <c r="O128" s="175">
        <f>(180/PI())*IMARGUMENT(M128)</f>
        <v>-51.637906377786145</v>
      </c>
      <c r="P128" s="175" t="str">
        <f>IMDIV(IMSUM('Small Signal'!$B$48,IMPRODUCT(H128,'Small Signal'!$B$49)),IMSUM(IMPRODUCT('Small Signal'!$B$52,IMPOWER(H128,2)),IMSUM(IMPRODUCT(H128,'Small Signal'!$B$51),'Small Signal'!$B$50)))</f>
        <v>4.61110897803226-6.64170771798743i</v>
      </c>
      <c r="Q128" s="175">
        <f>20*LOG(IMABS(P128))</f>
        <v>18.154090938981692</v>
      </c>
      <c r="R128" s="175">
        <f>(180/PI())*IMARGUMENT(P128)</f>
        <v>-55.229083615088548</v>
      </c>
      <c r="S128" s="175" t="str">
        <f>IMPRODUCT(IMDIV(IMSUM(IMPRODUCT(H128,'Small Signal'!$B$33*'Small Signal'!$B$6*'Small Signal'!$B$27*'Small Signal'!$B$7*'Small Signal'!$B$8),'Small Signal'!$B$33*'Small Signal'!$B$6*'Small Signal'!$B$27),IMSUM(IMSUM(IMPRODUCT(H128,('Small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Signal'!$B$5),IMPRODUCT(IMPOWER(H128,2),'Small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-0.453247521334667+0.345499354849499i</v>
      </c>
      <c r="T128" s="175">
        <f>20*LOG(IMABS(S128))</f>
        <v>-4.8837980792745856</v>
      </c>
      <c r="U128" s="175">
        <f>(180/PI())*IMARGUMENT(S128)</f>
        <v>142.68262431766641</v>
      </c>
      <c r="V128" s="175" t="str">
        <f>IMPRODUCT(M128,S128)</f>
        <v>-0.0506170183530703+2.77569667535905i</v>
      </c>
      <c r="W128" s="176">
        <f>20*LOG(IMABS(V128))</f>
        <v>8.8688840845547539</v>
      </c>
      <c r="X128" s="175">
        <f>(180/PI())*IMARGUMENT(V128)</f>
        <v>91.044717939880258</v>
      </c>
      <c r="Y128" s="175" t="str">
        <f>IMPRODUCT(P128,S128)</f>
        <v>0.204732016766444+4.60347273765801i</v>
      </c>
      <c r="Z128" s="176">
        <f>20*LOG(IMABS(Y128))</f>
        <v>13.270292859707112</v>
      </c>
      <c r="AA128" s="175">
        <f>(180/PI())*IMARGUMENT(Y128)</f>
        <v>87.453540702577854</v>
      </c>
    </row>
    <row r="129" spans="6:27" x14ac:dyDescent="0.25">
      <c r="F129" s="177">
        <v>127</v>
      </c>
      <c r="G129" s="175">
        <f>10^('Small Signal'!F129/30)</f>
        <v>17113.283041617826</v>
      </c>
      <c r="H129" s="175" t="str">
        <f>COMPLEX(0,G129*2*PI())</f>
        <v>107525.928564699i</v>
      </c>
      <c r="I129" s="175">
        <f>IF('Small Signal'!$B$37&gt;=1,Q129+0,N129+0)</f>
        <v>13.39444205695046</v>
      </c>
      <c r="J129" s="175">
        <f>IF('Small Signal'!$B$37&gt;=1,R129,O129)</f>
        <v>-54.338053663850275</v>
      </c>
      <c r="K129" s="175">
        <f>IF('Small Signal'!$B$37&gt;=1,Z129+0,W129+0)</f>
        <v>8.3099522767797538</v>
      </c>
      <c r="L129" s="175">
        <f>IF('Small Signal'!$B$37&gt;=1,AA129,X129)</f>
        <v>90.093896692664089</v>
      </c>
      <c r="M129" s="175" t="str">
        <f>IMDIV(IMSUM('Small Signal'!$B$2*'Small Signal'!$B$16*'Small Signal'!$B$38,IMPRODUCT(H129,'Small Signal'!$B$2*'Small Signal'!$B$16*'Small Signal'!$B$38*'Small Signal'!$B$13*'Small Signal'!$B$14)),IMSUM(IMPRODUCT('Small Signal'!$B$11*'Small Signal'!$B$13*('Small Signal'!$B$14+'Small Signal'!$B$16),IMPOWER(H129,2)),IMSUM(IMPRODUCT(H129,('Small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2.72515961749967-3.79778106633763i</v>
      </c>
      <c r="N129" s="175">
        <f>20*LOG(IMABS(M129))</f>
        <v>13.39444205695046</v>
      </c>
      <c r="O129" s="175">
        <f>(180/PI())*IMARGUMENT(M129)</f>
        <v>-54.338053663850275</v>
      </c>
      <c r="P129" s="175" t="str">
        <f>IMDIV(IMSUM('Small Signal'!$B$48,IMPRODUCT(H129,'Small Signal'!$B$49)),IMSUM(IMPRODUCT('Small Signal'!$B$52,IMPOWER(H129,2)),IMSUM(IMPRODUCT(H129,'Small Signal'!$B$51),'Small Signal'!$B$50)))</f>
        <v>4.07151387753502-6.60591473937094i</v>
      </c>
      <c r="Q129" s="175">
        <f>20*LOG(IMABS(P129))</f>
        <v>17.797071053842796</v>
      </c>
      <c r="R129" s="175">
        <f>(180/PI())*IMARGUMENT(P129)</f>
        <v>-58.352657633758859</v>
      </c>
      <c r="S129" s="175" t="str">
        <f>IMPRODUCT(IMDIV(IMSUM(IMPRODUCT(H129,'Small Signal'!$B$33*'Small Signal'!$B$6*'Small Signal'!$B$27*'Small Signal'!$B$7*'Small Signal'!$B$8),'Small Signal'!$B$33*'Small Signal'!$B$6*'Small Signal'!$B$27),IMSUM(IMSUM(IMPRODUCT(H129,('Small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Signal'!$B$5),IMPRODUCT(IMPOWER(H129,2),'Small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-0.452994740787046+0.323930450829272i</v>
      </c>
      <c r="T129" s="175">
        <f>20*LOG(IMABS(S129))</f>
        <v>-5.084489780170701</v>
      </c>
      <c r="U129" s="175">
        <f>(180/PI())*IMARGUMENT(S129)</f>
        <v>144.43195035651439</v>
      </c>
      <c r="V129" s="175" t="str">
        <f>IMPRODUCT(M129,S129)</f>
        <v>-0.0042660415629665+2.60313703318996i</v>
      </c>
      <c r="W129" s="176">
        <f>20*LOG(IMABS(V129))</f>
        <v>8.3099522767797538</v>
      </c>
      <c r="X129" s="175">
        <f>(180/PI())*IMARGUMENT(V129)</f>
        <v>90.093896692664089</v>
      </c>
      <c r="Y129" s="175" t="str">
        <f>IMPRODUCT(P129,S129)</f>
        <v>0.295482566099325+4.31133196093022i</v>
      </c>
      <c r="Z129" s="176">
        <f>20*LOG(IMABS(Y129))</f>
        <v>12.71258127367209</v>
      </c>
      <c r="AA129" s="175">
        <f>(180/PI())*IMARGUMENT(Y129)</f>
        <v>86.079292722755511</v>
      </c>
    </row>
    <row r="130" spans="6:27" x14ac:dyDescent="0.25">
      <c r="F130" s="177">
        <v>128</v>
      </c>
      <c r="G130" s="175">
        <f>10^('Small Signal'!F130/30)</f>
        <v>18478.497974222933</v>
      </c>
      <c r="H130" s="175" t="str">
        <f>COMPLEX(0,G130*2*PI())</f>
        <v>116103.826970385i</v>
      </c>
      <c r="I130" s="175">
        <f>IF('Small Signal'!$B$37&gt;=1,Q130+0,N130+0)</f>
        <v>13.009330451728045</v>
      </c>
      <c r="J130" s="175">
        <f>IF('Small Signal'!$B$37&gt;=1,R130,O130)</f>
        <v>-57.062844392605967</v>
      </c>
      <c r="K130" s="175">
        <f>IF('Small Signal'!$B$37&gt;=1,Z130+0,W130+0)</f>
        <v>7.744460038727075</v>
      </c>
      <c r="L130" s="175">
        <f>IF('Small Signal'!$B$37&gt;=1,AA130,X130)</f>
        <v>89.031759178805814</v>
      </c>
      <c r="M130" s="175" t="str">
        <f>IMDIV(IMSUM('Small Signal'!$B$2*'Small Signal'!$B$16*'Small Signal'!$B$38,IMPRODUCT(H130,'Small Signal'!$B$2*'Small Signal'!$B$16*'Small Signal'!$B$38*'Small Signal'!$B$13*'Small Signal'!$B$14)),IMSUM(IMPRODUCT('Small Signal'!$B$11*'Small Signal'!$B$13*('Small Signal'!$B$14+'Small Signal'!$B$16),IMPOWER(H130,2)),IMSUM(IMPRODUCT(H130,('Small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2.43131308478516-3.75289920554057i</v>
      </c>
      <c r="N130" s="175">
        <f>20*LOG(IMABS(M130))</f>
        <v>13.009330451728045</v>
      </c>
      <c r="O130" s="175">
        <f>(180/PI())*IMARGUMENT(M130)</f>
        <v>-57.062844392605967</v>
      </c>
      <c r="P130" s="175" t="str">
        <f>IMDIV(IMSUM('Small Signal'!$B$48,IMPRODUCT(H130,'Small Signal'!$B$49)),IMSUM(IMPRODUCT('Small Signal'!$B$52,IMPOWER(H130,2)),IMSUM(IMPRODUCT(H130,'Small Signal'!$B$51),'Small Signal'!$B$50)))</f>
        <v>3.53659035085391-6.52438055047194i</v>
      </c>
      <c r="Q130" s="175">
        <f>20*LOG(IMABS(P130))</f>
        <v>17.409546073655314</v>
      </c>
      <c r="R130" s="175">
        <f>(180/PI())*IMARGUMENT(P130)</f>
        <v>-61.539754501775562</v>
      </c>
      <c r="S130" s="175" t="str">
        <f>IMPRODUCT(IMDIV(IMSUM(IMPRODUCT(H130,'Small Signal'!$B$33*'Small Signal'!$B$6*'Small Signal'!$B$27*'Small Signal'!$B$7*'Small Signal'!$B$8),'Small Signal'!$B$33*'Small Signal'!$B$6*'Small Signal'!$B$27),IMSUM(IMSUM(IMPRODUCT(H130,('Small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Signal'!$B$5),IMPRODUCT(IMPOWER(H130,2),'Small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-0.452703143854275+0.30426578313674i</v>
      </c>
      <c r="T130" s="175">
        <f>20*LOG(IMABS(S130))</f>
        <v>-5.2648704130009811</v>
      </c>
      <c r="U130" s="175">
        <f>(180/PI())*IMARGUMENT(S130)</f>
        <v>146.09460357141177</v>
      </c>
      <c r="V130" s="175" t="str">
        <f>IMPRODUCT(M130,S130)</f>
        <v>0.0412157386307734+2.43871464870919i</v>
      </c>
      <c r="W130" s="176">
        <f>20*LOG(IMABS(V130))</f>
        <v>7.744460038727075</v>
      </c>
      <c r="X130" s="175">
        <f>(180/PI())*IMARGUMENT(V130)</f>
        <v>89.031759178805814</v>
      </c>
      <c r="Y130" s="175" t="str">
        <f>IMPRODUCT(P130,S130)</f>
        <v>0.384120187315201+4.02967101963674i</v>
      </c>
      <c r="Z130" s="176">
        <f>20*LOG(IMABS(Y130))</f>
        <v>12.14467566065434</v>
      </c>
      <c r="AA130" s="175">
        <f>(180/PI())*IMARGUMENT(Y130)</f>
        <v>84.554849069636234</v>
      </c>
    </row>
    <row r="131" spans="6:27" x14ac:dyDescent="0.25">
      <c r="F131" s="177">
        <v>129</v>
      </c>
      <c r="G131" s="175">
        <f>10^('Small Signal'!F131/30)</f>
        <v>19952.623149688792</v>
      </c>
      <c r="H131" s="175" t="str">
        <f>COMPLEX(0,G131*2*PI())</f>
        <v>125366.028613816i</v>
      </c>
      <c r="I131" s="175">
        <f>IF('Small Signal'!$B$37&gt;=1,Q131+0,N131+0)</f>
        <v>12.597581788942559</v>
      </c>
      <c r="J131" s="175">
        <f>IF('Small Signal'!$B$37&gt;=1,R131,O131)</f>
        <v>-59.802648756840092</v>
      </c>
      <c r="K131" s="175">
        <f>IF('Small Signal'!$B$37&gt;=1,Z131+0,W131+0)</f>
        <v>7.1711496461567679</v>
      </c>
      <c r="L131" s="175">
        <f>IF('Small Signal'!$B$37&gt;=1,AA131,X131)</f>
        <v>87.859879690163837</v>
      </c>
      <c r="M131" s="175" t="str">
        <f>IMDIV(IMSUM('Small Signal'!$B$2*'Small Signal'!$B$16*'Small Signal'!$B$38,IMPRODUCT(H131,'Small Signal'!$B$2*'Small Signal'!$B$16*'Small Signal'!$B$38*'Small Signal'!$B$13*'Small Signal'!$B$14)),IMSUM(IMPRODUCT('Small Signal'!$B$11*'Small Signal'!$B$13*('Small Signal'!$B$14+'Small Signal'!$B$16),IMPOWER(H131,2)),IMSUM(IMPRODUCT(H131,('Small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2.14501235636022-3.68589216531884i</v>
      </c>
      <c r="N131" s="175">
        <f>20*LOG(IMABS(M131))</f>
        <v>12.597581788942559</v>
      </c>
      <c r="O131" s="175">
        <f>(180/PI())*IMARGUMENT(M131)</f>
        <v>-59.802648756840092</v>
      </c>
      <c r="P131" s="175" t="str">
        <f>IMDIV(IMSUM('Small Signal'!$B$48,IMPRODUCT(H131,'Small Signal'!$B$49)),IMSUM(IMPRODUCT('Small Signal'!$B$52,IMPOWER(H131,2)),IMSUM(IMPRODUCT(H131,'Small Signal'!$B$51),'Small Signal'!$B$50)))</f>
        <v>3.01329127236076-6.39804796114331i</v>
      </c>
      <c r="Q131" s="175">
        <f>20*LOG(IMABS(P131))</f>
        <v>16.990997695553855</v>
      </c>
      <c r="R131" s="175">
        <f>(180/PI())*IMARGUMENT(P131)</f>
        <v>-64.780951983918783</v>
      </c>
      <c r="S131" s="175" t="str">
        <f>IMPRODUCT(IMDIV(IMSUM(IMPRODUCT(H131,'Small Signal'!$B$33*'Small Signal'!$B$6*'Small Signal'!$B$27*'Small Signal'!$B$7*'Small Signal'!$B$8),'Small Signal'!$B$33*'Small Signal'!$B$6*'Small Signal'!$B$27),IMSUM(IMSUM(IMPRODUCT(H131,('Small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Signal'!$B$5),IMPRODUCT(IMPOWER(H131,2),'Small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-0.452366010934404+0.286388174487846i</v>
      </c>
      <c r="T131" s="175">
        <f>20*LOG(IMABS(S131))</f>
        <v>-5.4264321427857816</v>
      </c>
      <c r="U131" s="175">
        <f>(180/PI())*IMARGUMENT(S131)</f>
        <v>147.66252844700389</v>
      </c>
      <c r="V131" s="175" t="str">
        <f>IMPRODUCT(M131,S131)</f>
        <v>0.0852652455330374+2.28167850855153i</v>
      </c>
      <c r="W131" s="176">
        <f>20*LOG(IMABS(V131))</f>
        <v>7.1711496461567679</v>
      </c>
      <c r="X131" s="175">
        <f>(180/PI())*IMARGUMENT(V131)</f>
        <v>87.859879690163837</v>
      </c>
      <c r="Y131" s="175" t="str">
        <f>IMPRODUCT(P131,S131)</f>
        <v>0.469214723216226+3.75723042064095i</v>
      </c>
      <c r="Z131" s="176">
        <f>20*LOG(IMABS(Y131))</f>
        <v>11.564565552768064</v>
      </c>
      <c r="AA131" s="175">
        <f>(180/PI())*IMARGUMENT(Y131)</f>
        <v>82.881576463085125</v>
      </c>
    </row>
    <row r="132" spans="6:27" x14ac:dyDescent="0.25">
      <c r="F132" s="177">
        <v>130</v>
      </c>
      <c r="G132" s="175">
        <f>10^('Small Signal'!F132/30)</f>
        <v>21544.346900318837</v>
      </c>
      <c r="H132" s="175" t="str">
        <f>COMPLEX(0,G132*2*PI())</f>
        <v>135367.123896863i</v>
      </c>
      <c r="I132" s="175">
        <f>IF('Small Signal'!$B$37&gt;=1,Q132+0,N132+0)</f>
        <v>12.159662643196887</v>
      </c>
      <c r="J132" s="175">
        <f>IF('Small Signal'!$B$37&gt;=1,R132,O132)</f>
        <v>-62.548737000007272</v>
      </c>
      <c r="K132" s="175">
        <f>IF('Small Signal'!$B$37&gt;=1,Z132+0,W132+0)</f>
        <v>6.5889254496202634</v>
      </c>
      <c r="L132" s="175">
        <f>IF('Small Signal'!$B$37&gt;=1,AA132,X132)</f>
        <v>86.580314576316752</v>
      </c>
      <c r="M132" s="175" t="str">
        <f>IMDIV(IMSUM('Small Signal'!$B$2*'Small Signal'!$B$16*'Small Signal'!$B$38,IMPRODUCT(H132,'Small Signal'!$B$2*'Small Signal'!$B$16*'Small Signal'!$B$38*'Small Signal'!$B$13*'Small Signal'!$B$14)),IMSUM(IMPRODUCT('Small Signal'!$B$11*'Small Signal'!$B$13*('Small Signal'!$B$14+'Small Signal'!$B$16),IMPOWER(H132,2)),IMSUM(IMPRODUCT(H132,('Small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1.86929715466983-3.59835630438072i</v>
      </c>
      <c r="N132" s="175">
        <f>20*LOG(IMABS(M132))</f>
        <v>12.159662643196887</v>
      </c>
      <c r="O132" s="175">
        <f>(180/PI())*IMARGUMENT(M132)</f>
        <v>-62.548737000007272</v>
      </c>
      <c r="P132" s="175" t="str">
        <f>IMDIV(IMSUM('Small Signal'!$B$48,IMPRODUCT(H132,'Small Signal'!$B$49)),IMSUM(IMPRODUCT('Small Signal'!$B$52,IMPOWER(H132,2)),IMSUM(IMPRODUCT(H132,'Small Signal'!$B$51),'Small Signal'!$B$50)))</f>
        <v>2.50824137801886-6.22911690279521i</v>
      </c>
      <c r="Q132" s="175">
        <f>20*LOG(IMABS(P132))</f>
        <v>16.541107879812969</v>
      </c>
      <c r="R132" s="175">
        <f>(180/PI())*IMARGUMENT(P132)</f>
        <v>-68.067126812276115</v>
      </c>
      <c r="S132" s="175" t="str">
        <f>IMPRODUCT(IMDIV(IMSUM(IMPRODUCT(H132,'Small Signal'!$B$33*'Small Signal'!$B$6*'Small Signal'!$B$27*'Small Signal'!$B$7*'Small Signal'!$B$8),'Small Signal'!$B$33*'Small Signal'!$B$6*'Small Signal'!$B$27),IMSUM(IMSUM(IMPRODUCT(H132,('Small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Signal'!$B$5),IMPRODUCT(IMPOWER(H132,2),'Small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-0.451975606017575+0.270190655421779i</v>
      </c>
      <c r="T132" s="175">
        <f>20*LOG(IMABS(S132))</f>
        <v>-5.5707371935766448</v>
      </c>
      <c r="U132" s="175">
        <f>(180/PI())*IMARGUMENT(S132)</f>
        <v>149.129051576324</v>
      </c>
      <c r="V132" s="175" t="str">
        <f>IMPRODUCT(M132,S132)</f>
        <v>0.127365534012892+2.13143589473795i</v>
      </c>
      <c r="W132" s="176">
        <f>20*LOG(IMABS(V132))</f>
        <v>6.5889254496202634</v>
      </c>
      <c r="X132" s="175">
        <f>(180/PI())*IMARGUMENT(V132)</f>
        <v>86.580314576316752</v>
      </c>
      <c r="Y132" s="175" t="str">
        <f>IMPRODUCT(P132,S132)</f>
        <v>0.549385261796688+3.49311226897813i</v>
      </c>
      <c r="Z132" s="176">
        <f>20*LOG(IMABS(Y132))</f>
        <v>10.970370686236334</v>
      </c>
      <c r="AA132" s="175">
        <f>(180/PI())*IMARGUMENT(Y132)</f>
        <v>81.061924764047902</v>
      </c>
    </row>
    <row r="133" spans="6:27" x14ac:dyDescent="0.25">
      <c r="F133" s="177">
        <v>131</v>
      </c>
      <c r="G133" s="175">
        <f>10^('Small Signal'!F133/30)</f>
        <v>23263.050671536268</v>
      </c>
      <c r="H133" s="175" t="str">
        <f>COMPLEX(0,G133*2*PI())</f>
        <v>146166.058179571i</v>
      </c>
      <c r="I133" s="175">
        <f>IF('Small Signal'!$B$37&gt;=1,Q133+0,N133+0)</f>
        <v>11.696234115720099</v>
      </c>
      <c r="J133" s="175">
        <f>IF('Small Signal'!$B$37&gt;=1,R133,O133)</f>
        <v>-65.293563206502242</v>
      </c>
      <c r="K133" s="175">
        <f>IF('Small Signal'!$B$37&gt;=1,Z133+0,W133+0)</f>
        <v>5.9968555750516375</v>
      </c>
      <c r="L133" s="175">
        <f>IF('Small Signal'!$B$37&gt;=1,AA133,X133)</f>
        <v>85.195256599584795</v>
      </c>
      <c r="M133" s="175" t="str">
        <f>IMDIV(IMSUM('Small Signal'!$B$2*'Small Signal'!$B$16*'Small Signal'!$B$38,IMPRODUCT(H133,'Small Signal'!$B$2*'Small Signal'!$B$16*'Small Signal'!$B$38*'Small Signal'!$B$13*'Small Signal'!$B$14)),IMSUM(IMPRODUCT('Small Signal'!$B$11*'Small Signal'!$B$13*('Small Signal'!$B$14+'Small Signal'!$B$16),IMPOWER(H133,2)),IMSUM(IMPRODUCT(H133,('Small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1.60677815689659-3.49235273829105i</v>
      </c>
      <c r="N133" s="175">
        <f>20*LOG(IMABS(M133))</f>
        <v>11.696234115720099</v>
      </c>
      <c r="O133" s="175">
        <f>(180/PI())*IMARGUMENT(M133)</f>
        <v>-65.293563206502242</v>
      </c>
      <c r="P133" s="175" t="str">
        <f>IMDIV(IMSUM('Small Signal'!$B$48,IMPRODUCT(H133,'Small Signal'!$B$49)),IMSUM(IMPRODUCT('Small Signal'!$B$52,IMPOWER(H133,2)),IMSUM(IMPRODUCT(H133,'Small Signal'!$B$51),'Small Signal'!$B$50)))</f>
        <v>2.02746635493138-6.02091514986035i</v>
      </c>
      <c r="Q133" s="175">
        <f>20*LOG(IMABS(P133))</f>
        <v>16.059730983748604</v>
      </c>
      <c r="R133" s="175">
        <f>(180/PI())*IMARGUMENT(P133)</f>
        <v>-71.389704203641017</v>
      </c>
      <c r="S133" s="175" t="str">
        <f>IMPRODUCT(IMDIV(IMSUM(IMPRODUCT(H133,'Small Signal'!$B$33*'Small Signal'!$B$6*'Small Signal'!$B$27*'Small Signal'!$B$7*'Small Signal'!$B$8),'Small Signal'!$B$33*'Small Signal'!$B$6*'Small Signal'!$B$27),IMSUM(IMSUM(IMPRODUCT(H133,('Small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Signal'!$B$5),IMPRODUCT(IMPOWER(H133,2),'Small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-0.451523014778187+0.255575752255739i</v>
      </c>
      <c r="T133" s="175">
        <f>20*LOG(IMABS(S133))</f>
        <v>-5.6993785406684703</v>
      </c>
      <c r="U133" s="175">
        <f>(180/PI())*IMARGUMENT(S133)</f>
        <v>150.48881980608704</v>
      </c>
      <c r="V133" s="175" t="str">
        <f>IMPRODUCT(M133,S133)</f>
        <v>0.167063360749438+1.98753117321897i</v>
      </c>
      <c r="W133" s="176">
        <f>20*LOG(IMABS(V133))</f>
        <v>5.9968555750516375</v>
      </c>
      <c r="X133" s="175">
        <f>(180/PI())*IMARGUMENT(V133)</f>
        <v>85.195256599584795</v>
      </c>
      <c r="Y133" s="175" t="str">
        <f>IMPRODUCT(P133,S133)</f>
        <v>0.623352197753576+3.23675299902339i</v>
      </c>
      <c r="Z133" s="176">
        <f>20*LOG(IMABS(Y133))</f>
        <v>10.360352443080124</v>
      </c>
      <c r="AA133" s="175">
        <f>(180/PI())*IMARGUMENT(Y133)</f>
        <v>79.09911560244602</v>
      </c>
    </row>
    <row r="134" spans="6:27" x14ac:dyDescent="0.25">
      <c r="F134" s="177">
        <v>132</v>
      </c>
      <c r="G134" s="175">
        <f>10^('Small Signal'!F134/30)</f>
        <v>25118.86431509586</v>
      </c>
      <c r="H134" s="175" t="str">
        <f>COMPLEX(0,G134*2*PI())</f>
        <v>157826.479197648i</v>
      </c>
      <c r="I134" s="175">
        <f>IF('Small Signal'!$B$37&gt;=1,Q134+0,N134+0)</f>
        <v>11.20810565318795</v>
      </c>
      <c r="J134" s="175">
        <f>IF('Small Signal'!$B$37&gt;=1,R134,O134)</f>
        <v>-68.030977550611354</v>
      </c>
      <c r="K134" s="175">
        <f>IF('Small Signal'!$B$37&gt;=1,Z134+0,W134+0)</f>
        <v>5.394159174522497</v>
      </c>
      <c r="L134" s="175">
        <f>IF('Small Signal'!$B$37&gt;=1,AA134,X134)</f>
        <v>83.706714613256807</v>
      </c>
      <c r="M134" s="175" t="str">
        <f>IMDIV(IMSUM('Small Signal'!$B$2*'Small Signal'!$B$16*'Small Signal'!$B$38,IMPRODUCT(H134,'Small Signal'!$B$2*'Small Signal'!$B$16*'Small Signal'!$B$38*'Small Signal'!$B$13*'Small Signal'!$B$14)),IMSUM(IMPRODUCT('Small Signal'!$B$11*'Small Signal'!$B$13*('Small Signal'!$B$14+'Small Signal'!$B$16),IMPOWER(H134,2)),IMSUM(IMPRODUCT(H134,('Small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1.35956220310538-3.3702796415228i</v>
      </c>
      <c r="N134" s="175">
        <f>20*LOG(IMABS(M134))</f>
        <v>11.20810565318795</v>
      </c>
      <c r="O134" s="175">
        <f>(180/PI())*IMARGUMENT(M134)</f>
        <v>-68.030977550611354</v>
      </c>
      <c r="P134" s="175" t="str">
        <f>IMDIV(IMSUM('Small Signal'!$B$48,IMPRODUCT(H134,'Small Signal'!$B$49)),IMSUM(IMPRODUCT('Small Signal'!$B$52,IMPOWER(H134,2)),IMSUM(IMPRODUCT(H134,'Small Signal'!$B$51),'Small Signal'!$B$50)))</f>
        <v>1.57617614892095-5.7777065837218i</v>
      </c>
      <c r="Q134" s="175">
        <f>20*LOG(IMABS(P134))</f>
        <v>15.546856640194349</v>
      </c>
      <c r="R134" s="175">
        <f>(180/PI())*IMARGUMENT(P134)</f>
        <v>-74.74083866008516</v>
      </c>
      <c r="S134" s="175" t="str">
        <f>IMPRODUCT(IMDIV(IMSUM(IMPRODUCT(H134,'Small Signal'!$B$33*'Small Signal'!$B$6*'Small Signal'!$B$27*'Small Signal'!$B$7*'Small Signal'!$B$8),'Small Signal'!$B$33*'Small Signal'!$B$6*'Small Signal'!$B$27),IMSUM(IMSUM(IMPRODUCT(H134,('Small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Signal'!$B$5),IMPRODUCT(IMPOWER(H134,2),'Small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-0.450997962094971+0.242454811045851i</v>
      </c>
      <c r="T134" s="175">
        <f>20*LOG(IMABS(S134))</f>
        <v>-5.8139464786654615</v>
      </c>
      <c r="U134" s="175">
        <f>(180/PI())*IMARGUMENT(S134)</f>
        <v>151.73769216386813</v>
      </c>
      <c r="V134" s="175" t="str">
        <f>IMPRODUCT(M134,S134)</f>
        <v>0.203980730715213+1.84962164707595i</v>
      </c>
      <c r="W134" s="176">
        <f>20*LOG(IMABS(V134))</f>
        <v>5.394159174522497</v>
      </c>
      <c r="X134" s="175">
        <f>(180/PI())*IMARGUMENT(V134)</f>
        <v>83.706714613256807</v>
      </c>
      <c r="Y134" s="175" t="str">
        <f>IMPRODUCT(P134,S134)</f>
        <v>0.68998052696859+2.98788538520283i</v>
      </c>
      <c r="Z134" s="176">
        <f>20*LOG(IMABS(Y134))</f>
        <v>9.7329101615288725</v>
      </c>
      <c r="AA134" s="175">
        <f>(180/PI())*IMARGUMENT(Y134)</f>
        <v>76.996853503782972</v>
      </c>
    </row>
    <row r="135" spans="6:27" x14ac:dyDescent="0.25">
      <c r="F135" s="177">
        <v>133</v>
      </c>
      <c r="G135" s="175">
        <f>10^('Small Signal'!F135/30)</f>
        <v>27122.725793320307</v>
      </c>
      <c r="H135" s="175" t="str">
        <f>COMPLEX(0,G135*2*PI())</f>
        <v>170417.112195251i</v>
      </c>
      <c r="I135" s="175">
        <f>IF('Small Signal'!$B$37&gt;=1,Q135+0,N135+0)</f>
        <v>10.696183690134786</v>
      </c>
      <c r="J135" s="175">
        <f>IF('Small Signal'!$B$37&gt;=1,R135,O135)</f>
        <v>-70.756357491267067</v>
      </c>
      <c r="K135" s="175">
        <f>IF('Small Signal'!$B$37&gt;=1,Z135+0,W135+0)</f>
        <v>4.7801817364930113</v>
      </c>
      <c r="L135" s="175">
        <f>IF('Small Signal'!$B$37&gt;=1,AA135,X135)</f>
        <v>82.11624234641036</v>
      </c>
      <c r="M135" s="175" t="str">
        <f>IMDIV(IMSUM('Small Signal'!$B$2*'Small Signal'!$B$16*'Small Signal'!$B$38,IMPRODUCT(H135,'Small Signal'!$B$2*'Small Signal'!$B$16*'Small Signal'!$B$38*'Small Signal'!$B$13*'Small Signal'!$B$14)),IMSUM(IMPRODUCT('Small Signal'!$B$11*'Small Signal'!$B$13*('Small Signal'!$B$14+'Small Signal'!$B$16),IMPOWER(H135,2)),IMSUM(IMPRODUCT(H135,('Small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1.12921800047797-3.23473685521062i</v>
      </c>
      <c r="N135" s="175">
        <f>20*LOG(IMABS(M135))</f>
        <v>10.696183690134786</v>
      </c>
      <c r="O135" s="175">
        <f>(180/PI())*IMARGUMENT(M135)</f>
        <v>-70.756357491267067</v>
      </c>
      <c r="P135" s="175" t="str">
        <f>IMDIV(IMSUM('Small Signal'!$B$48,IMPRODUCT(H135,'Small Signal'!$B$49)),IMSUM(IMPRODUCT('Small Signal'!$B$52,IMPOWER(H135,2)),IMSUM(IMPRODUCT(H135,'Small Signal'!$B$51),'Small Signal'!$B$50)))</f>
        <v>1.15861616276876-5.50446024060932i</v>
      </c>
      <c r="Q135" s="175">
        <f>20*LOG(IMABS(P135))</f>
        <v>15.002567060133282</v>
      </c>
      <c r="R135" s="175">
        <f>(180/PI())*IMARGUMENT(P135)</f>
        <v>-78.113510565106822</v>
      </c>
      <c r="S135" s="175" t="str">
        <f>IMPRODUCT(IMDIV(IMSUM(IMPRODUCT(H135,'Small Signal'!$B$33*'Small Signal'!$B$6*'Small Signal'!$B$27*'Small Signal'!$B$7*'Small Signal'!$B$8),'Small Signal'!$B$33*'Small Signal'!$B$6*'Small Signal'!$B$27),IMSUM(IMSUM(IMPRODUCT(H135,('Small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Signal'!$B$5),IMPRODUCT(IMPOWER(H135,2),'Small Signal'!$B$32*'Small Signal'!$B$33*'Small Signal'!$B$8*'Small Signal'!$B$7*('Small Signal'!$B$5+'Small Signal'!$B$6)+('Small Signal'!$B$5+'Small Signal'!$B$6)*('Small Signal'!$B$9*'Small Signal'!$B$8*'Small Signal'!$B$33*'Small Signal'!$B$7)))),-1)</f>
        <v>-0.450388607177752+0.230747348929577i</v>
      </c>
      <c r="T135" s="175">
        <f>20*LOG(IMABS(S135))</f>
        <v>-5.9160019536417643</v>
      </c>
      <c r="U135" s="175">
        <f>(180/PI())*IMARGUMENT(S135)</f>
        <v>152.87259983767746</v>
      </c>
      <c r="V135" s="175" t="str">
        <f>IMPRODUCT(M135,S135)</f>
        <v>0.237820031389329+1.7174526867787i</v>
      </c>
      <c r="W135" s="176">
        <f>20*LOG(IMABS(V135))</f>
        <v>4.7801817364930113</v>
      </c>
      <c r="X135" s="175">
        <f>(180/PI())*IMARGUMENT(V135)</f>
        <v>82.11624234641036</v>
      </c>
      <c r="Y135" s="175" t="str">
        <f>IMPRODUCT(P135,S135)</f>
        <v>0.748312088005809+2.7464937890192i</v>
      </c>
      <c r="Z135" s="176">
        <f>20*LOG(IMABS(Y135))</f>
        <v>9.0865651064915305</v>
      </c>
      <c r="AA135" s="175">
        <f>(180/PI())*IMARGUMENT(Y135)</f>
        <v>74.759089272570634</v>
      </c>
    </row>
    <row r="136" spans="6:27" x14ac:dyDescent="0.25">
      <c r="F136" s="177">
        <v>134</v>
      </c>
      <c r="G136" s="175">
        <f>10^('Small Signal'!F136/30)</f>
        <v>29286.445646252399</v>
      </c>
      <c r="H136" s="175" t="str">
        <f>COMPLEX(0,G136*2*PI())</f>
        <v>184012.164984047i</v>
      </c>
      <c r="I136" s="175">
        <f>IF('Small Signal'!$B$37&gt;=1,Q136+0,N136+0)</f>
        <v>10.161418550349817</v>
      </c>
      <c r="J136" s="175">
        <f>IF('Small Signal'!$B$37&gt;=1,R136,O136)</f>
        <v>-73.46665584178325</v>
      </c>
      <c r="K136" s="175">
        <f>IF('Small Signal'!$B$37&gt;=1,Z136+0,W136+0)</f>
        <v>4.1543616601008582</v>
      </c>
      <c r="L136" s="175">
        <f>IF('Small Signal'!$B$37&gt;=1,AA136,X136)</f>
        <v>80.424731938809245</v>
      </c>
      <c r="M136" s="175" t="str">
        <f>IMDIV(IMSUM('Small Signal'!$B$2*'Small Signal'!$B$16*'Small Signal'!$B$38,IMPRODUCT(H136,'Small Signal'!$B$2*'Small Signal'!$B$16*'Small Signal'!$B$38*'Small Signal'!$B$13*'Small Signal'!$B$14)),IMSUM(IMPRODUCT('Small Signal'!$B$11*'Small Signal'!$B$13*('Small Signal'!$B$14+'Small Signal'!$B$16),IMPOWER(H136,2)),IMSUM(IMPRODUCT(H136,('Small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0.916779877172299-3.08839574564308i</v>
      </c>
      <c r="N136" s="175">
        <f>20*LOG(IMABS(M136))</f>
        <v>10.161418550349817</v>
      </c>
      <c r="O136" s="175">
        <f>(180/PI())*IMARGUMENT(M136)</f>
        <v>-73.46665584178325</v>
      </c>
      <c r="P136" s="175" t="str">
        <f>IMDIV(IMSUM('Small Signal'!$B$48,IMPRODUCT(H136,'Small Signal'!$B$49)),IMSUM(IMPRODUCT('Small Signal'!$B$52,IMPOWER(H136,2)),IMSUM(IMPRODUCT(H136,'Small Signal'!$B$51),'Small Signal'!$B$50)))</f>
        <v>0.77799003953018-5.20660512189302i</v>
      </c>
      <c r="Q136" s="175">
        <f>20*LOG(IMABS(P136))</f>
        <v>14.426992972032233</v>
      </c>
      <c r="R136" s="175">
        <f>(180/PI())*IMARGUMENT(P136)</f>
        <v>-81.501531829173288</v>
      </c>
      <c r="S136" s="175" t="str">
        <f>IMPRODUCT(IMDIV(IMSUM(IMPRODUCT(H136,'Small Signal'!$B$33*'Small Signal'!$B$6*'Small Signal'!$B$27*'Small Signal'!$B$7*'Small Signal'!$B$8),'Small Signal'!$B$33*'Small Signal'!$B$6*'Small Signal'!$B$27),IMSUM(IMSUM(IMPRODUCT(H136,('Small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Signal'!$B$5),IMPRODUCT(IMPOWER(H136,2),'Small Signal'!$B$32*'Small Signal'!$B$33*'Small Signal'!$B$8*'Small Signal'!$B$7*('Small Signal'!$B$5+'Small Signal'!$B$6)+('Small Signal'!$B$5+'Small Signal'!$B$6)*('Small Signal'!$B$9*'Small Signal'!$B$8*'Small Signal'!$B$33*'Small Signal'!$B$7)))),-1)</f>
        <v>-0.449681314778111+0.220380423420459i</v>
      </c>
      <c r="T136" s="175">
        <f>20*LOG(IMABS(S136))</f>
        <v>-6.0070568902489443</v>
      </c>
      <c r="U136" s="175">
        <f>(180/PI())*IMARGUMENT(S136)</f>
        <v>153.89138778059251</v>
      </c>
      <c r="V136" s="175" t="str">
        <f>IMPRODUCT(M136,S136)</f>
        <v>0.268363181585812+1.59083419697049i</v>
      </c>
      <c r="W136" s="176">
        <f>20*LOG(IMABS(V136))</f>
        <v>4.1543616601008582</v>
      </c>
      <c r="X136" s="175">
        <f>(180/PI())*IMARGUMENT(V136)</f>
        <v>80.424731938809245</v>
      </c>
      <c r="Y136" s="175" t="str">
        <f>IMPRODUCT(P136,S136)</f>
        <v>0.797586257485708+2.51276681107186i</v>
      </c>
      <c r="Z136" s="176">
        <f>20*LOG(IMABS(Y136))</f>
        <v>8.4199360817832876</v>
      </c>
      <c r="AA136" s="175">
        <f>(180/PI())*IMARGUMENT(Y136)</f>
        <v>72.389855951419236</v>
      </c>
    </row>
    <row r="137" spans="6:27" x14ac:dyDescent="0.25">
      <c r="F137" s="177">
        <v>135</v>
      </c>
      <c r="G137" s="175">
        <f>10^('Small Signal'!F137/30)</f>
        <v>31622.77660168384</v>
      </c>
      <c r="H137" s="175" t="str">
        <f>COMPLEX(0,G137*2*PI())</f>
        <v>198691.765315922i</v>
      </c>
      <c r="I137" s="175">
        <f>IF('Small Signal'!$B$37&gt;=1,Q137+0,N137+0)</f>
        <v>9.6047527085689595</v>
      </c>
      <c r="J137" s="175">
        <f>IF('Small Signal'!$B$37&gt;=1,R137,O137)</f>
        <v>-76.160370045856212</v>
      </c>
      <c r="K137" s="175">
        <f>IF('Small Signal'!$B$37&gt;=1,Z137+0,W137+0)</f>
        <v>3.5161914725774306</v>
      </c>
      <c r="L137" s="175">
        <f>IF('Small Signal'!$B$37&gt;=1,AA137,X137)</f>
        <v>78.632279734904856</v>
      </c>
      <c r="M137" s="175" t="str">
        <f>IMDIV(IMSUM('Small Signal'!$B$2*'Small Signal'!$B$16*'Small Signal'!$B$38,IMPRODUCT(H137,'Small Signal'!$B$2*'Small Signal'!$B$16*'Small Signal'!$B$38*'Small Signal'!$B$13*'Small Signal'!$B$14)),IMSUM(IMPRODUCT('Small Signal'!$B$11*'Small Signal'!$B$13*('Small Signal'!$B$14+'Small Signal'!$B$16),IMPOWER(H137,2)),IMSUM(IMPRODUCT(H137,('Small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0.722783258769033-2.93388459600306i</v>
      </c>
      <c r="N137" s="175">
        <f>20*LOG(IMABS(M137))</f>
        <v>9.6047527085689595</v>
      </c>
      <c r="O137" s="175">
        <f>(180/PI())*IMARGUMENT(M137)</f>
        <v>-76.160370045856212</v>
      </c>
      <c r="P137" s="175" t="str">
        <f>IMDIV(IMSUM('Small Signal'!$B$48,IMPRODUCT(H137,'Small Signal'!$B$49)),IMSUM(IMPRODUCT('Small Signal'!$B$52,IMPOWER(H137,2)),IMSUM(IMPRODUCT(H137,'Small Signal'!$B$51),'Small Signal'!$B$50)))</f>
        <v>0.436448625992895-4.88979333212971i</v>
      </c>
      <c r="Q137" s="175">
        <f>20*LOG(IMABS(P137))</f>
        <v>13.820272462862285</v>
      </c>
      <c r="R137" s="175">
        <f>(180/PI())*IMARGUMENT(P137)</f>
        <v>-84.899462965368485</v>
      </c>
      <c r="S137" s="175" t="str">
        <f>IMPRODUCT(IMDIV(IMSUM(IMPRODUCT(H137,'Small Signal'!$B$33*'Small Signal'!$B$6*'Small Signal'!$B$27*'Small Signal'!$B$7*'Small Signal'!$B$8),'Small Signal'!$B$33*'Small Signal'!$B$6*'Small Signal'!$B$27),IMSUM(IMSUM(IMPRODUCT(H137,('Small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Signal'!$B$5),IMPRODUCT(IMPOWER(H137,2),'Small Signal'!$B$32*'Small Signal'!$B$33*'Small Signal'!$B$8*'Small Signal'!$B$7*('Small Signal'!$B$5+'Small Signal'!$B$6)+('Small Signal'!$B$5+'Small Signal'!$B$6)*('Small Signal'!$B$9*'Small Signal'!$B$8*'Small Signal'!$B$33*'Small Signal'!$B$7)))),-1)</f>
        <v>-0.4488604014836+0.211288009217967i</v>
      </c>
      <c r="T137" s="175">
        <f>20*LOG(IMABS(S137))</f>
        <v>-6.0885612359915466</v>
      </c>
      <c r="U137" s="175">
        <f>(180/PI())*IMARGUMENT(S137)</f>
        <v>154.79264978076105</v>
      </c>
      <c r="V137" s="175" t="str">
        <f>IMPRODUCT(M137,S137)</f>
        <v>0.295465851848053+1.46962005350987i</v>
      </c>
      <c r="W137" s="176">
        <f>20*LOG(IMABS(V137))</f>
        <v>3.5161914725774306</v>
      </c>
      <c r="X137" s="175">
        <f>(180/PI())*IMARGUMENT(V137)</f>
        <v>78.632279734904856</v>
      </c>
      <c r="Y137" s="175" t="str">
        <f>IMPRODUCT(P137,S137)</f>
        <v>0.837250193142839+2.28705095954353i</v>
      </c>
      <c r="Z137" s="176">
        <f>20*LOG(IMABS(Y137))</f>
        <v>7.7317112268707469</v>
      </c>
      <c r="AA137" s="175">
        <f>(180/PI())*IMARGUMENT(Y137)</f>
        <v>69.893186815392582</v>
      </c>
    </row>
    <row r="138" spans="6:27" x14ac:dyDescent="0.25">
      <c r="F138" s="177">
        <v>136</v>
      </c>
      <c r="G138" s="175">
        <f>10^('Small Signal'!F138/30)</f>
        <v>34145.488738336011</v>
      </c>
      <c r="H138" s="175" t="str">
        <f>COMPLEX(0,G138*2*PI())</f>
        <v>214542.433147179i</v>
      </c>
      <c r="I138" s="175">
        <f>IF('Small Signal'!$B$37&gt;=1,Q138+0,N138+0)</f>
        <v>9.0270729319860958</v>
      </c>
      <c r="J138" s="175">
        <f>IF('Small Signal'!$B$37&gt;=1,R138,O138)</f>
        <v>-78.837441640413005</v>
      </c>
      <c r="K138" s="175">
        <f>IF('Small Signal'!$B$37&gt;=1,Z138+0,W138+0)</f>
        <v>2.8651768321173812</v>
      </c>
      <c r="L138" s="175">
        <f>IF('Small Signal'!$B$37&gt;=1,AA138,X138)</f>
        <v>76.738124935750008</v>
      </c>
      <c r="M138" s="175" t="str">
        <f>IMDIV(IMSUM('Small Signal'!$B$2*'Small Signal'!$B$16*'Small Signal'!$B$38,IMPRODUCT(H138,'Small Signal'!$B$2*'Small Signal'!$B$16*'Small Signal'!$B$38*'Small Signal'!$B$13*'Small Signal'!$B$14)),IMSUM(IMPRODUCT('Small Signal'!$B$11*'Small Signal'!$B$13*('Small Signal'!$B$14+'Small Signal'!$B$16),IMPOWER(H138,2)),IMSUM(IMPRODUCT(H138,('Small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0.547323271399417-2.77369624534321i</v>
      </c>
      <c r="N138" s="175">
        <f>20*LOG(IMABS(M138))</f>
        <v>9.0270729319860958</v>
      </c>
      <c r="O138" s="175">
        <f>(180/PI())*IMARGUMENT(M138)</f>
        <v>-78.837441640413005</v>
      </c>
      <c r="P138" s="175" t="str">
        <f>IMDIV(IMSUM('Small Signal'!$B$48,IMPRODUCT(H138,'Small Signal'!$B$49)),IMSUM(IMPRODUCT('Small Signal'!$B$52,IMPOWER(H138,2)),IMSUM(IMPRODUCT(H138,'Small Signal'!$B$51),'Small Signal'!$B$50)))</f>
        <v>0.135133063124121-4.55968865361401i</v>
      </c>
      <c r="Q138" s="175">
        <f>20*LOG(IMABS(P138))</f>
        <v>13.18251660224419</v>
      </c>
      <c r="R138" s="175">
        <f>(180/PI())*IMARGUMENT(P138)</f>
        <v>-88.30245239145539</v>
      </c>
      <c r="S138" s="175" t="str">
        <f>IMPRODUCT(IMDIV(IMSUM(IMPRODUCT(H138,'Small Signal'!$B$33*'Small Signal'!$B$6*'Small Signal'!$B$27*'Small Signal'!$B$7*'Small Signal'!$B$8),'Small Signal'!$B$33*'Small Signal'!$B$6*'Small Signal'!$B$27),IMSUM(IMSUM(IMPRODUCT(H138,('Small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Signal'!$B$5),IMPRODUCT(IMPOWER(H138,2),'Small Signal'!$B$32*'Small Signal'!$B$33*'Small Signal'!$B$8*'Small Signal'!$B$7*('Small Signal'!$B$5+'Small Signal'!$B$6)+('Small Signal'!$B$5+'Small Signal'!$B$6)*('Small Signal'!$B$9*'Small Signal'!$B$8*'Small Signal'!$B$33*'Small Signal'!$B$7)))),-1)</f>
        <v>-0.447907856927231+0.20341037088214i</v>
      </c>
      <c r="T138" s="175">
        <f>20*LOG(IMABS(S138))</f>
        <v>-6.161896099868736</v>
      </c>
      <c r="U138" s="175">
        <f>(180/PI())*IMARGUMENT(S138)</f>
        <v>155.57556657616294</v>
      </c>
      <c r="V138" s="175" t="str">
        <f>IMPRODUCT(M138,S138)</f>
        <v>0.319048188440747+1.35369157064657i</v>
      </c>
      <c r="W138" s="176">
        <f>20*LOG(IMABS(V138))</f>
        <v>2.8651768321173812</v>
      </c>
      <c r="X138" s="175">
        <f>(180/PI())*IMARGUMENT(V138)</f>
        <v>76.738124935750008</v>
      </c>
      <c r="Y138" s="175" t="str">
        <f>IMPRODUCT(P138,S138)</f>
        <v>0.866960799434774+2.06980783958418i</v>
      </c>
      <c r="Z138" s="176">
        <f>20*LOG(IMABS(Y138))</f>
        <v>7.0206205023754524</v>
      </c>
      <c r="AA138" s="175">
        <f>(180/PI())*IMARGUMENT(Y138)</f>
        <v>67.273114184707566</v>
      </c>
    </row>
    <row r="139" spans="6:27" x14ac:dyDescent="0.25">
      <c r="F139" s="177">
        <v>137</v>
      </c>
      <c r="G139" s="175">
        <f>10^('Small Signal'!F139/30)</f>
        <v>36869.450645195764</v>
      </c>
      <c r="H139" s="175" t="str">
        <f>COMPLEX(0,G139*2*PI())</f>
        <v>231657.590577677i</v>
      </c>
      <c r="I139" s="175">
        <f>IF('Small Signal'!$B$37&gt;=1,Q139+0,N139+0)</f>
        <v>8.4291681339644313</v>
      </c>
      <c r="J139" s="175">
        <f>IF('Small Signal'!$B$37&gt;=1,R139,O139)</f>
        <v>-81.499097534188081</v>
      </c>
      <c r="K139" s="175">
        <f>IF('Small Signal'!$B$37&gt;=1,Z139+0,W139+0)</f>
        <v>2.2007959652933922</v>
      </c>
      <c r="L139" s="175">
        <f>IF('Small Signal'!$B$37&gt;=1,AA139,X139)</f>
        <v>74.740656688336713</v>
      </c>
      <c r="M139" s="175" t="str">
        <f>IMDIV(IMSUM('Small Signal'!$B$2*'Small Signal'!$B$16*'Small Signal'!$B$38,IMPRODUCT(H139,'Small Signal'!$B$2*'Small Signal'!$B$16*'Small Signal'!$B$38*'Small Signal'!$B$13*'Small Signal'!$B$14)),IMSUM(IMPRODUCT('Small Signal'!$B$11*'Small Signal'!$B$13*('Small Signal'!$B$14+'Small Signal'!$B$16),IMPOWER(H139,2)),IMSUM(IMPRODUCT(H139,('Small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0.390127228384793-2.61012100613177i</v>
      </c>
      <c r="N139" s="175">
        <f>20*LOG(IMABS(M139))</f>
        <v>8.4291681339644313</v>
      </c>
      <c r="O139" s="175">
        <f>(180/PI())*IMARGUMENT(M139)</f>
        <v>-81.499097534188081</v>
      </c>
      <c r="P139" s="175" t="str">
        <f>IMDIV(IMSUM('Small Signal'!$B$48,IMPRODUCT(H139,'Small Signal'!$B$49)),IMSUM(IMPRODUCT('Small Signal'!$B$52,IMPOWER(H139,2)),IMSUM(IMPRODUCT(H139,'Small Signal'!$B$51),'Small Signal'!$B$50)))</f>
        <v>-0.125743476210001-4.2217907311415i</v>
      </c>
      <c r="Q139" s="175">
        <f>20*LOG(IMABS(P139))</f>
        <v>12.513785003797045</v>
      </c>
      <c r="R139" s="175">
        <f>(180/PI())*IMARGUMENT(P139)</f>
        <v>-91.706015684886054</v>
      </c>
      <c r="S139" s="175" t="str">
        <f>IMPRODUCT(IMDIV(IMSUM(IMPRODUCT(H139,'Small Signal'!$B$33*'Small Signal'!$B$6*'Small Signal'!$B$27*'Small Signal'!$B$7*'Small Signal'!$B$8),'Small Signal'!$B$33*'Small Signal'!$B$6*'Small Signal'!$B$27),IMSUM(IMSUM(IMPRODUCT(H139,('Small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Signal'!$B$5),IMPRODUCT(IMPOWER(H139,2),'Small Signal'!$B$32*'Small Signal'!$B$33*'Small Signal'!$B$8*'Small Signal'!$B$7*('Small Signal'!$B$5+'Small Signal'!$B$6)+('Small Signal'!$B$5+'Small Signal'!$B$6)*('Small Signal'!$B$9*'Small Signal'!$B$8*'Small Signal'!$B$33*'Small Signal'!$B$7)))),-1)</f>
        <v>-0.446803040993575+0.196693418319157i</v>
      </c>
      <c r="T139" s="175">
        <f>20*LOG(IMABS(S139))</f>
        <v>-6.2283721686710525</v>
      </c>
      <c r="U139" s="175">
        <f>(180/PI())*IMARGUMENT(S139)</f>
        <v>156.23975422252479</v>
      </c>
      <c r="V139" s="175" t="str">
        <f>IMPRODUCT(M139,S139)</f>
        <v>0.339083590905975+1.24294546103127i</v>
      </c>
      <c r="W139" s="176">
        <f>20*LOG(IMABS(V139))</f>
        <v>2.2007959652933922</v>
      </c>
      <c r="X139" s="175">
        <f>(180/PI())*IMARGUMENT(V139)</f>
        <v>74.740656688336713</v>
      </c>
      <c r="Y139" s="175" t="str">
        <f>IMPRODUCT(P139,S139)</f>
        <v>0.886581017892086+1.86157602294543i</v>
      </c>
      <c r="Z139" s="176">
        <f>20*LOG(IMABS(Y139))</f>
        <v>6.2854128351259844</v>
      </c>
      <c r="AA139" s="175">
        <f>(180/PI())*IMARGUMENT(Y139)</f>
        <v>64.533738537638726</v>
      </c>
    </row>
    <row r="140" spans="6:27" x14ac:dyDescent="0.25">
      <c r="F140" s="177">
        <v>138</v>
      </c>
      <c r="G140" s="175">
        <f>10^('Small Signal'!F140/30)</f>
        <v>39810.717055349742</v>
      </c>
      <c r="H140" s="175" t="str">
        <f>COMPLEX(0,G140*2*PI())</f>
        <v>250138.112470457i</v>
      </c>
      <c r="I140" s="175">
        <f>IF('Small Signal'!$B$37&gt;=1,Q140+0,N140+0)</f>
        <v>7.8116941074998536</v>
      </c>
      <c r="J140" s="175">
        <f>IF('Small Signal'!$B$37&gt;=1,R140,O140)</f>
        <v>-84.147645541148066</v>
      </c>
      <c r="K140" s="175">
        <f>IF('Small Signal'!$B$37&gt;=1,Z140+0,W140+0)</f>
        <v>1.5224615945296978</v>
      </c>
      <c r="L140" s="175">
        <f>IF('Small Signal'!$B$37&gt;=1,AA140,X140)</f>
        <v>72.6374821961832</v>
      </c>
      <c r="M140" s="175" t="str">
        <f>IMDIV(IMSUM('Small Signal'!$B$2*'Small Signal'!$B$16*'Small Signal'!$B$38,IMPRODUCT(H140,'Small Signal'!$B$2*'Small Signal'!$B$16*'Small Signal'!$B$38*'Small Signal'!$B$13*'Small Signal'!$B$14)),IMSUM(IMPRODUCT('Small Signal'!$B$11*'Small Signal'!$B$13*('Small Signal'!$B$14+'Small Signal'!$B$16),IMPOWER(H140,2)),IMSUM(IMPRODUCT(H140,('Small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0.250632424205254-2.44520470312448i</v>
      </c>
      <c r="N140" s="175">
        <f>20*LOG(IMABS(M140))</f>
        <v>7.8116941074998536</v>
      </c>
      <c r="O140" s="175">
        <f>(180/PI())*IMARGUMENT(M140)</f>
        <v>-84.147645541148066</v>
      </c>
      <c r="P140" s="175" t="str">
        <f>IMDIV(IMSUM('Small Signal'!$B$48,IMPRODUCT(H140,'Small Signal'!$B$49)),IMSUM(IMPRODUCT('Small Signal'!$B$52,IMPOWER(H140,2)),IMSUM(IMPRODUCT(H140,'Small Signal'!$B$51),'Small Signal'!$B$50)))</f>
        <v>-0.346791134584833-3.88129818516796i</v>
      </c>
      <c r="Q140" s="175">
        <f>20*LOG(IMABS(P140))</f>
        <v>11.814073513567259</v>
      </c>
      <c r="R140" s="175">
        <f>(180/PI())*IMARGUMENT(P140)</f>
        <v>-95.105777541347948</v>
      </c>
      <c r="S140" s="175" t="str">
        <f>IMPRODUCT(IMDIV(IMSUM(IMPRODUCT(H140,'Small Signal'!$B$33*'Small Signal'!$B$6*'Small Signal'!$B$27*'Small Signal'!$B$7*'Small Signal'!$B$8),'Small Signal'!$B$33*'Small Signal'!$B$6*'Small Signal'!$B$27),IMSUM(IMSUM(IMPRODUCT(H140,('Small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Signal'!$B$5),IMPRODUCT(IMPOWER(H140,2),'Small Signal'!$B$32*'Small Signal'!$B$33*'Small Signal'!$B$8*'Small Signal'!$B$7*('Small Signal'!$B$5+'Small Signal'!$B$6)+('Small Signal'!$B$5+'Small Signal'!$B$6)*('Small Signal'!$B$9*'Small Signal'!$B$8*'Small Signal'!$B$33*'Small Signal'!$B$7)))),-1)</f>
        <v>-0.44552235990419+0.191088030470683i</v>
      </c>
      <c r="T140" s="175">
        <f>20*LOG(IMABS(S140))</f>
        <v>-6.2892325129701749</v>
      </c>
      <c r="U140" s="175">
        <f>(180/PI())*IMARGUMENT(S140)</f>
        <v>156.78512773733121</v>
      </c>
      <c r="V140" s="175" t="str">
        <f>IMPRODUCT(M140,S140)</f>
        <v>0.355587001717275+1.13728622609832i</v>
      </c>
      <c r="W140" s="176">
        <f>20*LOG(IMABS(V140))</f>
        <v>1.5224615945296978</v>
      </c>
      <c r="X140" s="175">
        <f>(180/PI())*IMARGUMENT(V140)</f>
        <v>72.6374821961832</v>
      </c>
      <c r="Y140" s="175" t="str">
        <f>IMPRODUCT(P140,S140)</f>
        <v>0.896172830547268+1.66293749205537i</v>
      </c>
      <c r="Z140" s="176">
        <f>20*LOG(IMABS(Y140))</f>
        <v>5.5248410005970801</v>
      </c>
      <c r="AA140" s="175">
        <f>(180/PI())*IMARGUMENT(Y140)</f>
        <v>61.679350195983268</v>
      </c>
    </row>
    <row r="141" spans="6:27" x14ac:dyDescent="0.25">
      <c r="F141" s="177">
        <v>139</v>
      </c>
      <c r="G141" s="175">
        <f>10^('Small Signal'!F141/30)</f>
        <v>42986.62347082288</v>
      </c>
      <c r="H141" s="175" t="str">
        <f>COMPLEX(0,G141*2*PI())</f>
        <v>270092.920997135i</v>
      </c>
      <c r="I141" s="175">
        <f>IF('Small Signal'!$B$37&gt;=1,Q141+0,N141+0)</f>
        <v>7.1751457553624673</v>
      </c>
      <c r="J141" s="175">
        <f>IF('Small Signal'!$B$37&gt;=1,R141,O141)</f>
        <v>-86.786236023681639</v>
      </c>
      <c r="K141" s="175">
        <f>IF('Small Signal'!$B$37&gt;=1,Z141+0,W141+0)</f>
        <v>0.82948684362139224</v>
      </c>
      <c r="L141" s="175">
        <f>IF('Small Signal'!$B$37&gt;=1,AA141,X141)</f>
        <v>70.425547191952688</v>
      </c>
      <c r="M141" s="175" t="str">
        <f>IMDIV(IMSUM('Small Signal'!$B$2*'Small Signal'!$B$16*'Small Signal'!$B$38,IMPRODUCT(H141,'Small Signal'!$B$2*'Small Signal'!$B$16*'Small Signal'!$B$38*'Small Signal'!$B$13*'Small Signal'!$B$14)),IMSUM(IMPRODUCT('Small Signal'!$B$11*'Small Signal'!$B$13*('Small Signal'!$B$14+'Small Signal'!$B$16),IMPOWER(H141,2)),IMSUM(IMPRODUCT(H141,('Small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0.128062177536621-2.28072932322548i</v>
      </c>
      <c r="N141" s="175">
        <f>20*LOG(IMABS(M141))</f>
        <v>7.1751457553624673</v>
      </c>
      <c r="O141" s="175">
        <f>(180/PI())*IMARGUMENT(M141)</f>
        <v>-86.786236023681639</v>
      </c>
      <c r="P141" s="175" t="str">
        <f>IMDIV(IMSUM('Small Signal'!$B$48,IMPRODUCT(H141,'Small Signal'!$B$49)),IMSUM(IMPRODUCT('Small Signal'!$B$52,IMPOWER(H141,2)),IMSUM(IMPRODUCT(H141,'Small Signal'!$B$51),'Small Signal'!$B$50)))</f>
        <v>-0.529329279377497-3.54300840048628i</v>
      </c>
      <c r="Q141" s="175">
        <f>20*LOG(IMABS(P141))</f>
        <v>11.083315111737361</v>
      </c>
      <c r="R141" s="175">
        <f>(180/PI())*IMARGUMENT(P141)</f>
        <v>-98.497202154059579</v>
      </c>
      <c r="S141" s="175" t="str">
        <f>IMPRODUCT(IMDIV(IMSUM(IMPRODUCT(H141,'Small Signal'!$B$33*'Small Signal'!$B$6*'Small Signal'!$B$27*'Small Signal'!$B$7*'Small Signal'!$B$8),'Small Signal'!$B$33*'Small Signal'!$B$6*'Small Signal'!$B$27),IMSUM(IMSUM(IMPRODUCT(H141,('Small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Signal'!$B$5),IMPRODUCT(IMPOWER(H141,2),'Small Signal'!$B$32*'Small Signal'!$B$33*'Small Signal'!$B$8*'Small Signal'!$B$7*('Small Signal'!$B$5+'Small Signal'!$B$6)+('Small Signal'!$B$5+'Small Signal'!$B$6)*('Small Signal'!$B$9*'Small Signal'!$B$8*'Small Signal'!$B$33*'Small Signal'!$B$7)))),-1)</f>
        <v>-0.4440389265783+0.186549330977867i</v>
      </c>
      <c r="T141" s="175">
        <f>20*LOG(IMABS(S141))</f>
        <v>-6.3456589117410722</v>
      </c>
      <c r="U141" s="175">
        <f>(180/PI())*IMARGUMENT(S141)</f>
        <v>157.21178321563434</v>
      </c>
      <c r="V141" s="175" t="str">
        <f>IMPRODUCT(M141,S141)</f>
        <v>0.368603937540676+1.03662251404372i</v>
      </c>
      <c r="W141" s="176">
        <f>20*LOG(IMABS(V141))</f>
        <v>0.82948684362139224</v>
      </c>
      <c r="X141" s="175">
        <f>(180/PI())*IMARGUMENT(V141)</f>
        <v>70.425547191952688</v>
      </c>
      <c r="Y141" s="175" t="str">
        <f>IMPRODUCT(P141,S141)</f>
        <v>0.895988651780927+1.47448762407496i</v>
      </c>
      <c r="Z141" s="176">
        <f>20*LOG(IMABS(Y141))</f>
        <v>4.7376561999962945</v>
      </c>
      <c r="AA141" s="175">
        <f>(180/PI())*IMARGUMENT(Y141)</f>
        <v>58.714581061574783</v>
      </c>
    </row>
    <row r="142" spans="6:27" x14ac:dyDescent="0.25">
      <c r="F142" s="177">
        <v>140</v>
      </c>
      <c r="G142" s="175">
        <f>10^('Small Signal'!F142/30)</f>
        <v>46415.888336127835</v>
      </c>
      <c r="H142" s="175" t="str">
        <f>COMPLEX(0,G142*2*PI())</f>
        <v>291639.627613247i</v>
      </c>
      <c r="I142" s="175">
        <f>IF('Small Signal'!$B$37&gt;=1,Q142+0,N142+0)</f>
        <v>6.5198370456999477</v>
      </c>
      <c r="J142" s="175">
        <f>IF('Small Signal'!$B$37&gt;=1,R142,O142)</f>
        <v>-89.418600094824626</v>
      </c>
      <c r="K142" s="175">
        <f>IF('Small Signal'!$B$37&gt;=1,Z142+0,W142+0)</f>
        <v>0.12105614967341785</v>
      </c>
      <c r="L142" s="175">
        <f>IF('Small Signal'!$B$37&gt;=1,AA142,X142)</f>
        <v>68.101300120151606</v>
      </c>
      <c r="M142" s="175" t="str">
        <f>IMDIV(IMSUM('Small Signal'!$B$2*'Small Signal'!$B$16*'Small Signal'!$B$38,IMPRODUCT(H142,'Small Signal'!$B$2*'Small Signal'!$B$16*'Small Signal'!$B$38*'Small Signal'!$B$13*'Small Signal'!$B$14)),IMSUM(IMPRODUCT('Small Signal'!$B$11*'Small Signal'!$B$13*('Small Signal'!$B$14+'Small Signal'!$B$16),IMPOWER(H142,2)),IMSUM(IMPRODUCT(H142,('Small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0.0214949640617159-2.11821233413842i</v>
      </c>
      <c r="N142" s="175">
        <f>20*LOG(IMABS(M142))</f>
        <v>6.5198370456999477</v>
      </c>
      <c r="O142" s="175">
        <f>(180/PI())*IMARGUMENT(M142)</f>
        <v>-89.418600094824626</v>
      </c>
      <c r="P142" s="175" t="str">
        <f>IMDIV(IMSUM('Small Signal'!$B$48,IMPRODUCT(H142,'Small Signal'!$B$49)),IMSUM(IMPRODUCT('Small Signal'!$B$52,IMPOWER(H142,2)),IMSUM(IMPRODUCT(H142,'Small Signal'!$B$51),'Small Signal'!$B$50)))</f>
        <v>-0.675272680388672-3.21124813956296i</v>
      </c>
      <c r="Q142" s="175">
        <f>20*LOG(IMABS(P142))</f>
        <v>10.321393949140571</v>
      </c>
      <c r="R142" s="175">
        <f>(180/PI())*IMARGUMENT(P142)</f>
        <v>-101.87533862483684</v>
      </c>
      <c r="S142" s="175" t="str">
        <f>IMPRODUCT(IMDIV(IMSUM(IMPRODUCT(H142,'Small Signal'!$B$33*'Small Signal'!$B$6*'Small Signal'!$B$27*'Small Signal'!$B$7*'Small Signal'!$B$8),'Small Signal'!$B$33*'Small Signal'!$B$6*'Small Signal'!$B$27),IMSUM(IMSUM(IMPRODUCT(H142,('Small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Signal'!$B$5),IMPRODUCT(IMPOWER(H142,2),'Small Signal'!$B$32*'Small Signal'!$B$33*'Small Signal'!$B$8*'Small Signal'!$B$7*('Small Signal'!$B$5+'Small Signal'!$B$6)+('Small Signal'!$B$5+'Small Signal'!$B$6)*('Small Signal'!$B$9*'Small Signal'!$B$8*'Small Signal'!$B$33*'Small Signal'!$B$7)))),-1)</f>
        <v>-0.442322214074309+0.183035898039513i</v>
      </c>
      <c r="T142" s="175">
        <f>20*LOG(IMABS(S142))</f>
        <v>-6.3987808960265298</v>
      </c>
      <c r="U142" s="175">
        <f>(180/PI())*IMARGUMENT(S142)</f>
        <v>157.51990021497625</v>
      </c>
      <c r="V142" s="175" t="str">
        <f>IMPRODUCT(M142,S142)</f>
        <v>0.378201196722173+0.940866719565979i</v>
      </c>
      <c r="W142" s="176">
        <f>20*LOG(IMABS(V142))</f>
        <v>0.12105614967341785</v>
      </c>
      <c r="X142" s="175">
        <f>(180/PI())*IMARGUMENT(V142)</f>
        <v>68.101300120151606</v>
      </c>
      <c r="Y142" s="175" t="str">
        <f>IMPRODUCT(P142,S142)</f>
        <v>0.886461794146032+1.296807245557i</v>
      </c>
      <c r="Z142" s="176">
        <f>20*LOG(IMABS(Y142))</f>
        <v>3.9226130531140195</v>
      </c>
      <c r="AA142" s="175">
        <f>(180/PI())*IMARGUMENT(Y142)</f>
        <v>55.644561590139318</v>
      </c>
    </row>
    <row r="143" spans="6:27" x14ac:dyDescent="0.25">
      <c r="F143" s="177">
        <v>141</v>
      </c>
      <c r="G143" s="175">
        <f>10^('Small Signal'!F143/30)</f>
        <v>50118.723362727294</v>
      </c>
      <c r="H143" s="175" t="str">
        <f>COMPLEX(0,G143*2*PI())</f>
        <v>314905.226247286i</v>
      </c>
      <c r="I143" s="175">
        <f>IF('Small Signal'!$B$37&gt;=1,Q143+0,N143+0)</f>
        <v>5.8458887036337845</v>
      </c>
      <c r="J143" s="175">
        <f>IF('Small Signal'!$B$37&gt;=1,R143,O143)</f>
        <v>-92.048773173925866</v>
      </c>
      <c r="K143" s="175">
        <f>IF('Small Signal'!$B$37&gt;=1,Z143+0,W143+0)</f>
        <v>-0.60379810575890491</v>
      </c>
      <c r="L143" s="175">
        <f>IF('Small Signal'!$B$37&gt;=1,AA143,X143)</f>
        <v>65.660892060391177</v>
      </c>
      <c r="M143" s="175" t="str">
        <f>IMDIV(IMSUM('Small Signal'!$B$2*'Small Signal'!$B$16*'Small Signal'!$B$38,IMPRODUCT(H143,'Small Signal'!$B$2*'Small Signal'!$B$16*'Small Signal'!$B$38*'Small Signal'!$B$13*'Small Signal'!$B$14)),IMSUM(IMPRODUCT('Small Signal'!$B$11*'Small Signal'!$B$13*('Small Signal'!$B$14+'Small Signal'!$B$16),IMPOWER(H143,2)),IMSUM(IMPRODUCT(H143,('Small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-0.0700766170315697-1.95892011849469i</v>
      </c>
      <c r="N143" s="175">
        <f>20*LOG(IMABS(M143))</f>
        <v>5.8458887036337845</v>
      </c>
      <c r="O143" s="175">
        <f>(180/PI())*IMARGUMENT(M143)</f>
        <v>-92.048773173925866</v>
      </c>
      <c r="P143" s="175" t="str">
        <f>IMDIV(IMSUM('Small Signal'!$B$48,IMPRODUCT(H143,'Small Signal'!$B$49)),IMSUM(IMPRODUCT('Small Signal'!$B$52,IMPOWER(H143,2)),IMSUM(IMPRODUCT(H143,'Small Signal'!$B$51),'Small Signal'!$B$50)))</f>
        <v>-0.787023421931049-2.88982767563178i</v>
      </c>
      <c r="Q143" s="175">
        <f>20*LOG(IMABS(P143))</f>
        <v>9.5281712796603184</v>
      </c>
      <c r="R143" s="175">
        <f>(180/PI())*IMARGUMENT(P143)</f>
        <v>-105.23460684655882</v>
      </c>
      <c r="S143" s="175" t="str">
        <f>IMPRODUCT(IMDIV(IMSUM(IMPRODUCT(H143,'Small Signal'!$B$33*'Small Signal'!$B$6*'Small Signal'!$B$27*'Small Signal'!$B$7*'Small Signal'!$B$8),'Small Signal'!$B$33*'Small Signal'!$B$6*'Small Signal'!$B$27),IMSUM(IMSUM(IMPRODUCT(H143,('Small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Signal'!$B$5),IMPRODUCT(IMPOWER(H143,2),'Small Signal'!$B$32*'Small Signal'!$B$33*'Small Signal'!$B$8*'Small Signal'!$B$7*('Small Signal'!$B$5+'Small Signal'!$B$6)+('Small Signal'!$B$5+'Small Signal'!$B$6)*('Small Signal'!$B$9*'Small Signal'!$B$8*'Small Signal'!$B$33*'Small Signal'!$B$7)))),-1)</f>
        <v>-0.440337715423489+0.180508889425089i</v>
      </c>
      <c r="T143" s="175">
        <f>20*LOG(IMABS(S143))</f>
        <v>-6.4496868093926878</v>
      </c>
      <c r="U143" s="175">
        <f>(180/PI())*IMARGUMENT(S143)</f>
        <v>157.70966523431701</v>
      </c>
      <c r="V143" s="175" t="str">
        <f>IMPRODUCT(M143,S143)</f>
        <v>0.384459872510228+0.849936957360026i</v>
      </c>
      <c r="W143" s="176">
        <f>20*LOG(IMABS(V143))</f>
        <v>-0.60379810575890491</v>
      </c>
      <c r="X143" s="175">
        <f>(180/PI())*IMARGUMENT(V143)</f>
        <v>65.660892060391177</v>
      </c>
      <c r="Y143" s="175" t="str">
        <f>IMPRODUCT(P143,S143)</f>
        <v>0.868195679956074+1.13043539281096i</v>
      </c>
      <c r="Z143" s="176">
        <f>20*LOG(IMABS(Y143))</f>
        <v>3.0784844702676235</v>
      </c>
      <c r="AA143" s="175">
        <f>(180/PI())*IMARGUMENT(Y143)</f>
        <v>52.475058387758139</v>
      </c>
    </row>
    <row r="144" spans="6:27" x14ac:dyDescent="0.25">
      <c r="F144" s="177">
        <v>142</v>
      </c>
      <c r="G144" s="175">
        <f>10^('Small Signal'!F144/30)</f>
        <v>54116.952654646455</v>
      </c>
      <c r="H144" s="175" t="str">
        <f>COMPLEX(0,G144*2*PI())</f>
        <v>340026.841789008i</v>
      </c>
      <c r="I144" s="175">
        <f>IF('Small Signal'!$B$37&gt;=1,Q144+0,N144+0)</f>
        <v>5.15322357611646</v>
      </c>
      <c r="J144" s="175">
        <f>IF('Small Signal'!$B$37&gt;=1,R144,O144)</f>
        <v>-94.680811268233128</v>
      </c>
      <c r="K144" s="175">
        <f>IF('Small Signal'!$B$37&gt;=1,Z144+0,W144+0)</f>
        <v>-1.3462127077065811</v>
      </c>
      <c r="L144" s="175">
        <f>IF('Small Signal'!$B$37&gt;=1,AA144,X144)</f>
        <v>63.100405248290528</v>
      </c>
      <c r="M144" s="175" t="str">
        <f>IMDIV(IMSUM('Small Signal'!$B$2*'Small Signal'!$B$16*'Small Signal'!$B$38,IMPRODUCT(H144,'Small Signal'!$B$2*'Small Signal'!$B$16*'Small Signal'!$B$38*'Small Signal'!$B$13*'Small Signal'!$B$14)),IMSUM(IMPRODUCT('Small Signal'!$B$11*'Small Signal'!$B$13*('Small Signal'!$B$14+'Small Signal'!$B$16),IMPOWER(H144,2)),IMSUM(IMPRODUCT(H144,('Small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-0.147698633490501-1.80389098057606i</v>
      </c>
      <c r="N144" s="175">
        <f>20*LOG(IMABS(M144))</f>
        <v>5.15322357611646</v>
      </c>
      <c r="O144" s="175">
        <f>(180/PI())*IMARGUMENT(M144)</f>
        <v>-94.680811268233128</v>
      </c>
      <c r="P144" s="175" t="str">
        <f>IMDIV(IMSUM('Small Signal'!$B$48,IMPRODUCT(H144,'Small Signal'!$B$49)),IMSUM(IMPRODUCT('Small Signal'!$B$52,IMPOWER(H144,2)),IMSUM(IMPRODUCT(H144,'Small Signal'!$B$51),'Small Signal'!$B$50)))</f>
        <v>-0.867370208590495-2.58201158063313i</v>
      </c>
      <c r="Q144" s="175">
        <f>20*LOG(IMABS(P144))</f>
        <v>8.7035209596531811</v>
      </c>
      <c r="R144" s="175">
        <f>(180/PI())*IMARGUMENT(P144)</f>
        <v>-108.56864605127069</v>
      </c>
      <c r="S144" s="175" t="str">
        <f>IMPRODUCT(IMDIV(IMSUM(IMPRODUCT(H144,'Small Signal'!$B$33*'Small Signal'!$B$6*'Small Signal'!$B$27*'Small Signal'!$B$7*'Small Signal'!$B$8),'Small Signal'!$B$33*'Small Signal'!$B$6*'Small Signal'!$B$27),IMSUM(IMSUM(IMPRODUCT(H144,('Small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Signal'!$B$5),IMPRODUCT(IMPOWER(H144,2),'Small Signal'!$B$32*'Small Signal'!$B$33*'Small Signal'!$B$8*'Small Signal'!$B$7*('Small Signal'!$B$5+'Small Signal'!$B$6)+('Small Signal'!$B$5+'Small Signal'!$B$6)*('Small Signal'!$B$9*'Small Signal'!$B$8*'Small Signal'!$B$33*'Small Signal'!$B$7)))),-1)</f>
        <v>-0.438046628965506+0.178931062968794i</v>
      </c>
      <c r="T144" s="175">
        <f>20*LOG(IMABS(S144))</f>
        <v>-6.4994362838230355</v>
      </c>
      <c r="U144" s="175">
        <f>(180/PI())*IMARGUMENT(S144)</f>
        <v>157.78121651652367</v>
      </c>
      <c r="V144" s="175" t="str">
        <f>IMPRODUCT(M144,S144)</f>
        <v>0.38747101913762+0.76376048957313i</v>
      </c>
      <c r="W144" s="176">
        <f>20*LOG(IMABS(V144))</f>
        <v>-1.3462127077065811</v>
      </c>
      <c r="X144" s="175">
        <f>(180/PI())*IMARGUMENT(V144)</f>
        <v>63.100405248290528</v>
      </c>
      <c r="Y144" s="175" t="str">
        <f>IMPRODUCT(P144,S144)</f>
        <v>0.841950672658596+0.975841995435679i</v>
      </c>
      <c r="Z144" s="176">
        <f>20*LOG(IMABS(Y144))</f>
        <v>2.2040846758301456</v>
      </c>
      <c r="AA144" s="175">
        <f>(180/PI())*IMARGUMENT(Y144)</f>
        <v>49.212570465252988</v>
      </c>
    </row>
    <row r="145" spans="6:27" x14ac:dyDescent="0.25">
      <c r="F145" s="177">
        <v>143</v>
      </c>
      <c r="G145" s="175">
        <f>10^('Small Signal'!F145/30)</f>
        <v>58434.141337351764</v>
      </c>
      <c r="H145" s="175" t="str">
        <f>COMPLEX(0,G145*2*PI())</f>
        <v>367152.538288504i</v>
      </c>
      <c r="I145" s="175">
        <f>IF('Small Signal'!$B$37&gt;=1,Q145+0,N145+0)</f>
        <v>4.4415696321561748</v>
      </c>
      <c r="J145" s="175">
        <f>IF('Small Signal'!$B$37&gt;=1,R145,O145)</f>
        <v>-97.31850650690248</v>
      </c>
      <c r="K145" s="175">
        <f>IF('Small Signal'!$B$37&gt;=1,Z145+0,W145+0)</f>
        <v>-2.1075039859941476</v>
      </c>
      <c r="L145" s="175">
        <f>IF('Small Signal'!$B$37&gt;=1,AA145,X145)</f>
        <v>60.416103605460442</v>
      </c>
      <c r="M145" s="175" t="str">
        <f>IMDIV(IMSUM('Small Signal'!$B$2*'Small Signal'!$B$16*'Small Signal'!$B$38,IMPRODUCT(H145,'Small Signal'!$B$2*'Small Signal'!$B$16*'Small Signal'!$B$38*'Small Signal'!$B$13*'Small Signal'!$B$14)),IMSUM(IMPRODUCT('Small Signal'!$B$11*'Small Signal'!$B$13*('Small Signal'!$B$14+'Small Signal'!$B$16),IMPOWER(H145,2)),IMSUM(IMPRODUCT(H145,('Small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-0.212420641609011-1.65396359317394i</v>
      </c>
      <c r="N145" s="175">
        <f>20*LOG(IMABS(M145))</f>
        <v>4.4415696321561748</v>
      </c>
      <c r="O145" s="175">
        <f>(180/PI())*IMARGUMENT(M145)</f>
        <v>-97.31850650690248</v>
      </c>
      <c r="P145" s="175" t="str">
        <f>IMDIV(IMSUM('Small Signal'!$B$48,IMPRODUCT(H145,'Small Signal'!$B$49)),IMSUM(IMPRODUCT('Small Signal'!$B$52,IMPOWER(H145,2)),IMSUM(IMPRODUCT(H145,'Small Signal'!$B$51),'Small Signal'!$B$50)))</f>
        <v>-0.919393994197946-2.29050110012552i</v>
      </c>
      <c r="Q145" s="175">
        <f>20*LOG(IMABS(P145))</f>
        <v>7.8473712470630019</v>
      </c>
      <c r="R145" s="175">
        <f>(180/PI())*IMARGUMENT(P145)</f>
        <v>-111.87024292473508</v>
      </c>
      <c r="S145" s="175" t="str">
        <f>IMPRODUCT(IMDIV(IMSUM(IMPRODUCT(H145,'Small Signal'!$B$33*'Small Signal'!$B$6*'Small Signal'!$B$27*'Small Signal'!$B$7*'Small Signal'!$B$8),'Small Signal'!$B$33*'Small Signal'!$B$6*'Small Signal'!$B$27),IMSUM(IMSUM(IMPRODUCT(H145,('Small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Signal'!$B$5),IMPRODUCT(IMPOWER(H145,2),'Small Signal'!$B$32*'Small Signal'!$B$33*'Small Signal'!$B$8*'Small Signal'!$B$7*('Small Signal'!$B$5+'Small Signal'!$B$6)+('Small Signal'!$B$5+'Small Signal'!$B$6)*('Small Signal'!$B$9*'Small Signal'!$B$8*'Small Signal'!$B$33*'Small Signal'!$B$7)))),-1)</f>
        <v>-0.435405595545748+0.178265673335362i</v>
      </c>
      <c r="T145" s="175">
        <f>20*LOG(IMABS(S145))</f>
        <v>-6.5490736181503237</v>
      </c>
      <c r="U145" s="175">
        <f>(180/PI())*IMARGUMENT(S145)</f>
        <v>157.73461011236287</v>
      </c>
      <c r="V145" s="175" t="str">
        <f>IMPRODUCT(M145,S145)</f>
        <v>0.387334069575308+0.682277694590125i</v>
      </c>
      <c r="W145" s="176">
        <f>20*LOG(IMABS(V145))</f>
        <v>-2.1075039859941476</v>
      </c>
      <c r="X145" s="175">
        <f>(180/PI())*IMARGUMENT(V145)</f>
        <v>60.416103605460442</v>
      </c>
      <c r="Y145" s="175" t="str">
        <f>IMPRODUCT(P145,S145)</f>
        <v>0.808627010474204+0.833400606162158i</v>
      </c>
      <c r="Z145" s="176">
        <f>20*LOG(IMABS(Y145))</f>
        <v>1.2982976289126764</v>
      </c>
      <c r="AA145" s="175">
        <f>(180/PI())*IMARGUMENT(Y145)</f>
        <v>45.864367187627785</v>
      </c>
    </row>
    <row r="146" spans="6:27" x14ac:dyDescent="0.25">
      <c r="F146" s="177">
        <v>144</v>
      </c>
      <c r="G146" s="175">
        <f>10^('Small Signal'!F146/30)</f>
        <v>63095.734448019342</v>
      </c>
      <c r="H146" s="175" t="str">
        <f>COMPLEX(0,G146*2*PI())</f>
        <v>396442.1916295i</v>
      </c>
      <c r="I146" s="175">
        <f>IF('Small Signal'!$B$37&gt;=1,Q146+0,N146+0)</f>
        <v>3.7104706241101981</v>
      </c>
      <c r="J146" s="175">
        <f>IF('Small Signal'!$B$37&gt;=1,R146,O146)</f>
        <v>-99.965108367326636</v>
      </c>
      <c r="K146" s="175">
        <f>IF('Small Signal'!$B$37&gt;=1,Z146+0,W146+0)</f>
        <v>-2.8891709874118736</v>
      </c>
      <c r="L146" s="175">
        <f>IF('Small Signal'!$B$37&gt;=1,AA146,X146)</f>
        <v>57.604698705483088</v>
      </c>
      <c r="M146" s="175" t="str">
        <f>IMDIV(IMSUM('Small Signal'!$B$2*'Small Signal'!$B$16*'Small Signal'!$B$38,IMPRODUCT(H146,'Small Signal'!$B$2*'Small Signal'!$B$16*'Small Signal'!$B$38*'Small Signal'!$B$13*'Small Signal'!$B$14)),IMSUM(IMPRODUCT('Small Signal'!$B$11*'Small Signal'!$B$13*('Small Signal'!$B$14+'Small Signal'!$B$16),IMPOWER(H146,2)),IMSUM(IMPRODUCT(H146,('Small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-0.265271857168377-1.50980737012505i</v>
      </c>
      <c r="N146" s="175">
        <f>20*LOG(IMABS(M146))</f>
        <v>3.7104706241101981</v>
      </c>
      <c r="O146" s="175">
        <f>(180/PI())*IMARGUMENT(M146)</f>
        <v>-99.965108367326636</v>
      </c>
      <c r="P146" s="175" t="str">
        <f>IMDIV(IMSUM('Small Signal'!$B$48,IMPRODUCT(H146,'Small Signal'!$B$49)),IMSUM(IMPRODUCT('Small Signal'!$B$52,IMPOWER(H146,2)),IMSUM(IMPRODUCT(H146,'Small Signal'!$B$51),'Small Signal'!$B$50)))</f>
        <v>-0.946377544952778-2.01742551234533i</v>
      </c>
      <c r="Q146" s="175">
        <f>20*LOG(IMABS(P146))</f>
        <v>6.9597489454433319</v>
      </c>
      <c r="R146" s="175">
        <f>(180/PI())*IMARGUMENT(P146)</f>
        <v>-115.13134902671</v>
      </c>
      <c r="S146" s="175" t="str">
        <f>IMPRODUCT(IMDIV(IMSUM(IMPRODUCT(H146,'Small Signal'!$B$33*'Small Signal'!$B$6*'Small Signal'!$B$27*'Small Signal'!$B$7*'Small Signal'!$B$8),'Small Signal'!$B$33*'Small Signal'!$B$6*'Small Signal'!$B$27),IMSUM(IMSUM(IMPRODUCT(H146,('Small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Signal'!$B$5),IMPRODUCT(IMPOWER(H146,2),'Small Signal'!$B$32*'Small Signal'!$B$33*'Small Signal'!$B$8*'Small Signal'!$B$7*('Small Signal'!$B$5+'Small Signal'!$B$6)+('Small Signal'!$B$5+'Small Signal'!$B$6)*('Small Signal'!$B$9*'Small Signal'!$B$8*'Small Signal'!$B$33*'Small Signal'!$B$7)))),-1)</f>
        <v>-0.432366522704232+0.178475228057824i</v>
      </c>
      <c r="T146" s="175">
        <f>20*LOG(IMABS(S146))</f>
        <v>-6.5996416115220793</v>
      </c>
      <c r="U146" s="175">
        <f>(180/PI())*IMARGUMENT(S146)</f>
        <v>157.56980707280974</v>
      </c>
      <c r="V146" s="175" t="str">
        <f>IMPRODUCT(M146,S146)</f>
        <v>0.384157885161637+0.605445707368741i</v>
      </c>
      <c r="W146" s="176">
        <f>20*LOG(IMABS(V146))</f>
        <v>-2.8891709874118736</v>
      </c>
      <c r="X146" s="175">
        <f>(180/PI())*IMARGUMENT(V146)</f>
        <v>57.604698705483088</v>
      </c>
      <c r="Y146" s="175" t="str">
        <f>IMPRODUCT(P146,S146)</f>
        <v>0.769242446682106+0.703362305423303i</v>
      </c>
      <c r="Z146" s="176">
        <f>20*LOG(IMABS(Y146))</f>
        <v>0.36010733392125205</v>
      </c>
      <c r="AA146" s="175">
        <f>(180/PI())*IMARGUMENT(Y146)</f>
        <v>42.438458046099719</v>
      </c>
    </row>
    <row r="147" spans="6:27" x14ac:dyDescent="0.25">
      <c r="F147" s="177">
        <v>145</v>
      </c>
      <c r="G147" s="175">
        <f>10^('Small Signal'!F147/30)</f>
        <v>68129.206905796163</v>
      </c>
      <c r="H147" s="175" t="str">
        <f>COMPLEX(0,G147*2*PI())</f>
        <v>428068.431820296i</v>
      </c>
      <c r="I147" s="175">
        <f>IF('Small Signal'!$B$37&gt;=1,Q147+0,N147+0)</f>
        <v>2.9593044742940644</v>
      </c>
      <c r="J147" s="175">
        <f>IF('Small Signal'!$B$37&gt;=1,R147,O147)</f>
        <v>-102.62305772440833</v>
      </c>
      <c r="K147" s="175">
        <f>IF('Small Signal'!$B$37&gt;=1,Z147+0,W147+0)</f>
        <v>-3.6928909660944647</v>
      </c>
      <c r="L147" s="175">
        <f>IF('Small Signal'!$B$37&gt;=1,AA147,X147)</f>
        <v>54.663623976124633</v>
      </c>
      <c r="M147" s="175" t="str">
        <f>IMDIV(IMSUM('Small Signal'!$B$2*'Small Signal'!$B$16*'Small Signal'!$B$38,IMPRODUCT(H147,'Small Signal'!$B$2*'Small Signal'!$B$16*'Small Signal'!$B$38*'Small Signal'!$B$13*'Small Signal'!$B$14)),IMSUM(IMPRODUCT('Small Signal'!$B$11*'Small Signal'!$B$13*('Small Signal'!$B$14+'Small Signal'!$B$16),IMPOWER(H147,2)),IMSUM(IMPRODUCT(H147,('Small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-0.307247348645844-1.3719519376121i</v>
      </c>
      <c r="N147" s="175">
        <f>20*LOG(IMABS(M147))</f>
        <v>2.9593044742940644</v>
      </c>
      <c r="O147" s="175">
        <f>(180/PI())*IMARGUMENT(M147)</f>
        <v>-102.62305772440833</v>
      </c>
      <c r="P147" s="175" t="str">
        <f>IMDIV(IMSUM('Small Signal'!$B$48,IMPRODUCT(H147,'Small Signal'!$B$49)),IMSUM(IMPRODUCT('Small Signal'!$B$52,IMPOWER(H147,2)),IMSUM(IMPRODUCT(H147,'Small Signal'!$B$51),'Small Signal'!$B$50)))</f>
        <v>-0.951716652222669-1.7643422886312i</v>
      </c>
      <c r="Q147" s="175">
        <f>20*LOG(IMABS(P147))</f>
        <v>6.0408216083748698</v>
      </c>
      <c r="R147" s="175">
        <f>(180/PI())*IMARGUMENT(P147)</f>
        <v>-118.34318869184041</v>
      </c>
      <c r="S147" s="175" t="str">
        <f>IMPRODUCT(IMDIV(IMSUM(IMPRODUCT(H147,'Small Signal'!$B$33*'Small Signal'!$B$6*'Small Signal'!$B$27*'Small Signal'!$B$7*'Small Signal'!$B$8),'Small Signal'!$B$33*'Small Signal'!$B$6*'Small Signal'!$B$27),IMSUM(IMSUM(IMPRODUCT(H147,('Small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Signal'!$B$5),IMPRODUCT(IMPOWER(H147,2),'Small Signal'!$B$32*'Small Signal'!$B$33*'Small Signal'!$B$8*'Small Signal'!$B$7*('Small Signal'!$B$5+'Small Signal'!$B$6)+('Small Signal'!$B$5+'Small Signal'!$B$6)*('Small Signal'!$B$9*'Small Signal'!$B$8*'Small Signal'!$B$33*'Small Signal'!$B$7)))),-1)</f>
        <v>-0.428876541168113+0.179520090641035i</v>
      </c>
      <c r="T147" s="175">
        <f>20*LOG(IMABS(S147))</f>
        <v>-6.6521954403885353</v>
      </c>
      <c r="U147" s="175">
        <f>(180/PI())*IMARGUMENT(S147)</f>
        <v>157.28668170053297</v>
      </c>
      <c r="V147" s="175" t="str">
        <f>IMPRODUCT(M147,S147)</f>
        <v>0.378064116365571+0.533240929773849i</v>
      </c>
      <c r="W147" s="176">
        <f>20*LOG(IMABS(V147))</f>
        <v>-3.6928909660944647</v>
      </c>
      <c r="X147" s="175">
        <f>(180/PI())*IMARGUMENT(V147)</f>
        <v>54.663623976124633</v>
      </c>
      <c r="Y147" s="175" t="str">
        <f>IMPRODUCT(P147,S147)</f>
        <v>0.724903833554238+0.585832758513186i</v>
      </c>
      <c r="Z147" s="176">
        <f>20*LOG(IMABS(Y147))</f>
        <v>-0.6113738320136658</v>
      </c>
      <c r="AA147" s="175">
        <f>(180/PI())*IMARGUMENT(Y147)</f>
        <v>38.943493008692592</v>
      </c>
    </row>
    <row r="148" spans="6:27" x14ac:dyDescent="0.25">
      <c r="F148" s="177">
        <v>146</v>
      </c>
      <c r="G148" s="175">
        <f>10^('Small Signal'!F148/30)</f>
        <v>73564.225445964199</v>
      </c>
      <c r="H148" s="175" t="str">
        <f>COMPLEX(0,G148*2*PI())</f>
        <v>462217.660456129i</v>
      </c>
      <c r="I148" s="175">
        <f>IF('Small Signal'!$B$37&gt;=1,Q148+0,N148+0)</f>
        <v>2.1873094036982126</v>
      </c>
      <c r="J148" s="175">
        <f>IF('Small Signal'!$B$37&gt;=1,R148,O148)</f>
        <v>-105.29374217370706</v>
      </c>
      <c r="K148" s="175">
        <f>IF('Small Signal'!$B$37&gt;=1,Z148+0,W148+0)</f>
        <v>-4.5205067673617965</v>
      </c>
      <c r="L148" s="175">
        <f>IF('Small Signal'!$B$37&gt;=1,AA148,X148)</f>
        <v>51.591308732570255</v>
      </c>
      <c r="M148" s="175" t="str">
        <f>IMDIV(IMSUM('Small Signal'!$B$2*'Small Signal'!$B$16*'Small Signal'!$B$38,IMPRODUCT(H148,'Small Signal'!$B$2*'Small Signal'!$B$16*'Small Signal'!$B$38*'Small Signal'!$B$13*'Small Signal'!$B$14)),IMSUM(IMPRODUCT('Small Signal'!$B$11*'Small Signal'!$B$13*('Small Signal'!$B$14+'Small Signal'!$B$16),IMPOWER(H148,2)),IMSUM(IMPRODUCT(H148,('Small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-0.33930251765823-1.2408135553131i</v>
      </c>
      <c r="N148" s="175">
        <f>20*LOG(IMABS(M148))</f>
        <v>2.1873094036982126</v>
      </c>
      <c r="O148" s="175">
        <f>(180/PI())*IMARGUMENT(M148)</f>
        <v>-105.29374217370706</v>
      </c>
      <c r="P148" s="175" t="str">
        <f>IMDIV(IMSUM('Small Signal'!$B$48,IMPRODUCT(H148,'Small Signal'!$B$49)),IMSUM(IMPRODUCT('Small Signal'!$B$52,IMPOWER(H148,2)),IMSUM(IMPRODUCT(H148,'Small Signal'!$B$51),'Small Signal'!$B$50)))</f>
        <v>-0.938831954165034-1.53224763396832i</v>
      </c>
      <c r="Q148" s="175">
        <f>20*LOG(IMABS(P148))</f>
        <v>5.0909336354828625</v>
      </c>
      <c r="R148" s="175">
        <f>(180/PI())*IMARGUMENT(P148)</f>
        <v>-121.49644944094621</v>
      </c>
      <c r="S148" s="175" t="str">
        <f>IMPRODUCT(IMDIV(IMSUM(IMPRODUCT(H148,'Small Signal'!$B$33*'Small Signal'!$B$6*'Small Signal'!$B$27*'Small Signal'!$B$7*'Small Signal'!$B$8),'Small Signal'!$B$33*'Small Signal'!$B$6*'Small Signal'!$B$27),IMSUM(IMSUM(IMPRODUCT(H148,('Small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Signal'!$B$5),IMPRODUCT(IMPOWER(H148,2),'Small Signal'!$B$32*'Small Signal'!$B$33*'Small Signal'!$B$8*'Small Signal'!$B$7*('Small Signal'!$B$5+'Small Signal'!$B$6)+('Small Signal'!$B$5+'Small Signal'!$B$6)*('Small Signal'!$B$9*'Small Signal'!$B$8*'Small Signal'!$B$33*'Small Signal'!$B$7)))),-1)</f>
        <v>-0.424878150156028+0.181356926929592i</v>
      </c>
      <c r="T148" s="175">
        <f>20*LOG(IMABS(S148))</f>
        <v>-6.7078161710600117</v>
      </c>
      <c r="U148" s="175">
        <f>(180/PI())*IMARGUMENT(S148)</f>
        <v>156.88505090627731</v>
      </c>
      <c r="V148" s="175" t="str">
        <f>IMPRODUCT(M148,S148)</f>
        <v>0.369192359330077+0.465659706167984i</v>
      </c>
      <c r="W148" s="176">
        <f>20*LOG(IMABS(V148))</f>
        <v>-4.5205067673617965</v>
      </c>
      <c r="X148" s="175">
        <f>(180/PI())*IMARGUMENT(V148)</f>
        <v>51.591308732570255</v>
      </c>
      <c r="Y148" s="175" t="str">
        <f>IMPRODUCT(P148,S148)</f>
        <v>0.676772906184641+0.480754862190736i</v>
      </c>
      <c r="Z148" s="176">
        <f>20*LOG(IMABS(Y148))</f>
        <v>-1.6168825355771523</v>
      </c>
      <c r="AA148" s="175">
        <f>(180/PI())*IMARGUMENT(Y148)</f>
        <v>35.388601465331121</v>
      </c>
    </row>
    <row r="149" spans="6:27" x14ac:dyDescent="0.25">
      <c r="F149" s="177">
        <v>147</v>
      </c>
      <c r="G149" s="175">
        <f>10^('Small Signal'!F149/30)</f>
        <v>79432.823472428237</v>
      </c>
      <c r="H149" s="175" t="str">
        <f>COMPLEX(0,G149*2*PI())</f>
        <v>499091.149349751i</v>
      </c>
      <c r="I149" s="175">
        <f>IF('Small Signal'!$B$37&gt;=1,Q149+0,N149+0)</f>
        <v>1.3936176358162533</v>
      </c>
      <c r="J149" s="175">
        <f>IF('Small Signal'!$B$37&gt;=1,R149,O149)</f>
        <v>-107.97728271973607</v>
      </c>
      <c r="K149" s="175">
        <f>IF('Small Signal'!$B$37&gt;=1,Z149+0,W149+0)</f>
        <v>-5.3740058348996955</v>
      </c>
      <c r="L149" s="175">
        <f>IF('Small Signal'!$B$37&gt;=1,AA149,X149)</f>
        <v>48.387442078210213</v>
      </c>
      <c r="M149" s="175" t="str">
        <f>IMDIV(IMSUM('Small Signal'!$B$2*'Small Signal'!$B$16*'Small Signal'!$B$38,IMPRODUCT(H149,'Small Signal'!$B$2*'Small Signal'!$B$16*'Small Signal'!$B$38*'Small Signal'!$B$13*'Small Signal'!$B$14)),IMSUM(IMPRODUCT('Small Signal'!$B$11*'Small Signal'!$B$13*('Small Signal'!$B$14+'Small Signal'!$B$16),IMPOWER(H149,2)),IMSUM(IMPRODUCT(H149,('Small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-0.362353891230323-1.11671697758543i</v>
      </c>
      <c r="N149" s="175">
        <f>20*LOG(IMABS(M149))</f>
        <v>1.3936176358162533</v>
      </c>
      <c r="O149" s="175">
        <f>(180/PI())*IMARGUMENT(M149)</f>
        <v>-107.97728271973607</v>
      </c>
      <c r="P149" s="175" t="str">
        <f>IMDIV(IMSUM('Small Signal'!$B$48,IMPRODUCT(H149,'Small Signal'!$B$49)),IMSUM(IMPRODUCT('Small Signal'!$B$52,IMPOWER(H149,2)),IMSUM(IMPRODUCT(H149,'Small Signal'!$B$51),'Small Signal'!$B$50)))</f>
        <v>-0.911082197321542-1.32159968873485i</v>
      </c>
      <c r="Q149" s="175">
        <f>20*LOG(IMABS(P149))</f>
        <v>4.1106326881769633</v>
      </c>
      <c r="R149" s="175">
        <f>(180/PI())*IMARGUMENT(P149)</f>
        <v>-124.58153833667859</v>
      </c>
      <c r="S149" s="175" t="str">
        <f>IMPRODUCT(IMDIV(IMSUM(IMPRODUCT(H149,'Small Signal'!$B$33*'Small Signal'!$B$6*'Small Signal'!$B$27*'Small Signal'!$B$7*'Small Signal'!$B$8),'Small Signal'!$B$33*'Small Signal'!$B$6*'Small Signal'!$B$27),IMSUM(IMSUM(IMPRODUCT(H149,('Small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Signal'!$B$5),IMPRODUCT(IMPOWER(H149,2),'Small Signal'!$B$32*'Small Signal'!$B$33*'Small Signal'!$B$8*'Small Signal'!$B$7*('Small Signal'!$B$5+'Small Signal'!$B$6)+('Small Signal'!$B$5+'Small Signal'!$B$6)*('Small Signal'!$B$9*'Small Signal'!$B$8*'Small Signal'!$B$33*'Small Signal'!$B$7)))),-1)</f>
        <v>-0.420309619372838+0.183937004120037i</v>
      </c>
      <c r="T149" s="175">
        <f>20*LOG(IMABS(S149))</f>
        <v>-6.7676234707159457</v>
      </c>
      <c r="U149" s="175">
        <f>(180/PI())*IMARGUMENT(S149)</f>
        <v>156.36472479794622</v>
      </c>
      <c r="V149" s="175" t="str">
        <f>IMPRODUCT(M149,S149)</f>
        <v>0.35770640140833+0.402716598611975i</v>
      </c>
      <c r="W149" s="176">
        <f>20*LOG(IMABS(V149))</f>
        <v>-5.3740058348996955</v>
      </c>
      <c r="X149" s="175">
        <f>(180/PI())*IMARGUMENT(V149)</f>
        <v>48.387442078210213</v>
      </c>
      <c r="Y149" s="175" t="str">
        <f>IMPRODUCT(P149,S149)</f>
        <v>0.626027698965448+0.387899332252981i</v>
      </c>
      <c r="Z149" s="176">
        <f>20*LOG(IMABS(Y149))</f>
        <v>-2.6569907825389834</v>
      </c>
      <c r="AA149" s="175">
        <f>(180/PI())*IMARGUMENT(Y149)</f>
        <v>31.783186461267636</v>
      </c>
    </row>
    <row r="150" spans="6:27" x14ac:dyDescent="0.25">
      <c r="F150" s="177">
        <v>148</v>
      </c>
      <c r="G150" s="175">
        <f>10^('Small Signal'!F150/30)</f>
        <v>85769.589859089538</v>
      </c>
      <c r="H150" s="175" t="str">
        <f>COMPLEX(0,G150*2*PI())</f>
        <v>538906.226805451i</v>
      </c>
      <c r="I150" s="175">
        <f>IF('Small Signal'!$B$37&gt;=1,Q150+0,N150+0)</f>
        <v>0.57729615792102329</v>
      </c>
      <c r="J150" s="175">
        <f>IF('Small Signal'!$B$37&gt;=1,R150,O150)</f>
        <v>-110.67236342616135</v>
      </c>
      <c r="K150" s="175">
        <f>IF('Small Signal'!$B$37&gt;=1,Z150+0,W150+0)</f>
        <v>-6.2554908623545904</v>
      </c>
      <c r="L150" s="175">
        <f>IF('Small Signal'!$B$37&gt;=1,AA150,X150)</f>
        <v>45.053215169201948</v>
      </c>
      <c r="M150" s="175" t="str">
        <f>IMDIV(IMSUM('Small Signal'!$B$2*'Small Signal'!$B$16*'Small Signal'!$B$38,IMPRODUCT(H150,'Small Signal'!$B$2*'Small Signal'!$B$16*'Small Signal'!$B$38*'Small Signal'!$B$13*'Small Signal'!$B$14)),IMSUM(IMPRODUCT('Small Signal'!$B$11*'Small Signal'!$B$13*('Small Signal'!$B$14+'Small Signal'!$B$16),IMPOWER(H150,2)),IMSUM(IMPRODUCT(H150,('Small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-0.377284129939829-0.999911848772743i</v>
      </c>
      <c r="N150" s="175">
        <f>20*LOG(IMABS(M150))</f>
        <v>0.57729615792102329</v>
      </c>
      <c r="O150" s="175">
        <f>(180/PI())*IMARGUMENT(M150)</f>
        <v>-110.67236342616135</v>
      </c>
      <c r="P150" s="175" t="str">
        <f>IMDIV(IMSUM('Small Signal'!$B$48,IMPRODUCT(H150,'Small Signal'!$B$49)),IMSUM(IMPRODUCT('Small Signal'!$B$52,IMPOWER(H150,2)),IMSUM(IMPRODUCT(H150,'Small Signal'!$B$51),'Small Signal'!$B$50)))</f>
        <v>-0.871681651653987-1.13235620843656i</v>
      </c>
      <c r="Q150" s="175">
        <f>20*LOG(IMABS(P150))</f>
        <v>3.1006838881053995</v>
      </c>
      <c r="R150" s="175">
        <f>(180/PI())*IMARGUMENT(P150)</f>
        <v>-127.58888092082951</v>
      </c>
      <c r="S150" s="175" t="str">
        <f>IMPRODUCT(IMDIV(IMSUM(IMPRODUCT(H150,'Small Signal'!$B$33*'Small Signal'!$B$6*'Small Signal'!$B$27*'Small Signal'!$B$7*'Small Signal'!$B$8),'Small Signal'!$B$33*'Small Signal'!$B$6*'Small Signal'!$B$27),IMSUM(IMSUM(IMPRODUCT(H150,('Small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Signal'!$B$5),IMPRODUCT(IMPOWER(H150,2),'Small Signal'!$B$32*'Small Signal'!$B$33*'Small Signal'!$B$8*'Small Signal'!$B$7*('Small Signal'!$B$5+'Small Signal'!$B$6)+('Small Signal'!$B$5+'Small Signal'!$B$6)*('Small Signal'!$B$9*'Small Signal'!$B$8*'Small Signal'!$B$33*'Small Signal'!$B$7)))),-1)</f>
        <v>-0.415105725659452+0.187204370930872i</v>
      </c>
      <c r="T150" s="175">
        <f>20*LOG(IMABS(S150))</f>
        <v>-6.8327870202756156</v>
      </c>
      <c r="U150" s="175">
        <f>(180/PI())*IMARGUMENT(S150)</f>
        <v>155.72557859536326</v>
      </c>
      <c r="V150" s="175" t="str">
        <f>IMPRODUCT(M150,S150)</f>
        <v>0.343800671174294+0.344439895372707i</v>
      </c>
      <c r="W150" s="176">
        <f>20*LOG(IMABS(V150))</f>
        <v>-6.2554908623545904</v>
      </c>
      <c r="X150" s="175">
        <f>(180/PI())*IMARGUMENT(V150)</f>
        <v>45.053215169201948</v>
      </c>
      <c r="Y150" s="175" t="str">
        <f>IMPRODUCT(P150,S150)</f>
        <v>0.573822076223891+0.306864930358176i</v>
      </c>
      <c r="Z150" s="176">
        <f>20*LOG(IMABS(Y150))</f>
        <v>-3.7321031321702196</v>
      </c>
      <c r="AA150" s="175">
        <f>(180/PI())*IMARGUMENT(Y150)</f>
        <v>28.136697674533774</v>
      </c>
    </row>
    <row r="151" spans="6:27" x14ac:dyDescent="0.25">
      <c r="F151" s="177">
        <v>149</v>
      </c>
      <c r="G151" s="175">
        <f>10^('Small Signal'!F151/30)</f>
        <v>92611.872812879505</v>
      </c>
      <c r="H151" s="175" t="str">
        <f>COMPLEX(0,G151*2*PI())</f>
        <v>581897.558528269i</v>
      </c>
      <c r="I151" s="175">
        <f>IF('Small Signal'!$B$37&gt;=1,Q151+0,N151+0)</f>
        <v>-0.26260649583884188</v>
      </c>
      <c r="J151" s="175">
        <f>IF('Small Signal'!$B$37&gt;=1,R151,O151)</f>
        <v>-113.37611643638176</v>
      </c>
      <c r="K151" s="175">
        <f>IF('Small Signal'!$B$37&gt;=1,Z151+0,W151+0)</f>
        <v>-7.1671425441604111</v>
      </c>
      <c r="L151" s="175">
        <f>IF('Small Signal'!$B$37&gt;=1,AA151,X151)</f>
        <v>41.591529290384379</v>
      </c>
      <c r="M151" s="175" t="str">
        <f>IMDIV(IMSUM('Small Signal'!$B$2*'Small Signal'!$B$16*'Small Signal'!$B$38,IMPRODUCT(H151,'Small Signal'!$B$2*'Small Signal'!$B$16*'Small Signal'!$B$38*'Small Signal'!$B$13*'Small Signal'!$B$14)),IMSUM(IMPRODUCT('Small Signal'!$B$11*'Small Signal'!$B$13*('Small Signal'!$B$14+'Small Signal'!$B$16),IMPOWER(H151,2)),IMSUM(IMPRODUCT(H151,('Small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-0.384949137172972-0.890583312252733i</v>
      </c>
      <c r="N151" s="175">
        <f>20*LOG(IMABS(M151))</f>
        <v>-0.26260649583884188</v>
      </c>
      <c r="O151" s="175">
        <f>(180/PI())*IMARGUMENT(M151)</f>
        <v>-113.37611643638176</v>
      </c>
      <c r="P151" s="175" t="str">
        <f>IMDIV(IMSUM('Small Signal'!$B$48,IMPRODUCT(H151,'Small Signal'!$B$49)),IMSUM(IMPRODUCT('Small Signal'!$B$52,IMPOWER(H151,2)),IMSUM(IMPRODUCT(H151,'Small Signal'!$B$51),'Small Signal'!$B$50)))</f>
        <v>-0.823625712932473-0.964027110029883i</v>
      </c>
      <c r="Q151" s="175">
        <f>20*LOG(IMABS(P151))</f>
        <v>2.0620706042146297</v>
      </c>
      <c r="R151" s="175">
        <f>(180/PI())*IMARGUMENT(P151)</f>
        <v>-130.50923545562188</v>
      </c>
      <c r="S151" s="175" t="str">
        <f>IMPRODUCT(IMDIV(IMSUM(IMPRODUCT(H151,'Small Signal'!$B$33*'Small Signal'!$B$6*'Small Signal'!$B$27*'Small Signal'!$B$7*'Small Signal'!$B$8),'Small Signal'!$B$33*'Small Signal'!$B$6*'Small Signal'!$B$27),IMSUM(IMSUM(IMPRODUCT(H151,('Small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Signal'!$B$5),IMPRODUCT(IMPOWER(H151,2),'Small Signal'!$B$32*'Small Signal'!$B$33*'Small Signal'!$B$8*'Small Signal'!$B$7*('Small Signal'!$B$5+'Small Signal'!$B$6)+('Small Signal'!$B$5+'Small Signal'!$B$6)*('Small Signal'!$B$9*'Small Signal'!$B$8*'Small Signal'!$B$33*'Small Signal'!$B$7)))),-1)</f>
        <v>-0.409198908813935+0.191093973476103i</v>
      </c>
      <c r="T151" s="175">
        <f>20*LOG(IMABS(S151))</f>
        <v>-6.904536048321579</v>
      </c>
      <c r="U151" s="175">
        <f>(180/PI())*IMARGUMENT(S151)</f>
        <v>154.96764572676614</v>
      </c>
      <c r="V151" s="175" t="str">
        <f>IMPRODUCT(M151,S151)</f>
        <v>0.32770587072993+0.290864259373138i</v>
      </c>
      <c r="W151" s="176">
        <f>20*LOG(IMABS(V151))</f>
        <v>-7.1671425441604111</v>
      </c>
      <c r="X151" s="175">
        <f>(180/PI())*IMARGUMENT(V151)</f>
        <v>41.591529290384379</v>
      </c>
      <c r="Y151" s="175" t="str">
        <f>IMPRODUCT(P151,S151)</f>
        <v>0.521246513997362+0.237088931349925i</v>
      </c>
      <c r="Z151" s="176">
        <f>20*LOG(IMABS(Y151))</f>
        <v>-4.8424654441069457</v>
      </c>
      <c r="AA151" s="175">
        <f>(180/PI())*IMARGUMENT(Y151)</f>
        <v>24.458410271144277</v>
      </c>
    </row>
    <row r="152" spans="6:27" x14ac:dyDescent="0.25">
      <c r="F152" s="177">
        <v>150</v>
      </c>
      <c r="G152" s="175">
        <f>10^('Small Signal'!F152/30)</f>
        <v>100000</v>
      </c>
      <c r="H152" s="175" t="str">
        <f>COMPLEX(0,G152*2*PI())</f>
        <v>628318.530717959i</v>
      </c>
      <c r="I152" s="175">
        <f>IF('Small Signal'!$B$37&gt;=1,Q152+0,N152+0)</f>
        <v>-1.1270091215066627</v>
      </c>
      <c r="J152" s="175">
        <f>IF('Small Signal'!$B$37&gt;=1,R152,O152)</f>
        <v>-116.08407430842493</v>
      </c>
      <c r="K152" s="175">
        <f>IF('Small Signal'!$B$37&gt;=1,Z152+0,W152+0)</f>
        <v>-8.1111754274052785</v>
      </c>
      <c r="L152" s="175">
        <f>IF('Small Signal'!$B$37&gt;=1,AA152,X152)</f>
        <v>38.007157131454107</v>
      </c>
      <c r="M152" s="175" t="str">
        <f>IMDIV(IMSUM('Small Signal'!$B$2*'Small Signal'!$B$16*'Small Signal'!$B$38,IMPRODUCT(H152,'Small Signal'!$B$2*'Small Signal'!$B$16*'Small Signal'!$B$38*'Small Signal'!$B$13*'Small Signal'!$B$14)),IMSUM(IMPRODUCT('Small Signal'!$B$11*'Small Signal'!$B$13*('Small Signal'!$B$14+'Small Signal'!$B$16),IMPOWER(H152,2)),IMSUM(IMPRODUCT(H152,('Small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-0.386185247032959-0.788857090358462i</v>
      </c>
      <c r="N152" s="175">
        <f>20*LOG(IMABS(M152))</f>
        <v>-1.1270091215066627</v>
      </c>
      <c r="O152" s="175">
        <f>(180/PI())*IMARGUMENT(M152)</f>
        <v>-116.08407430842493</v>
      </c>
      <c r="P152" s="175" t="str">
        <f>IMDIV(IMSUM('Small Signal'!$B$48,IMPRODUCT(H152,'Small Signal'!$B$49)),IMSUM(IMPRODUCT('Small Signal'!$B$52,IMPOWER(H152,2)),IMSUM(IMPRODUCT(H152,'Small Signal'!$B$51),'Small Signal'!$B$50)))</f>
        <v>-0.769629106649318-0.815740328160282i</v>
      </c>
      <c r="Q152" s="175">
        <f>20*LOG(IMABS(P152))</f>
        <v>0.99598208747081685</v>
      </c>
      <c r="R152" s="175">
        <f>(180/PI())*IMARGUMENT(P152)</f>
        <v>-133.33399478140794</v>
      </c>
      <c r="S152" s="175" t="str">
        <f>IMPRODUCT(IMDIV(IMSUM(IMPRODUCT(H152,'Small Signal'!$B$33*'Small Signal'!$B$6*'Small Signal'!$B$27*'Small Signal'!$B$7*'Small Signal'!$B$8),'Small Signal'!$B$33*'Small Signal'!$B$6*'Small Signal'!$B$27),IMSUM(IMSUM(IMPRODUCT(H152,('Small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Signal'!$B$5),IMPRODUCT(IMPOWER(H152,2),'Small Signal'!$B$32*'Small Signal'!$B$33*'Small Signal'!$B$8*'Small Signal'!$B$7*('Small Signal'!$B$5+'Small Signal'!$B$6)+('Small Signal'!$B$5+'Small Signal'!$B$6)*('Small Signal'!$B$9*'Small Signal'!$B$8*'Small Signal'!$B$33*'Small Signal'!$B$7)))),-1)</f>
        <v>-0.402520930956228+0.195529794647551i</v>
      </c>
      <c r="T152" s="175">
        <f>20*LOG(IMABS(S152))</f>
        <v>-6.9841663058986097</v>
      </c>
      <c r="U152" s="175">
        <f>(180/PI())*IMARGUMENT(S152)</f>
        <v>154.09123143987907</v>
      </c>
      <c r="V152" s="175" t="str">
        <f>IMPRODUCT(M152,S152)</f>
        <v>0.309692710041322+0.242020768354241i</v>
      </c>
      <c r="W152" s="176">
        <f>20*LOG(IMABS(V152))</f>
        <v>-8.1111754274052785</v>
      </c>
      <c r="X152" s="175">
        <f>(180/PI())*IMARGUMENT(V152)</f>
        <v>38.007157131454107</v>
      </c>
      <c r="Y152" s="175" t="str">
        <f>IMPRODUCT(P152,S152)</f>
        <v>0.469293363350399+0.177867135131696i</v>
      </c>
      <c r="Z152" s="176">
        <f>20*LOG(IMABS(Y152))</f>
        <v>-5.9881842184277998</v>
      </c>
      <c r="AA152" s="175">
        <f>(180/PI())*IMARGUMENT(Y152)</f>
        <v>20.757236658471118</v>
      </c>
    </row>
    <row r="153" spans="6:27" x14ac:dyDescent="0.25">
      <c r="F153" s="177">
        <v>151</v>
      </c>
      <c r="G153" s="175">
        <f>10^('Small Signal'!F153/30)</f>
        <v>107977.51623277101</v>
      </c>
      <c r="H153" s="175" t="str">
        <f>COMPLEX(0,G153*2*PI())</f>
        <v>678442.743499492i</v>
      </c>
      <c r="I153" s="175">
        <f>IF('Small Signal'!$B$37&gt;=1,Q153+0,N153+0)</f>
        <v>-2.0167447565782308</v>
      </c>
      <c r="J153" s="175">
        <f>IF('Small Signal'!$B$37&gt;=1,R153,O153)</f>
        <v>-118.79019938295259</v>
      </c>
      <c r="K153" s="175">
        <f>IF('Small Signal'!$B$37&gt;=1,Z153+0,W153+0)</f>
        <v>-9.0897884588214861</v>
      </c>
      <c r="L153" s="175">
        <f>IF('Small Signal'!$B$37&gt;=1,AA153,X153)</f>
        <v>34.306845991507799</v>
      </c>
      <c r="M153" s="175" t="str">
        <f>IMDIV(IMSUM('Small Signal'!$B$2*'Small Signal'!$B$16*'Small Signal'!$B$38,IMPRODUCT(H153,'Small Signal'!$B$2*'Small Signal'!$B$16*'Small Signal'!$B$38*'Small Signal'!$B$13*'Small Signal'!$B$14)),IMSUM(IMPRODUCT('Small Signal'!$B$11*'Small Signal'!$B$13*('Small Signal'!$B$14+'Small Signal'!$B$16),IMPOWER(H153,2)),IMSUM(IMPRODUCT(H153,('Small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-0.381814697497391-0.694799850051777i</v>
      </c>
      <c r="N153" s="175">
        <f>20*LOG(IMABS(M153))</f>
        <v>-2.0167447565782308</v>
      </c>
      <c r="O153" s="175">
        <f>(180/PI())*IMARGUMENT(M153)</f>
        <v>-118.79019938295259</v>
      </c>
      <c r="P153" s="175" t="str">
        <f>IMDIV(IMSUM('Small Signal'!$B$48,IMPRODUCT(H153,'Small Signal'!$B$49)),IMSUM(IMPRODUCT('Small Signal'!$B$52,IMPOWER(H153,2)),IMSUM(IMPRODUCT(H153,'Small Signal'!$B$51),'Small Signal'!$B$50)))</f>
        <v>-0.712080455789921-0.686317515424205i</v>
      </c>
      <c r="Q153" s="175">
        <f>20*LOG(IMABS(P153))</f>
        <v>-9.6210447660333431E-2</v>
      </c>
      <c r="R153" s="175">
        <f>(180/PI())*IMARGUMENT(P153)</f>
        <v>-136.05545117447753</v>
      </c>
      <c r="S153" s="175" t="str">
        <f>IMPRODUCT(IMDIV(IMSUM(IMPRODUCT(H153,'Small Signal'!$B$33*'Small Signal'!$B$6*'Small Signal'!$B$27*'Small Signal'!$B$7*'Small Signal'!$B$8),'Small Signal'!$B$33*'Small Signal'!$B$6*'Small Signal'!$B$27),IMSUM(IMSUM(IMPRODUCT(H153,('Small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Signal'!$B$5),IMPRODUCT(IMPOWER(H153,2),'Small Signal'!$B$32*'Small Signal'!$B$33*'Small Signal'!$B$8*'Small Signal'!$B$7*('Small Signal'!$B$5+'Small Signal'!$B$6)+('Small Signal'!$B$5+'Small Signal'!$B$6)*('Small Signal'!$B$9*'Small Signal'!$B$8*'Small Signal'!$B$33*'Small Signal'!$B$7)))),-1)</f>
        <v>-0.395005112928666+0.200423144457399i</v>
      </c>
      <c r="T153" s="175">
        <f>20*LOG(IMABS(S153))</f>
        <v>-7.0730437022432611</v>
      </c>
      <c r="U153" s="175">
        <f>(180/PI())*IMARGUMENT(S153)</f>
        <v>153.09704537446035</v>
      </c>
      <c r="V153" s="175" t="str">
        <f>IMPRODUCT(M153,S153)</f>
        <v>0.290072728418688+0.197924990960045i</v>
      </c>
      <c r="W153" s="176">
        <f>20*LOG(IMABS(V153))</f>
        <v>-9.0897884588214861</v>
      </c>
      <c r="X153" s="175">
        <f>(180/PI())*IMARGUMENT(V153)</f>
        <v>34.306845991507799</v>
      </c>
      <c r="Y153" s="175" t="str">
        <f>IMPRODUCT(P153,S153)</f>
        <v>0.418829335391102+0.128381523628986i</v>
      </c>
      <c r="Z153" s="176">
        <f>20*LOG(IMABS(Y153))</f>
        <v>-7.1692541499035993</v>
      </c>
      <c r="AA153" s="175">
        <f>(180/PI())*IMARGUMENT(Y153)</f>
        <v>17.041594199982864</v>
      </c>
    </row>
    <row r="154" spans="6:27" x14ac:dyDescent="0.25">
      <c r="F154" s="177">
        <v>152</v>
      </c>
      <c r="G154" s="175">
        <f>10^('Small Signal'!F154/30)</f>
        <v>116591.44011798326</v>
      </c>
      <c r="H154" s="175" t="str">
        <f>COMPLEX(0,G154*2*PI())</f>
        <v>732565.623492221i</v>
      </c>
      <c r="I154" s="175">
        <f>IF('Small Signal'!$B$37&gt;=1,Q154+0,N154+0)</f>
        <v>-2.9325086159946068</v>
      </c>
      <c r="J154" s="175">
        <f>IF('Small Signal'!$B$37&gt;=1,R154,O154)</f>
        <v>-121.48699568115509</v>
      </c>
      <c r="K154" s="175">
        <f>IF('Small Signal'!$B$37&gt;=1,Z154+0,W154+0)</f>
        <v>-10.10511235823823</v>
      </c>
      <c r="L154" s="175">
        <f>IF('Small Signal'!$B$37&gt;=1,AA154,X154)</f>
        <v>30.499354557651035</v>
      </c>
      <c r="M154" s="175" t="str">
        <f>IMDIV(IMSUM('Small Signal'!$B$2*'Small Signal'!$B$16*'Small Signal'!$B$38,IMPRODUCT(H154,'Small Signal'!$B$2*'Small Signal'!$B$16*'Small Signal'!$B$38*'Small Signal'!$B$13*'Small Signal'!$B$14)),IMSUM(IMPRODUCT('Small Signal'!$B$11*'Small Signal'!$B$13*('Small Signal'!$B$14+'Small Signal'!$B$16),IMPOWER(H154,2)),IMSUM(IMPRODUCT(H154,('Small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-0.372647984550141-0.60841616574511i</v>
      </c>
      <c r="N154" s="175">
        <f>20*LOG(IMABS(M154))</f>
        <v>-2.9325086159946068</v>
      </c>
      <c r="O154" s="175">
        <f>(180/PI())*IMARGUMENT(M154)</f>
        <v>-121.48699568115509</v>
      </c>
      <c r="P154" s="175" t="str">
        <f>IMDIV(IMSUM('Small Signal'!$B$48,IMPRODUCT(H154,'Small Signal'!$B$49)),IMSUM(IMPRODUCT('Small Signal'!$B$52,IMPOWER(H154,2)),IMSUM(IMPRODUCT(H154,'Small Signal'!$B$51),'Small Signal'!$B$50)))</f>
        <v>-0.653015487274274-0.574354741786101i</v>
      </c>
      <c r="Q154" s="175">
        <f>20*LOG(IMABS(P154))</f>
        <v>-1.2129866657236912</v>
      </c>
      <c r="R154" s="175">
        <f>(180/PI())*IMARGUMENT(P154)</f>
        <v>-138.66700546297409</v>
      </c>
      <c r="S154" s="175" t="str">
        <f>IMPRODUCT(IMDIV(IMSUM(IMPRODUCT(H154,'Small Signal'!$B$33*'Small Signal'!$B$6*'Small Signal'!$B$27*'Small Signal'!$B$7*'Small Signal'!$B$8),'Small Signal'!$B$33*'Small Signal'!$B$6*'Small Signal'!$B$27),IMSUM(IMSUM(IMPRODUCT(H154,('Small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Signal'!$B$5),IMPRODUCT(IMPOWER(H154,2),'Small Signal'!$B$32*'Small Signal'!$B$33*'Small Signal'!$B$8*'Small Signal'!$B$7*('Small Signal'!$B$5+'Small Signal'!$B$6)+('Small Signal'!$B$5+'Small Signal'!$B$6)*('Small Signal'!$B$9*'Small Signal'!$B$8*'Small Signal'!$B$33*'Small Signal'!$B$7)))),-1)</f>
        <v>-0.386589194993352+0.205671272129472i</v>
      </c>
      <c r="T154" s="175">
        <f>20*LOG(IMABS(S154))</f>
        <v>-7.1726037422436404</v>
      </c>
      <c r="U154" s="175">
        <f>(180/PI())*IMARGUMENT(S154)</f>
        <v>151.9863502388061</v>
      </c>
      <c r="V154" s="175" t="str">
        <f>IMPRODUCT(M154,S154)</f>
        <v>0.269195411156067+0.158564130697433i</v>
      </c>
      <c r="W154" s="176">
        <f>20*LOG(IMABS(V154))</f>
        <v>-10.10511235823823</v>
      </c>
      <c r="X154" s="175">
        <f>(180/PI())*IMARGUMENT(V154)</f>
        <v>30.499354557651035</v>
      </c>
      <c r="Y154" s="175" t="str">
        <f>IMPRODUCT(P154,S154)</f>
        <v>0.370577001940295+0.0877328112797564i</v>
      </c>
      <c r="Z154" s="176">
        <f>20*LOG(IMABS(Y154))</f>
        <v>-8.3855904079673298</v>
      </c>
      <c r="AA154" s="175">
        <f>(180/PI())*IMARGUMENT(Y154)</f>
        <v>13.319344775832009</v>
      </c>
    </row>
    <row r="155" spans="6:27" x14ac:dyDescent="0.25">
      <c r="F155" s="177">
        <v>153</v>
      </c>
      <c r="G155" s="175">
        <f>10^('Small Signal'!F155/30)</f>
        <v>125892.54117941685</v>
      </c>
      <c r="H155" s="175" t="str">
        <f>COMPLEX(0,G155*2*PI())</f>
        <v>791006.165022013i</v>
      </c>
      <c r="I155" s="175">
        <f>IF('Small Signal'!$B$37&gt;=1,Q155+0,N155+0)</f>
        <v>-3.8748104427394598</v>
      </c>
      <c r="J155" s="175">
        <f>IF('Small Signal'!$B$37&gt;=1,R155,O155)</f>
        <v>-124.16570276148707</v>
      </c>
      <c r="K155" s="175">
        <f>IF('Small Signal'!$B$37&gt;=1,Z155+0,W155+0)</f>
        <v>-11.159156317795818</v>
      </c>
      <c r="L155" s="175">
        <f>IF('Small Signal'!$B$37&gt;=1,AA155,X155)</f>
        <v>26.59541923332721</v>
      </c>
      <c r="M155" s="175" t="str">
        <f>IMDIV(IMSUM('Small Signal'!$B$2*'Small Signal'!$B$16*'Small Signal'!$B$38,IMPRODUCT(H155,'Small Signal'!$B$2*'Small Signal'!$B$16*'Small Signal'!$B$38*'Small Signal'!$B$13*'Small Signal'!$B$14)),IMSUM(IMPRODUCT('Small Signal'!$B$11*'Small Signal'!$B$13*('Small Signal'!$B$14+'Small Signal'!$B$16),IMPOWER(H155,2)),IMSUM(IMPRODUCT(H155,('Small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-0.359482242051976-0.529643759050445i</v>
      </c>
      <c r="N155" s="175">
        <f>20*LOG(IMABS(M155))</f>
        <v>-3.8748104427394598</v>
      </c>
      <c r="O155" s="175">
        <f>(180/PI())*IMARGUMENT(M155)</f>
        <v>-124.16570276148707</v>
      </c>
      <c r="P155" s="175" t="str">
        <f>IMDIV(IMSUM('Small Signal'!$B$48,IMPRODUCT(H155,'Small Signal'!$B$49)),IMSUM(IMPRODUCT('Small Signal'!$B$52,IMPOWER(H155,2)),IMSUM(IMPRODUCT(H155,'Small Signal'!$B$51),'Small Signal'!$B$50)))</f>
        <v>-0.594109225623873-0.478302800701544i</v>
      </c>
      <c r="Q155" s="175">
        <f>20*LOG(IMABS(P155))</f>
        <v>-2.3527156529208737</v>
      </c>
      <c r="R155" s="175">
        <f>(180/PI())*IMARGUMENT(P155)</f>
        <v>-141.16330918349374</v>
      </c>
      <c r="S155" s="175" t="str">
        <f>IMPRODUCT(IMDIV(IMSUM(IMPRODUCT(H155,'Small Signal'!$B$33*'Small Signal'!$B$6*'Small Signal'!$B$27*'Small Signal'!$B$7*'Small Signal'!$B$8),'Small Signal'!$B$33*'Small Signal'!$B$6*'Small Signal'!$B$27),IMSUM(IMSUM(IMPRODUCT(H155,('Small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Signal'!$B$5),IMPRODUCT(IMPOWER(H155,2),'Small Signal'!$B$32*'Small Signal'!$B$33*'Small Signal'!$B$8*'Small Signal'!$B$7*('Small Signal'!$B$5+'Small Signal'!$B$6)+('Small Signal'!$B$5+'Small Signal'!$B$6)*('Small Signal'!$B$9*'Small Signal'!$B$8*'Small Signal'!$B$33*'Small Signal'!$B$7)))),-1)</f>
        <v>-0.377218823049921+0.211156512500387i</v>
      </c>
      <c r="T155" s="175">
        <f>20*LOG(IMABS(S155))</f>
        <v>-7.284345875056351</v>
      </c>
      <c r="U155" s="175">
        <f>(180/PI())*IMARGUMENT(S155)</f>
        <v>150.76112199481418</v>
      </c>
      <c r="V155" s="175" t="str">
        <f>IMPRODUCT(M155,S155)</f>
        <v>0.24744119728288+0.12388457888723i</v>
      </c>
      <c r="W155" s="176">
        <f>20*LOG(IMABS(V155))</f>
        <v>-11.159156317795818</v>
      </c>
      <c r="X155" s="175">
        <f>(180/PI())*IMARGUMENT(V155)</f>
        <v>26.59541923332721</v>
      </c>
      <c r="Y155" s="175" t="str">
        <f>IMPRODUCT(P155,S155)</f>
        <v>0.325105934168243+0.0549747874150748i</v>
      </c>
      <c r="Z155" s="176">
        <f>20*LOG(IMABS(Y155))</f>
        <v>-9.6370615279772274</v>
      </c>
      <c r="AA155" s="175">
        <f>(180/PI())*IMARGUMENT(Y155)</f>
        <v>9.5978128113204288</v>
      </c>
    </row>
    <row r="156" spans="6:27" x14ac:dyDescent="0.25">
      <c r="F156" s="177">
        <v>154</v>
      </c>
      <c r="G156" s="175">
        <f>10^('Small Signal'!F156/30)</f>
        <v>135935.63908785273</v>
      </c>
      <c r="H156" s="175" t="str">
        <f>COMPLEX(0,G156*2*PI())</f>
        <v>854108.810238863i</v>
      </c>
      <c r="I156" s="175">
        <f>IF('Small Signal'!$B$37&gt;=1,Q156+0,N156+0)</f>
        <v>-4.8439347137799427</v>
      </c>
      <c r="J156" s="175">
        <f>IF('Small Signal'!$B$37&gt;=1,R156,O156)</f>
        <v>-126.81656366403857</v>
      </c>
      <c r="K156" s="175">
        <f>IF('Small Signal'!$B$37&gt;=1,Z156+0,W156+0)</f>
        <v>-12.253756626384156</v>
      </c>
      <c r="L156" s="175">
        <f>IF('Small Signal'!$B$37&gt;=1,AA156,X156)</f>
        <v>22.607651173192171</v>
      </c>
      <c r="M156" s="175" t="str">
        <f>IMDIV(IMSUM('Small Signal'!$B$2*'Small Signal'!$B$16*'Small Signal'!$B$38,IMPRODUCT(H156,'Small Signal'!$B$2*'Small Signal'!$B$16*'Small Signal'!$B$38*'Small Signal'!$B$13*'Small Signal'!$B$14)),IMSUM(IMPRODUCT('Small Signal'!$B$11*'Small Signal'!$B$13*('Small Signal'!$B$14+'Small Signal'!$B$16),IMPOWER(H156,2)),IMSUM(IMPRODUCT(H156,('Small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-0.343095460684999-0.458348860383289i</v>
      </c>
      <c r="N156" s="175">
        <f>20*LOG(IMABS(M156))</f>
        <v>-4.8439347137799427</v>
      </c>
      <c r="O156" s="175">
        <f>(180/PI())*IMARGUMENT(M156)</f>
        <v>-126.81656366403857</v>
      </c>
      <c r="P156" s="175" t="str">
        <f>IMDIV(IMSUM('Small Signal'!$B$48,IMPRODUCT(H156,'Small Signal'!$B$49)),IMSUM(IMPRODUCT('Small Signal'!$B$52,IMPOWER(H156,2)),IMSUM(IMPRODUCT(H156,'Small Signal'!$B$51),'Small Signal'!$B$50)))</f>
        <v>-0.536685614973861-0.396542063554699i</v>
      </c>
      <c r="Q156" s="175">
        <f>20*LOG(IMABS(P156))</f>
        <v>-3.5136968093661265</v>
      </c>
      <c r="R156" s="175">
        <f>(180/PI())*IMARGUMENT(P156)</f>
        <v>-143.54033640804613</v>
      </c>
      <c r="S156" s="175" t="str">
        <f>IMPRODUCT(IMDIV(IMSUM(IMPRODUCT(H156,'Small Signal'!$B$33*'Small Signal'!$B$6*'Small Signal'!$B$27*'Small Signal'!$B$7*'Small Signal'!$B$8),'Small Signal'!$B$33*'Small Signal'!$B$6*'Small Signal'!$B$27),IMSUM(IMSUM(IMPRODUCT(H156,('Small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Signal'!$B$5),IMPRODUCT(IMPOWER(H156,2),'Small Signal'!$B$32*'Small Signal'!$B$33*'Small Signal'!$B$8*'Small Signal'!$B$7*('Small Signal'!$B$5+'Small Signal'!$B$6)+('Small Signal'!$B$5+'Small Signal'!$B$6)*('Small Signal'!$B$9*'Small Signal'!$B$8*'Small Signal'!$B$33*'Small Signal'!$B$7)))),-1)</f>
        <v>-0.366851592733943+0.216746211194466i</v>
      </c>
      <c r="T156" s="175">
        <f>20*LOG(IMABS(S156))</f>
        <v>-7.4098219126042153</v>
      </c>
      <c r="U156" s="175">
        <f>(180/PI())*IMARGUMENT(S156)</f>
        <v>149.42421483723075</v>
      </c>
      <c r="V156" s="175" t="str">
        <f>IMPRODUCT(M156,S156)</f>
        <v>0.225210495105457+0.0937813682779038i</v>
      </c>
      <c r="W156" s="176">
        <f>20*LOG(IMABS(V156))</f>
        <v>-12.253756626384156</v>
      </c>
      <c r="X156" s="175">
        <f>(180/PI())*IMARGUMENT(V156)</f>
        <v>22.607651173192171</v>
      </c>
      <c r="Y156" s="175" t="str">
        <f>IMPRODUCT(P156,S156)</f>
        <v>0.282832962505273+0.0291475139528894i</v>
      </c>
      <c r="Z156" s="176">
        <f>20*LOG(IMABS(Y156))</f>
        <v>-10.923518721970336</v>
      </c>
      <c r="AA156" s="175">
        <f>(180/PI())*IMARGUMENT(Y156)</f>
        <v>5.8838784291846089</v>
      </c>
    </row>
    <row r="157" spans="6:27" x14ac:dyDescent="0.25">
      <c r="F157" s="177">
        <v>155</v>
      </c>
      <c r="G157" s="175">
        <f>10^('Small Signal'!F157/30)</f>
        <v>146779.92676220718</v>
      </c>
      <c r="H157" s="175" t="str">
        <f>COMPLEX(0,G157*2*PI())</f>
        <v>922245.479221196i</v>
      </c>
      <c r="I157" s="175">
        <f>IF('Small Signal'!$B$37&gt;=1,Q157+0,N157+0)</f>
        <v>-5.8399117606834849</v>
      </c>
      <c r="J157" s="175">
        <f>IF('Small Signal'!$B$37&gt;=1,R157,O157)</f>
        <v>-129.42915157257198</v>
      </c>
      <c r="K157" s="175">
        <f>IF('Small Signal'!$B$37&gt;=1,Z157+0,W157+0)</f>
        <v>-13.390529602100695</v>
      </c>
      <c r="L157" s="175">
        <f>IF('Small Signal'!$B$37&gt;=1,AA157,X157)</f>
        <v>18.550370328516728</v>
      </c>
      <c r="M157" s="175" t="str">
        <f>IMDIV(IMSUM('Small Signal'!$B$2*'Small Signal'!$B$16*'Small Signal'!$B$38,IMPRODUCT(H157,'Small Signal'!$B$2*'Small Signal'!$B$16*'Small Signal'!$B$38*'Small Signal'!$B$13*'Small Signal'!$B$14)),IMSUM(IMPRODUCT('Small Signal'!$B$11*'Small Signal'!$B$13*('Small Signal'!$B$14+'Small Signal'!$B$16),IMPOWER(H157,2)),IMSUM(IMPRODUCT(H157,('Small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-0.32423706261919-0.394323442648748i</v>
      </c>
      <c r="N157" s="175">
        <f>20*LOG(IMABS(M157))</f>
        <v>-5.8399117606834849</v>
      </c>
      <c r="O157" s="175">
        <f>(180/PI())*IMARGUMENT(M157)</f>
        <v>-129.42915157257198</v>
      </c>
      <c r="P157" s="175" t="str">
        <f>IMDIV(IMSUM('Small Signal'!$B$48,IMPRODUCT(H157,'Small Signal'!$B$49)),IMSUM(IMPRODUCT('Small Signal'!$B$52,IMPOWER(H157,2)),IMSUM(IMPRODUCT(H157,'Small Signal'!$B$51),'Small Signal'!$B$50)))</f>
        <v>-0.481741503797914-0.327447867761117i</v>
      </c>
      <c r="Q157" s="175">
        <f>20*LOG(IMABS(P157))</f>
        <v>-4.6942000258145562</v>
      </c>
      <c r="R157" s="175">
        <f>(180/PI())*IMARGUMENT(P157)</f>
        <v>-145.79538885073291</v>
      </c>
      <c r="S157" s="175" t="str">
        <f>IMPRODUCT(IMDIV(IMSUM(IMPRODUCT(H157,'Small Signal'!$B$33*'Small Signal'!$B$6*'Small Signal'!$B$27*'Small Signal'!$B$7*'Small Signal'!$B$8),'Small Signal'!$B$33*'Small Signal'!$B$6*'Small Signal'!$B$27),IMSUM(IMSUM(IMPRODUCT(H157,('Small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Signal'!$B$5),IMPRODUCT(IMPOWER(H157,2),'Small Signal'!$B$32*'Small Signal'!$B$33*'Small Signal'!$B$8*'Small Signal'!$B$7*('Small Signal'!$B$5+'Small Signal'!$B$6)+('Small Signal'!$B$5+'Small Signal'!$B$6)*('Small Signal'!$B$9*'Small Signal'!$B$8*'Small Signal'!$B$33*'Small Signal'!$B$7)))),-1)</f>
        <v>-0.355461492314888+0.222293683815851i</v>
      </c>
      <c r="T157" s="175">
        <f>20*LOG(IMABS(S157))</f>
        <v>-7.5506178414172211</v>
      </c>
      <c r="U157" s="175">
        <f>(180/PI())*IMARGUMENT(S157)</f>
        <v>147.97952190108873</v>
      </c>
      <c r="V157" s="175" t="str">
        <f>IMPRODUCT(M157,S157)</f>
        <v>0.202909400823752+0.0680909482994176i</v>
      </c>
      <c r="W157" s="176">
        <f>20*LOG(IMABS(V157))</f>
        <v>-13.390529602100695</v>
      </c>
      <c r="X157" s="175">
        <f>(180/PI())*IMARGUMENT(V157)</f>
        <v>18.550370328516728</v>
      </c>
      <c r="Y157" s="175" t="str">
        <f>IMPRODUCT(P157,S157)</f>
        <v>0.244030146632289+0.00930701420346867i</v>
      </c>
      <c r="Z157" s="176">
        <f>20*LOG(IMABS(Y157))</f>
        <v>-12.244817867231779</v>
      </c>
      <c r="AA157" s="175">
        <f>(180/PI())*IMARGUMENT(Y157)</f>
        <v>2.184133050355836</v>
      </c>
    </row>
    <row r="158" spans="6:27" x14ac:dyDescent="0.25">
      <c r="F158" s="177">
        <v>156</v>
      </c>
      <c r="G158" s="175">
        <f>10^('Small Signal'!F158/30)</f>
        <v>158489.31924611164</v>
      </c>
      <c r="H158" s="175" t="str">
        <f>COMPLEX(0,G158*2*PI())</f>
        <v>995817.762032063i</v>
      </c>
      <c r="I158" s="175">
        <f>IF('Small Signal'!$B$37&gt;=1,Q158+0,N158+0)</f>
        <v>-6.8625020464436766</v>
      </c>
      <c r="J158" s="175">
        <f>IF('Small Signal'!$B$37&gt;=1,R158,O158)</f>
        <v>-131.99273339873193</v>
      </c>
      <c r="K158" s="175">
        <f>IF('Small Signal'!$B$37&gt;=1,Z158+0,W158+0)</f>
        <v>-14.570830708421138</v>
      </c>
      <c r="L158" s="175">
        <f>IF('Small Signal'!$B$37&gt;=1,AA158,X158)</f>
        <v>14.439386916553891</v>
      </c>
      <c r="M158" s="175" t="str">
        <f>IMDIV(IMSUM('Small Signal'!$B$2*'Small Signal'!$B$16*'Small Signal'!$B$38,IMPRODUCT(H158,'Small Signal'!$B$2*'Small Signal'!$B$16*'Small Signal'!$B$38*'Small Signal'!$B$13*'Small Signal'!$B$14)),IMSUM(IMPRODUCT('Small Signal'!$B$11*'Small Signal'!$B$13*('Small Signal'!$B$14+'Small Signal'!$B$16),IMPOWER(H158,2)),IMSUM(IMPRODUCT(H158,('Small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-0.303615970849456-0.337285711631437i</v>
      </c>
      <c r="N158" s="175">
        <f>20*LOG(IMABS(M158))</f>
        <v>-6.8625020464436766</v>
      </c>
      <c r="O158" s="175">
        <f>(180/PI())*IMARGUMENT(M158)</f>
        <v>-131.99273339873193</v>
      </c>
      <c r="P158" s="175" t="str">
        <f>IMDIV(IMSUM('Small Signal'!$B$48,IMPRODUCT(H158,'Small Signal'!$B$49)),IMSUM(IMPRODUCT('Small Signal'!$B$52,IMPOWER(H158,2)),IMSUM(IMPRODUCT(H158,'Small Signal'!$B$51),'Small Signal'!$B$50)))</f>
        <v>-0.429981040069979-0.269443873354827i</v>
      </c>
      <c r="Q158" s="175">
        <f>20*LOG(IMABS(P158))</f>
        <v>-5.8925026599435979</v>
      </c>
      <c r="R158" s="175">
        <f>(180/PI())*IMARGUMENT(P158)</f>
        <v>-147.92704315206367</v>
      </c>
      <c r="S158" s="175" t="str">
        <f>IMPRODUCT(IMDIV(IMSUM(IMPRODUCT(H158,'Small Signal'!$B$33*'Small Signal'!$B$6*'Small Signal'!$B$27*'Small Signal'!$B$7*'Small Signal'!$B$8),'Small Signal'!$B$33*'Small Signal'!$B$6*'Small Signal'!$B$27),IMSUM(IMSUM(IMPRODUCT(H158,('Small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Signal'!$B$5),IMPRODUCT(IMPOWER(H158,2),'Small Signal'!$B$32*'Small Signal'!$B$33*'Small Signal'!$B$8*'Small Signal'!$B$7*('Small Signal'!$B$5+'Small Signal'!$B$6)+('Small Signal'!$B$5+'Small Signal'!$B$6)*('Small Signal'!$B$9*'Small Signal'!$B$8*'Small Signal'!$B$33*'Small Signal'!$B$7)))),-1)</f>
        <v>-0.343043476945408+0.227640441004139i</v>
      </c>
      <c r="T158" s="175">
        <f>20*LOG(IMABS(S158))</f>
        <v>-7.7083286619774523</v>
      </c>
      <c r="U158" s="175">
        <f>(180/PI())*IMARGUMENT(S158)</f>
        <v>146.43212031528577</v>
      </c>
      <c r="V158" s="175" t="str">
        <f>IMPRODUCT(M158,S158)</f>
        <v>0.180933346436528+0.0465883897419844i</v>
      </c>
      <c r="W158" s="176">
        <f>20*LOG(IMABS(V158))</f>
        <v>-14.570830708421138</v>
      </c>
      <c r="X158" s="175">
        <f>(180/PI())*IMARGUMENT(V158)</f>
        <v>14.439386916553891</v>
      </c>
      <c r="Y158" s="175" t="str">
        <f>IMPRODUCT(P158,S158)</f>
        <v>0.208838513162565-0.00545011042767035i</v>
      </c>
      <c r="Z158" s="176">
        <f>20*LOG(IMABS(Y158))</f>
        <v>-13.600831321921035</v>
      </c>
      <c r="AA158" s="175">
        <f>(180/PI())*IMARGUMENT(Y158)</f>
        <v>-1.4949228367778791</v>
      </c>
    </row>
    <row r="159" spans="6:27" x14ac:dyDescent="0.25">
      <c r="F159" s="177">
        <v>157</v>
      </c>
      <c r="G159" s="175">
        <f>10^('Small Signal'!F159/30)</f>
        <v>171132.83041617845</v>
      </c>
      <c r="H159" s="175" t="str">
        <f>COMPLEX(0,G159*2*PI())</f>
        <v>1075259.28564699i</v>
      </c>
      <c r="I159" s="175">
        <f>IF('Small Signal'!$B$37&gt;=1,Q159+0,N159+0)</f>
        <v>-7.911194675738848</v>
      </c>
      <c r="J159" s="175">
        <f>IF('Small Signal'!$B$37&gt;=1,R159,O159)</f>
        <v>-134.49664435769446</v>
      </c>
      <c r="K159" s="175">
        <f>IF('Small Signal'!$B$37&gt;=1,Z159+0,W159+0)</f>
        <v>-15.795721039002926</v>
      </c>
      <c r="L159" s="175">
        <f>IF('Small Signal'!$B$37&gt;=1,AA159,X159)</f>
        <v>10.29174297566094</v>
      </c>
      <c r="M159" s="175" t="str">
        <f>IMDIV(IMSUM('Small Signal'!$B$2*'Small Signal'!$B$16*'Small Signal'!$B$38,IMPRODUCT(H159,'Small Signal'!$B$2*'Small Signal'!$B$16*'Small Signal'!$B$38*'Small Signal'!$B$13*'Small Signal'!$B$14)),IMSUM(IMPRODUCT('Small Signal'!$B$11*'Small Signal'!$B$13*('Small Signal'!$B$14+'Small Signal'!$B$16),IMPOWER(H159,2)),IMSUM(IMPRODUCT(H159,('Small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-0.281887736179645-0.28688465145987i</v>
      </c>
      <c r="N159" s="175">
        <f>20*LOG(IMABS(M159))</f>
        <v>-7.911194675738848</v>
      </c>
      <c r="O159" s="175">
        <f>(180/PI())*IMARGUMENT(M159)</f>
        <v>-134.49664435769446</v>
      </c>
      <c r="P159" s="175" t="str">
        <f>IMDIV(IMSUM('Small Signal'!$B$48,IMPRODUCT(H159,'Small Signal'!$B$49)),IMSUM(IMPRODUCT('Small Signal'!$B$52,IMPOWER(H159,2)),IMSUM(IMPRODUCT(H159,'Small Signal'!$B$51),'Small Signal'!$B$50)))</f>
        <v>-0.381856295979939-0.221042350175503i</v>
      </c>
      <c r="Q159" s="175">
        <f>20*LOG(IMABS(P159))</f>
        <v>-7.1069215603780931</v>
      </c>
      <c r="R159" s="175">
        <f>(180/PI())*IMARGUMENT(P159)</f>
        <v>-149.93505247159689</v>
      </c>
      <c r="S159" s="175" t="str">
        <f>IMPRODUCT(IMDIV(IMSUM(IMPRODUCT(H159,'Small Signal'!$B$33*'Small Signal'!$B$6*'Small Signal'!$B$27*'Small Signal'!$B$7*'Small Signal'!$B$8),'Small Signal'!$B$33*'Small Signal'!$B$6*'Small Signal'!$B$27),IMSUM(IMSUM(IMPRODUCT(H159,('Small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Signal'!$B$5),IMPRODUCT(IMPOWER(H159,2),'Small Signal'!$B$32*'Small Signal'!$B$33*'Small Signal'!$B$8*'Small Signal'!$B$7*('Small Signal'!$B$5+'Small Signal'!$B$6)+('Small Signal'!$B$5+'Small Signal'!$B$6)*('Small Signal'!$B$9*'Small Signal'!$B$8*'Small Signal'!$B$33*'Small Signal'!$B$7)))),-1)</f>
        <v>-0.32961779443571+0.232619841370924i</v>
      </c>
      <c r="T159" s="175">
        <f>20*LOG(IMABS(S159))</f>
        <v>-7.8845263632640936</v>
      </c>
      <c r="U159" s="175">
        <f>(180/PI())*IMARGUMENT(S159)</f>
        <v>144.78838733335542</v>
      </c>
      <c r="V159" s="175" t="str">
        <f>IMPRODUCT(M159,S159)</f>
        <v>0.159650275992358+0.0289896055971418i</v>
      </c>
      <c r="W159" s="176">
        <f>20*LOG(IMABS(V159))</f>
        <v>-15.795721039002926</v>
      </c>
      <c r="X159" s="175">
        <f>(180/PI())*IMARGUMENT(V159)</f>
        <v>10.29174297566094</v>
      </c>
      <c r="Y159" s="175" t="str">
        <f>IMPRODUCT(P159,S159)</f>
        <v>0.177285466506379-0.0159678590556068i</v>
      </c>
      <c r="Z159" s="176">
        <f>20*LOG(IMABS(Y159))</f>
        <v>-14.991447923642184</v>
      </c>
      <c r="AA159" s="175">
        <f>(180/PI())*IMARGUMENT(Y159)</f>
        <v>-5.1466651382414446</v>
      </c>
    </row>
    <row r="160" spans="6:27" x14ac:dyDescent="0.25">
      <c r="F160" s="177">
        <v>158</v>
      </c>
      <c r="G160" s="175">
        <f>10^('Small Signal'!F160/30)</f>
        <v>184784.97974222922</v>
      </c>
      <c r="H160" s="175" t="str">
        <f>COMPLEX(0,G160*2*PI())</f>
        <v>1161038.26970385i</v>
      </c>
      <c r="I160" s="175">
        <f>IF('Small Signal'!$B$37&gt;=1,Q160+0,N160+0)</f>
        <v>-8.985219876679837</v>
      </c>
      <c r="J160" s="175">
        <f>IF('Small Signal'!$B$37&gt;=1,R160,O160)</f>
        <v>-136.9306466014514</v>
      </c>
      <c r="K160" s="175">
        <f>IF('Small Signal'!$B$37&gt;=1,Z160+0,W160+0)</f>
        <v>-17.065941645227099</v>
      </c>
      <c r="L160" s="175">
        <f>IF('Small Signal'!$B$37&gt;=1,AA160,X160)</f>
        <v>6.1254267056375484</v>
      </c>
      <c r="M160" s="175" t="str">
        <f>IMDIV(IMSUM('Small Signal'!$B$2*'Small Signal'!$B$16*'Small Signal'!$B$38,IMPRODUCT(H160,'Small Signal'!$B$2*'Small Signal'!$B$16*'Small Signal'!$B$38*'Small Signal'!$B$13*'Small Signal'!$B$14)),IMSUM(IMPRODUCT('Small Signal'!$B$11*'Small Signal'!$B$13*('Small Signal'!$B$14+'Small Signal'!$B$16),IMPOWER(H160,2)),IMSUM(IMPRODUCT(H160,('Small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-0.259642427699023-0.242708723537956i</v>
      </c>
      <c r="N160" s="175">
        <f>20*LOG(IMABS(M160))</f>
        <v>-8.985219876679837</v>
      </c>
      <c r="O160" s="175">
        <f>(180/PI())*IMARGUMENT(M160)</f>
        <v>-136.9306466014514</v>
      </c>
      <c r="P160" s="175" t="str">
        <f>IMDIV(IMSUM('Small Signal'!$B$48,IMPRODUCT(H160,'Small Signal'!$B$49)),IMSUM(IMPRODUCT('Small Signal'!$B$52,IMPOWER(H160,2)),IMSUM(IMPRODUCT(H160,'Small Signal'!$B$51),'Small Signal'!$B$50)))</f>
        <v>-0.337610264467718-0.180871697485452i</v>
      </c>
      <c r="Q160" s="175">
        <f>20*LOG(IMABS(P160))</f>
        <v>-8.3358391399073195</v>
      </c>
      <c r="R160" s="175">
        <f>(180/PI())*IMARGUMENT(P160)</f>
        <v>-151.8202157530188</v>
      </c>
      <c r="S160" s="175" t="str">
        <f>IMPRODUCT(IMDIV(IMSUM(IMPRODUCT(H160,'Small Signal'!$B$33*'Small Signal'!$B$6*'Small Signal'!$B$27*'Small Signal'!$B$7*'Small Signal'!$B$8),'Small Signal'!$B$33*'Small Signal'!$B$6*'Small Signal'!$B$27),IMSUM(IMSUM(IMPRODUCT(H160,('Small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Signal'!$B$5),IMPRODUCT(IMPOWER(H160,2),'Small Signal'!$B$32*'Small Signal'!$B$33*'Small Signal'!$B$8*'Small Signal'!$B$7*('Small Signal'!$B$5+'Small Signal'!$B$6)+('Small Signal'!$B$5+'Small Signal'!$B$6)*('Small Signal'!$B$9*'Small Signal'!$B$8*'Small Signal'!$B$33*'Small Signal'!$B$7)))),-1)</f>
        <v>-0.315233587112603+0.237062210719622i</v>
      </c>
      <c r="T160" s="175">
        <f>20*LOG(IMABS(S160))</f>
        <v>-8.0807217685472548</v>
      </c>
      <c r="U160" s="175">
        <f>(180/PI())*IMARGUMENT(S160)</f>
        <v>143.05607330708898</v>
      </c>
      <c r="V160" s="175" t="str">
        <f>IMPRODUCT(M160,S160)</f>
        <v>0.139385080413033+0.0149585336374509i</v>
      </c>
      <c r="W160" s="176">
        <f>20*LOG(IMABS(V160))</f>
        <v>-17.065941645227099</v>
      </c>
      <c r="X160" s="175">
        <f>(180/PI())*IMARGUMENT(V160)</f>
        <v>6.1254267056375484</v>
      </c>
      <c r="Y160" s="175" t="str">
        <f>IMPRODUCT(P160,S160)</f>
        <v>0.149303939176705-0.0230178016508689i</v>
      </c>
      <c r="Z160" s="176">
        <f>20*LOG(IMABS(Y160))</f>
        <v>-16.416560908454588</v>
      </c>
      <c r="AA160" s="175">
        <f>(180/PI())*IMARGUMENT(Y160)</f>
        <v>-8.7641424459298669</v>
      </c>
    </row>
    <row r="161" spans="6:27" x14ac:dyDescent="0.25">
      <c r="F161" s="177">
        <v>159</v>
      </c>
      <c r="G161" s="175">
        <f>10^('Small Signal'!F161/30)</f>
        <v>199526.23149688813</v>
      </c>
      <c r="H161" s="175" t="str">
        <f>COMPLEX(0,G161*2*PI())</f>
        <v>1253660.28613816i</v>
      </c>
      <c r="I161" s="175">
        <f>IF('Small Signal'!$B$37&gt;=1,Q161+0,N161+0)</f>
        <v>-10.083573893451446</v>
      </c>
      <c r="J161" s="175">
        <f>IF('Small Signal'!$B$37&gt;=1,R161,O161)</f>
        <v>-139.2852473336132</v>
      </c>
      <c r="K161" s="175">
        <f>IF('Small Signal'!$B$37&gt;=1,Z161+0,W161+0)</f>
        <v>-18.381895621674481</v>
      </c>
      <c r="L161" s="175">
        <f>IF('Small Signal'!$B$37&gt;=1,AA161,X161)</f>
        <v>1.9590704107941548</v>
      </c>
      <c r="M161" s="175" t="str">
        <f>IMDIV(IMSUM('Small Signal'!$B$2*'Small Signal'!$B$16*'Small Signal'!$B$38,IMPRODUCT(H161,'Small Signal'!$B$2*'Small Signal'!$B$16*'Small Signal'!$B$38*'Small Signal'!$B$13*'Small Signal'!$B$14)),IMSUM(IMPRODUCT('Small Signal'!$B$11*'Small Signal'!$B$13*('Small Signal'!$B$14+'Small Signal'!$B$16),IMPOWER(H161,2)),IMSUM(IMPRODUCT(H161,('Small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-0.237394833777126-0.204298141180733i</v>
      </c>
      <c r="N161" s="175">
        <f>20*LOG(IMABS(M161))</f>
        <v>-10.083573893451446</v>
      </c>
      <c r="O161" s="175">
        <f>(180/PI())*IMARGUMENT(M161)</f>
        <v>-139.2852473336132</v>
      </c>
      <c r="P161" s="175" t="str">
        <f>IMDIV(IMSUM('Small Signal'!$B$48,IMPRODUCT(H161,'Small Signal'!$B$49)),IMSUM(IMPRODUCT('Small Signal'!$B$52,IMPOWER(H161,2)),IMSUM(IMPRODUCT(H161,'Small Signal'!$B$51),'Small Signal'!$B$50)))</f>
        <v>-0.297319059795998-0.147692491245106i</v>
      </c>
      <c r="Q161" s="175">
        <f>20*LOG(IMABS(P161))</f>
        <v>-9.5777231719376328</v>
      </c>
      <c r="R161" s="175">
        <f>(180/PI())*IMARGUMENT(P161)</f>
        <v>-153.58422761395425</v>
      </c>
      <c r="S161" s="175" t="str">
        <f>IMPRODUCT(IMDIV(IMSUM(IMPRODUCT(H161,'Small Signal'!$B$33*'Small Signal'!$B$6*'Small Signal'!$B$27*'Small Signal'!$B$7*'Small Signal'!$B$8),'Small Signal'!$B$33*'Small Signal'!$B$6*'Small Signal'!$B$27),IMSUM(IMSUM(IMPRODUCT(H161,('Small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Signal'!$B$5),IMPRODUCT(IMPOWER(H161,2),'Small Signal'!$B$32*'Small Signal'!$B$33*'Small Signal'!$B$8*'Small Signal'!$B$7*('Small Signal'!$B$5+'Small Signal'!$B$6)+('Small Signal'!$B$5+'Small Signal'!$B$6)*('Small Signal'!$B$9*'Small Signal'!$B$8*'Small Signal'!$B$33*'Small Signal'!$B$7)))),-1)</f>
        <v>-0.299971242285156+0.240801291088584i</v>
      </c>
      <c r="T161" s="175">
        <f>20*LOG(IMABS(S161))</f>
        <v>-8.2983217282230406</v>
      </c>
      <c r="U161" s="175">
        <f>(180/PI())*IMARGUMENT(S161)</f>
        <v>141.24431774440734</v>
      </c>
      <c r="V161" s="175" t="str">
        <f>IMPRODUCT(M161,S161)</f>
        <v>0.120406879363521+0.00411858473524093i</v>
      </c>
      <c r="W161" s="176">
        <f>20*LOG(IMABS(V161))</f>
        <v>-18.381895621674481</v>
      </c>
      <c r="X161" s="175">
        <f>(180/PI())*IMARGUMENT(V161)</f>
        <v>1.9590704107941548</v>
      </c>
      <c r="Y161" s="175" t="str">
        <f>IMPRODUCT(P161,S161)</f>
        <v>0.124751710297971-0.0272913133891362i</v>
      </c>
      <c r="Z161" s="176">
        <f>20*LOG(IMABS(Y161))</f>
        <v>-17.876044900160675</v>
      </c>
      <c r="AA161" s="175">
        <f>(180/PI())*IMARGUMENT(Y161)</f>
        <v>-12.339909869546892</v>
      </c>
    </row>
    <row r="162" spans="6:27" x14ac:dyDescent="0.25">
      <c r="F162" s="177">
        <v>160</v>
      </c>
      <c r="G162" s="175">
        <f>10^('Small Signal'!F162/30)</f>
        <v>215443.46900318863</v>
      </c>
      <c r="H162" s="175" t="str">
        <f>COMPLEX(0,G162*2*PI())</f>
        <v>1353671.23896864i</v>
      </c>
      <c r="I162" s="175">
        <f>IF('Small Signal'!$B$37&gt;=1,Q162+0,N162+0)</f>
        <v>-11.205053677627802</v>
      </c>
      <c r="J162" s="175">
        <f>IF('Small Signal'!$B$37&gt;=1,R162,O162)</f>
        <v>-141.55195709620907</v>
      </c>
      <c r="K162" s="175">
        <f>IF('Small Signal'!$B$37&gt;=1,Z162+0,W162+0)</f>
        <v>-19.743637579878673</v>
      </c>
      <c r="L162" s="175">
        <f>IF('Small Signal'!$B$37&gt;=1,AA162,X162)</f>
        <v>-2.1883600577128544</v>
      </c>
      <c r="M162" s="175" t="str">
        <f>IMDIV(IMSUM('Small Signal'!$B$2*'Small Signal'!$B$16*'Small Signal'!$B$38,IMPRODUCT(H162,'Small Signal'!$B$2*'Small Signal'!$B$16*'Small Signal'!$B$38*'Small Signal'!$B$13*'Small Signal'!$B$14)),IMSUM(IMPRODUCT('Small Signal'!$B$11*'Small Signal'!$B$13*('Small Signal'!$B$14+'Small Signal'!$B$16),IMPOWER(H162,2)),IMSUM(IMPRODUCT(H162,('Small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-0.215578109808943-0.171159619539606i</v>
      </c>
      <c r="N162" s="175">
        <f>20*LOG(IMABS(M162))</f>
        <v>-11.205053677627802</v>
      </c>
      <c r="O162" s="175">
        <f>(180/PI())*IMARGUMENT(M162)</f>
        <v>-141.55195709620907</v>
      </c>
      <c r="P162" s="175" t="str">
        <f>IMDIV(IMSUM('Small Signal'!$B$48,IMPRODUCT(H162,'Small Signal'!$B$49)),IMSUM(IMPRODUCT('Small Signal'!$B$52,IMPOWER(H162,2)),IMSUM(IMPRODUCT(H162,'Small Signal'!$B$51),'Small Signal'!$B$50)))</f>
        <v>-0.260931012606203-0.12040395171686i</v>
      </c>
      <c r="Q162" s="175">
        <f>20*LOG(IMABS(P162))</f>
        <v>-10.831140516225712</v>
      </c>
      <c r="R162" s="175">
        <f>(180/PI())*IMARGUMENT(P162)</f>
        <v>-155.22952025562171</v>
      </c>
      <c r="S162" s="175" t="str">
        <f>IMPRODUCT(IMDIV(IMSUM(IMPRODUCT(H162,'Small Signal'!$B$33*'Small Signal'!$B$6*'Small Signal'!$B$27*'Small Signal'!$B$7*'Small Signal'!$B$8),'Small Signal'!$B$33*'Small Signal'!$B$6*'Small Signal'!$B$27),IMSUM(IMSUM(IMPRODUCT(H162,('Small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Signal'!$B$5),IMPRODUCT(IMPOWER(H162,2),'Small Signal'!$B$32*'Small Signal'!$B$33*'Small Signal'!$B$8*'Small Signal'!$B$7*('Small Signal'!$B$5+'Small Signal'!$B$6)+('Small Signal'!$B$5+'Small Signal'!$B$6)*('Small Signal'!$B$9*'Small Signal'!$B$8*'Small Signal'!$B$33*'Small Signal'!$B$7)))),-1)</f>
        <v>-0.283942983135779+0.243681673845428i</v>
      </c>
      <c r="T162" s="175">
        <f>20*LOG(IMABS(S162))</f>
        <v>-8.5385839022509007</v>
      </c>
      <c r="U162" s="175">
        <f>(180/PI())*IMARGUMENT(S162)</f>
        <v>139.36359703849618</v>
      </c>
      <c r="V162" s="175" t="str">
        <f>IMPRODUCT(M162,S162)</f>
        <v>0.102920354182082-0.00393286167821601i</v>
      </c>
      <c r="W162" s="176">
        <f>20*LOG(IMABS(V162))</f>
        <v>-19.743637579878673</v>
      </c>
      <c r="X162" s="175">
        <f>(180/PI())*IMARGUMENT(V162)</f>
        <v>-2.1883600577128544</v>
      </c>
      <c r="Y162" s="175" t="str">
        <f>IMPRODUCT(P162,S162)</f>
        <v>0.103429766604013-0.0293962486782405i</v>
      </c>
      <c r="Z162" s="176">
        <f>20*LOG(IMABS(Y162))</f>
        <v>-19.369724418476643</v>
      </c>
      <c r="AA162" s="175">
        <f>(180/PI())*IMARGUMENT(Y162)</f>
        <v>-15.865923217125586</v>
      </c>
    </row>
    <row r="163" spans="6:27" x14ac:dyDescent="0.25">
      <c r="F163" s="177">
        <v>161</v>
      </c>
      <c r="G163" s="175">
        <f>10^('Small Signal'!F163/30)</f>
        <v>232630.50671536254</v>
      </c>
      <c r="H163" s="175" t="str">
        <f>COMPLEX(0,G163*2*PI())</f>
        <v>1461660.58179571i</v>
      </c>
      <c r="I163" s="175">
        <f>IF('Small Signal'!$B$37&gt;=1,Q163+0,N163+0)</f>
        <v>-12.348298109527512</v>
      </c>
      <c r="J163" s="175">
        <f>IF('Small Signal'!$B$37&gt;=1,R163,O163)</f>
        <v>-143.72347609219278</v>
      </c>
      <c r="K163" s="175">
        <f>IF('Small Signal'!$B$37&gt;=1,Z163+0,W163+0)</f>
        <v>-21.150870157118199</v>
      </c>
      <c r="L163" s="175">
        <f>IF('Small Signal'!$B$37&gt;=1,AA163,X163)</f>
        <v>-6.2978792321899046</v>
      </c>
      <c r="M163" s="175" t="str">
        <f>IMDIV(IMSUM('Small Signal'!$B$2*'Small Signal'!$B$16*'Small Signal'!$B$38,IMPRODUCT(H163,'Small Signal'!$B$2*'Small Signal'!$B$16*'Small Signal'!$B$38*'Small Signal'!$B$13*'Small Signal'!$B$14)),IMSUM(IMPRODUCT('Small Signal'!$B$11*'Small Signal'!$B$13*('Small Signal'!$B$14+'Small Signal'!$B$16),IMPOWER(H163,2)),IMSUM(IMPRODUCT(H163,('Small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-0.19454145027578-0.142782217127648i</v>
      </c>
      <c r="N163" s="175">
        <f>20*LOG(IMABS(M163))</f>
        <v>-12.348298109527512</v>
      </c>
      <c r="O163" s="175">
        <f>(180/PI())*IMARGUMENT(M163)</f>
        <v>-143.72347609219278</v>
      </c>
      <c r="P163" s="175" t="str">
        <f>IMDIV(IMSUM('Small Signal'!$B$48,IMPRODUCT(H163,'Small Signal'!$B$49)),IMSUM(IMPRODUCT('Small Signal'!$B$52,IMPOWER(H163,2)),IMSUM(IMPRODUCT(H163,'Small Signal'!$B$51),'Small Signal'!$B$50)))</f>
        <v>-0.228301210396901-0.0980429595724854i</v>
      </c>
      <c r="Q163" s="175">
        <f>20*LOG(IMABS(P163))</f>
        <v>-12.094765349920619</v>
      </c>
      <c r="R163" s="175">
        <f>(180/PI())*IMARGUMENT(P163)</f>
        <v>-156.75910659749607</v>
      </c>
      <c r="S163" s="175" t="str">
        <f>IMPRODUCT(IMDIV(IMSUM(IMPRODUCT(H163,'Small Signal'!$B$33*'Small Signal'!$B$6*'Small Signal'!$B$27*'Small Signal'!$B$7*'Small Signal'!$B$8),'Small Signal'!$B$33*'Small Signal'!$B$6*'Small Signal'!$B$27),IMSUM(IMSUM(IMPRODUCT(H163,('Small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Signal'!$B$5),IMPRODUCT(IMPOWER(H163,2),'Small Signal'!$B$32*'Small Signal'!$B$33*'Small Signal'!$B$8*'Small Signal'!$B$7*('Small Signal'!$B$5+'Small Signal'!$B$6)+('Small Signal'!$B$5+'Small Signal'!$B$6)*('Small Signal'!$B$9*'Small Signal'!$B$8*'Small Signal'!$B$33*'Small Signal'!$B$7)))),-1)</f>
        <v>-0.267291302995916+0.245566659836146i</v>
      </c>
      <c r="T163" s="175">
        <f>20*LOG(IMABS(S163))</f>
        <v>-8.8025720475906848</v>
      </c>
      <c r="U163" s="175">
        <f>(180/PI())*IMARGUMENT(S163)</f>
        <v>137.42559686000286</v>
      </c>
      <c r="V163" s="175" t="str">
        <f>IMPRODUCT(M163,S163)</f>
        <v>0.0870617898749643-0.00960844928320814i</v>
      </c>
      <c r="W163" s="176">
        <f>20*LOG(IMABS(V163))</f>
        <v>-21.150870157118199</v>
      </c>
      <c r="X163" s="175">
        <f>(180/PI())*IMARGUMENT(V163)</f>
        <v>-6.2978792321899046</v>
      </c>
      <c r="Y163" s="175" t="str">
        <f>IMPRODUCT(P163,S163)</f>
        <v>0.085099010105198-0.0298571352600106i</v>
      </c>
      <c r="Z163" s="176">
        <f>20*LOG(IMABS(Y163))</f>
        <v>-20.897337397511304</v>
      </c>
      <c r="AA163" s="175">
        <f>(180/PI())*IMARGUMENT(Y163)</f>
        <v>-19.333509737493159</v>
      </c>
    </row>
    <row r="164" spans="6:27" x14ac:dyDescent="0.25">
      <c r="F164" s="177">
        <v>162</v>
      </c>
      <c r="G164" s="175">
        <f>10^('Small Signal'!F164/30)</f>
        <v>251188.64315095844</v>
      </c>
      <c r="H164" s="175" t="str">
        <f>COMPLEX(0,G164*2*PI())</f>
        <v>1578264.79197648i</v>
      </c>
      <c r="I164" s="175">
        <f>IF('Small Signal'!$B$37&gt;=1,Q164+0,N164+0)</f>
        <v>-13.511832279369658</v>
      </c>
      <c r="J164" s="175">
        <f>IF('Small Signal'!$B$37&gt;=1,R164,O164)</f>
        <v>-145.79380421058968</v>
      </c>
      <c r="K164" s="175">
        <f>IF('Small Signal'!$B$37&gt;=1,Z164+0,W164+0)</f>
        <v>-22.602947444371249</v>
      </c>
      <c r="L164" s="175">
        <f>IF('Small Signal'!$B$37&gt;=1,AA164,X164)</f>
        <v>-10.350795731909862</v>
      </c>
      <c r="M164" s="175" t="str">
        <f>IMDIV(IMSUM('Small Signal'!$B$2*'Small Signal'!$B$16*'Small Signal'!$B$38,IMPRODUCT(H164,'Small Signal'!$B$2*'Small Signal'!$B$16*'Small Signal'!$B$38*'Small Signal'!$B$13*'Small Signal'!$B$14)),IMSUM(IMPRODUCT('Small Signal'!$B$11*'Small Signal'!$B$13*('Small Signal'!$B$14+'Small Signal'!$B$16),IMPOWER(H164,2)),IMSUM(IMPRODUCT(H164,('Small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-0.174551781941094-0.118652863776719i</v>
      </c>
      <c r="N164" s="175">
        <f>20*LOG(IMABS(M164))</f>
        <v>-13.511832279369658</v>
      </c>
      <c r="O164" s="175">
        <f>(180/PI())*IMARGUMENT(M164)</f>
        <v>-145.79380421058968</v>
      </c>
      <c r="P164" s="175" t="str">
        <f>IMDIV(IMSUM('Small Signal'!$B$48,IMPRODUCT(H164,'Small Signal'!$B$49)),IMSUM(IMPRODUCT('Small Signal'!$B$52,IMPOWER(H164,2)),IMSUM(IMPRODUCT(H164,'Small Signal'!$B$51),'Small Signal'!$B$50)))</f>
        <v>-0.199220785359735-0.079777704059986i</v>
      </c>
      <c r="Q164" s="175">
        <f>20*LOG(IMABS(P164))</f>
        <v>-13.367382695613328</v>
      </c>
      <c r="R164" s="175">
        <f>(180/PI())*IMARGUMENT(P164)</f>
        <v>-158.17643145468941</v>
      </c>
      <c r="S164" s="175" t="str">
        <f>IMPRODUCT(IMDIV(IMSUM(IMPRODUCT(H164,'Small Signal'!$B$33*'Small Signal'!$B$6*'Small Signal'!$B$27*'Small Signal'!$B$7*'Small Signal'!$B$8),'Small Signal'!$B$33*'Small Signal'!$B$6*'Small Signal'!$B$27),IMSUM(IMSUM(IMPRODUCT(H164,('Small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Signal'!$B$5),IMPRODUCT(IMPOWER(H164,2),'Small Signal'!$B$32*'Small Signal'!$B$33*'Small Signal'!$B$8*'Small Signal'!$B$7*('Small Signal'!$B$5+'Small Signal'!$B$6)+('Small Signal'!$B$5+'Small Signal'!$B$6)*('Small Signal'!$B$9*'Small Signal'!$B$8*'Small Signal'!$B$33*'Small Signal'!$B$7)))),-1)</f>
        <v>-0.250185052747664+0.246345821089446i</v>
      </c>
      <c r="T164" s="175">
        <f>20*LOG(IMABS(S164))</f>
        <v>-9.0911151650015967</v>
      </c>
      <c r="U164" s="175">
        <f>(180/PI())*IMARGUMENT(S164)</f>
        <v>135.44300847867981</v>
      </c>
      <c r="V164" s="175" t="str">
        <f>IMPRODUCT(M164,S164)</f>
        <v>0.0728998839238214-0.0133149290622649i</v>
      </c>
      <c r="W164" s="176">
        <f>20*LOG(IMABS(V164))</f>
        <v>-22.602947444371249</v>
      </c>
      <c r="X164" s="175">
        <f>(180/PI())*IMARGUMENT(V164)</f>
        <v>-10.350795731909862</v>
      </c>
      <c r="Y164" s="175" t="str">
        <f>IMPRODUCT(P164,S164)</f>
        <v>0.0694949667049444-0.0291180188491931i</v>
      </c>
      <c r="Z164" s="176">
        <f>20*LOG(IMABS(Y164))</f>
        <v>-22.458497860614926</v>
      </c>
      <c r="AA164" s="175">
        <f>(180/PI())*IMARGUMENT(Y164)</f>
        <v>-22.733422976009624</v>
      </c>
    </row>
    <row r="165" spans="6:27" x14ac:dyDescent="0.25">
      <c r="F165" s="177">
        <v>163</v>
      </c>
      <c r="G165" s="175">
        <f>10^('Small Signal'!F165/30)</f>
        <v>271227.25793320336</v>
      </c>
      <c r="H165" s="175" t="str">
        <f>COMPLEX(0,G165*2*PI())</f>
        <v>1704171.12195251i</v>
      </c>
      <c r="I165" s="175">
        <f>IF('Small Signal'!$B$37&gt;=1,Q165+0,N165+0)</f>
        <v>-14.694111579308412</v>
      </c>
      <c r="J165" s="175">
        <f>IF('Small Signal'!$B$37&gt;=1,R165,O165)</f>
        <v>-147.75827762502746</v>
      </c>
      <c r="K165" s="175">
        <f>IF('Small Signal'!$B$37&gt;=1,Z165+0,W165+0)</f>
        <v>-24.098885515389309</v>
      </c>
      <c r="L165" s="175">
        <f>IF('Small Signal'!$B$37&gt;=1,AA165,X165)</f>
        <v>-14.329021842871343</v>
      </c>
      <c r="M165" s="175" t="str">
        <f>IMDIV(IMSUM('Small Signal'!$B$2*'Small Signal'!$B$16*'Small Signal'!$B$38,IMPRODUCT(H165,'Small Signal'!$B$2*'Small Signal'!$B$16*'Small Signal'!$B$38*'Small Signal'!$B$13*'Small Signal'!$B$14)),IMSUM(IMPRODUCT('Small Signal'!$B$11*'Small Signal'!$B$13*('Small Signal'!$B$14+'Small Signal'!$B$16),IMPOWER(H165,2)),IMSUM(IMPRODUCT(H165,('Small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-0.155798983738657-0.0982703715707014i</v>
      </c>
      <c r="N165" s="175">
        <f>20*LOG(IMABS(M165))</f>
        <v>-14.694111579308412</v>
      </c>
      <c r="O165" s="175">
        <f>(180/PI())*IMARGUMENT(M165)</f>
        <v>-147.75827762502746</v>
      </c>
      <c r="P165" s="175" t="str">
        <f>IMDIV(IMSUM('Small Signal'!$B$48,IMPRODUCT(H165,'Small Signal'!$B$49)),IMSUM(IMPRODUCT('Small Signal'!$B$52,IMPOWER(H165,2)),IMSUM(IMPRODUCT(H165,'Small Signal'!$B$51),'Small Signal'!$B$50)))</f>
        <v>-0.173440836719187-0.0648978187807562i</v>
      </c>
      <c r="Q165" s="175">
        <f>20*LOG(IMABS(P165))</f>
        <v>-14.647888124895104</v>
      </c>
      <c r="R165" s="175">
        <f>(180/PI())*IMARGUMENT(P165)</f>
        <v>-159.48523530666836</v>
      </c>
      <c r="S165" s="175" t="str">
        <f>IMPRODUCT(IMDIV(IMSUM(IMPRODUCT(H165,'Small Signal'!$B$33*'Small Signal'!$B$6*'Small Signal'!$B$27*'Small Signal'!$B$7*'Small Signal'!$B$8),'Small Signal'!$B$33*'Small Signal'!$B$6*'Small Signal'!$B$27),IMSUM(IMSUM(IMPRODUCT(H165,('Small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Signal'!$B$5),IMPRODUCT(IMPOWER(H165,2),'Small Signal'!$B$32*'Small Signal'!$B$33*'Small Signal'!$B$8*'Small Signal'!$B$7*('Small Signal'!$B$5+'Small Signal'!$B$6)+('Small Signal'!$B$5+'Small Signal'!$B$6)*('Small Signal'!$B$9*'Small Signal'!$B$8*'Small Signal'!$B$33*'Small Signal'!$B$7)))),-1)</f>
        <v>-0.232813273361635+0.245941459839036i</v>
      </c>
      <c r="T165" s="175">
        <f>20*LOG(IMABS(S165))</f>
        <v>-9.4047739360808986</v>
      </c>
      <c r="U165" s="175">
        <f>(180/PI())*IMARGUMENT(S165)</f>
        <v>133.42925578215613</v>
      </c>
      <c r="V165" s="175" t="str">
        <f>IMPRODUCT(M165,S165)</f>
        <v>0.0604408300336357-0.0154387826222844i</v>
      </c>
      <c r="W165" s="176">
        <f>20*LOG(IMABS(V165))</f>
        <v>-24.098885515389309</v>
      </c>
      <c r="X165" s="175">
        <f>(180/PI())*IMARGUMENT(V165)</f>
        <v>-14.329021842871343</v>
      </c>
      <c r="Y165" s="175" t="str">
        <f>IMPRODUCT(P165,S165)</f>
        <v>0.0563403932224832-0.0275472189540427i</v>
      </c>
      <c r="Z165" s="176">
        <f>20*LOG(IMABS(Y165))</f>
        <v>-24.052662060976001</v>
      </c>
      <c r="AA165" s="175">
        <f>(180/PI())*IMARGUMENT(Y165)</f>
        <v>-26.055979524512235</v>
      </c>
    </row>
    <row r="166" spans="6:27" x14ac:dyDescent="0.25">
      <c r="F166" s="177">
        <v>164</v>
      </c>
      <c r="G166" s="175">
        <f>10^('Small Signal'!F166/30)</f>
        <v>292864.45646252431</v>
      </c>
      <c r="H166" s="175" t="str">
        <f>COMPLEX(0,G166*2*PI())</f>
        <v>1840121.64984047i</v>
      </c>
      <c r="I166" s="175">
        <f>IF('Small Signal'!$B$37&gt;=1,Q166+0,N166+0)</f>
        <v>-15.89356289972142</v>
      </c>
      <c r="J166" s="175">
        <f>IF('Small Signal'!$B$37&gt;=1,R166,O166)</f>
        <v>-149.61354051924167</v>
      </c>
      <c r="K166" s="175">
        <f>IF('Small Signal'!$B$37&gt;=1,Z166+0,W166+0)</f>
        <v>-25.637380414827213</v>
      </c>
      <c r="L166" s="175">
        <f>IF('Small Signal'!$B$37&gt;=1,AA166,X166)</f>
        <v>-18.215373085629025</v>
      </c>
      <c r="M166" s="175" t="str">
        <f>IMDIV(IMSUM('Small Signal'!$B$2*'Small Signal'!$B$16*'Small Signal'!$B$38,IMPRODUCT(H166,'Small Signal'!$B$2*'Small Signal'!$B$16*'Small Signal'!$B$38*'Small Signal'!$B$13*'Small Signal'!$B$14)),IMSUM(IMPRODUCT('Small Signal'!$B$11*'Small Signal'!$B$13*('Small Signal'!$B$14+'Small Signal'!$B$16),IMPOWER(H166,2)),IMSUM(IMPRODUCT(H166,('Small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-0.138403808552416-0.0811570710817514i</v>
      </c>
      <c r="N166" s="175">
        <f>20*LOG(IMABS(M166))</f>
        <v>-15.89356289972142</v>
      </c>
      <c r="O166" s="175">
        <f>(180/PI())*IMARGUMENT(M166)</f>
        <v>-149.61354051924167</v>
      </c>
      <c r="P166" s="175" t="str">
        <f>IMDIV(IMSUM('Small Signal'!$B$48,IMPRODUCT(H166,'Small Signal'!$B$49)),IMSUM(IMPRODUCT('Small Signal'!$B$52,IMPOWER(H166,2)),IMSUM(IMPRODUCT(H166,'Small Signal'!$B$51),'Small Signal'!$B$50)))</f>
        <v>-0.150691282308717-0.0528025379728122i</v>
      </c>
      <c r="Q166" s="175">
        <f>20*LOG(IMABS(P166))</f>
        <v>-15.935284506661617</v>
      </c>
      <c r="R166" s="175">
        <f>(180/PI())*IMARGUMENT(P166)</f>
        <v>-160.68943324682323</v>
      </c>
      <c r="S166" s="175" t="str">
        <f>IMPRODUCT(IMDIV(IMSUM(IMPRODUCT(H166,'Small Signal'!$B$33*'Small Signal'!$B$6*'Small Signal'!$B$27*'Small Signal'!$B$7*'Small Signal'!$B$8),'Small Signal'!$B$33*'Small Signal'!$B$6*'Small Signal'!$B$27),IMSUM(IMSUM(IMPRODUCT(H166,('Small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Signal'!$B$5),IMPRODUCT(IMPOWER(H166,2),'Small Signal'!$B$32*'Small Signal'!$B$33*'Small Signal'!$B$8*'Small Signal'!$B$7*('Small Signal'!$B$5+'Small Signal'!$B$6)+('Small Signal'!$B$5+'Small Signal'!$B$6)*('Small Signal'!$B$9*'Small Signal'!$B$8*'Small Signal'!$B$33*'Small Signal'!$B$7)))),-1)</f>
        <v>-0.215377178288033+0.244313207030641i</v>
      </c>
      <c r="T166" s="175">
        <f>20*LOG(IMABS(S166))</f>
        <v>-9.7438175151057962</v>
      </c>
      <c r="U166" s="175">
        <f>(180/PI())*IMARGUMENT(S166)</f>
        <v>131.39816743361266</v>
      </c>
      <c r="V166" s="175" t="str">
        <f>IMPRODUCT(M166,S166)</f>
        <v>0.0496367660595329-0.0163344973649867i</v>
      </c>
      <c r="W166" s="176">
        <f>20*LOG(IMABS(V166))</f>
        <v>-25.637380414827213</v>
      </c>
      <c r="X166" s="175">
        <f>(180/PI())*IMARGUMENT(V166)</f>
        <v>-18.215373085629025</v>
      </c>
      <c r="Y166" s="175" t="str">
        <f>IMPRODUCT(P166,S166)</f>
        <v>0.0453558205677518-0.0254434088173713i</v>
      </c>
      <c r="Z166" s="176">
        <f>20*LOG(IMABS(Y166))</f>
        <v>-25.67910202176742</v>
      </c>
      <c r="AA166" s="175">
        <f>(180/PI())*IMARGUMENT(Y166)</f>
        <v>-29.291265813210536</v>
      </c>
    </row>
    <row r="167" spans="6:27" x14ac:dyDescent="0.25">
      <c r="F167" s="177">
        <v>165</v>
      </c>
      <c r="G167" s="175">
        <f>10^('Small Signal'!F167/30)</f>
        <v>316227.7660168382</v>
      </c>
      <c r="H167" s="175" t="str">
        <f>COMPLEX(0,G167*2*PI())</f>
        <v>1986917.65315922i</v>
      </c>
      <c r="I167" s="175">
        <f>IF('Small Signal'!$B$37&gt;=1,Q167+0,N167+0)</f>
        <v>-17.108620949426051</v>
      </c>
      <c r="J167" s="175">
        <f>IF('Small Signal'!$B$37&gt;=1,R167,O167)</f>
        <v>-151.35746417498768</v>
      </c>
      <c r="K167" s="175">
        <f>IF('Small Signal'!$B$37&gt;=1,Z167+0,W167+0)</f>
        <v>-27.216833880089482</v>
      </c>
      <c r="L167" s="175">
        <f>IF('Small Signal'!$B$37&gt;=1,AA167,X167)</f>
        <v>-21.993849000017793</v>
      </c>
      <c r="M167" s="175" t="str">
        <f>IMDIV(IMSUM('Small Signal'!$B$2*'Small Signal'!$B$16*'Small Signal'!$B$38,IMPRODUCT(H167,'Small Signal'!$B$2*'Small Signal'!$B$16*'Small Signal'!$B$38*'Small Signal'!$B$13*'Small Signal'!$B$14)),IMSUM(IMPRODUCT('Small Signal'!$B$11*'Small Signal'!$B$13*('Small Signal'!$B$14+'Small Signal'!$B$16),IMPOWER(H167,2)),IMSUM(IMPRODUCT(H167,('Small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-0.122427534937939-0.0668676135817733i</v>
      </c>
      <c r="N167" s="175">
        <f>20*LOG(IMABS(M167))</f>
        <v>-17.108620949426051</v>
      </c>
      <c r="O167" s="175">
        <f>(180/PI())*IMARGUMENT(M167)</f>
        <v>-151.35746417498768</v>
      </c>
      <c r="P167" s="175" t="str">
        <f>IMDIV(IMSUM('Small Signal'!$B$48,IMPRODUCT(H167,'Small Signal'!$B$49)),IMSUM(IMPRODUCT('Small Signal'!$B$52,IMPOWER(H167,2)),IMSUM(IMPRODUCT(H167,'Small Signal'!$B$51),'Small Signal'!$B$50)))</f>
        <v>-0.130695181231308-0.0429880577582476i</v>
      </c>
      <c r="Q167" s="175">
        <f>20*LOG(IMABS(P167))</f>
        <v>-17.228676596669978</v>
      </c>
      <c r="R167" s="175">
        <f>(180/PI())*IMARGUMENT(P167)</f>
        <v>-161.7930101397954</v>
      </c>
      <c r="S167" s="175" t="str">
        <f>IMPRODUCT(IMDIV(IMSUM(IMPRODUCT(H167,'Small Signal'!$B$33*'Small Signal'!$B$6*'Small Signal'!$B$27*'Small Signal'!$B$7*'Small Signal'!$B$8),'Small Signal'!$B$33*'Small Signal'!$B$6*'Small Signal'!$B$27),IMSUM(IMSUM(IMPRODUCT(H167,('Small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Signal'!$B$5),IMPRODUCT(IMPOWER(H167,2),'Small Signal'!$B$32*'Small Signal'!$B$33*'Small Signal'!$B$8*'Small Signal'!$B$7*('Small Signal'!$B$5+'Small Signal'!$B$6)+('Small Signal'!$B$5+'Small Signal'!$B$6)*('Small Signal'!$B$9*'Small Signal'!$B$8*'Small Signal'!$B$33*'Small Signal'!$B$7)))),-1)</f>
        <v>-0.198080971608435+0.241460183798179i</v>
      </c>
      <c r="T167" s="175">
        <f>20*LOG(IMABS(S167))</f>
        <v>-10.108212930663436</v>
      </c>
      <c r="U167" s="175">
        <f>(180/PI())*IMARGUMENT(S167)</f>
        <v>129.36361517496988</v>
      </c>
      <c r="V167" s="175" t="str">
        <f>IMPRODUCT(M167,S167)</f>
        <v>0.0403964313377332-0.0163161732206577i</v>
      </c>
      <c r="W167" s="176">
        <f>20*LOG(IMABS(V167))</f>
        <v>-27.216833880089482</v>
      </c>
      <c r="X167" s="175">
        <f>(180/PI())*IMARGUMENT(V167)</f>
        <v>-21.993849000017793</v>
      </c>
      <c r="Y167" s="175" t="str">
        <f>IMPRODUCT(P167,S167)</f>
        <v>0.0362681328102712-0.0230425662333347i</v>
      </c>
      <c r="Z167" s="176">
        <f>20*LOG(IMABS(Y167))</f>
        <v>-27.336889527333415</v>
      </c>
      <c r="AA167" s="175">
        <f>(180/PI())*IMARGUMENT(Y167)</f>
        <v>-32.42939496482547</v>
      </c>
    </row>
    <row r="168" spans="6:27" x14ac:dyDescent="0.25">
      <c r="F168" s="177">
        <v>166</v>
      </c>
      <c r="G168" s="175">
        <f>10^('Small Signal'!F168/30)</f>
        <v>341454.88738336053</v>
      </c>
      <c r="H168" s="175" t="str">
        <f>COMPLEX(0,G168*2*PI())</f>
        <v>2145424.33147179i</v>
      </c>
      <c r="I168" s="175">
        <f>IF('Small Signal'!$B$37&gt;=1,Q168+0,N168+0)</f>
        <v>-18.337758493434574</v>
      </c>
      <c r="J168" s="175">
        <f>IF('Small Signal'!$B$37&gt;=1,R168,O168)</f>
        <v>-152.98902729647585</v>
      </c>
      <c r="K168" s="175">
        <f>IF('Small Signal'!$B$37&gt;=1,Z168+0,W168+0)</f>
        <v>-28.835386685997065</v>
      </c>
      <c r="L168" s="175">
        <f>IF('Small Signal'!$B$37&gt;=1,AA168,X168)</f>
        <v>-25.649883776280131</v>
      </c>
      <c r="M168" s="175" t="str">
        <f>IMDIV(IMSUM('Small Signal'!$B$2*'Small Signal'!$B$16*'Small Signal'!$B$38,IMPRODUCT(H168,'Small Signal'!$B$2*'Small Signal'!$B$16*'Small Signal'!$B$38*'Small Signal'!$B$13*'Small Signal'!$B$14)),IMSUM(IMPRODUCT('Small Signal'!$B$11*'Small Signal'!$B$13*('Small Signal'!$B$14+'Small Signal'!$B$16),IMPOWER(H168,2)),IMSUM(IMPRODUCT(H168,('Small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-0.107882393018437-0.054994851680735i</v>
      </c>
      <c r="N168" s="175">
        <f>20*LOG(IMABS(M168))</f>
        <v>-18.337758493434574</v>
      </c>
      <c r="O168" s="175">
        <f>(180/PI())*IMARGUMENT(M168)</f>
        <v>-152.98902729647585</v>
      </c>
      <c r="P168" s="175" t="str">
        <f>IMDIV(IMSUM('Small Signal'!$B$48,IMPRODUCT(H168,'Small Signal'!$B$49)),IMSUM(IMPRODUCT('Small Signal'!$B$52,IMPOWER(H168,2)),IMSUM(IMPRODUCT(H168,'Small Signal'!$B$51),'Small Signal'!$B$50)))</f>
        <v>-0.113179187794555-0.0350349585657211i</v>
      </c>
      <c r="Q168" s="175">
        <f>20*LOG(IMABS(P168))</f>
        <v>-18.527264156664259</v>
      </c>
      <c r="R168" s="175">
        <f>(180/PI())*IMARGUMENT(P168)</f>
        <v>-162.79993185725741</v>
      </c>
      <c r="S168" s="175" t="str">
        <f>IMPRODUCT(IMDIV(IMSUM(IMPRODUCT(H168,'Small Signal'!$B$33*'Small Signal'!$B$6*'Small Signal'!$B$27*'Small Signal'!$B$7*'Small Signal'!$B$8),'Small Signal'!$B$33*'Small Signal'!$B$6*'Small Signal'!$B$27),IMSUM(IMSUM(IMPRODUCT(H168,('Small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Signal'!$B$5),IMPRODUCT(IMPOWER(H168,2),'Small Signal'!$B$32*'Small Signal'!$B$33*'Small Signal'!$B$8*'Small Signal'!$B$7*('Small Signal'!$B$5+'Small Signal'!$B$6)+('Small Signal'!$B$5+'Small Signal'!$B$6)*('Small Signal'!$B$9*'Small Signal'!$B$8*'Small Signal'!$B$33*'Small Signal'!$B$7)))),-1)</f>
        <v>-0.181122374708408+0.237420441982987i</v>
      </c>
      <c r="T168" s="175">
        <f>20*LOG(IMABS(S168))</f>
        <v>-10.497628192562487</v>
      </c>
      <c r="U168" s="175">
        <f>(180/PI())*IMARGUMENT(S168)</f>
        <v>127.33914352019571</v>
      </c>
      <c r="V168" s="175" t="str">
        <f>IMPRODUCT(M168,S168)</f>
        <v>0.032596817205554-0.0156526872994682i</v>
      </c>
      <c r="W168" s="176">
        <f>20*LOG(IMABS(V168))</f>
        <v>-28.835386685997065</v>
      </c>
      <c r="X168" s="175">
        <f>(180/PI())*IMARGUMENT(V168)</f>
        <v>-25.649883776280131</v>
      </c>
      <c r="Y168" s="175" t="str">
        <f>IMPRODUCT(P168,S168)</f>
        <v>0.0288172986084478-0.0205254378962247i</v>
      </c>
      <c r="Z168" s="176">
        <f>20*LOG(IMABS(Y168))</f>
        <v>-29.024892349226739</v>
      </c>
      <c r="AA168" s="175">
        <f>(180/PI())*IMARGUMENT(Y168)</f>
        <v>-35.460788337061771</v>
      </c>
    </row>
    <row r="169" spans="6:27" x14ac:dyDescent="0.25">
      <c r="F169" s="177">
        <v>167</v>
      </c>
      <c r="G169" s="175">
        <f>10^('Small Signal'!F169/30)</f>
        <v>368694.50645195803</v>
      </c>
      <c r="H169" s="175" t="str">
        <f>COMPLEX(0,G169*2*PI())</f>
        <v>2316575.90577677i</v>
      </c>
      <c r="I169" s="175">
        <f>IF('Small Signal'!$B$37&gt;=1,Q169+0,N169+0)</f>
        <v>-19.579510013838153</v>
      </c>
      <c r="J169" s="175">
        <f>IF('Small Signal'!$B$37&gt;=1,R169,O169)</f>
        <v>-154.50817133230956</v>
      </c>
      <c r="K169" s="175">
        <f>IF('Small Signal'!$B$37&gt;=1,Z169+0,W169+0)</f>
        <v>-30.49095887828927</v>
      </c>
      <c r="L169" s="175">
        <f>IF('Small Signal'!$B$37&gt;=1,AA169,X169)</f>
        <v>-29.170554172104968</v>
      </c>
      <c r="M169" s="175" t="str">
        <f>IMDIV(IMSUM('Small Signal'!$B$2*'Small Signal'!$B$16*'Small Signal'!$B$38,IMPRODUCT(H169,'Small Signal'!$B$2*'Small Signal'!$B$16*'Small Signal'!$B$38*'Small Signal'!$B$13*'Small Signal'!$B$14)),IMSUM(IMPRODUCT('Small Signal'!$B$11*'Small Signal'!$B$13*('Small Signal'!$B$14+'Small Signal'!$B$16),IMPOWER(H169,2)),IMSUM(IMPRODUCT(H169,('Small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-0.0947419425701074-0.0451730038694061i</v>
      </c>
      <c r="N169" s="175">
        <f>20*LOG(IMABS(M169))</f>
        <v>-19.579510013838153</v>
      </c>
      <c r="O169" s="175">
        <f>(180/PI())*IMARGUMENT(M169)</f>
        <v>-154.50817133230956</v>
      </c>
      <c r="P169" s="175" t="str">
        <f>IMDIV(IMSUM('Small Signal'!$B$48,IMPRODUCT(H169,'Small Signal'!$B$49)),IMSUM(IMPRODUCT('Small Signal'!$B$52,IMPOWER(H169,2)),IMSUM(IMPRODUCT(H169,'Small Signal'!$B$51),'Small Signal'!$B$50)))</f>
        <v>-0.0978808218994642-0.0285962624077599i</v>
      </c>
      <c r="Q169" s="175">
        <f>20*LOG(IMABS(P169))</f>
        <v>-19.830334169181544</v>
      </c>
      <c r="R169" s="175">
        <f>(180/PI())*IMARGUMENT(P169)</f>
        <v>-163.71407167522074</v>
      </c>
      <c r="S169" s="175" t="str">
        <f>IMPRODUCT(IMDIV(IMSUM(IMPRODUCT(H169,'Small Signal'!$B$33*'Small Signal'!$B$6*'Small Signal'!$B$27*'Small Signal'!$B$7*'Small Signal'!$B$8),'Small Signal'!$B$33*'Small Signal'!$B$6*'Small Signal'!$B$27),IMSUM(IMSUM(IMPRODUCT(H169,('Small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Signal'!$B$5),IMPRODUCT(IMPOWER(H169,2),'Small Signal'!$B$32*'Small Signal'!$B$33*'Small Signal'!$B$8*'Small Signal'!$B$7*('Small Signal'!$B$5+'Small Signal'!$B$6)+('Small Signal'!$B$5+'Small Signal'!$B$6)*('Small Signal'!$B$9*'Small Signal'!$B$8*'Small Signal'!$B$33*'Small Signal'!$B$7)))),-1)</f>
        <v>-0.164683782123048+0.232267749501312i</v>
      </c>
      <c r="T169" s="175">
        <f>20*LOG(IMABS(S169))</f>
        <v>-10.911448864451119</v>
      </c>
      <c r="U169" s="175">
        <f>(180/PI())*IMARGUMENT(S169)</f>
        <v>125.33761716020457</v>
      </c>
      <c r="V169" s="175" t="str">
        <f>IMPRODUCT(M169,S169)</f>
        <v>0.0260946933750909-0.0145662366570685i</v>
      </c>
      <c r="W169" s="176">
        <f>20*LOG(IMABS(V169))</f>
        <v>-30.49095887828927</v>
      </c>
      <c r="X169" s="175">
        <f>(180/PI())*IMARGUMENT(V169)</f>
        <v>-29.170554172104968</v>
      </c>
      <c r="Y169" s="175" t="str">
        <f>IMPRODUCT(P169,S169)</f>
        <v>0.0227613734613156-0.0180252175740342i</v>
      </c>
      <c r="Z169" s="176">
        <f>20*LOG(IMABS(Y169))</f>
        <v>-30.741783033632668</v>
      </c>
      <c r="AA169" s="175">
        <f>(180/PI())*IMARGUMENT(Y169)</f>
        <v>-38.376454515016064</v>
      </c>
    </row>
    <row r="170" spans="6:27" x14ac:dyDescent="0.25">
      <c r="F170" s="177">
        <v>168</v>
      </c>
      <c r="G170" s="175">
        <f>10^('Small Signal'!F170/30)</f>
        <v>398107.17055349716</v>
      </c>
      <c r="H170" s="175" t="str">
        <f>COMPLEX(0,G170*2*PI())</f>
        <v>2501381.12470457i</v>
      </c>
      <c r="I170" s="175">
        <f>IF('Small Signal'!$B$37&gt;=1,Q170+0,N170+0)</f>
        <v>-20.832488879335553</v>
      </c>
      <c r="J170" s="175">
        <f>IF('Small Signal'!$B$37&gt;=1,R170,O170)</f>
        <v>-155.91564316739579</v>
      </c>
      <c r="K170" s="175">
        <f>IF('Small Signal'!$B$37&gt;=1,Z170+0,W170+0)</f>
        <v>-32.181295448168875</v>
      </c>
      <c r="L170" s="175">
        <f>IF('Small Signal'!$B$37&gt;=1,AA170,X170)</f>
        <v>-32.544733067251457</v>
      </c>
      <c r="M170" s="175" t="str">
        <f>IMDIV(IMSUM('Small Signal'!$B$2*'Small Signal'!$B$16*'Small Signal'!$B$38,IMPRODUCT(H170,'Small Signal'!$B$2*'Small Signal'!$B$16*'Small Signal'!$B$38*'Small Signal'!$B$13*'Small Signal'!$B$14)),IMSUM(IMPRODUCT('Small Signal'!$B$11*'Small Signal'!$B$13*('Small Signal'!$B$14+'Small Signal'!$B$16),IMPOWER(H170,2)),IMSUM(IMPRODUCT(H170,('Small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-0.0829507790190966-0.0370785006059805i</v>
      </c>
      <c r="N170" s="175">
        <f>20*LOG(IMABS(M170))</f>
        <v>-20.832488879335553</v>
      </c>
      <c r="O170" s="175">
        <f>(180/PI())*IMARGUMENT(M170)</f>
        <v>-155.91564316739579</v>
      </c>
      <c r="P170" s="175" t="str">
        <f>IMDIV(IMSUM('Small Signal'!$B$48,IMPRODUCT(H170,'Small Signal'!$B$49)),IMSUM(IMPRODUCT('Small Signal'!$B$52,IMPOWER(H170,2)),IMSUM(IMPRODUCT(H170,'Small Signal'!$B$51),'Small Signal'!$B$50)))</f>
        <v>-0.0845532051583495-0.0233864718508043i</v>
      </c>
      <c r="Q170" s="175">
        <f>20*LOG(IMABS(P170))</f>
        <v>-21.137252592807144</v>
      </c>
      <c r="R170" s="175">
        <f>(180/PI())*IMARGUMENT(P170)</f>
        <v>-164.5391504353201</v>
      </c>
      <c r="S170" s="175" t="str">
        <f>IMPRODUCT(IMDIV(IMSUM(IMPRODUCT(H170,'Small Signal'!$B$33*'Small Signal'!$B$6*'Small Signal'!$B$27*'Small Signal'!$B$7*'Small Signal'!$B$8),'Small Signal'!$B$33*'Small Signal'!$B$6*'Small Signal'!$B$27),IMSUM(IMSUM(IMPRODUCT(H170,('Small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Signal'!$B$5),IMPRODUCT(IMPOWER(H170,2),'Small Signal'!$B$32*'Small Signal'!$B$33*'Small Signal'!$B$8*'Small Signal'!$B$7*('Small Signal'!$B$5+'Small Signal'!$B$6)+('Small Signal'!$B$5+'Small Signal'!$B$6)*('Small Signal'!$B$9*'Small Signal'!$B$8*'Small Signal'!$B$33*'Small Signal'!$B$7)))),-1)</f>
        <v>-0.14892486437851+0.226106122648549i</v>
      </c>
      <c r="T170" s="175">
        <f>20*LOG(IMABS(S170))</f>
        <v>-11.348806568833314</v>
      </c>
      <c r="U170" s="175">
        <f>(180/PI())*IMARGUMENT(S170)</f>
        <v>123.37091010014439</v>
      </c>
      <c r="V170" s="175" t="str">
        <f>IMPRODUCT(M170,S170)</f>
        <v>0.0207371095211508-0.0132337683405804i</v>
      </c>
      <c r="W170" s="176">
        <f>20*LOG(IMABS(V170))</f>
        <v>-32.181295448168875</v>
      </c>
      <c r="X170" s="175">
        <f>(180/PI())*IMARGUMENT(V170)</f>
        <v>-32.544733067251457</v>
      </c>
      <c r="Y170" s="175" t="str">
        <f>IMPRODUCT(P170,S170)</f>
        <v>0.0178798990835903-0.0156351702271888i</v>
      </c>
      <c r="Z170" s="176">
        <f>20*LOG(IMABS(Y170))</f>
        <v>-32.486059161640469</v>
      </c>
      <c r="AA170" s="175">
        <f>(180/PI())*IMARGUMENT(Y170)</f>
        <v>-41.168240335175703</v>
      </c>
    </row>
    <row r="171" spans="6:27" x14ac:dyDescent="0.25">
      <c r="F171" s="177">
        <v>169</v>
      </c>
      <c r="G171" s="175">
        <f>10^('Small Signal'!F171/30)</f>
        <v>429866.2347082285</v>
      </c>
      <c r="H171" s="175" t="str">
        <f>COMPLEX(0,G171*2*PI())</f>
        <v>2700929.20997135i</v>
      </c>
      <c r="I171" s="175">
        <f>IF('Small Signal'!$B$37&gt;=1,Q171+0,N171+0)</f>
        <v>-22.095398526486743</v>
      </c>
      <c r="J171" s="175">
        <f>IF('Small Signal'!$B$37&gt;=1,R171,O171)</f>
        <v>-157.21283541400138</v>
      </c>
      <c r="K171" s="175">
        <f>IF('Small Signal'!$B$37&gt;=1,Z171+0,W171+0)</f>
        <v>-33.904015372107338</v>
      </c>
      <c r="L171" s="175">
        <f>IF('Small Signal'!$B$37&gt;=1,AA171,X171)</f>
        <v>-35.763180077905943</v>
      </c>
      <c r="M171" s="175" t="str">
        <f>IMDIV(IMSUM('Small Signal'!$B$2*'Small Signal'!$B$16*'Small Signal'!$B$38,IMPRODUCT(H171,'Small Signal'!$B$2*'Small Signal'!$B$16*'Small Signal'!$B$38*'Small Signal'!$B$13*'Small Signal'!$B$14)),IMSUM(IMPRODUCT('Small Signal'!$B$11*'Small Signal'!$B$13*('Small Signal'!$B$14+'Small Signal'!$B$16),IMPOWER(H171,2)),IMSUM(IMPRODUCT(H171,('Small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-0.0724331569370655-0.0304290035372607i</v>
      </c>
      <c r="N171" s="175">
        <f>20*LOG(IMABS(M171))</f>
        <v>-22.095398526486743</v>
      </c>
      <c r="O171" s="175">
        <f>(180/PI())*IMARGUMENT(M171)</f>
        <v>-157.21283541400138</v>
      </c>
      <c r="P171" s="175" t="str">
        <f>IMDIV(IMSUM('Small Signal'!$B$48,IMPRODUCT(H171,'Small Signal'!$B$49)),IMSUM(IMPRODUCT('Small Signal'!$B$52,IMPOWER(H171,2)),IMSUM(IMPRODUCT(H171,'Small Signal'!$B$51),'Small Signal'!$B$50)))</f>
        <v>-0.0729678415229095-0.0191717660331169i</v>
      </c>
      <c r="Q171" s="175">
        <f>20*LOG(IMABS(P171))</f>
        <v>-22.447455991281068</v>
      </c>
      <c r="R171" s="175">
        <f>(180/PI())*IMARGUMENT(P171)</f>
        <v>-165.27868883051778</v>
      </c>
      <c r="S171" s="175" t="str">
        <f>IMPRODUCT(IMDIV(IMSUM(IMPRODUCT(H171,'Small Signal'!$B$33*'Small Signal'!$B$6*'Small Signal'!$B$27*'Small Signal'!$B$7*'Small Signal'!$B$8),'Small Signal'!$B$33*'Small Signal'!$B$6*'Small Signal'!$B$27),IMSUM(IMSUM(IMPRODUCT(H171,('Small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Signal'!$B$5),IMPRODUCT(IMPOWER(H171,2),'Small Signal'!$B$32*'Small Signal'!$B$33*'Small Signal'!$B$8*'Small Signal'!$B$7*('Small Signal'!$B$5+'Small Signal'!$B$6)+('Small Signal'!$B$5+'Small Signal'!$B$6)*('Small Signal'!$B$9*'Small Signal'!$B$8*'Small Signal'!$B$33*'Small Signal'!$B$7)))),-1)</f>
        <v>-0.133977207195731+0.219062763591067i</v>
      </c>
      <c r="T171" s="175">
        <f>20*LOG(IMABS(S171))</f>
        <v>-11.808616845620584</v>
      </c>
      <c r="U171" s="175">
        <f>(180/PI())*IMARGUMENT(S171)</f>
        <v>121.44965533609539</v>
      </c>
      <c r="V171" s="175" t="str">
        <f>IMPRODUCT(M171,S171)</f>
        <v>0.0163702536829928-0.0117906146225878i</v>
      </c>
      <c r="W171" s="176">
        <f>20*LOG(IMABS(V171))</f>
        <v>-33.904015372107338</v>
      </c>
      <c r="X171" s="175">
        <f>(180/PI())*IMARGUMENT(V171)</f>
        <v>-35.763180077905943</v>
      </c>
      <c r="Y171" s="175" t="str">
        <f>IMPRODUCT(P171,S171)</f>
        <v>0.013975847672476-0.0134159573471566i</v>
      </c>
      <c r="Z171" s="176">
        <f>20*LOG(IMABS(Y171))</f>
        <v>-34.256072836901659</v>
      </c>
      <c r="AA171" s="175">
        <f>(180/PI())*IMARGUMENT(Y171)</f>
        <v>-43.829033494422511</v>
      </c>
    </row>
    <row r="172" spans="6:27" x14ac:dyDescent="0.25">
      <c r="F172" s="177">
        <v>170</v>
      </c>
      <c r="G172" s="175">
        <f>10^('Small Signal'!F172/30)</f>
        <v>464158.88336127886</v>
      </c>
      <c r="H172" s="175" t="str">
        <f>COMPLEX(0,G172*2*PI())</f>
        <v>2916396.27613247i</v>
      </c>
      <c r="I172" s="175">
        <f>IF('Small Signal'!$B$37&gt;=1,Q172+0,N172+0)</f>
        <v>-23.367038412582307</v>
      </c>
      <c r="J172" s="175">
        <f>IF('Small Signal'!$B$37&gt;=1,R172,O172)</f>
        <v>-158.40163209539438</v>
      </c>
      <c r="K172" s="175">
        <f>IF('Small Signal'!$B$37&gt;=1,Z172+0,W172+0)</f>
        <v>-35.656661548074766</v>
      </c>
      <c r="L172" s="175">
        <f>IF('Small Signal'!$B$37&gt;=1,AA172,X172)</f>
        <v>-38.818565332391678</v>
      </c>
      <c r="M172" s="175" t="str">
        <f>IMDIV(IMSUM('Small Signal'!$B$2*'Small Signal'!$B$16*'Small Signal'!$B$38,IMPRODUCT(H172,'Small Signal'!$B$2*'Small Signal'!$B$16*'Small Signal'!$B$38*'Small Signal'!$B$13*'Small Signal'!$B$14)),IMSUM(IMPRODUCT('Small Signal'!$B$11*'Small Signal'!$B$13*('Small Signal'!$B$14+'Small Signal'!$B$16),IMPOWER(H172,2)),IMSUM(IMPRODUCT(H172,('Small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-0.0631003162492741-0.0249811033854608i</v>
      </c>
      <c r="N172" s="175">
        <f>20*LOG(IMABS(M172))</f>
        <v>-23.367038412582307</v>
      </c>
      <c r="O172" s="175">
        <f>(180/PI())*IMARGUMENT(M172)</f>
        <v>-158.40163209539438</v>
      </c>
      <c r="P172" s="175" t="str">
        <f>IMDIV(IMSUM('Small Signal'!$B$48,IMPRODUCT(H172,'Small Signal'!$B$49)),IMSUM(IMPRODUCT('Small Signal'!$B$52,IMPOWER(H172,2)),IMSUM(IMPRODUCT(H172,'Small Signal'!$B$51),'Small Signal'!$B$50)))</f>
        <v>-0.0629159354737332-0.0157614068028978i</v>
      </c>
      <c r="Q172" s="175">
        <f>20*LOG(IMABS(P172))</f>
        <v>-23.760443273175564</v>
      </c>
      <c r="R172" s="175">
        <f>(180/PI())*IMARGUMENT(P172)</f>
        <v>-165.93597010783253</v>
      </c>
      <c r="S172" s="175" t="str">
        <f>IMPRODUCT(IMDIV(IMSUM(IMPRODUCT(H172,'Small Signal'!$B$33*'Small Signal'!$B$6*'Small Signal'!$B$27*'Small Signal'!$B$7*'Small Signal'!$B$8),'Small Signal'!$B$33*'Small Signal'!$B$6*'Small Signal'!$B$27),IMSUM(IMSUM(IMPRODUCT(H172,('Small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Signal'!$B$5),IMPRODUCT(IMPOWER(H172,2),'Small Signal'!$B$32*'Small Signal'!$B$33*'Small Signal'!$B$8*'Small Signal'!$B$7*('Small Signal'!$B$5+'Small Signal'!$B$6)+('Small Signal'!$B$5+'Small Signal'!$B$6)*('Small Signal'!$B$9*'Small Signal'!$B$8*'Small Signal'!$B$33*'Small Signal'!$B$7)))),-1)</f>
        <v>-0.119941275830434+0.211280193429943i</v>
      </c>
      <c r="T172" s="175">
        <f>20*LOG(IMABS(S172))</f>
        <v>-12.289623135492484</v>
      </c>
      <c r="U172" s="175">
        <f>(180/PI())*IMARGUMENT(S172)</f>
        <v>119.58306676300271</v>
      </c>
      <c r="V172" s="175" t="str">
        <f>IMPRODUCT(M172,S172)</f>
        <v>0.0128463447916154-0.0103355816109331i</v>
      </c>
      <c r="W172" s="176">
        <f>20*LOG(IMABS(V172))</f>
        <v>-35.656661548074766</v>
      </c>
      <c r="X172" s="175">
        <f>(180/PI())*IMARGUMENT(V172)</f>
        <v>-38.818565332391678</v>
      </c>
      <c r="Y172" s="175" t="str">
        <f>IMPRODUCT(P172,S172)</f>
        <v>0.0108762906488291-0.0114024477758941i</v>
      </c>
      <c r="Z172" s="176">
        <f>20*LOG(IMABS(Y172))</f>
        <v>-36.050066408668052</v>
      </c>
      <c r="AA172" s="175">
        <f>(180/PI())*IMARGUMENT(Y172)</f>
        <v>-46.352903344829727</v>
      </c>
    </row>
    <row r="173" spans="6:27" x14ac:dyDescent="0.25">
      <c r="F173" s="177">
        <v>171</v>
      </c>
      <c r="G173" s="175">
        <f>10^('Small Signal'!F173/30)</f>
        <v>501187.23362727347</v>
      </c>
      <c r="H173" s="175" t="str">
        <f>COMPLEX(0,G173*2*PI())</f>
        <v>3149052.26247287i</v>
      </c>
      <c r="I173" s="175">
        <f>IF('Small Signal'!$B$37&gt;=1,Q173+0,N173+0)</f>
        <v>-24.646305618358575</v>
      </c>
      <c r="J173" s="175">
        <f>IF('Small Signal'!$B$37&gt;=1,R173,O173)</f>
        <v>-159.48426513701048</v>
      </c>
      <c r="K173" s="175">
        <f>IF('Small Signal'!$B$37&gt;=1,Z173+0,W173+0)</f>
        <v>-37.436749082019318</v>
      </c>
      <c r="L173" s="175">
        <f>IF('Small Signal'!$B$37&gt;=1,AA173,X173)</f>
        <v>-41.705427867490393</v>
      </c>
      <c r="M173" s="175" t="str">
        <f>IMDIV(IMSUM('Small Signal'!$B$2*'Small Signal'!$B$16*'Small Signal'!$B$38,IMPRODUCT(H173,'Small Signal'!$B$2*'Small Signal'!$B$16*'Small Signal'!$B$38*'Small Signal'!$B$13*'Small Signal'!$B$14)),IMSUM(IMPRODUCT('Small Signal'!$B$11*'Small Signal'!$B$13*('Small Signal'!$B$14+'Small Signal'!$B$16),IMPOWER(H173,2)),IMSUM(IMPRODUCT(H173,('Small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-0.0548564543641667-0.0205271605116746i</v>
      </c>
      <c r="N173" s="175">
        <f>20*LOG(IMABS(M173))</f>
        <v>-24.646305618358575</v>
      </c>
      <c r="O173" s="175">
        <f>(180/PI())*IMARGUMENT(M173)</f>
        <v>-159.48426513701048</v>
      </c>
      <c r="P173" s="175" t="str">
        <f>IMDIV(IMSUM('Small Signal'!$B$48,IMPRODUCT(H173,'Small Signal'!$B$49)),IMSUM(IMPRODUCT('Small Signal'!$B$52,IMPOWER(H173,2)),IMSUM(IMPRODUCT(H173,'Small Signal'!$B$51),'Small Signal'!$B$50)))</f>
        <v>-0.0542086528680268-0.013000326271121i</v>
      </c>
      <c r="Q173" s="175">
        <f>20*LOG(IMABS(P173))</f>
        <v>-25.075767698431683</v>
      </c>
      <c r="R173" s="175">
        <f>(180/PI())*IMARGUMENT(P173)</f>
        <v>-166.51401153192802</v>
      </c>
      <c r="S173" s="175" t="str">
        <f>IMPRODUCT(IMDIV(IMSUM(IMPRODUCT(H173,'Small Signal'!$B$33*'Small Signal'!$B$6*'Small Signal'!$B$27*'Small Signal'!$B$7*'Small Signal'!$B$8),'Small Signal'!$B$33*'Small Signal'!$B$6*'Small Signal'!$B$27),IMSUM(IMSUM(IMPRODUCT(H173,('Small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Signal'!$B$5),IMPRODUCT(IMPOWER(H173,2),'Small Signal'!$B$32*'Small Signal'!$B$33*'Small Signal'!$B$8*'Small Signal'!$B$7*('Small Signal'!$B$5+'Small Signal'!$B$6)+('Small Signal'!$B$5+'Small Signal'!$B$6)*('Small Signal'!$B$9*'Small Signal'!$B$8*'Small Signal'!$B$33*'Small Signal'!$B$7)))),-1)</f>
        <v>-0.106885685309179+0.202908368382298i</v>
      </c>
      <c r="T173" s="175">
        <f>20*LOG(IMABS(S173))</f>
        <v>-12.790443463660743</v>
      </c>
      <c r="U173" s="175">
        <f>(180/PI())*IMARGUMENT(S173)</f>
        <v>117.77883726952005</v>
      </c>
      <c r="V173" s="175" t="str">
        <f>IMPRODUCT(M173,S173)</f>
        <v>0.0100285023652911-0.0089367740315292i</v>
      </c>
      <c r="W173" s="176">
        <f>20*LOG(IMABS(V173))</f>
        <v>-37.436749082019318</v>
      </c>
      <c r="X173" s="175">
        <f>(180/PI())*IMARGUMENT(V173)</f>
        <v>-41.705427867490393</v>
      </c>
      <c r="Y173" s="175" t="str">
        <f>IMPRODUCT(P173,S173)</f>
        <v>0.00843200400359712-0.00960984052292201i</v>
      </c>
      <c r="Z173" s="176">
        <f>20*LOG(IMABS(Y173))</f>
        <v>-37.866211162092419</v>
      </c>
      <c r="AA173" s="175">
        <f>(180/PI())*IMARGUMENT(Y173)</f>
        <v>-48.735174262407952</v>
      </c>
    </row>
    <row r="174" spans="6:27" x14ac:dyDescent="0.25">
      <c r="F174" s="177">
        <v>172</v>
      </c>
      <c r="G174" s="175">
        <f>10^('Small Signal'!F174/30)</f>
        <v>541169.52654646419</v>
      </c>
      <c r="H174" s="175" t="str">
        <f>COMPLEX(0,G174*2*PI())</f>
        <v>3400268.41789008i</v>
      </c>
      <c r="I174" s="175">
        <f>IF('Small Signal'!$B$37&gt;=1,Q174+0,N174+0)</f>
        <v>-25.932192990763895</v>
      </c>
      <c r="J174" s="175">
        <f>IF('Small Signal'!$B$37&gt;=1,R174,O174)</f>
        <v>-160.46318498253012</v>
      </c>
      <c r="K174" s="175">
        <f>IF('Small Signal'!$B$37&gt;=1,Z174+0,W174+0)</f>
        <v>-39.241809615910419</v>
      </c>
      <c r="L174" s="175">
        <f>IF('Small Signal'!$B$37&gt;=1,AA174,X174)</f>
        <v>-44.420075136212297</v>
      </c>
      <c r="M174" s="175" t="str">
        <f>IMDIV(IMSUM('Small Signal'!$B$2*'Small Signal'!$B$16*'Small Signal'!$B$38,IMPRODUCT(H174,'Small Signal'!$B$2*'Small Signal'!$B$16*'Small Signal'!$B$38*'Small Signal'!$B$13*'Small Signal'!$B$14)),IMSUM(IMPRODUCT('Small Signal'!$B$11*'Small Signal'!$B$13*('Small Signal'!$B$14+'Small Signal'!$B$16),IMPOWER(H174,2)),IMSUM(IMPRODUCT(H174,('Small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-0.0476034011736577-0.0168916791946184i</v>
      </c>
      <c r="N174" s="175">
        <f>20*LOG(IMABS(M174))</f>
        <v>-25.932192990763895</v>
      </c>
      <c r="O174" s="175">
        <f>(180/PI())*IMARGUMENT(M174)</f>
        <v>-160.46318498253012</v>
      </c>
      <c r="P174" s="175" t="str">
        <f>IMDIV(IMSUM('Small Signal'!$B$48,IMPRODUCT(H174,'Small Signal'!$B$49)),IMSUM(IMPRODUCT('Small Signal'!$B$52,IMPOWER(H174,2)),IMSUM(IMPRODUCT(H174,'Small Signal'!$B$51),'Small Signal'!$B$50)))</f>
        <v>-0.0466766472509536-0.0107628167052811i</v>
      </c>
      <c r="Q174" s="175">
        <f>20*LOG(IMABS(P174))</f>
        <v>-26.393029243426049</v>
      </c>
      <c r="R174" s="175">
        <f>(180/PI())*IMARGUMENT(P174)</f>
        <v>-167.01554307993146</v>
      </c>
      <c r="S174" s="175" t="str">
        <f>IMPRODUCT(IMDIV(IMSUM(IMPRODUCT(H174,'Small Signal'!$B$33*'Small Signal'!$B$6*'Small Signal'!$B$27*'Small Signal'!$B$7*'Small Signal'!$B$8),'Small Signal'!$B$33*'Small Signal'!$B$6*'Small Signal'!$B$27),IMSUM(IMSUM(IMPRODUCT(H174,('Small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Signal'!$B$5),IMPRODUCT(IMPOWER(H174,2),'Small Signal'!$B$32*'Small Signal'!$B$33*'Small Signal'!$B$8*'Small Signal'!$B$7*('Small Signal'!$B$5+'Small Signal'!$B$6)+('Small Signal'!$B$5+'Small Signal'!$B$6)*('Small Signal'!$B$9*'Small Signal'!$B$8*'Small Signal'!$B$33*'Small Signal'!$B$7)))),-1)</f>
        <v>-0.0948484990737501+0.19409744946143i</v>
      </c>
      <c r="T174" s="175">
        <f>20*LOG(IMABS(S174))</f>
        <v>-13.30961662514653</v>
      </c>
      <c r="U174" s="175">
        <f>(180/PI())*IMARGUMENT(S174)</f>
        <v>116.04310984631783</v>
      </c>
      <c r="V174" s="175" t="str">
        <f>IMPRODUCT(M174,S174)</f>
        <v>0.00779374300092316-0.00763754833505136i</v>
      </c>
      <c r="W174" s="176">
        <f>20*LOG(IMABS(V174))</f>
        <v>-39.241809615910419</v>
      </c>
      <c r="X174" s="175">
        <f>(180/PI())*IMARGUMENT(V174)</f>
        <v>-44.420075136212297</v>
      </c>
      <c r="Y174" s="175" t="str">
        <f>IMPRODUCT(P174,S174)</f>
        <v>0.00651624520506377-0.00803898117051917i</v>
      </c>
      <c r="Z174" s="176">
        <f>20*LOG(IMABS(Y174))</f>
        <v>-39.702645868572574</v>
      </c>
      <c r="AA174" s="175">
        <f>(180/PI())*IMARGUMENT(Y174)</f>
        <v>-50.972433233613607</v>
      </c>
    </row>
    <row r="175" spans="6:27" x14ac:dyDescent="0.25">
      <c r="F175" s="177">
        <v>173</v>
      </c>
      <c r="G175" s="175">
        <f>10^('Small Signal'!F175/30)</f>
        <v>584341.41337351827</v>
      </c>
      <c r="H175" s="175" t="str">
        <f>COMPLEX(0,G175*2*PI())</f>
        <v>3671525.38288504i</v>
      </c>
      <c r="I175" s="175">
        <f>IF('Small Signal'!$B$37&gt;=1,Q175+0,N175+0)</f>
        <v>-27.223784655175145</v>
      </c>
      <c r="J175" s="175">
        <f>IF('Small Signal'!$B$37&gt;=1,R175,O175)</f>
        <v>-161.34094694748612</v>
      </c>
      <c r="K175" s="175">
        <f>IF('Small Signal'!$B$37&gt;=1,Z175+0,W175+0)</f>
        <v>-41.069429871975657</v>
      </c>
      <c r="L175" s="175">
        <f>IF('Small Signal'!$B$37&gt;=1,AA175,X175)</f>
        <v>-46.960434018799596</v>
      </c>
      <c r="M175" s="175" t="str">
        <f>IMDIV(IMSUM('Small Signal'!$B$2*'Small Signal'!$B$16*'Small Signal'!$B$38,IMPRODUCT(H175,'Small Signal'!$B$2*'Small Signal'!$B$16*'Small Signal'!$B$38*'Small Signal'!$B$13*'Small Signal'!$B$14)),IMSUM(IMPRODUCT('Small Signal'!$B$11*'Small Signal'!$B$13*('Small Signal'!$B$14+'Small Signal'!$B$16),IMPOWER(H175,2)),IMSUM(IMPRODUCT(H175,('Small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-0.0412441255941455-0.0139275217676329i</v>
      </c>
      <c r="N175" s="175">
        <f>20*LOG(IMABS(M175))</f>
        <v>-27.223784655175145</v>
      </c>
      <c r="O175" s="175">
        <f>(180/PI())*IMARGUMENT(M175)</f>
        <v>-161.34094694748612</v>
      </c>
      <c r="P175" s="175" t="str">
        <f>IMDIV(IMSUM('Small Signal'!$B$48,IMPRODUCT(H175,'Small Signal'!$B$49)),IMSUM(IMPRODUCT('Small Signal'!$B$52,IMPOWER(H175,2)),IMSUM(IMPRODUCT(H175,'Small Signal'!$B$51),'Small Signal'!$B$50)))</f>
        <v>-0.0401691019186894-0.00894721643912387i</v>
      </c>
      <c r="Q175" s="175">
        <f>20*LOG(IMABS(P175))</f>
        <v>-27.71186736587838</v>
      </c>
      <c r="R175" s="175">
        <f>(180/PI())*IMARGUMENT(P175)</f>
        <v>-167.44299200703057</v>
      </c>
      <c r="S175" s="175" t="str">
        <f>IMPRODUCT(IMDIV(IMSUM(IMPRODUCT(H175,'Small Signal'!$B$33*'Small Signal'!$B$6*'Small Signal'!$B$27*'Small Signal'!$B$7*'Small Signal'!$B$8),'Small Signal'!$B$33*'Small Signal'!$B$6*'Small Signal'!$B$27),IMSUM(IMSUM(IMPRODUCT(H175,('Small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Signal'!$B$5),IMPRODUCT(IMPOWER(H175,2),'Small Signal'!$B$32*'Small Signal'!$B$33*'Small Signal'!$B$8*'Small Signal'!$B$7*('Small Signal'!$B$5+'Small Signal'!$B$6)+('Small Signal'!$B$5+'Small Signal'!$B$6)*('Small Signal'!$B$9*'Small Signal'!$B$8*'Small Signal'!$B$33*'Small Signal'!$B$7)))),-1)</f>
        <v>-0.0838401063029958+0.184991706014608i</v>
      </c>
      <c r="T175" s="175">
        <f>20*LOG(IMABS(S175))</f>
        <v>-13.845645216800511</v>
      </c>
      <c r="U175" s="175">
        <f>(180/PI())*IMARGUMENT(S175)</f>
        <v>114.38051292868649</v>
      </c>
      <c r="V175" s="175" t="str">
        <f>IMPRODUCT(M175,S175)</f>
        <v>0.00603438788653727-0.0064621362512061i</v>
      </c>
      <c r="W175" s="176">
        <f>20*LOG(IMABS(V175))</f>
        <v>-41.069429871975657</v>
      </c>
      <c r="X175" s="175">
        <f>(180/PI())*IMARGUMENT(V175)</f>
        <v>-46.960434018799596</v>
      </c>
      <c r="Y175" s="175" t="str">
        <f>IMPRODUCT(P175,S175)</f>
        <v>0.00502294260811426-0.00668081511564096i</v>
      </c>
      <c r="Z175" s="176">
        <f>20*LOG(IMABS(Y175))</f>
        <v>-41.557512582678896</v>
      </c>
      <c r="AA175" s="175">
        <f>(180/PI())*IMARGUMENT(Y175)</f>
        <v>-53.062479078344111</v>
      </c>
    </row>
    <row r="176" spans="6:27" x14ac:dyDescent="0.25">
      <c r="F176" s="177">
        <v>174</v>
      </c>
      <c r="G176" s="175">
        <f>10^('Small Signal'!F176/30)</f>
        <v>630957.34448019415</v>
      </c>
      <c r="H176" s="175" t="str">
        <f>COMPLEX(0,G176*2*PI())</f>
        <v>3964421.916295i</v>
      </c>
      <c r="I176" s="175">
        <f>IF('Small Signal'!$B$37&gt;=1,Q176+0,N176+0)</f>
        <v>-28.520249622671251</v>
      </c>
      <c r="J176" s="175">
        <f>IF('Small Signal'!$B$37&gt;=1,R176,O176)</f>
        <v>-162.12011363825698</v>
      </c>
      <c r="K176" s="175">
        <f>IF('Small Signal'!$B$37&gt;=1,Z176+0,W176+0)</f>
        <v>-42.917283209643443</v>
      </c>
      <c r="L176" s="175">
        <f>IF('Small Signal'!$B$37&gt;=1,AA176,X176)</f>
        <v>-49.325866052713771</v>
      </c>
      <c r="M176" s="175" t="str">
        <f>IMDIV(IMSUM('Small Signal'!$B$2*'Small Signal'!$B$16*'Small Signal'!$B$38,IMPRODUCT(H176,'Small Signal'!$B$2*'Small Signal'!$B$16*'Small Signal'!$B$38*'Small Signal'!$B$13*'Small Signal'!$B$14)),IMSUM(IMPRODUCT('Small Signal'!$B$11*'Small Signal'!$B$13*('Small Signal'!$B$14+'Small Signal'!$B$16),IMPOWER(H176,2)),IMSUM(IMPRODUCT(H176,('Small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-0.0356852391446616-0.011512185596179i</v>
      </c>
      <c r="N176" s="175">
        <f>20*LOG(IMABS(M176))</f>
        <v>-28.520249622671251</v>
      </c>
      <c r="O176" s="175">
        <f>(180/PI())*IMARGUMENT(M176)</f>
        <v>-162.12011363825698</v>
      </c>
      <c r="P176" s="175" t="str">
        <f>IMDIV(IMSUM('Small Signal'!$B$48,IMPRODUCT(H176,'Small Signal'!$B$49)),IMSUM(IMPRODUCT('Small Signal'!$B$52,IMPOWER(H176,2)),IMSUM(IMPRODUCT(H176,'Small Signal'!$B$51),'Small Signal'!$B$50)))</f>
        <v>-0.0345524768210167-0.0074714743941953i</v>
      </c>
      <c r="Q176" s="175">
        <f>20*LOG(IMABS(P176))</f>
        <v>-29.031954172724944</v>
      </c>
      <c r="R176" s="175">
        <f>(180/PI())*IMARGUMENT(P176)</f>
        <v>-167.79847211125301</v>
      </c>
      <c r="S176" s="175" t="str">
        <f>IMPRODUCT(IMDIV(IMSUM(IMPRODUCT(H176,'Small Signal'!$B$33*'Small Signal'!$B$6*'Small Signal'!$B$27*'Small Signal'!$B$7*'Small Signal'!$B$8),'Small Signal'!$B$33*'Small Signal'!$B$6*'Small Signal'!$B$27),IMSUM(IMSUM(IMPRODUCT(H176,('Small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Signal'!$B$5),IMPRODUCT(IMPOWER(H176,2),'Small Signal'!$B$32*'Small Signal'!$B$33*'Small Signal'!$B$8*'Small Signal'!$B$7*('Small Signal'!$B$5+'Small Signal'!$B$6)+('Small Signal'!$B$5+'Small Signal'!$B$6)*('Small Signal'!$B$9*'Small Signal'!$B$8*'Small Signal'!$B$33*'Small Signal'!$B$7)))),-1)</f>
        <v>-0.073847152675232+0.175724818226272i</v>
      </c>
      <c r="T176" s="175">
        <f>20*LOG(IMABS(S176))</f>
        <v>-14.397033586972183</v>
      </c>
      <c r="U176" s="175">
        <f>(180/PI())*IMARGUMENT(S176)</f>
        <v>112.79424758554323</v>
      </c>
      <c r="V176" s="175" t="str">
        <f>IMPRODUCT(M176,S176)</f>
        <v>0.00465823002464365-0.00542064003471007i</v>
      </c>
      <c r="W176" s="176">
        <f>20*LOG(IMABS(V176))</f>
        <v>-42.917283209643443</v>
      </c>
      <c r="X176" s="175">
        <f>(180/PI())*IMARGUMENT(V176)</f>
        <v>-49.325866052713771</v>
      </c>
      <c r="Y176" s="175" t="str">
        <f>IMPRODUCT(P176,S176)</f>
        <v>0.00386452551091125-0.00551998059834341i</v>
      </c>
      <c r="Z176" s="176">
        <f>20*LOG(IMABS(Y176))</f>
        <v>-43.428987759697122</v>
      </c>
      <c r="AA176" s="175">
        <f>(180/PI())*IMARGUMENT(Y176)</f>
        <v>-55.004224525709787</v>
      </c>
    </row>
    <row r="177" spans="6:27" x14ac:dyDescent="0.25">
      <c r="F177" s="177">
        <v>175</v>
      </c>
      <c r="G177" s="175">
        <f>10^('Small Signal'!F177/30)</f>
        <v>681292.06905796123</v>
      </c>
      <c r="H177" s="175" t="str">
        <f>COMPLEX(0,G177*2*PI())</f>
        <v>4280684.31820296i</v>
      </c>
      <c r="I177" s="175">
        <f>IF('Small Signal'!$B$37&gt;=1,Q177+0,N177+0)</f>
        <v>-29.820834094730419</v>
      </c>
      <c r="J177" s="175">
        <f>IF('Small Signal'!$B$37&gt;=1,R177,O177)</f>
        <v>-162.80317287167026</v>
      </c>
      <c r="K177" s="175">
        <f>IF('Small Signal'!$B$37&gt;=1,Z177+0,W177+0)</f>
        <v>-44.78315363975419</v>
      </c>
      <c r="L177" s="175">
        <f>IF('Small Signal'!$B$37&gt;=1,AA177,X177)</f>
        <v>-51.516960279670137</v>
      </c>
      <c r="M177" s="175" t="str">
        <f>IMDIV(IMSUM('Small Signal'!$B$2*'Small Signal'!$B$16*'Small Signal'!$B$38,IMPRODUCT(H177,'Small Signal'!$B$2*'Small Signal'!$B$16*'Small Signal'!$B$38*'Small Signal'!$B$13*'Small Signal'!$B$14)),IMSUM(IMPRODUCT('Small Signal'!$B$11*'Small Signal'!$B$13*('Small Signal'!$B$14+'Small Signal'!$B$16),IMPOWER(H177,2)),IMSUM(IMPRODUCT(H177,('Small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-0.0308386728599936-0.00954429253872475i</v>
      </c>
      <c r="N177" s="175">
        <f>20*LOG(IMABS(M177))</f>
        <v>-29.820834094730419</v>
      </c>
      <c r="O177" s="175">
        <f>(180/PI())*IMARGUMENT(M177)</f>
        <v>-162.80317287167026</v>
      </c>
      <c r="P177" s="175" t="str">
        <f>IMDIV(IMSUM('Small Signal'!$B$48,IMPRODUCT(H177,'Small Signal'!$B$49)),IMSUM(IMPRODUCT('Small Signal'!$B$52,IMPOWER(H177,2)),IMSUM(IMPRODUCT(H177,'Small Signal'!$B$51),'Small Signal'!$B$50)))</f>
        <v>-0.0297090994464933-0.00626947543044794i</v>
      </c>
      <c r="Q177" s="175">
        <f>20*LOG(IMABS(P177))</f>
        <v>-30.352987965891085</v>
      </c>
      <c r="R177" s="175">
        <f>(180/PI())*IMARGUMENT(P177)</f>
        <v>-168.08377671934181</v>
      </c>
      <c r="S177" s="175" t="str">
        <f>IMPRODUCT(IMDIV(IMSUM(IMPRODUCT(H177,'Small Signal'!$B$33*'Small Signal'!$B$6*'Small Signal'!$B$27*'Small Signal'!$B$7*'Small Signal'!$B$8),'Small Signal'!$B$33*'Small Signal'!$B$6*'Small Signal'!$B$27),IMSUM(IMSUM(IMPRODUCT(H177,('Small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Signal'!$B$5),IMPRODUCT(IMPOWER(H177,2),'Small Signal'!$B$32*'Small Signal'!$B$33*'Small Signal'!$B$8*'Small Signal'!$B$7*('Small Signal'!$B$5+'Small Signal'!$B$6)+('Small Signal'!$B$5+'Small Signal'!$B$6)*('Small Signal'!$B$9*'Small Signal'!$B$8*'Small Signal'!$B$33*'Small Signal'!$B$7)))),-1)</f>
        <v>-0.0648370095089517+0.166416644169784i</v>
      </c>
      <c r="T177" s="175">
        <f>20*LOG(IMABS(S177))</f>
        <v>-14.962319545023776</v>
      </c>
      <c r="U177" s="175">
        <f>(180/PI())*IMARGUMENT(S177)</f>
        <v>111.28621259200014</v>
      </c>
      <c r="V177" s="175" t="str">
        <f>IMPRODUCT(M177,S177)</f>
        <v>0.00358781646073614-0.00451324506192042i</v>
      </c>
      <c r="W177" s="176">
        <f>20*LOG(IMABS(V177))</f>
        <v>-44.78315363975419</v>
      </c>
      <c r="X177" s="175">
        <f>(180/PI())*IMARGUMENT(V177)</f>
        <v>-51.516960279670137</v>
      </c>
      <c r="Y177" s="175" t="str">
        <f>IMPRODUCT(P177,S177)</f>
        <v>0.00296959422515474-0.00453759459309171i</v>
      </c>
      <c r="Z177" s="176">
        <f>20*LOG(IMABS(Y177))</f>
        <v>-45.315307510914863</v>
      </c>
      <c r="AA177" s="175">
        <f>(180/PI())*IMARGUMENT(Y177)</f>
        <v>-56.797564127341666</v>
      </c>
    </row>
    <row r="178" spans="6:27" x14ac:dyDescent="0.25">
      <c r="F178" s="177">
        <v>176</v>
      </c>
      <c r="G178" s="175">
        <f>10^('Small Signal'!F178/30)</f>
        <v>735642.25445964152</v>
      </c>
      <c r="H178" s="175" t="str">
        <f>COMPLEX(0,G178*2*PI())</f>
        <v>4622176.60456129i</v>
      </c>
      <c r="I178" s="175">
        <f>IF('Small Signal'!$B$37&gt;=1,Q178+0,N178+0)</f>
        <v>-31.124852941819267</v>
      </c>
      <c r="J178" s="175">
        <f>IF('Small Signal'!$B$37&gt;=1,R178,O178)</f>
        <v>-163.39246997259914</v>
      </c>
      <c r="K178" s="175">
        <f>IF('Small Signal'!$B$37&gt;=1,Z178+0,W178+0)</f>
        <v>-46.664952322746032</v>
      </c>
      <c r="L178" s="175">
        <f>IF('Small Signal'!$B$37&gt;=1,AA178,X178)</f>
        <v>-53.535316385706189</v>
      </c>
      <c r="M178" s="175" t="str">
        <f>IMDIV(IMSUM('Small Signal'!$B$2*'Small Signal'!$B$16*'Small Signal'!$B$38,IMPRODUCT(H178,'Small Signal'!$B$2*'Small Signal'!$B$16*'Small Signal'!$B$38*'Small Signal'!$B$13*'Small Signal'!$B$14)),IMSUM(IMPRODUCT('Small Signal'!$B$11*'Small Signal'!$B$13*('Small Signal'!$B$14+'Small Signal'!$B$16),IMPOWER(H178,2)),IMSUM(IMPRODUCT(H178,('Small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-0.0266226971707726-0.00794038067853788i</v>
      </c>
      <c r="N178" s="175">
        <f>20*LOG(IMABS(M178))</f>
        <v>-31.124852941819267</v>
      </c>
      <c r="O178" s="175">
        <f>(180/PI())*IMARGUMENT(M178)</f>
        <v>-163.39246997259914</v>
      </c>
      <c r="P178" s="175" t="str">
        <f>IMDIV(IMSUM('Small Signal'!$B$48,IMPRODUCT(H178,'Small Signal'!$B$49)),IMSUM(IMPRODUCT('Small Signal'!$B$52,IMPOWER(H178,2)),IMSUM(IMPRODUCT(H178,'Small Signal'!$B$51),'Small Signal'!$B$50)))</f>
        <v>-0.0255356991843055-0.00528801496407829i</v>
      </c>
      <c r="Q178" s="175">
        <f>20*LOG(IMABS(P178))</f>
        <v>-31.674687120657875</v>
      </c>
      <c r="R178" s="175">
        <f>(180/PI())*IMARGUMENT(P178)</f>
        <v>-168.30037460489251</v>
      </c>
      <c r="S178" s="175" t="str">
        <f>IMPRODUCT(IMDIV(IMSUM(IMPRODUCT(H178,'Small Signal'!$B$33*'Small Signal'!$B$6*'Small Signal'!$B$27*'Small Signal'!$B$7*'Small Signal'!$B$8),'Small Signal'!$B$33*'Small Signal'!$B$6*'Small Signal'!$B$27),IMSUM(IMSUM(IMPRODUCT(H178,('Small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Signal'!$B$5),IMPRODUCT(IMPOWER(H178,2),'Small Signal'!$B$32*'Small Signal'!$B$33*'Small Signal'!$B$8*'Small Signal'!$B$7*('Small Signal'!$B$5+'Small Signal'!$B$6)+('Small Signal'!$B$5+'Small Signal'!$B$6)*('Small Signal'!$B$9*'Small Signal'!$B$8*'Small Signal'!$B$33*'Small Signal'!$B$7)))),-1)</f>
        <v>-0.0567623377765269+0.157171359997712i</v>
      </c>
      <c r="T178" s="175">
        <f>20*LOG(IMABS(S178))</f>
        <v>-15.540099380926765</v>
      </c>
      <c r="U178" s="175">
        <f>(180/PI())*IMARGUMENT(S178)</f>
        <v>109.85715358689288</v>
      </c>
      <c r="V178" s="175" t="str">
        <f>IMPRODUCT(M178,S178)</f>
        <v>0.00275916695947494-0.00373361095098819i</v>
      </c>
      <c r="W178" s="176">
        <f>20*LOG(IMABS(V178))</f>
        <v>-46.664952322746032</v>
      </c>
      <c r="X178" s="175">
        <f>(180/PI())*IMARGUMENT(V178)</f>
        <v>-53.535316385706189</v>
      </c>
      <c r="Y178" s="175" t="str">
        <f>IMPRODUCT(P178,S178)</f>
        <v>0.00228059048605177-0.00371332047773142i</v>
      </c>
      <c r="Z178" s="176">
        <f>20*LOG(IMABS(Y178))</f>
        <v>-47.214786501584641</v>
      </c>
      <c r="AA178" s="175">
        <f>(180/PI())*IMARGUMENT(Y178)</f>
        <v>-58.443221017999605</v>
      </c>
    </row>
    <row r="179" spans="6:27" x14ac:dyDescent="0.25">
      <c r="F179" s="177">
        <v>177</v>
      </c>
      <c r="G179" s="175">
        <f>10^('Small Signal'!F179/30)</f>
        <v>794328.23472428333</v>
      </c>
      <c r="H179" s="175" t="str">
        <f>COMPLEX(0,G179*2*PI())</f>
        <v>4990911.49349752i</v>
      </c>
      <c r="I179" s="175">
        <f>IF('Small Signal'!$B$37&gt;=1,Q179+0,N179+0)</f>
        <v>-32.431680714527765</v>
      </c>
      <c r="J179" s="175">
        <f>IF('Small Signal'!$B$37&gt;=1,R179,O179)</f>
        <v>-163.89015303606647</v>
      </c>
      <c r="K179" s="175">
        <f>IF('Small Signal'!$B$37&gt;=1,Z179+0,W179+0)</f>
        <v>-48.560727035203143</v>
      </c>
      <c r="L179" s="175">
        <f>IF('Small Signal'!$B$37&gt;=1,AA179,X179)</f>
        <v>-55.383329093001478</v>
      </c>
      <c r="M179" s="175" t="str">
        <f>IMDIV(IMSUM('Small Signal'!$B$2*'Small Signal'!$B$16*'Small Signal'!$B$38,IMPRODUCT(H179,'Small Signal'!$B$2*'Small Signal'!$B$16*'Small Signal'!$B$38*'Small Signal'!$B$13*'Small Signal'!$B$14)),IMSUM(IMPRODUCT('Small Signal'!$B$11*'Small Signal'!$B$13*('Small Signal'!$B$14+'Small Signal'!$B$16),IMPOWER(H179,2)),IMSUM(IMPRODUCT(H179,('Small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-0.0229624374169351-0.00663204235324885i</v>
      </c>
      <c r="N179" s="175">
        <f>20*LOG(IMABS(M179))</f>
        <v>-32.431680714527765</v>
      </c>
      <c r="O179" s="175">
        <f>(180/PI())*IMARGUMENT(M179)</f>
        <v>-163.89015303606647</v>
      </c>
      <c r="P179" s="175" t="str">
        <f>IMDIV(IMSUM('Small Signal'!$B$48,IMPRODUCT(H179,'Small Signal'!$B$49)),IMSUM(IMPRODUCT('Small Signal'!$B$52,IMPOWER(H179,2)),IMSUM(IMPRODUCT(H179,'Small Signal'!$B$51),'Small Signal'!$B$50)))</f>
        <v>-0.0219419539274642-0.00448432117091084i</v>
      </c>
      <c r="Q179" s="175">
        <f>20*LOG(IMABS(P179))</f>
        <v>-32.996784237254644</v>
      </c>
      <c r="R179" s="175">
        <f>(180/PI())*IMARGUMENT(P179)</f>
        <v>-168.44940823051476</v>
      </c>
      <c r="S179" s="175" t="str">
        <f>IMPRODUCT(IMDIV(IMSUM(IMPRODUCT(H179,'Small Signal'!$B$33*'Small Signal'!$B$6*'Small Signal'!$B$27*'Small Signal'!$B$7*'Small Signal'!$B$8),'Small Signal'!$B$33*'Small Signal'!$B$6*'Small Signal'!$B$27),IMSUM(IMSUM(IMPRODUCT(H179,('Small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Signal'!$B$5),IMPRODUCT(IMPOWER(H179,2),'Small Signal'!$B$32*'Small Signal'!$B$33*'Small Signal'!$B$8*'Small Signal'!$B$7*('Small Signal'!$B$5+'Small Signal'!$B$6)+('Small Signal'!$B$5+'Small Signal'!$B$6)*('Small Signal'!$B$9*'Small Signal'!$B$8*'Small Signal'!$B$33*'Small Signal'!$B$7)))),-1)</f>
        <v>-0.0495654082064286+0.148076778521709i</v>
      </c>
      <c r="T179" s="175">
        <f>20*LOG(IMABS(S179))</f>
        <v>-16.129046320675375</v>
      </c>
      <c r="U179" s="175">
        <f>(180/PI())*IMARGUMENT(S179)</f>
        <v>108.50682394306503</v>
      </c>
      <c r="V179" s="175" t="str">
        <f>IMPRODUCT(M179,S179)</f>
        <v>0.00212019405067358-0.003071483873225i</v>
      </c>
      <c r="W179" s="176">
        <f>20*LOG(IMABS(V179))</f>
        <v>-48.560727035203143</v>
      </c>
      <c r="X179" s="175">
        <f>(180/PI())*IMARGUMENT(V179)</f>
        <v>-55.383329093001478</v>
      </c>
      <c r="Y179" s="175" t="str">
        <f>IMPRODUCT(P179,S179)</f>
        <v>0.00175158573610659-0.00302682664268573i</v>
      </c>
      <c r="Z179" s="176">
        <f>20*LOG(IMABS(Y179))</f>
        <v>-49.125830557930016</v>
      </c>
      <c r="AA179" s="175">
        <f>(180/PI())*IMARGUMENT(Y179)</f>
        <v>-59.942584287449655</v>
      </c>
    </row>
    <row r="180" spans="6:27" x14ac:dyDescent="0.25">
      <c r="F180" s="177">
        <v>178</v>
      </c>
      <c r="G180" s="175">
        <f>10^('Small Signal'!F180/30)</f>
        <v>857695.89859089628</v>
      </c>
      <c r="H180" s="175" t="str">
        <f>COMPLEX(0,G180*2*PI())</f>
        <v>5389062.26805451i</v>
      </c>
      <c r="I180" s="175">
        <f>IF('Small Signal'!$B$37&gt;=1,Q180+0,N180+0)</f>
        <v>-33.740742442151898</v>
      </c>
      <c r="J180" s="175">
        <f>IF('Small Signal'!$B$37&gt;=1,R180,O180)</f>
        <v>-164.2981296504453</v>
      </c>
      <c r="K180" s="175">
        <f>IF('Small Signal'!$B$37&gt;=1,Z180+0,W180+0)</f>
        <v>-50.468665398740541</v>
      </c>
      <c r="L180" s="175">
        <f>IF('Small Signal'!$B$37&gt;=1,AA180,X180)</f>
        <v>-57.063982502876144</v>
      </c>
      <c r="M180" s="175" t="str">
        <f>IMDIV(IMSUM('Small Signal'!$B$2*'Small Signal'!$B$16*'Small Signal'!$B$38,IMPRODUCT(H180,'Small Signal'!$B$2*'Small Signal'!$B$16*'Small Signal'!$B$38*'Small Signal'!$B$13*'Small Signal'!$B$14)),IMSUM(IMPRODUCT('Small Signal'!$B$11*'Small Signal'!$B$13*('Small Signal'!$B$14+'Small Signal'!$B$16),IMPOWER(H180,2)),IMSUM(IMPRODUCT(H180,('Small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-0.0197900158074449-0.00556341963648365i</v>
      </c>
      <c r="N180" s="175">
        <f>20*LOG(IMABS(M180))</f>
        <v>-33.740742442151898</v>
      </c>
      <c r="O180" s="175">
        <f>(180/PI())*IMARGUMENT(M180)</f>
        <v>-164.2981296504453</v>
      </c>
      <c r="P180" s="175" t="str">
        <f>IMDIV(IMSUM('Small Signal'!$B$48,IMPRODUCT(H180,'Small Signal'!$B$49)),IMSUM(IMPRODUCT('Small Signal'!$B$52,IMPOWER(H180,2)),IMSUM(IMPRODUCT(H180,'Small Signal'!$B$51),'Small Signal'!$B$50)))</f>
        <v>-0.0188490943836847-0.00382403461596612i</v>
      </c>
      <c r="Q180" s="175">
        <f>20*LOG(IMABS(P180))</f>
        <v>-34.319020496989147</v>
      </c>
      <c r="R180" s="175">
        <f>(180/PI())*IMARGUMENT(P180)</f>
        <v>-168.53169387654017</v>
      </c>
      <c r="S180" s="175" t="str">
        <f>IMPRODUCT(IMDIV(IMSUM(IMPRODUCT(H180,'Small Signal'!$B$33*'Small Signal'!$B$6*'Small Signal'!$B$27*'Small Signal'!$B$7*'Small Signal'!$B$8),'Small Signal'!$B$33*'Small Signal'!$B$6*'Small Signal'!$B$27),IMSUM(IMSUM(IMPRODUCT(H180,('Small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Signal'!$B$5),IMPRODUCT(IMPOWER(H180,2),'Small Signal'!$B$32*'Small Signal'!$B$33*'Small Signal'!$B$8*'Small Signal'!$B$7*('Small Signal'!$B$5+'Small Signal'!$B$6)+('Small Signal'!$B$5+'Small Signal'!$B$6)*('Small Signal'!$B$9*'Small Signal'!$B$8*'Small Signal'!$B$33*'Small Signal'!$B$7)))),-1)</f>
        <v>-0.0431819515934449+0.139204600027357i</v>
      </c>
      <c r="T180" s="175">
        <f>20*LOG(IMABS(S180))</f>
        <v>-16.72792295658865</v>
      </c>
      <c r="U180" s="175">
        <f>(180/PI())*IMARGUMENT(S180)</f>
        <v>107.23414714756908</v>
      </c>
      <c r="V180" s="175" t="str">
        <f>IMPRODUCT(M180,S180)</f>
        <v>0.00162902510991165-0.00251462191757378i</v>
      </c>
      <c r="W180" s="176">
        <f>20*LOG(IMABS(V180))</f>
        <v>-50.468665398740541</v>
      </c>
      <c r="X180" s="175">
        <f>(180/PI())*IMARGUMENT(V180)</f>
        <v>-57.063982502876144</v>
      </c>
      <c r="Y180" s="175" t="str">
        <f>IMPRODUCT(P180,S180)</f>
        <v>0.00134626389046288-0.00245875136688042i</v>
      </c>
      <c r="Z180" s="176">
        <f>20*LOG(IMABS(Y180))</f>
        <v>-51.046943453577796</v>
      </c>
      <c r="AA180" s="175">
        <f>(180/PI())*IMARGUMENT(Y180)</f>
        <v>-61.297546728971028</v>
      </c>
    </row>
    <row r="181" spans="6:27" x14ac:dyDescent="0.25">
      <c r="F181" s="177">
        <v>179</v>
      </c>
      <c r="G181" s="175">
        <f>10^('Small Signal'!F181/30)</f>
        <v>926118.72812879446</v>
      </c>
      <c r="H181" s="175" t="str">
        <f>COMPLEX(0,G181*2*PI())</f>
        <v>5818975.58528269i</v>
      </c>
      <c r="I181" s="175">
        <f>IF('Small Signal'!$B$37&gt;=1,Q181+0,N181+0)</f>
        <v>-35.05150438643382</v>
      </c>
      <c r="J181" s="175">
        <f>IF('Small Signal'!$B$37&gt;=1,R181,O181)</f>
        <v>-164.61803363187767</v>
      </c>
      <c r="K181" s="175">
        <f>IF('Small Signal'!$B$37&gt;=1,Z181+0,W181+0)</f>
        <v>-52.387092831278679</v>
      </c>
      <c r="L181" s="175">
        <f>IF('Small Signal'!$B$37&gt;=1,AA181,X181)</f>
        <v>-58.580660690177446</v>
      </c>
      <c r="M181" s="175" t="str">
        <f>IMDIV(IMSUM('Small Signal'!$B$2*'Small Signal'!$B$16*'Small Signal'!$B$38,IMPRODUCT(H181,'Small Signal'!$B$2*'Small Signal'!$B$16*'Small Signal'!$B$38*'Small Signal'!$B$13*'Small Signal'!$B$14)),IMSUM(IMPRODUCT('Small Signal'!$B$11*'Small Signal'!$B$13*('Small Signal'!$B$14+'Small Signal'!$B$16),IMPOWER(H181,2)),IMSUM(IMPRODUCT(H181,('Small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-0.0170444276229142-0.00468904636126029i</v>
      </c>
      <c r="N181" s="175">
        <f>20*LOG(IMABS(M181))</f>
        <v>-35.05150438643382</v>
      </c>
      <c r="O181" s="175">
        <f>(180/PI())*IMARGUMENT(M181)</f>
        <v>-164.61803363187767</v>
      </c>
      <c r="P181" s="175" t="str">
        <f>IMDIV(IMSUM('Small Signal'!$B$48,IMPRODUCT(H181,'Small Signal'!$B$49)),IMSUM(IMPRODUCT('Small Signal'!$B$52,IMPOWER(H181,2)),IMSUM(IMPRODUCT(H181,'Small Signal'!$B$51),'Small Signal'!$B$50)))</f>
        <v>-0.0161885942700672-0.00327956699711032i</v>
      </c>
      <c r="Q181" s="175">
        <f>20*LOG(IMABS(P181))</f>
        <v>-35.641140148546803</v>
      </c>
      <c r="R181" s="175">
        <f>(180/PI())*IMARGUMENT(P181)</f>
        <v>-168.5477233806981</v>
      </c>
      <c r="S181" s="175" t="str">
        <f>IMPRODUCT(IMDIV(IMSUM(IMPRODUCT(H181,'Small Signal'!$B$33*'Small Signal'!$B$6*'Small Signal'!$B$27*'Small Signal'!$B$7*'Small Signal'!$B$8),'Small Signal'!$B$33*'Small Signal'!$B$6*'Small Signal'!$B$27),IMSUM(IMSUM(IMPRODUCT(H181,('Small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Signal'!$B$5),IMPRODUCT(IMPOWER(H181,2),'Small Signal'!$B$32*'Small Signal'!$B$33*'Small Signal'!$B$8*'Small Signal'!$B$7*('Small Signal'!$B$5+'Small Signal'!$B$6)+('Small Signal'!$B$5+'Small Signal'!$B$6)*('Small Signal'!$B$9*'Small Signal'!$B$8*'Small Signal'!$B$33*'Small Signal'!$B$7)))),-1)</f>
        <v>-0.0375444166084725+0.130611339964151i</v>
      </c>
      <c r="T181" s="175">
        <f>20*LOG(IMABS(S181))</f>
        <v>-17.335588444844852</v>
      </c>
      <c r="U181" s="175">
        <f>(180/PI())*IMARGUMENT(S181)</f>
        <v>106.03737294170016</v>
      </c>
      <c r="V181" s="175" t="str">
        <f>IMPRODUCT(M181,S181)</f>
        <v>0.00125236571992588-0.00205014802066721i</v>
      </c>
      <c r="W181" s="176">
        <f>20*LOG(IMABS(V181))</f>
        <v>-52.387092831278679</v>
      </c>
      <c r="X181" s="175">
        <f>(180/PI())*IMARGUMENT(V181)</f>
        <v>-58.580660690177446</v>
      </c>
      <c r="Y181" s="175" t="str">
        <f>IMPRODUCT(P181,S181)</f>
        <v>0.00103613996757572-0.00199128456011455i</v>
      </c>
      <c r="Z181" s="176">
        <f>20*LOG(IMABS(Y181))</f>
        <v>-52.976728593391648</v>
      </c>
      <c r="AA181" s="175">
        <f>(180/PI())*IMARGUMENT(Y181)</f>
        <v>-62.510350438997968</v>
      </c>
    </row>
    <row r="182" spans="6:27" x14ac:dyDescent="0.25">
      <c r="F182" s="177">
        <v>180</v>
      </c>
      <c r="G182" s="175">
        <f>10^('Small Signal'!F182/30)</f>
        <v>1000000</v>
      </c>
      <c r="H182" s="175" t="str">
        <f>COMPLEX(0,G182*2*PI())</f>
        <v>6283185.30717959i</v>
      </c>
      <c r="I182" s="175">
        <f>IF('Small Signal'!$B$37&gt;=1,Q182+0,N182+0)</f>
        <v>-36.363464847851105</v>
      </c>
      <c r="J182" s="175">
        <f>IF('Small Signal'!$B$37&gt;=1,R182,O182)</f>
        <v>-164.85120047079155</v>
      </c>
      <c r="K182" s="175">
        <f>IF('Small Signal'!$B$37&gt;=1,Z182+0,W182+0)</f>
        <v>-54.314466226206726</v>
      </c>
      <c r="L182" s="175">
        <f>IF('Small Signal'!$B$37&gt;=1,AA182,X182)</f>
        <v>-59.936978610347765</v>
      </c>
      <c r="M182" s="175" t="str">
        <f>IMDIV(IMSUM('Small Signal'!$B$2*'Small Signal'!$B$16*'Small Signal'!$B$38,IMPRODUCT(H182,'Small Signal'!$B$2*'Small Signal'!$B$16*'Small Signal'!$B$38*'Small Signal'!$B$13*'Small Signal'!$B$14)),IMSUM(IMPRODUCT('Small Signal'!$B$11*'Small Signal'!$B$13*('Small Signal'!$B$14+'Small Signal'!$B$16),IMPOWER(H182,2)),IMSUM(IMPRODUCT(H182,('Small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-0.0146712375983095-0.00397201219918744i</v>
      </c>
      <c r="N182" s="175">
        <f>20*LOG(IMABS(M182))</f>
        <v>-36.363464847851105</v>
      </c>
      <c r="O182" s="175">
        <f>(180/PI())*IMARGUMENT(M182)</f>
        <v>-164.85120047079155</v>
      </c>
      <c r="P182" s="175" t="str">
        <f>IMDIV(IMSUM('Small Signal'!$B$48,IMPRODUCT(H182,'Small Signal'!$B$49)),IMSUM(IMPRODUCT('Small Signal'!$B$52,IMPOWER(H182,2)),IMSUM(IMPRODUCT(H182,'Small Signal'!$B$51),'Small Signal'!$B$50)))</f>
        <v>-0.0139009620178994-0.0028287720547044i</v>
      </c>
      <c r="Q182" s="175">
        <f>20*LOG(IMABS(P182))</f>
        <v>-36.962885047295615</v>
      </c>
      <c r="R182" s="175">
        <f>(180/PI())*IMARGUMENT(P182)</f>
        <v>-168.49766736861329</v>
      </c>
      <c r="S182" s="175" t="str">
        <f>IMPRODUCT(IMDIV(IMSUM(IMPRODUCT(H182,'Small Signal'!$B$33*'Small Signal'!$B$6*'Small Signal'!$B$27*'Small Signal'!$B$7*'Small Signal'!$B$8),'Small Signal'!$B$33*'Small Signal'!$B$6*'Small Signal'!$B$27),IMSUM(IMSUM(IMPRODUCT(H182,('Small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Signal'!$B$5),IMPRODUCT(IMPOWER(H182,2),'Small Signal'!$B$32*'Small Signal'!$B$33*'Small Signal'!$B$8*'Small Signal'!$B$7*('Small Signal'!$B$5+'Small Signal'!$B$6)+('Small Signal'!$B$5+'Small Signal'!$B$6)*('Small Signal'!$B$9*'Small Signal'!$B$8*'Small Signal'!$B$33*'Small Signal'!$B$7)))),-1)</f>
        <v>-0.0325845957827784+0.122339698190891i</v>
      </c>
      <c r="T182" s="175">
        <f>20*LOG(IMABS(S182))</f>
        <v>-17.95100137835562</v>
      </c>
      <c r="U182" s="175">
        <f>(180/PI())*IMARGUMENT(S182)</f>
        <v>104.91422186044379</v>
      </c>
      <c r="V182" s="175" t="str">
        <f>IMPRODUCT(M182,S182)</f>
        <v>0.000963991120433144-0.00166544836790925i</v>
      </c>
      <c r="W182" s="176">
        <f>20*LOG(IMABS(V182))</f>
        <v>-54.314466226206726</v>
      </c>
      <c r="X182" s="175">
        <f>(180/PI())*IMARGUMENT(V182)</f>
        <v>-59.936978610347765</v>
      </c>
      <c r="Y182" s="175" t="str">
        <f>IMPRODUCT(P182,S182)</f>
        <v>0.00079902834776837-0.00160846510386869i</v>
      </c>
      <c r="Z182" s="176">
        <f>20*LOG(IMABS(Y182))</f>
        <v>-54.913886425651235</v>
      </c>
      <c r="AA182" s="175">
        <f>(180/PI())*IMARGUMENT(Y182)</f>
        <v>-63.583445508169518</v>
      </c>
    </row>
    <row r="183" spans="6:27" x14ac:dyDescent="0.25">
      <c r="F183" s="177">
        <v>181</v>
      </c>
      <c r="G183" s="175">
        <f>10^('Small Signal'!F183/30)</f>
        <v>1079775.1623277115</v>
      </c>
      <c r="H183" s="175" t="str">
        <f>COMPLEX(0,G183*2*PI())</f>
        <v>6784427.43499493i</v>
      </c>
      <c r="I183" s="175">
        <f>IF('Small Signal'!$B$37&gt;=1,Q183+0,N183+0)</f>
        <v>-37.676145067423398</v>
      </c>
      <c r="J183" s="175">
        <f>IF('Small Signal'!$B$37&gt;=1,R183,O183)</f>
        <v>-164.99865040456106</v>
      </c>
      <c r="K183" s="175">
        <f>IF('Small Signal'!$B$37&gt;=1,Z183+0,W183+0)</f>
        <v>-56.249364320959671</v>
      </c>
      <c r="L183" s="175">
        <f>IF('Small Signal'!$B$37&gt;=1,AA183,X183)</f>
        <v>-61.136635487613752</v>
      </c>
      <c r="M183" s="175" t="str">
        <f>IMDIV(IMSUM('Small Signal'!$B$2*'Small Signal'!$B$16*'Small Signal'!$B$38,IMPRODUCT(H183,'Small Signal'!$B$2*'Small Signal'!$B$16*'Small Signal'!$B$38*'Small Signal'!$B$13*'Small Signal'!$B$14)),IMSUM(IMPRODUCT('Small Signal'!$B$11*'Small Signal'!$B$13*('Small Signal'!$B$14+'Small Signal'!$B$16),IMPOWER(H183,2)),IMSUM(IMPRODUCT(H183,('Small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-0.0126221629791759-0.003382417038755i</v>
      </c>
      <c r="N183" s="175">
        <f>20*LOG(IMABS(M183))</f>
        <v>-37.676145067423398</v>
      </c>
      <c r="O183" s="175">
        <f>(180/PI())*IMARGUMENT(M183)</f>
        <v>-164.99865040456106</v>
      </c>
      <c r="P183" s="175" t="str">
        <f>IMDIV(IMSUM('Small Signal'!$B$48,IMPRODUCT(H183,'Small Signal'!$B$49)),IMSUM(IMPRODUCT('Small Signal'!$B$52,IMPOWER(H183,2)),IMSUM(IMPRODUCT(H183,'Small Signal'!$B$51),'Small Signal'!$B$50)))</f>
        <v>-0.0119346407271583-0.00245387212835869i</v>
      </c>
      <c r="Q183" s="175">
        <f>20*LOG(IMABS(P183))</f>
        <v>-38.283989170105244</v>
      </c>
      <c r="R183" s="175">
        <f>(180/PI())*IMARGUMENT(P183)</f>
        <v>-168.38138000713252</v>
      </c>
      <c r="S183" s="175" t="str">
        <f>IMPRODUCT(IMDIV(IMSUM(IMPRODUCT(H183,'Small Signal'!$B$33*'Small Signal'!$B$6*'Small Signal'!$B$27*'Small Signal'!$B$7*'Small Signal'!$B$8),'Small Signal'!$B$33*'Small Signal'!$B$6*'Small Signal'!$B$27),IMSUM(IMSUM(IMPRODUCT(H183,('Small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Signal'!$B$5),IMPRODUCT(IMPOWER(H183,2),'Small Signal'!$B$32*'Small Signal'!$B$33*'Small Signal'!$B$8*'Small Signal'!$B$7*('Small Signal'!$B$5+'Small Signal'!$B$6)+('Small Signal'!$B$5+'Small Signal'!$B$6)*('Small Signal'!$B$9*'Small Signal'!$B$8*'Small Signal'!$B$33*'Small Signal'!$B$7)))),-1)</f>
        <v>-0.0282356405399739+0.11442017113712i</v>
      </c>
      <c r="T183" s="175">
        <f>20*LOG(IMABS(S183))</f>
        <v>-18.57321925353628</v>
      </c>
      <c r="U183" s="175">
        <f>(180/PI())*IMARGUMENT(S183)</f>
        <v>103.86201491694736</v>
      </c>
      <c r="V183" s="175" t="str">
        <f>IMPRODUCT(M183,S183)</f>
        <v>0.000743411593148434-0.00134872533653536i</v>
      </c>
      <c r="W183" s="176">
        <f>20*LOG(IMABS(V183))</f>
        <v>-56.249364320959671</v>
      </c>
      <c r="X183" s="175">
        <f>(180/PI())*IMARGUMENT(V183)</f>
        <v>-61.136635487613752</v>
      </c>
      <c r="Y183" s="175" t="str">
        <f>IMPRODUCT(P183,S183)</f>
        <v>0.000617754694421185-0.0012962769831141i</v>
      </c>
      <c r="Z183" s="176">
        <f>20*LOG(IMABS(Y183))</f>
        <v>-56.857208423641509</v>
      </c>
      <c r="AA183" s="175">
        <f>(180/PI())*IMARGUMENT(Y183)</f>
        <v>-64.519365090185175</v>
      </c>
    </row>
    <row r="184" spans="6:27" x14ac:dyDescent="0.25">
      <c r="F184" s="177">
        <v>182</v>
      </c>
      <c r="G184" s="175">
        <f>10^('Small Signal'!F184/30)</f>
        <v>1165914.4011798317</v>
      </c>
      <c r="H184" s="175" t="str">
        <f>COMPLEX(0,G184*2*PI())</f>
        <v>7325656.2349222i</v>
      </c>
      <c r="I184" s="175">
        <f>IF('Small Signal'!$B$37&gt;=1,Q184+0,N184+0)</f>
        <v>-38.989080226961541</v>
      </c>
      <c r="J184" s="175">
        <f>IF('Small Signal'!$B$37&gt;=1,R184,O184)</f>
        <v>-165.06107828125263</v>
      </c>
      <c r="K184" s="175">
        <f>IF('Small Signal'!$B$37&gt;=1,Z184+0,W184+0)</f>
        <v>-58.190475615164765</v>
      </c>
      <c r="L184" s="175">
        <f>IF('Small Signal'!$B$37&gt;=1,AA184,X184)</f>
        <v>-62.183291390357134</v>
      </c>
      <c r="M184" s="175" t="str">
        <f>IMDIV(IMSUM('Small Signal'!$B$2*'Small Signal'!$B$16*'Small Signal'!$B$38,IMPRODUCT(H184,'Small Signal'!$B$2*'Small Signal'!$B$16*'Small Signal'!$B$38*'Small Signal'!$B$13*'Small Signal'!$B$14)),IMSUM(IMPRODUCT('Small Signal'!$B$11*'Small Signal'!$B$13*('Small Signal'!$B$14+'Small Signal'!$B$16),IMPOWER(H184,2)),IMSUM(IMPRODUCT(H184,('Small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-0.0108545932392409-0.0028960810737863i</v>
      </c>
      <c r="N184" s="175">
        <f>20*LOG(IMABS(M184))</f>
        <v>-38.989080226961541</v>
      </c>
      <c r="O184" s="175">
        <f>(180/PI())*IMARGUMENT(M184)</f>
        <v>-165.06107828125263</v>
      </c>
      <c r="P184" s="175" t="str">
        <f>IMDIV(IMSUM('Small Signal'!$B$48,IMPRODUCT(H184,'Small Signal'!$B$49)),IMSUM(IMPRODUCT('Small Signal'!$B$52,IMPOWER(H184,2)),IMSUM(IMPRODUCT(H184,'Small Signal'!$B$51),'Small Signal'!$B$50)))</f>
        <v>-0.0102450170015729-0.00214059312492632i</v>
      </c>
      <c r="Q184" s="175">
        <f>20*LOG(IMABS(P184))</f>
        <v>-39.604173030207278</v>
      </c>
      <c r="R184" s="175">
        <f>(180/PI())*IMARGUMENT(P184)</f>
        <v>-168.19840546490013</v>
      </c>
      <c r="S184" s="175" t="str">
        <f>IMPRODUCT(IMDIV(IMSUM(IMPRODUCT(H184,'Small Signal'!$B$33*'Small Signal'!$B$6*'Small Signal'!$B$27*'Small Signal'!$B$7*'Small Signal'!$B$8),'Small Signal'!$B$33*'Small Signal'!$B$6*'Small Signal'!$B$27),IMSUM(IMSUM(IMPRODUCT(H184,('Small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Signal'!$B$5),IMPRODUCT(IMPOWER(H184,2),'Small Signal'!$B$32*'Small Signal'!$B$33*'Small Signal'!$B$8*'Small Signal'!$B$7*('Small Signal'!$B$5+'Small Signal'!$B$6)+('Small Signal'!$B$5+'Small Signal'!$B$6)*('Small Signal'!$B$9*'Small Signal'!$B$8*'Small Signal'!$B$33*'Small Signal'!$B$7)))),-1)</f>
        <v>-0.0244335243698058+0.10687275133461i</v>
      </c>
      <c r="T184" s="175">
        <f>20*LOG(IMABS(S184))</f>
        <v>-19.201395388203217</v>
      </c>
      <c r="U184" s="175">
        <f>(180/PI())*IMARGUMENT(S184)</f>
        <v>102.87778689089552</v>
      </c>
      <c r="V184" s="175" t="str">
        <f>IMPRODUCT(M184,S184)</f>
        <v>0.000574728120878955-0.00108929877660244i</v>
      </c>
      <c r="W184" s="176">
        <f>20*LOG(IMABS(V184))</f>
        <v>-58.190475615164765</v>
      </c>
      <c r="X184" s="175">
        <f>(180/PI())*IMARGUMENT(V184)</f>
        <v>-62.183291390357134</v>
      </c>
      <c r="Y184" s="175" t="str">
        <f>IMPRODUCT(P184,S184)</f>
        <v>0.000479092949325832-0.00104261092014423i</v>
      </c>
      <c r="Z184" s="176">
        <f>20*LOG(IMABS(Y184))</f>
        <v>-58.805568418410473</v>
      </c>
      <c r="AA184" s="175">
        <f>(180/PI())*IMARGUMENT(Y184)</f>
        <v>-65.320618574004726</v>
      </c>
    </row>
    <row r="185" spans="6:27" x14ac:dyDescent="0.25">
      <c r="F185" s="177">
        <v>183</v>
      </c>
      <c r="G185" s="175">
        <f>10^('Small Signal'!F185/30)</f>
        <v>1258925.4117941677</v>
      </c>
      <c r="H185" s="175" t="str">
        <f>COMPLEX(0,G185*2*PI())</f>
        <v>7910061.65022012i</v>
      </c>
      <c r="I185" s="175">
        <f>IF('Small Signal'!$B$37&gt;=1,Q185+0,N185+0)</f>
        <v>-40.301810523465193</v>
      </c>
      <c r="J185" s="175">
        <f>IF('Small Signal'!$B$37&gt;=1,R185,O185)</f>
        <v>-165.03884965156877</v>
      </c>
      <c r="K185" s="175">
        <f>IF('Small Signal'!$B$37&gt;=1,Z185+0,W185+0)</f>
        <v>-60.13658456786527</v>
      </c>
      <c r="L185" s="175">
        <f>IF('Small Signal'!$B$37&gt;=1,AA185,X185)</f>
        <v>-63.080466676366257</v>
      </c>
      <c r="M185" s="175" t="str">
        <f>IMDIV(IMSUM('Small Signal'!$B$2*'Small Signal'!$B$16*'Small Signal'!$B$38,IMPRODUCT(H185,'Small Signal'!$B$2*'Small Signal'!$B$16*'Small Signal'!$B$38*'Small Signal'!$B$13*'Small Signal'!$B$14)),IMSUM(IMPRODUCT('Small Signal'!$B$11*'Small Signal'!$B$13*('Small Signal'!$B$14+'Small Signal'!$B$16),IMPOWER(H185,2)),IMSUM(IMPRODUCT(H185,('Small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-0.00933108293233748-0.0024934761289798i</v>
      </c>
      <c r="N185" s="175">
        <f>20*LOG(IMABS(M185))</f>
        <v>-40.301810523465193</v>
      </c>
      <c r="O185" s="175">
        <f>(180/PI())*IMARGUMENT(M185)</f>
        <v>-165.03884965156877</v>
      </c>
      <c r="P185" s="175" t="str">
        <f>IMDIV(IMSUM('Small Signal'!$B$48,IMPRODUCT(H185,'Small Signal'!$B$49)),IMSUM(IMPRODUCT('Small Signal'!$B$52,IMPOWER(H185,2)),IMSUM(IMPRODUCT(H185,'Small Signal'!$B$51),'Small Signal'!$B$50)))</f>
        <v>-0.00879353525611409-0.00187746874227034i</v>
      </c>
      <c r="Q185" s="175">
        <f>20*LOG(IMABS(P185))</f>
        <v>-40.923137921211165</v>
      </c>
      <c r="R185" s="175">
        <f>(180/PI())*IMARGUMENT(P185)</f>
        <v>-167.94798642074656</v>
      </c>
      <c r="S185" s="175" t="str">
        <f>IMPRODUCT(IMDIV(IMSUM(IMPRODUCT(H185,'Small Signal'!$B$33*'Small Signal'!$B$6*'Small Signal'!$B$27*'Small Signal'!$B$7*'Small Signal'!$B$8),'Small Signal'!$B$33*'Small Signal'!$B$6*'Small Signal'!$B$27),IMSUM(IMSUM(IMPRODUCT(H185,('Small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Signal'!$B$5),IMPRODUCT(IMPOWER(H185,2),'Small Signal'!$B$32*'Small Signal'!$B$33*'Small Signal'!$B$8*'Small Signal'!$B$7*('Small Signal'!$B$5+'Small Signal'!$B$6)+('Small Signal'!$B$5+'Small Signal'!$B$6)*('Small Signal'!$B$9*'Small Signal'!$B$8*'Small Signal'!$B$33*'Small Signal'!$B$7)))),-1)</f>
        <v>-0.0211180332197182+0.0997086011355356i</v>
      </c>
      <c r="T185" s="175">
        <f>20*LOG(IMABS(S185))</f>
        <v>-19.834774044400085</v>
      </c>
      <c r="U185" s="175">
        <f>(180/PI())*IMARGUMENT(S185)</f>
        <v>101.95838297520251</v>
      </c>
      <c r="V185" s="175" t="str">
        <f>IMPRODUCT(M185,S185)</f>
        <v>0.000445675136126475-0.000877731914538672i</v>
      </c>
      <c r="W185" s="176">
        <f>20*LOG(IMABS(V185))</f>
        <v>-60.13658456786527</v>
      </c>
      <c r="X185" s="175">
        <f>(180/PI())*IMARGUMENT(V185)</f>
        <v>-63.080466676366257</v>
      </c>
      <c r="Y185" s="175" t="str">
        <f>IMPRODUCT(P185,S185)</f>
        <v>0.00037290195162485-0.000837142652154902i</v>
      </c>
      <c r="Z185" s="176">
        <f>20*LOG(IMABS(Y185))</f>
        <v>-60.757911965611235</v>
      </c>
      <c r="AA185" s="175">
        <f>(180/PI())*IMARGUMENT(Y185)</f>
        <v>-65.989603445544006</v>
      </c>
    </row>
    <row r="186" spans="6:27" x14ac:dyDescent="0.25">
      <c r="F186" s="177">
        <v>184</v>
      </c>
      <c r="G186" s="175">
        <f>10^('Small Signal'!F186/30)</f>
        <v>1359356.3908785288</v>
      </c>
      <c r="H186" s="175" t="str">
        <f>COMPLEX(0,G186*2*PI())</f>
        <v>8541088.10238864i</v>
      </c>
      <c r="I186" s="175">
        <f>IF('Small Signal'!$B$37&gt;=1,Q186+0,N186+0)</f>
        <v>-41.613872277660334</v>
      </c>
      <c r="J186" s="175">
        <f>IF('Small Signal'!$B$37&gt;=1,R186,O186)</f>
        <v>-164.93200280916253</v>
      </c>
      <c r="K186" s="175">
        <f>IF('Small Signal'!$B$37&gt;=1,Z186+0,W186+0)</f>
        <v>-62.086556665459469</v>
      </c>
      <c r="L186" s="175">
        <f>IF('Small Signal'!$B$37&gt;=1,AA186,X186)</f>
        <v>-63.831463366238395</v>
      </c>
      <c r="M186" s="175" t="str">
        <f>IMDIV(IMSUM('Small Signal'!$B$2*'Small Signal'!$B$16*'Small Signal'!$B$38,IMPRODUCT(H186,'Small Signal'!$B$2*'Small Signal'!$B$16*'Small Signal'!$B$38*'Small Signal'!$B$13*'Small Signal'!$B$14)),IMSUM(IMPRODUCT('Small Signal'!$B$11*'Small Signal'!$B$13*('Small Signal'!$B$14+'Small Signal'!$B$16),IMPOWER(H186,2)),IMSUM(IMPRODUCT(H186,('Small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-0.00801884340922978-0.00215884568523069i</v>
      </c>
      <c r="N186" s="175">
        <f>20*LOG(IMABS(M186))</f>
        <v>-41.613872277660334</v>
      </c>
      <c r="O186" s="175">
        <f>(180/PI())*IMARGUMENT(M186)</f>
        <v>-164.93200280916253</v>
      </c>
      <c r="P186" s="175" t="str">
        <f>IMDIV(IMSUM('Small Signal'!$B$48,IMPRODUCT(H186,'Small Signal'!$B$49)),IMSUM(IMPRODUCT('Small Signal'!$B$52,IMPOWER(H186,2)),IMSUM(IMPRODUCT(H186,'Small Signal'!$B$51),'Small Signal'!$B$50)))</f>
        <v>-0.00754691156459038-0.00165528170895822i</v>
      </c>
      <c r="Q186" s="175">
        <f>20*LOG(IMABS(P186))</f>
        <v>-42.240559927063678</v>
      </c>
      <c r="R186" s="175">
        <f>(180/PI())*IMARGUMENT(P186)</f>
        <v>-167.6290751233106</v>
      </c>
      <c r="S186" s="175" t="str">
        <f>IMPRODUCT(IMDIV(IMSUM(IMPRODUCT(H186,'Small Signal'!$B$33*'Small Signal'!$B$6*'Small Signal'!$B$27*'Small Signal'!$B$7*'Small Signal'!$B$8),'Small Signal'!$B$33*'Small Signal'!$B$6*'Small Signal'!$B$27),IMSUM(IMSUM(IMPRODUCT(H186,('Small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Signal'!$B$5),IMPRODUCT(IMPOWER(H186,2),'Small Signal'!$B$32*'Small Signal'!$B$33*'Small Signal'!$B$8*'Small Signal'!$B$7*('Small Signal'!$B$5+'Small Signal'!$B$6)+('Small Signal'!$B$5+'Small Signal'!$B$6)*('Small Signal'!$B$9*'Small Signal'!$B$8*'Small Signal'!$B$33*'Small Signal'!$B$7)))),-1)</f>
        <v>-0.0182333685560857+0.0929316248355582i</v>
      </c>
      <c r="T186" s="175">
        <f>20*LOG(IMABS(S186))</f>
        <v>-20.472684387799134</v>
      </c>
      <c r="U186" s="175">
        <f>(180/PI())*IMARGUMENT(S186)</f>
        <v>101.10053944292416</v>
      </c>
      <c r="V186" s="175" t="str">
        <f>IMPRODUCT(M186,S186)</f>
        <v>0.000346835564571747-0.000705841118287104i</v>
      </c>
      <c r="W186" s="176">
        <f>20*LOG(IMABS(V186))</f>
        <v>-62.086556665459469</v>
      </c>
      <c r="X186" s="175">
        <f>(180/PI())*IMARGUMENT(V186)</f>
        <v>-63.831463366238395</v>
      </c>
      <c r="Y186" s="175" t="str">
        <f>IMPRODUCT(P186,S186)</f>
        <v>0.000291433638791429-0.000671165392724066i</v>
      </c>
      <c r="Z186" s="176">
        <f>20*LOG(IMABS(Y186))</f>
        <v>-62.713244314862806</v>
      </c>
      <c r="AA186" s="175">
        <f>(180/PI())*IMARGUMENT(Y186)</f>
        <v>-66.528535680386426</v>
      </c>
    </row>
    <row r="187" spans="6:27" x14ac:dyDescent="0.25">
      <c r="F187" s="177">
        <v>185</v>
      </c>
      <c r="G187" s="175">
        <f>10^('Small Signal'!F187/30)</f>
        <v>1467799.2676220734</v>
      </c>
      <c r="H187" s="175" t="str">
        <f>COMPLEX(0,G187*2*PI())</f>
        <v>9222454.79221197i</v>
      </c>
      <c r="I187" s="175">
        <f>IF('Small Signal'!$B$37&gt;=1,Q187+0,N187+0)</f>
        <v>-42.924789031634411</v>
      </c>
      <c r="J187" s="175">
        <f>IF('Small Signal'!$B$37&gt;=1,R187,O187)</f>
        <v>-164.74025678702367</v>
      </c>
      <c r="K187" s="175">
        <f>IF('Small Signal'!$B$37&gt;=1,Z187+0,W187+0)</f>
        <v>-64.039322822692469</v>
      </c>
      <c r="L187" s="175">
        <f>IF('Small Signal'!$B$37&gt;=1,AA187,X187)</f>
        <v>-64.439307212455645</v>
      </c>
      <c r="M187" s="175" t="str">
        <f>IMDIV(IMSUM('Small Signal'!$B$2*'Small Signal'!$B$16*'Small Signal'!$B$38,IMPRODUCT(H187,'Small Signal'!$B$2*'Small Signal'!$B$16*'Small Signal'!$B$38*'Small Signal'!$B$13*'Small Signal'!$B$14)),IMSUM(IMPRODUCT('Small Signal'!$B$11*'Small Signal'!$B$13*('Small Signal'!$B$14+'Small Signal'!$B$16),IMPOWER(H187,2)),IMSUM(IMPRODUCT(H187,('Small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-0.00688925080976051-0.00187948400842027i</v>
      </c>
      <c r="N187" s="175">
        <f>20*LOG(IMABS(M187))</f>
        <v>-42.924789031634411</v>
      </c>
      <c r="O187" s="175">
        <f>(180/PI())*IMARGUMENT(M187)</f>
        <v>-164.74025678702367</v>
      </c>
      <c r="P187" s="175" t="str">
        <f>IMDIV(IMSUM('Small Signal'!$B$48,IMPRODUCT(H187,'Small Signal'!$B$49)),IMSUM(IMPRODUCT('Small Signal'!$B$52,IMPOWER(H187,2)),IMSUM(IMPRODUCT(H187,'Small Signal'!$B$51),'Small Signal'!$B$50)))</f>
        <v>-0.00647643967858729-0.00146661564139477i</v>
      </c>
      <c r="Q187" s="175">
        <f>20*LOG(IMABS(P187))</f>
        <v>-43.556083646372599</v>
      </c>
      <c r="R187" s="175">
        <f>(180/PI())*IMARGUMENT(P187)</f>
        <v>-167.24034767690921</v>
      </c>
      <c r="S187" s="175" t="str">
        <f>IMPRODUCT(IMDIV(IMSUM(IMPRODUCT(H187,'Small Signal'!$B$33*'Small Signal'!$B$6*'Small Signal'!$B$27*'Small Signal'!$B$7*'Small Signal'!$B$8),'Small Signal'!$B$33*'Small Signal'!$B$6*'Small Signal'!$B$27),IMSUM(IMSUM(IMPRODUCT(H187,('Small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Signal'!$B$5),IMPRODUCT(IMPOWER(H187,2),'Small Signal'!$B$32*'Small Signal'!$B$33*'Small Signal'!$B$8*'Small Signal'!$B$7*('Small Signal'!$B$5+'Small Signal'!$B$6)+('Small Signal'!$B$5+'Small Signal'!$B$6)*('Small Signal'!$B$9*'Small Signal'!$B$8*'Small Signal'!$B$33*'Small Signal'!$B$7)))),-1)</f>
        <v>-0.015728445778096+0.0865398939382091i</v>
      </c>
      <c r="T187" s="175">
        <f>20*LOG(IMABS(S187))</f>
        <v>-21.114533791058069</v>
      </c>
      <c r="U187" s="175">
        <f>(180/PI())*IMARGUMENT(S187)</f>
        <v>100.30094957456808</v>
      </c>
      <c r="V187" s="175" t="str">
        <f>IMPRODUCT(M187,S187)</f>
        <v>0.000271007554560272-0.000566633672073159i</v>
      </c>
      <c r="W187" s="176">
        <f>20*LOG(IMABS(V187))</f>
        <v>-64.039322822692469</v>
      </c>
      <c r="X187" s="175">
        <f>(180/PI())*IMARGUMENT(V187)</f>
        <v>-64.439307212455645</v>
      </c>
      <c r="Y187" s="175" t="str">
        <f>IMPRODUCT(P187,S187)</f>
        <v>0.000228785092374192-0.000537402818289168i</v>
      </c>
      <c r="Z187" s="176">
        <f>20*LOG(IMABS(Y187))</f>
        <v>-64.67061743743065</v>
      </c>
      <c r="AA187" s="175">
        <f>(180/PI())*IMARGUMENT(Y187)</f>
        <v>-66.939398102341102</v>
      </c>
    </row>
    <row r="188" spans="6:27" x14ac:dyDescent="0.25">
      <c r="F188" s="177">
        <v>186</v>
      </c>
      <c r="G188" s="175">
        <f>10^('Small Signal'!F188/30)</f>
        <v>1584893.1924611153</v>
      </c>
      <c r="H188" s="175" t="str">
        <f>COMPLEX(0,G188*2*PI())</f>
        <v>9958177.62032063i</v>
      </c>
      <c r="I188" s="175">
        <f>IF('Small Signal'!$B$37&gt;=1,Q188+0,N188+0)</f>
        <v>-44.234062595855406</v>
      </c>
      <c r="J188" s="175">
        <f>IF('Small Signal'!$B$37&gt;=1,R188,O188)</f>
        <v>-164.46302560520132</v>
      </c>
      <c r="K188" s="175">
        <f>IF('Small Signal'!$B$37&gt;=1,Z188+0,W188+0)</f>
        <v>-65.993863468542557</v>
      </c>
      <c r="L188" s="175">
        <f>IF('Small Signal'!$B$37&gt;=1,AA188,X188)</f>
        <v>-64.906709200946139</v>
      </c>
      <c r="M188" s="175" t="str">
        <f>IMDIV(IMSUM('Small Signal'!$B$2*'Small Signal'!$B$16*'Small Signal'!$B$38,IMPRODUCT(H188,'Small Signal'!$B$2*'Small Signal'!$B$16*'Small Signal'!$B$38*'Small Signal'!$B$13*'Small Signal'!$B$14)),IMSUM(IMPRODUCT('Small Signal'!$B$11*'Small Signal'!$B$13*('Small Signal'!$B$14+'Small Signal'!$B$16),IMPOWER(H188,2)),IMSUM(IMPRODUCT(H188,('Small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-0.0059173814495227-0.00164514816987021i</v>
      </c>
      <c r="N188" s="175">
        <f>20*LOG(IMABS(M188))</f>
        <v>-44.234062595855406</v>
      </c>
      <c r="O188" s="175">
        <f>(180/PI())*IMARGUMENT(M188)</f>
        <v>-164.46302560520132</v>
      </c>
      <c r="P188" s="175" t="str">
        <f>IMDIV(IMSUM('Small Signal'!$B$48,IMPRODUCT(H188,'Small Signal'!$B$49)),IMSUM(IMPRODUCT('Small Signal'!$B$52,IMPOWER(H188,2)),IMSUM(IMPRODUCT(H188,'Small Signal'!$B$51),'Small Signal'!$B$50)))</f>
        <v>-0.00555738117688199-0.0013054960026334i</v>
      </c>
      <c r="Q188" s="175">
        <f>20*LOG(IMABS(P188))</f>
        <v>-44.869315596304205</v>
      </c>
      <c r="R188" s="175">
        <f>(180/PI())*IMARGUMENT(P188)</f>
        <v>-166.78022240938026</v>
      </c>
      <c r="S188" s="175" t="str">
        <f>IMPRODUCT(IMDIV(IMSUM(IMPRODUCT(H188,'Small Signal'!$B$33*'Small Signal'!$B$6*'Small Signal'!$B$27*'Small Signal'!$B$7*'Small Signal'!$B$8),'Small Signal'!$B$33*'Small Signal'!$B$6*'Small Signal'!$B$27),IMSUM(IMSUM(IMPRODUCT(H188,('Small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Signal'!$B$5),IMPRODUCT(IMPOWER(H188,2),'Small Signal'!$B$32*'Small Signal'!$B$33*'Small Signal'!$B$8*'Small Signal'!$B$7*('Small Signal'!$B$5+'Small Signal'!$B$6)+('Small Signal'!$B$5+'Small Signal'!$B$6)*('Small Signal'!$B$9*'Small Signal'!$B$8*'Small Signal'!$B$33*'Small Signal'!$B$7)))),-1)</f>
        <v>-0.0135569624855563+0.0805269035991711i</v>
      </c>
      <c r="T188" s="175">
        <f>20*LOG(IMABS(S188))</f>
        <v>-21.759800872687151</v>
      </c>
      <c r="U188" s="175">
        <f>(180/PI())*IMARGUMENT(S188)</f>
        <v>99.556316404255199</v>
      </c>
      <c r="V188" s="175" t="str">
        <f>IMPRODUCT(M188,S188)</f>
        <v>0.000212700406405397-0.000454205193523126i</v>
      </c>
      <c r="W188" s="176">
        <f>20*LOG(IMABS(V188))</f>
        <v>-65.993863468542557</v>
      </c>
      <c r="X188" s="175">
        <f>(180/PI())*IMARGUMENT(V188)</f>
        <v>-64.906709200946139</v>
      </c>
      <c r="Y188" s="175" t="str">
        <f>IMPRODUCT(P188,S188)</f>
        <v>0.000180468758886089-0.000429820137961879i</v>
      </c>
      <c r="Z188" s="176">
        <f>20*LOG(IMABS(Y188))</f>
        <v>-66.629116468991356</v>
      </c>
      <c r="AA188" s="175">
        <f>(180/PI())*IMARGUMENT(Y188)</f>
        <v>-67.223906005125016</v>
      </c>
    </row>
    <row r="189" spans="6:27" x14ac:dyDescent="0.25">
      <c r="F189" s="177">
        <v>187</v>
      </c>
      <c r="G189" s="175">
        <f>10^('Small Signal'!F189/30)</f>
        <v>1711328.3041617833</v>
      </c>
      <c r="H189" s="175" t="str">
        <f>COMPLEX(0,G189*2*PI())</f>
        <v>10752592.8564699i</v>
      </c>
      <c r="I189" s="175">
        <f>IF('Small Signal'!$B$37&gt;=1,Q189+0,N189+0)</f>
        <v>-45.541164021864269</v>
      </c>
      <c r="J189" s="175">
        <f>IF('Small Signal'!$B$37&gt;=1,R189,O189)</f>
        <v>-164.09943934826111</v>
      </c>
      <c r="K189" s="175">
        <f>IF('Small Signal'!$B$37&gt;=1,Z189+0,W189+0)</f>
        <v>-67.949192583233511</v>
      </c>
      <c r="L189" s="175">
        <f>IF('Small Signal'!$B$37&gt;=1,AA189,X189)</f>
        <v>-65.236045379462141</v>
      </c>
      <c r="M189" s="175" t="str">
        <f>IMDIV(IMSUM('Small Signal'!$B$2*'Small Signal'!$B$16*'Small Signal'!$B$38,IMPRODUCT(H189,'Small Signal'!$B$2*'Small Signal'!$B$16*'Small Signal'!$B$38*'Small Signal'!$B$13*'Small Signal'!$B$14)),IMSUM(IMPRODUCT('Small Signal'!$B$11*'Small Signal'!$B$13*('Small Signal'!$B$14+'Small Signal'!$B$16),IMPOWER(H189,2)),IMSUM(IMPRODUCT(H189,('Small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-0.00508158107472556-0.00144758020657495i</v>
      </c>
      <c r="N189" s="175">
        <f>20*LOG(IMABS(M189))</f>
        <v>-45.541164021864269</v>
      </c>
      <c r="O189" s="175">
        <f>(180/PI())*IMARGUMENT(M189)</f>
        <v>-164.09943934826111</v>
      </c>
      <c r="P189" s="175" t="str">
        <f>IMDIV(IMSUM('Small Signal'!$B$48,IMPRODUCT(H189,'Small Signal'!$B$49)),IMSUM(IMPRODUCT('Small Signal'!$B$52,IMPOWER(H189,2)),IMSUM(IMPRODUCT(H189,'Small Signal'!$B$51),'Small Signal'!$B$50)))</f>
        <v>-0.00476843155536052-0.00116710269435067i</v>
      </c>
      <c r="Q189" s="175">
        <f>20*LOG(IMABS(P189))</f>
        <v>-46.179817284758691</v>
      </c>
      <c r="R189" s="175">
        <f>(180/PI())*IMARGUMENT(P189)</f>
        <v>-166.24688336541664</v>
      </c>
      <c r="S189" s="175" t="str">
        <f>IMPRODUCT(IMDIV(IMSUM(IMPRODUCT(H189,'Small Signal'!$B$33*'Small Signal'!$B$6*'Small Signal'!$B$27*'Small Signal'!$B$7*'Small Signal'!$B$8),'Small Signal'!$B$33*'Small Signal'!$B$6*'Small Signal'!$B$27),IMSUM(IMSUM(IMPRODUCT(H189,('Small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Signal'!$B$5),IMPRODUCT(IMPOWER(H189,2),'Small Signal'!$B$32*'Small Signal'!$B$33*'Small Signal'!$B$8*'Small Signal'!$B$7*('Small Signal'!$B$5+'Small Signal'!$B$6)+('Small Signal'!$B$5+'Small Signal'!$B$6)*('Small Signal'!$B$9*'Small Signal'!$B$8*'Small Signal'!$B$33*'Small Signal'!$B$7)))),-1)</f>
        <v>-0.0116773003233418+0.074882654988287i</v>
      </c>
      <c r="T189" s="175">
        <f>20*LOG(IMABS(S189))</f>
        <v>-22.408028561369242</v>
      </c>
      <c r="U189" s="175">
        <f>(180/PI())*IMARGUMENT(S189)</f>
        <v>98.863393968798917</v>
      </c>
      <c r="V189" s="175" t="str">
        <f>IMPRODUCT(M189,S189)</f>
        <v>0.000167737797503806-0.000363618453599382i</v>
      </c>
      <c r="W189" s="176">
        <f>20*LOG(IMABS(V189))</f>
        <v>-67.949192583233511</v>
      </c>
      <c r="X189" s="175">
        <f>(180/PI())*IMARGUMENT(V189)</f>
        <v>-65.236045379462141</v>
      </c>
      <c r="Y189" s="175" t="str">
        <f>IMPRODUCT(P189,S189)</f>
        <v>0.000143078155740206-0.000343444206325208i</v>
      </c>
      <c r="Z189" s="176">
        <f>20*LOG(IMABS(Y189))</f>
        <v>-68.587845846127948</v>
      </c>
      <c r="AA189" s="175">
        <f>(180/PI())*IMARGUMENT(Y189)</f>
        <v>-67.383489396617705</v>
      </c>
    </row>
    <row r="190" spans="6:27" x14ac:dyDescent="0.25">
      <c r="F190" s="177">
        <v>188</v>
      </c>
      <c r="G190" s="175">
        <f>10^('Small Signal'!F190/30)</f>
        <v>1847849.797422294</v>
      </c>
      <c r="H190" s="175" t="str">
        <f>COMPLEX(0,G190*2*PI())</f>
        <v>11610382.6970385i</v>
      </c>
      <c r="I190" s="175">
        <f>IF('Small Signal'!$B$37&gt;=1,Q190+0,N190+0)</f>
        <v>-46.845524504443745</v>
      </c>
      <c r="J190" s="175">
        <f>IF('Small Signal'!$B$37&gt;=1,R190,O190)</f>
        <v>-163.64837292324674</v>
      </c>
      <c r="K190" s="175">
        <f>IF('Small Signal'!$B$37&gt;=1,Z190+0,W190+0)</f>
        <v>-69.904341894988477</v>
      </c>
      <c r="L190" s="175">
        <f>IF('Small Signal'!$B$37&gt;=1,AA190,X190)</f>
        <v>-65.429354187583129</v>
      </c>
      <c r="M190" s="175" t="str">
        <f>IMDIV(IMSUM('Small Signal'!$B$2*'Small Signal'!$B$16*'Small Signal'!$B$38,IMPRODUCT(H190,'Small Signal'!$B$2*'Small Signal'!$B$16*'Small Signal'!$B$38*'Small Signal'!$B$13*'Small Signal'!$B$14)),IMSUM(IMPRODUCT('Small Signal'!$B$11*'Small Signal'!$B$13*('Small Signal'!$B$14+'Small Signal'!$B$16),IMPOWER(H190,2)),IMSUM(IMPRODUCT(H190,('Small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-0.0043630711138382-0.00128011997846074i</v>
      </c>
      <c r="N190" s="175">
        <f>20*LOG(IMABS(M190))</f>
        <v>-46.845524504443745</v>
      </c>
      <c r="O190" s="175">
        <f>(180/PI())*IMARGUMENT(M190)</f>
        <v>-163.64837292324674</v>
      </c>
      <c r="P190" s="175" t="str">
        <f>IMDIV(IMSUM('Small Signal'!$B$48,IMPRODUCT(H190,'Small Signal'!$B$49)),IMSUM(IMPRODUCT('Small Signal'!$B$52,IMPOWER(H190,2)),IMSUM(IMPRODUCT(H190,'Small Signal'!$B$51),'Small Signal'!$B$50)))</f>
        <v>-0.00409125426389156-0.00104754014529028i</v>
      </c>
      <c r="Q190" s="175">
        <f>20*LOG(IMABS(P190))</f>
        <v>-47.487097971604612</v>
      </c>
      <c r="R190" s="175">
        <f>(180/PI())*IMARGUMENT(P190)</f>
        <v>-165.63831015816663</v>
      </c>
      <c r="S190" s="175" t="str">
        <f>IMPRODUCT(IMDIV(IMSUM(IMPRODUCT(H190,'Small Signal'!$B$33*'Small Signal'!$B$6*'Small Signal'!$B$27*'Small Signal'!$B$7*'Small Signal'!$B$8),'Small Signal'!$B$33*'Small Signal'!$B$6*'Small Signal'!$B$27),IMSUM(IMSUM(IMPRODUCT(H190,('Small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Signal'!$B$5),IMPRODUCT(IMPOWER(H190,2),'Small Signal'!$B$32*'Small Signal'!$B$33*'Small Signal'!$B$8*'Small Signal'!$B$7*('Small Signal'!$B$5+'Small Signal'!$B$6)+('Small Signal'!$B$5+'Small Signal'!$B$6)*('Small Signal'!$B$9*'Small Signal'!$B$8*'Small Signal'!$B$33*'Small Signal'!$B$7)))),-1)</f>
        <v>-0.0100523126878717+0.0695945694712884i</v>
      </c>
      <c r="T190" s="175">
        <f>20*LOG(IMABS(S190))</f>
        <v>-23.058817390544721</v>
      </c>
      <c r="U190" s="175">
        <f>(180/PI())*IMARGUMENT(S190)</f>
        <v>98.219018735663653</v>
      </c>
      <c r="V190" s="175" t="str">
        <f>IMPRODUCT(M190,S190)</f>
        <v>0.000132948353888292-0.000290777889438705i</v>
      </c>
      <c r="W190" s="176">
        <f>20*LOG(IMABS(V190))</f>
        <v>-69.904341894988477</v>
      </c>
      <c r="X190" s="175">
        <f>(180/PI())*IMARGUMENT(V190)</f>
        <v>-65.429354187583129</v>
      </c>
      <c r="Y190" s="175" t="str">
        <f>IMPRODUCT(P190,S190)</f>
        <v>0.000114029672561594-0.00027419887799955i</v>
      </c>
      <c r="Z190" s="176">
        <f>20*LOG(IMABS(Y190))</f>
        <v>-70.54591536214933</v>
      </c>
      <c r="AA190" s="175">
        <f>(180/PI())*IMARGUMENT(Y190)</f>
        <v>-67.419291422503051</v>
      </c>
    </row>
    <row r="191" spans="6:27" x14ac:dyDescent="0.25">
      <c r="F191" s="177">
        <v>189</v>
      </c>
      <c r="G191" s="175">
        <f>10^('Small Signal'!F191/30)</f>
        <v>1995262.31496888</v>
      </c>
      <c r="H191" s="175" t="str">
        <f>COMPLEX(0,G191*2*PI())</f>
        <v>12536602.8613816i</v>
      </c>
      <c r="I191" s="175">
        <f>IF('Small Signal'!$B$37&gt;=1,Q191+0,N191+0)</f>
        <v>-48.146526257403863</v>
      </c>
      <c r="J191" s="175">
        <f>IF('Small Signal'!$B$37&gt;=1,R191,O191)</f>
        <v>-163.10848360019068</v>
      </c>
      <c r="K191" s="175">
        <f>IF('Small Signal'!$B$37&gt;=1,Z191+0,W191+0)</f>
        <v>-71.858345416843406</v>
      </c>
      <c r="L191" s="175">
        <f>IF('Small Signal'!$B$37&gt;=1,AA191,X191)</f>
        <v>-65.488350808505288</v>
      </c>
      <c r="M191" s="175" t="str">
        <f>IMDIV(IMSUM('Small Signal'!$B$2*'Small Signal'!$B$16*'Small Signal'!$B$38,IMPRODUCT(H191,'Small Signal'!$B$2*'Small Signal'!$B$16*'Small Signal'!$B$38*'Small Signal'!$B$13*'Small Signal'!$B$14)),IMSUM(IMPRODUCT('Small Signal'!$B$11*'Small Signal'!$B$13*('Small Signal'!$B$14+'Small Signal'!$B$16),IMPOWER(H191,2)),IMSUM(IMPRODUCT(H191,('Small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-0.00374559271438456-0.00113739231204527i</v>
      </c>
      <c r="N191" s="175">
        <f>20*LOG(IMABS(M191))</f>
        <v>-48.146526257403863</v>
      </c>
      <c r="O191" s="175">
        <f>(180/PI())*IMARGUMENT(M191)</f>
        <v>-163.10848360019068</v>
      </c>
      <c r="P191" s="175" t="str">
        <f>IMDIV(IMSUM('Small Signal'!$B$48,IMPRODUCT(H191,'Small Signal'!$B$49)),IMSUM(IMPRODUCT('Small Signal'!$B$52,IMPOWER(H191,2)),IMSUM(IMPRODUCT(H191,'Small Signal'!$B$51),'Small Signal'!$B$50)))</f>
        <v>-0.00351007511004039-0.000943653486947106i</v>
      </c>
      <c r="Q191" s="175">
        <f>20*LOG(IMABS(P191))</f>
        <v>-48.7906071825184</v>
      </c>
      <c r="R191" s="175">
        <f>(180/PI())*IMARGUMENT(P191)</f>
        <v>-164.95231559202028</v>
      </c>
      <c r="S191" s="175" t="str">
        <f>IMPRODUCT(IMDIV(IMSUM(IMPRODUCT(H191,'Small Signal'!$B$33*'Small Signal'!$B$6*'Small Signal'!$B$27*'Small Signal'!$B$7*'Small Signal'!$B$8),'Small Signal'!$B$33*'Small Signal'!$B$6*'Small Signal'!$B$27),IMSUM(IMSUM(IMPRODUCT(H191,('Small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Signal'!$B$5),IMPRODUCT(IMPOWER(H191,2),'Small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-0.00864903969217972+0.0646482473347012i</v>
      </c>
      <c r="T191" s="175">
        <f>20*LOG(IMABS(S191))</f>
        <v>-23.711819159439528</v>
      </c>
      <c r="U191" s="175">
        <f>(180/PI())*IMARGUMENT(S191)</f>
        <v>97.620132791685464</v>
      </c>
      <c r="V191" s="175" t="str">
        <f>IMPRODUCT(M191,S191)</f>
        <v>0.000105926199563141-0.000232308652962128i</v>
      </c>
      <c r="W191" s="176">
        <f>20*LOG(IMABS(V191))</f>
        <v>-71.858345416843406</v>
      </c>
      <c r="X191" s="175">
        <f>(180/PI())*IMARGUMENT(V191)</f>
        <v>-65.488350808505288</v>
      </c>
      <c r="Y191" s="175" t="str">
        <f>IMPRODUCT(P191,S191)</f>
        <v>0.0000913643229716812-0.000218758507413i</v>
      </c>
      <c r="Z191" s="176">
        <f>20*LOG(IMABS(Y191))</f>
        <v>-72.502426341957943</v>
      </c>
      <c r="AA191" s="175">
        <f>(180/PI())*IMARGUMENT(Y191)</f>
        <v>-67.332182800334806</v>
      </c>
    </row>
    <row r="192" spans="6:27" x14ac:dyDescent="0.25">
      <c r="F192" s="177">
        <v>190</v>
      </c>
      <c r="G192" s="175">
        <f>10^('Small Signal'!F192/30)</f>
        <v>2154434.6900318847</v>
      </c>
      <c r="H192" s="175" t="str">
        <f>COMPLEX(0,G192*2*PI())</f>
        <v>13536712.3896863i</v>
      </c>
      <c r="I192" s="175">
        <f>IF('Small Signal'!$B$37&gt;=1,Q192+0,N192+0)</f>
        <v>-49.443493461848533</v>
      </c>
      <c r="J192" s="175">
        <f>IF('Small Signal'!$B$37&gt;=1,R192,O192)</f>
        <v>-162.4782586510843</v>
      </c>
      <c r="K192" s="175">
        <f>IF('Small Signal'!$B$37&gt;=1,Z192+0,W192+0)</f>
        <v>-73.81022450506849</v>
      </c>
      <c r="L192" s="175">
        <f>IF('Small Signal'!$B$37&gt;=1,AA192,X192)</f>
        <v>-65.414458420215254</v>
      </c>
      <c r="M192" s="175" t="str">
        <f>IMDIV(IMSUM('Small Signal'!$B$2*'Small Signal'!$B$16*'Small Signal'!$B$38,IMPRODUCT(H192,'Small Signal'!$B$2*'Small Signal'!$B$16*'Small Signal'!$B$38*'Small Signal'!$B$13*'Small Signal'!$B$14)),IMSUM(IMPRODUCT('Small Signal'!$B$11*'Small Signal'!$B$13*('Small Signal'!$B$14+'Small Signal'!$B$16),IMPOWER(H192,2)),IMSUM(IMPRODUCT(H192,('Small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-0.00321508777398463-0.00101505471638458i</v>
      </c>
      <c r="N192" s="175">
        <f>20*LOG(IMABS(M192))</f>
        <v>-49.443493461848533</v>
      </c>
      <c r="O192" s="175">
        <f>(180/PI())*IMARGUMENT(M192)</f>
        <v>-162.4782586510843</v>
      </c>
      <c r="P192" s="175" t="str">
        <f>IMDIV(IMSUM('Small Signal'!$B$48,IMPRODUCT(H192,'Small Signal'!$B$49)),IMSUM(IMPRODUCT('Small Signal'!$B$52,IMPOWER(H192,2)),IMSUM(IMPRODUCT(H192,'Small Signal'!$B$51),'Small Signal'!$B$50)))</f>
        <v>-0.00301132998837633-0.00085288162960959i</v>
      </c>
      <c r="Q192" s="175">
        <f>20*LOG(IMABS(P192))</f>
        <v>-50.089727094629552</v>
      </c>
      <c r="R192" s="175">
        <f>(180/PI())*IMARGUMENT(P192)</f>
        <v>-164.1865926233601</v>
      </c>
      <c r="S192" s="175" t="str">
        <f>IMPRODUCT(IMDIV(IMSUM(IMPRODUCT(H192,'Small Signal'!$B$33*'Small Signal'!$B$6*'Small Signal'!$B$27*'Small Signal'!$B$7*'Small Signal'!$B$8),'Small Signal'!$B$33*'Small Signal'!$B$6*'Small Signal'!$B$27),IMSUM(IMSUM(IMPRODUCT(H192,('Small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Signal'!$B$5),IMPRODUCT(IMPOWER(H192,2),'Small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-0.00743838210242968+0.0600280873795974i</v>
      </c>
      <c r="T192" s="175">
        <f>20*LOG(IMABS(S192))</f>
        <v>-24.366731043219975</v>
      </c>
      <c r="U192" s="175">
        <f>(180/PI())*IMARGUMENT(S192)</f>
        <v>97.063800230869063</v>
      </c>
      <c r="V192" s="175" t="str">
        <f>IMPRODUCT(M192,S192)</f>
        <v>0.0000848468445659538-0.000185445204994483i</v>
      </c>
      <c r="W192" s="176">
        <f>20*LOG(IMABS(V192))</f>
        <v>-73.81022450506849</v>
      </c>
      <c r="X192" s="175">
        <f>(180/PI())*IMARGUMENT(V192)</f>
        <v>-65.414458420215254</v>
      </c>
      <c r="Y192" s="175" t="str">
        <f>IMPRODUCT(P192,S192)</f>
        <v>0.0000735962760767062-0.000174420320221877i</v>
      </c>
      <c r="Z192" s="176">
        <f>20*LOG(IMABS(Y192))</f>
        <v>-74.456458137849538</v>
      </c>
      <c r="AA192" s="175">
        <f>(180/PI())*IMARGUMENT(Y192)</f>
        <v>-67.122792392490979</v>
      </c>
    </row>
    <row r="193" spans="6:27" x14ac:dyDescent="0.25">
      <c r="F193" s="177">
        <v>191</v>
      </c>
      <c r="G193" s="175">
        <f>10^('Small Signal'!F193/30)</f>
        <v>2326305.067153628</v>
      </c>
      <c r="H193" s="175" t="str">
        <f>COMPLEX(0,G193*2*PI())</f>
        <v>14616605.8179571i</v>
      </c>
      <c r="I193" s="175">
        <f>IF('Small Signal'!$B$37&gt;=1,Q193+0,N193+0)</f>
        <v>-50.735683456453231</v>
      </c>
      <c r="J193" s="175">
        <f>IF('Small Signal'!$B$37&gt;=1,R193,O193)</f>
        <v>-161.75607455512855</v>
      </c>
      <c r="K193" s="175">
        <f>IF('Small Signal'!$B$37&gt;=1,Z193+0,W193+0)</f>
        <v>-75.75897365106367</v>
      </c>
      <c r="L193" s="175">
        <f>IF('Small Signal'!$B$37&gt;=1,AA193,X193)</f>
        <v>-65.208856542285858</v>
      </c>
      <c r="M193" s="175" t="str">
        <f>IMDIV(IMSUM('Small Signal'!$B$2*'Small Signal'!$B$16*'Small Signal'!$B$38,IMPRODUCT(H193,'Small Signal'!$B$2*'Small Signal'!$B$16*'Small Signal'!$B$38*'Small Signal'!$B$13*'Small Signal'!$B$14)),IMSUM(IMPRODUCT('Small Signal'!$B$11*'Small Signal'!$B$13*('Small Signal'!$B$14+'Small Signal'!$B$16),IMPOWER(H193,2)),IMSUM(IMPRODUCT(H193,('Small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-0.00275941516057547-0.000909594303213112i</v>
      </c>
      <c r="N193" s="175">
        <f>20*LOG(IMABS(M193))</f>
        <v>-50.735683456453231</v>
      </c>
      <c r="O193" s="175">
        <f>(180/PI())*IMARGUMENT(M193)</f>
        <v>-161.75607455512855</v>
      </c>
      <c r="P193" s="175" t="str">
        <f>IMDIV(IMSUM('Small Signal'!$B$48,IMPRODUCT(H193,'Small Signal'!$B$49)),IMSUM(IMPRODUCT('Small Signal'!$B$52,IMPOWER(H193,2)),IMSUM(IMPRODUCT(H193,'Small Signal'!$B$51),'Small Signal'!$B$50)))</f>
        <v>-0.00258335949446639-0.000773139855644084i</v>
      </c>
      <c r="Q193" s="175">
        <f>20*LOG(IMABS(P193))</f>
        <v>-51.383764983737976</v>
      </c>
      <c r="R193" s="175">
        <f>(180/PI())*IMARGUMENT(P193)</f>
        <v>-163.33877232792091</v>
      </c>
      <c r="S193" s="175" t="str">
        <f>IMPRODUCT(IMDIV(IMSUM(IMPRODUCT(H193,'Small Signal'!$B$33*'Small Signal'!$B$6*'Small Signal'!$B$27*'Small Signal'!$B$7*'Small Signal'!$B$8),'Small Signal'!$B$33*'Small Signal'!$B$6*'Small Signal'!$B$27),IMSUM(IMSUM(IMPRODUCT(H193,('Small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Signal'!$B$5),IMPRODUCT(IMPOWER(H193,2),'Small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-0.00639475775448007+0.0557177850521056i</v>
      </c>
      <c r="T193" s="175">
        <f>20*LOG(IMABS(S193))</f>
        <v>-25.02329019461046</v>
      </c>
      <c r="U193" s="175">
        <f>(180/PI())*IMARGUMENT(S193)</f>
        <v>96.547218012842748</v>
      </c>
      <c r="V193" s="175" t="str">
        <f>IMPRODUCT(M193,S193)</f>
        <v>0.0000683263713669678-0.000147931865562563i</v>
      </c>
      <c r="W193" s="176">
        <f>20*LOG(IMABS(V193))</f>
        <v>-75.75897365106367</v>
      </c>
      <c r="X193" s="175">
        <f>(180/PI())*IMARGUMENT(V193)</f>
        <v>-65.208856542285858</v>
      </c>
      <c r="Y193" s="175" t="str">
        <f>IMPRODUCT(P193,S193)</f>
        <v>0.0000595975984518417-0.000138995026937817i</v>
      </c>
      <c r="Z193" s="176">
        <f>20*LOG(IMABS(Y193))</f>
        <v>-76.407055178348429</v>
      </c>
      <c r="AA193" s="175">
        <f>(180/PI())*IMARGUMENT(Y193)</f>
        <v>-66.791554315078173</v>
      </c>
    </row>
    <row r="194" spans="6:27" x14ac:dyDescent="0.25">
      <c r="F194" s="177">
        <v>192</v>
      </c>
      <c r="G194" s="175">
        <f>10^('Small Signal'!F194/30)</f>
        <v>2511886.431509587</v>
      </c>
      <c r="H194" s="175" t="str">
        <f>COMPLEX(0,G194*2*PI())</f>
        <v>15782647.9197648i</v>
      </c>
      <c r="I194" s="175">
        <f>IF('Small Signal'!$B$37&gt;=1,Q194+0,N194+0)</f>
        <v>-52.022278426861661</v>
      </c>
      <c r="J194" s="175">
        <f>IF('Small Signal'!$B$37&gt;=1,R194,O194)</f>
        <v>-160.94026929339375</v>
      </c>
      <c r="K194" s="175">
        <f>IF('Small Signal'!$B$37&gt;=1,Z194+0,W194+0)</f>
        <v>-77.703547276741062</v>
      </c>
      <c r="L194" s="175">
        <f>IF('Small Signal'!$B$37&gt;=1,AA194,X194)</f>
        <v>-64.872546901725173</v>
      </c>
      <c r="M194" s="175" t="str">
        <f>IMDIV(IMSUM('Small Signal'!$B$2*'Small Signal'!$B$16*'Small Signal'!$B$38,IMPRODUCT(H194,'Small Signal'!$B$2*'Small Signal'!$B$16*'Small Signal'!$B$38*'Small Signal'!$B$13*'Small Signal'!$B$14)),IMSUM(IMPRODUCT('Small Signal'!$B$11*'Small Signal'!$B$13*('Small Signal'!$B$14+'Small Signal'!$B$16),IMPOWER(H194,2)),IMSUM(IMPRODUCT(H194,('Small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-0.00236809971407334-0.000818164550497654i</v>
      </c>
      <c r="N194" s="175">
        <f>20*LOG(IMABS(M194))</f>
        <v>-52.022278426861661</v>
      </c>
      <c r="O194" s="175">
        <f>(180/PI())*IMARGUMENT(M194)</f>
        <v>-160.94026929339375</v>
      </c>
      <c r="P194" s="175" t="str">
        <f>IMDIV(IMSUM('Small Signal'!$B$48,IMPRODUCT(H194,'Small Signal'!$B$49)),IMSUM(IMPRODUCT('Small Signal'!$B$52,IMPOWER(H194,2)),IMSUM(IMPRODUCT(H194,'Small Signal'!$B$51),'Small Signal'!$B$50)))</f>
        <v>-0.00221614460085668-0.000702726006186622i</v>
      </c>
      <c r="Q194" s="175">
        <f>20*LOG(IMABS(P194))</f>
        <v>-52.671946009677264</v>
      </c>
      <c r="R194" s="175">
        <f>(180/PI())*IMARGUMENT(P194)</f>
        <v>-162.40649455741203</v>
      </c>
      <c r="S194" s="175" t="str">
        <f>IMPRODUCT(IMDIV(IMSUM(IMPRODUCT(H194,'Small Signal'!$B$33*'Small Signal'!$B$6*'Small Signal'!$B$27*'Small Signal'!$B$7*'Small Signal'!$B$8),'Small Signal'!$B$33*'Small Signal'!$B$6*'Small Signal'!$B$27),IMSUM(IMSUM(IMPRODUCT(H194,('Small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Signal'!$B$5),IMPRODUCT(IMPOWER(H194,2),'Small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-0.00549575726503393+0.0517007266263784i</v>
      </c>
      <c r="T194" s="175">
        <f>20*LOG(IMABS(S194))</f>
        <v>-25.681268849879409</v>
      </c>
      <c r="U194" s="175">
        <f>(180/PI())*IMARGUMENT(S194)</f>
        <v>96.06772239166861</v>
      </c>
      <c r="V194" s="175" t="str">
        <f>IMPRODUCT(M194,S194)</f>
        <v>0.0000553142029686163-0.00011793604216892i</v>
      </c>
      <c r="W194" s="176">
        <f>20*LOG(IMABS(V194))</f>
        <v>-77.703547276741062</v>
      </c>
      <c r="X194" s="175">
        <f>(180/PI())*IMARGUMENT(V194)</f>
        <v>-64.872546901725173</v>
      </c>
      <c r="Y194" s="175" t="str">
        <f>IMPRODUCT(P194,S194)</f>
        <v>0.0000485108379296251-0.000110714274619587i</v>
      </c>
      <c r="Z194" s="176">
        <f>20*LOG(IMABS(Y194))</f>
        <v>-78.353214859556701</v>
      </c>
      <c r="AA194" s="175">
        <f>(180/PI())*IMARGUMENT(Y194)</f>
        <v>-66.33877216574335</v>
      </c>
    </row>
    <row r="195" spans="6:27" x14ac:dyDescent="0.25">
      <c r="F195" s="177">
        <v>193</v>
      </c>
      <c r="G195" s="175">
        <f>10^('Small Signal'!F195/30)</f>
        <v>2712272.5793320318</v>
      </c>
      <c r="H195" s="175" t="str">
        <f>COMPLEX(0,G195*2*PI())</f>
        <v>17041711.2195251i</v>
      </c>
      <c r="I195" s="175">
        <f>IF('Small Signal'!$B$37&gt;=1,Q195+0,N195+0)</f>
        <v>-53.30237795558628</v>
      </c>
      <c r="J195" s="175">
        <f>IF('Small Signal'!$B$37&gt;=1,R195,O195)</f>
        <v>-160.02922916867308</v>
      </c>
      <c r="K195" s="175">
        <f>IF('Small Signal'!$B$37&gt;=1,Z195+0,W195+0)</f>
        <v>-79.642847887033838</v>
      </c>
      <c r="L195" s="175">
        <f>IF('Small Signal'!$B$37&gt;=1,AA195,X195)</f>
        <v>-64.406437319502217</v>
      </c>
      <c r="M195" s="175" t="str">
        <f>IMDIV(IMSUM('Small Signal'!$B$2*'Small Signal'!$B$16*'Small Signal'!$B$38,IMPRODUCT(H195,'Small Signal'!$B$2*'Small Signal'!$B$16*'Small Signal'!$B$38*'Small Signal'!$B$13*'Small Signal'!$B$14)),IMSUM(IMPRODUCT('Small Signal'!$B$11*'Small Signal'!$B$13*('Small Signal'!$B$14+'Small Signal'!$B$16),IMPOWER(H195,2)),IMSUM(IMPRODUCT(H195,('Small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-0.00203211131226965-0.000738454243914989i</v>
      </c>
      <c r="N195" s="175">
        <f>20*LOG(IMABS(M195))</f>
        <v>-53.30237795558628</v>
      </c>
      <c r="O195" s="175">
        <f>(180/PI())*IMARGUMENT(M195)</f>
        <v>-160.02922916867308</v>
      </c>
      <c r="P195" s="175" t="str">
        <f>IMDIV(IMSUM('Small Signal'!$B$48,IMPRODUCT(H195,'Small Signal'!$B$49)),IMSUM(IMPRODUCT('Small Signal'!$B$52,IMPOWER(H195,2)),IMSUM(IMPRODUCT(H195,'Small Signal'!$B$51),'Small Signal'!$B$50)))</f>
        <v>-0.00190107817961487-0.000640245514784694i</v>
      </c>
      <c r="Q195" s="175">
        <f>20*LOG(IMABS(P195))</f>
        <v>-53.953406719485443</v>
      </c>
      <c r="R195" s="175">
        <f>(180/PI())*IMARGUMENT(P195)</f>
        <v>-161.38749284687214</v>
      </c>
      <c r="S195" s="175" t="str">
        <f>IMPRODUCT(IMDIV(IMSUM(IMPRODUCT(H195,'Small Signal'!$B$33*'Small Signal'!$B$6*'Small Signal'!$B$27*'Small Signal'!$B$7*'Small Signal'!$B$8),'Small Signal'!$B$33*'Small Signal'!$B$6*'Small Signal'!$B$27),IMSUM(IMSUM(IMPRODUCT(H195,('Small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Signal'!$B$5),IMPRODUCT(IMPOWER(H195,2),'Small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-0.00472181055834758+0.047960295887439i</v>
      </c>
      <c r="T195" s="175">
        <f>20*LOG(IMABS(S195))</f>
        <v>-26.340469931447565</v>
      </c>
      <c r="U195" s="175">
        <f>(180/PI())*IMARGUMENT(S195)</f>
        <v>95.622791849170866</v>
      </c>
      <c r="V195" s="175" t="str">
        <f>IMPRODUCT(M195,S195)</f>
        <v>0.0000450117286875103-0.00009397381876689i</v>
      </c>
      <c r="W195" s="176">
        <f>20*LOG(IMABS(V195))</f>
        <v>-79.642847887033838</v>
      </c>
      <c r="X195" s="175">
        <f>(180/PI())*IMARGUMENT(V195)</f>
        <v>-64.406437319502217</v>
      </c>
      <c r="Y195" s="175" t="str">
        <f>IMPRODUCT(P195,S195)</f>
        <v>0.0000396828953504293-0.000088153153967838i</v>
      </c>
      <c r="Z195" s="176">
        <f>20*LOG(IMABS(Y195))</f>
        <v>-80.293876650933015</v>
      </c>
      <c r="AA195" s="175">
        <f>(180/PI())*IMARGUMENT(Y195)</f>
        <v>-65.764700997701311</v>
      </c>
    </row>
    <row r="196" spans="6:27" x14ac:dyDescent="0.25">
      <c r="F196" s="177">
        <v>194</v>
      </c>
      <c r="G196" s="175">
        <f>10^('Small Signal'!F196/30)</f>
        <v>2928644.5646252413</v>
      </c>
      <c r="H196" s="175" t="str">
        <f>COMPLEX(0,G196*2*PI())</f>
        <v>18401216.4984047i</v>
      </c>
      <c r="I196" s="175">
        <f>IF('Small Signal'!$B$37&gt;=1,Q196+0,N196+0)</f>
        <v>-54.574992912302932</v>
      </c>
      <c r="J196" s="175">
        <f>IF('Small Signal'!$B$37&gt;=1,R196,O196)</f>
        <v>-159.0214912989197</v>
      </c>
      <c r="K196" s="175">
        <f>IF('Small Signal'!$B$37&gt;=1,Z196+0,W196+0)</f>
        <v>-81.575716037871729</v>
      </c>
      <c r="L196" s="175">
        <f>IF('Small Signal'!$B$37&gt;=1,AA196,X196)</f>
        <v>-63.811443984432636</v>
      </c>
      <c r="M196" s="175" t="str">
        <f>IMDIV(IMSUM('Small Signal'!$B$2*'Small Signal'!$B$16*'Small Signal'!$B$38,IMPRODUCT(H196,'Small Signal'!$B$2*'Small Signal'!$B$16*'Small Signal'!$B$38*'Small Signal'!$B$13*'Small Signal'!$B$14)),IMSUM(IMPRODUCT('Small Signal'!$B$11*'Small Signal'!$B$13*('Small Signal'!$B$14+'Small Signal'!$B$16),IMPOWER(H196,2)),IMSUM(IMPRODUCT(H196,('Small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-0.00174367117800616-0.000668582347785266i</v>
      </c>
      <c r="N196" s="175">
        <f>20*LOG(IMABS(M196))</f>
        <v>-54.574992912302932</v>
      </c>
      <c r="O196" s="175">
        <f>(180/PI())*IMARGUMENT(M196)</f>
        <v>-159.0214912989197</v>
      </c>
      <c r="P196" s="175" t="str">
        <f>IMDIV(IMSUM('Small Signal'!$B$48,IMPRODUCT(H196,'Small Signal'!$B$49)),IMSUM(IMPRODUCT('Small Signal'!$B$52,IMPOWER(H196,2)),IMSUM(IMPRODUCT(H196,'Small Signal'!$B$51),'Small Signal'!$B$50)))</f>
        <v>-0.00163076773420926-0.000584551489289738i</v>
      </c>
      <c r="Q196" s="175">
        <f>20*LOG(IMABS(P196))</f>
        <v>-55.227189765139961</v>
      </c>
      <c r="R196" s="175">
        <f>(180/PI())*IMARGUMENT(P196)</f>
        <v>-160.27969481934437</v>
      </c>
      <c r="S196" s="175" t="str">
        <f>IMPRODUCT(IMDIV(IMSUM(IMPRODUCT(H196,'Small Signal'!$B$33*'Small Signal'!$B$6*'Small Signal'!$B$27*'Small Signal'!$B$7*'Small Signal'!$B$8),'Small Signal'!$B$33*'Small Signal'!$B$6*'Small Signal'!$B$27),IMSUM(IMSUM(IMPRODUCT(H196,('Small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Signal'!$B$5),IMPRODUCT(IMPOWER(H196,2),'Small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-0.00405587165820774+0.0444801081938781i</v>
      </c>
      <c r="T196" s="175">
        <f>20*LOG(IMABS(S196))</f>
        <v>-27.00072312556879</v>
      </c>
      <c r="U196" s="175">
        <f>(180/PI())*IMARGUMENT(S196)</f>
        <v>95.210047314487028</v>
      </c>
      <c r="V196" s="175" t="str">
        <f>IMPRODUCT(M196,S196)</f>
        <v>0.0000368107216781146-0.0000748469984567006i</v>
      </c>
      <c r="W196" s="176">
        <f>20*LOG(IMABS(V196))</f>
        <v>-81.575716037871729</v>
      </c>
      <c r="X196" s="175">
        <f>(180/PI())*IMARGUMENT(V196)</f>
        <v>-63.811443984432636</v>
      </c>
      <c r="Y196" s="175" t="str">
        <f>IMPRODUCT(P196,S196)</f>
        <v>0.0000326150981227991-0.00007016585943854i</v>
      </c>
      <c r="Z196" s="176">
        <f>20*LOG(IMABS(Y196))</f>
        <v>-82.227912890708751</v>
      </c>
      <c r="AA196" s="175">
        <f>(180/PI())*IMARGUMENT(Y196)</f>
        <v>-65.069647504857357</v>
      </c>
    </row>
    <row r="197" spans="6:27" x14ac:dyDescent="0.25">
      <c r="F197" s="177">
        <v>195</v>
      </c>
      <c r="G197" s="175">
        <f>10^('Small Signal'!F197/30)</f>
        <v>3162277.6601683851</v>
      </c>
      <c r="H197" s="175" t="str">
        <f>COMPLEX(0,G197*2*PI())</f>
        <v>19869176.5315922i</v>
      </c>
      <c r="I197" s="175">
        <f>IF('Small Signal'!$B$37&gt;=1,Q197+0,N197+0)</f>
        <v>-55.839041291324214</v>
      </c>
      <c r="J197" s="175">
        <f>IF('Small Signal'!$B$37&gt;=1,R197,O197)</f>
        <v>-157.9158623792072</v>
      </c>
      <c r="K197" s="175">
        <f>IF('Small Signal'!$B$37&gt;=1,Z197+0,W197+0)</f>
        <v>-83.500922696253667</v>
      </c>
      <c r="L197" s="175">
        <f>IF('Small Signal'!$B$37&gt;=1,AA197,X197)</f>
        <v>-63.088612063693319</v>
      </c>
      <c r="M197" s="175" t="str">
        <f>IMDIV(IMSUM('Small Signal'!$B$2*'Small Signal'!$B$16*'Small Signal'!$B$38,IMPRODUCT(H197,'Small Signal'!$B$2*'Small Signal'!$B$16*'Small Signal'!$B$38*'Small Signal'!$B$13*'Small Signal'!$B$14)),IMSUM(IMPRODUCT('Small Signal'!$B$11*'Small Signal'!$B$13*('Small Signal'!$B$14+'Small Signal'!$B$16),IMPOWER(H197,2)),IMSUM(IMPRODUCT(H197,('Small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-0.00149608263600382-0.000607013731568111i</v>
      </c>
      <c r="N197" s="175">
        <f>20*LOG(IMABS(M197))</f>
        <v>-55.839041291324214</v>
      </c>
      <c r="O197" s="175">
        <f>(180/PI())*IMARGUMENT(M197)</f>
        <v>-157.9158623792072</v>
      </c>
      <c r="P197" s="175" t="str">
        <f>IMDIV(IMSUM('Small Signal'!$B$48,IMPRODUCT(H197,'Small Signal'!$B$49)),IMSUM(IMPRODUCT('Small Signal'!$B$52,IMPOWER(H197,2)),IMSUM(IMPRODUCT(H197,'Small Signal'!$B$51),'Small Signal'!$B$50)))</f>
        <v>-0.00139886524203325-0.000534696804750116i</v>
      </c>
      <c r="Q197" s="175">
        <f>20*LOG(IMABS(P197))</f>
        <v>-56.492240457990441</v>
      </c>
      <c r="R197" s="175">
        <f>(180/PI())*IMARGUMENT(P197)</f>
        <v>-159.08133875879977</v>
      </c>
      <c r="S197" s="175" t="str">
        <f>IMPRODUCT(IMDIV(IMSUM(IMPRODUCT(H197,'Small Signal'!$B$33*'Small Signal'!$B$6*'Small Signal'!$B$27*'Small Signal'!$B$7*'Small Signal'!$B$8),'Small Signal'!$B$33*'Small Signal'!$B$6*'Small Signal'!$B$27),IMSUM(IMSUM(IMPRODUCT(H197,('Small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Signal'!$B$5),IMPRODUCT(IMPOWER(H197,2),'Small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-0.00348312614535535+0.0412441850203352i</v>
      </c>
      <c r="T197" s="175">
        <f>20*LOG(IMABS(S197))</f>
        <v>-27.66188140492946</v>
      </c>
      <c r="U197" s="175">
        <f>(180/PI())*IMARGUMENT(S197)</f>
        <v>94.827250315513908</v>
      </c>
      <c r="V197" s="175" t="str">
        <f>IMPRODUCT(M197,S197)</f>
        <v>0.0000302468311997563-0.0000595904036460378i</v>
      </c>
      <c r="W197" s="176">
        <f>20*LOG(IMABS(V197))</f>
        <v>-83.500922696253667</v>
      </c>
      <c r="X197" s="175">
        <f>(180/PI())*IMARGUMENT(V197)</f>
        <v>-63.088612063693319</v>
      </c>
      <c r="Y197" s="175" t="str">
        <f>IMPRODUCT(P197,S197)</f>
        <v>0.0000269255580432507-0.0000558326404404723i</v>
      </c>
      <c r="Z197" s="176">
        <f>20*LOG(IMABS(Y197))</f>
        <v>-84.154121862919894</v>
      </c>
      <c r="AA197" s="175">
        <f>(180/PI())*IMARGUMENT(Y197)</f>
        <v>-64.254088443285866</v>
      </c>
    </row>
    <row r="198" spans="6:27" x14ac:dyDescent="0.25">
      <c r="F198" s="177">
        <v>196</v>
      </c>
      <c r="G198" s="175">
        <f>10^('Small Signal'!F198/30)</f>
        <v>3414548.8738336028</v>
      </c>
      <c r="H198" s="175" t="str">
        <f>COMPLEX(0,G198*2*PI())</f>
        <v>21454243.3147179i</v>
      </c>
      <c r="I198" s="175">
        <f>IF('Small Signal'!$B$37&gt;=1,Q198+0,N198+0)</f>
        <v>-57.093346727693174</v>
      </c>
      <c r="J198" s="175">
        <f>IF('Small Signal'!$B$37&gt;=1,R198,O198)</f>
        <v>-156.71155341956802</v>
      </c>
      <c r="K198" s="175">
        <f>IF('Small Signal'!$B$37&gt;=1,Z198+0,W198+0)</f>
        <v>-85.417164688948603</v>
      </c>
      <c r="L198" s="175">
        <f>IF('Small Signal'!$B$37&gt;=1,AA198,X198)</f>
        <v>-62.239253830177972</v>
      </c>
      <c r="M198" s="175" t="str">
        <f>IMDIV(IMSUM('Small Signal'!$B$2*'Small Signal'!$B$16*'Small Signal'!$B$38,IMPRODUCT(H198,'Small Signal'!$B$2*'Small Signal'!$B$16*'Small Signal'!$B$38*'Small Signal'!$B$13*'Small Signal'!$B$14)),IMSUM(IMPRODUCT('Small Signal'!$B$11*'Small Signal'!$B$13*('Small Signal'!$B$14+'Small Signal'!$B$16),IMPOWER(H198,2)),IMSUM(IMPRODUCT(H198,('Small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-0.00128358364729918-0.000552491645028886i</v>
      </c>
      <c r="N198" s="175">
        <f>20*LOG(IMABS(M198))</f>
        <v>-57.093346727693174</v>
      </c>
      <c r="O198" s="175">
        <f>(180/PI())*IMARGUMENT(M198)</f>
        <v>-156.71155341956802</v>
      </c>
      <c r="P198" s="175" t="str">
        <f>IMDIV(IMSUM('Small Signal'!$B$48,IMPRODUCT(H198,'Small Signal'!$B$49)),IMSUM(IMPRODUCT('Small Signal'!$B$52,IMPOWER(H198,2)),IMSUM(IMPRODUCT(H198,'Small Signal'!$B$51),'Small Signal'!$B$50)))</f>
        <v>-0.0011999205023977-0.000489895780822429i</v>
      </c>
      <c r="Q198" s="175">
        <f>20*LOG(IMABS(P198))</f>
        <v>-57.747405905158054</v>
      </c>
      <c r="R198" s="175">
        <f>(180/PI())*IMARGUMENT(P198)</f>
        <v>-157.79110611682768</v>
      </c>
      <c r="S198" s="175" t="str">
        <f>IMPRODUCT(IMDIV(IMSUM(IMPRODUCT(H198,'Small Signal'!$B$33*'Small Signal'!$B$6*'Small Signal'!$B$27*'Small Signal'!$B$7*'Small Signal'!$B$8),'Small Signal'!$B$33*'Small Signal'!$B$6*'Small Signal'!$B$27),IMSUM(IMSUM(IMPRODUCT(H198,('Small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Signal'!$B$5),IMPRODUCT(IMPOWER(H198,2),'Small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-0.00299072345723691+0.0382370802740504i</v>
      </c>
      <c r="T198" s="175">
        <f>20*LOG(IMABS(S198))</f>
        <v>-28.323817961255415</v>
      </c>
      <c r="U198" s="175">
        <f>(180/PI())*IMARGUMENT(S198)</f>
        <v>94.472299589390062</v>
      </c>
      <c r="V198" s="175" t="str">
        <f>IMPRODUCT(M198,S198)</f>
        <v>0.000024964511105015-0.0000474281412375218i</v>
      </c>
      <c r="W198" s="176">
        <f>20*LOG(IMABS(V198))</f>
        <v>-85.417164688948603</v>
      </c>
      <c r="X198" s="175">
        <f>(180/PI())*IMARGUMENT(V198)</f>
        <v>-62.239253830177972</v>
      </c>
      <c r="Y198" s="175" t="str">
        <f>IMPRODUCT(P198,S198)</f>
        <v>0.0000223208146905661-0.0000444163137693527i</v>
      </c>
      <c r="Z198" s="176">
        <f>20*LOG(IMABS(Y198))</f>
        <v>-86.071223866413476</v>
      </c>
      <c r="AA198" s="175">
        <f>(180/PI())*IMARGUMENT(Y198)</f>
        <v>-63.318806527437637</v>
      </c>
    </row>
    <row r="199" spans="6:27" x14ac:dyDescent="0.25">
      <c r="F199" s="177">
        <v>197</v>
      </c>
      <c r="G199" s="175">
        <f>10^('Small Signal'!F199/30)</f>
        <v>3686945.0645195777</v>
      </c>
      <c r="H199" s="175" t="str">
        <f>COMPLEX(0,G199*2*PI())</f>
        <v>23165759.0577677i</v>
      </c>
      <c r="I199" s="175">
        <f>IF('Small Signal'!$B$37&gt;=1,Q199+0,N199+0)</f>
        <v>-58.336640529125773</v>
      </c>
      <c r="J199" s="175">
        <f>IF('Small Signal'!$B$37&gt;=1,R199,O199)</f>
        <v>-155.40832888640904</v>
      </c>
      <c r="K199" s="175">
        <f>IF('Small Signal'!$B$37&gt;=1,Z199+0,W199+0)</f>
        <v>-87.323064040151735</v>
      </c>
      <c r="L199" s="175">
        <f>IF('Small Signal'!$B$37&gt;=1,AA199,X199)</f>
        <v>-61.265102308635136</v>
      </c>
      <c r="M199" s="175" t="str">
        <f>IMDIV(IMSUM('Small Signal'!$B$2*'Small Signal'!$B$16*'Small Signal'!$B$38,IMPRODUCT(H199,'Small Signal'!$B$2*'Small Signal'!$B$16*'Small Signal'!$B$38*'Small Signal'!$B$13*'Small Signal'!$B$14)),IMSUM(IMPRODUCT('Small Signal'!$B$11*'Small Signal'!$B$13*('Small Signal'!$B$14+'Small Signal'!$B$16),IMPOWER(H199,2)),IMSUM(IMPRODUCT(H199,('Small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-0.00110121862188934-0.000503983626841069i</v>
      </c>
      <c r="N199" s="175">
        <f>20*LOG(IMABS(M199))</f>
        <v>-58.336640529125773</v>
      </c>
      <c r="O199" s="175">
        <f>(180/PI())*IMARGUMENT(M199)</f>
        <v>-155.40832888640904</v>
      </c>
      <c r="P199" s="175" t="str">
        <f>IMDIV(IMSUM('Small Signal'!$B$48,IMPRODUCT(H199,'Small Signal'!$B$49)),IMSUM(IMPRODUCT('Small Signal'!$B$52,IMPOWER(H199,2)),IMSUM(IMPRODUCT(H199,'Small Signal'!$B$51),'Small Signal'!$B$50)))</f>
        <v>-0.00102925483152958-0.000449493506450765i</v>
      </c>
      <c r="Q199" s="175">
        <f>20*LOG(IMABS(P199))</f>
        <v>-58.9914375774799</v>
      </c>
      <c r="R199" s="175">
        <f>(180/PI())*IMARGUMENT(P199)</f>
        <v>-156.40826842472481</v>
      </c>
      <c r="S199" s="175" t="str">
        <f>IMPRODUCT(IMDIV(IMSUM(IMPRODUCT(H199,'Small Signal'!$B$33*'Small Signal'!$B$6*'Small Signal'!$B$27*'Small Signal'!$B$7*'Small Signal'!$B$8),'Small Signal'!$B$33*'Small Signal'!$B$6*'Small Signal'!$B$27),IMSUM(IMSUM(IMPRODUCT(H199,('Small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Signal'!$B$5),IMPRODUCT(IMPOWER(H199,2),'Small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-0.00256753463391187+0.0354439679626271i</v>
      </c>
      <c r="T199" s="175">
        <f>20*LOG(IMABS(S199))</f>
        <v>-28.986423511025951</v>
      </c>
      <c r="U199" s="175">
        <f>(180/PI())*IMARGUMENT(S199)</f>
        <v>94.143226577773987</v>
      </c>
      <c r="V199" s="175" t="str">
        <f>IMPRODUCT(M199,S199)</f>
        <v>0.000020690596474653-0.0000377375621372552i</v>
      </c>
      <c r="W199" s="176">
        <f>20*LOG(IMABS(V199))</f>
        <v>-87.323064040151735</v>
      </c>
      <c r="X199" s="175">
        <f>(180/PI())*IMARGUMENT(V199)</f>
        <v>-61.265102308635136</v>
      </c>
      <c r="Y199" s="175" t="str">
        <f>IMPRODUCT(P199,S199)</f>
        <v>0.0000185744808691232-0.0000353267851285828i</v>
      </c>
      <c r="Z199" s="176">
        <f>20*LOG(IMABS(Y199))</f>
        <v>-87.977861088505847</v>
      </c>
      <c r="AA199" s="175">
        <f>(180/PI())*IMARGUMENT(Y199)</f>
        <v>-62.265041846950801</v>
      </c>
    </row>
    <row r="200" spans="6:27" x14ac:dyDescent="0.25">
      <c r="F200" s="177">
        <v>198</v>
      </c>
      <c r="G200" s="175">
        <f>10^('Small Signal'!F200/30)</f>
        <v>3981071.705534976</v>
      </c>
      <c r="H200" s="175" t="str">
        <f>COMPLEX(0,G200*2*PI())</f>
        <v>25013811.2470457i</v>
      </c>
      <c r="I200" s="175">
        <f>IF('Small Signal'!$B$37&gt;=1,Q200+0,N200+0)</f>
        <v>-59.567568124579786</v>
      </c>
      <c r="J200" s="175">
        <f>IF('Small Signal'!$B$37&gt;=1,R200,O200)</f>
        <v>-154.00666697444396</v>
      </c>
      <c r="K200" s="175">
        <f>IF('Small Signal'!$B$37&gt;=1,Z200+0,W200+0)</f>
        <v>-89.217172061910361</v>
      </c>
      <c r="L200" s="175">
        <f>IF('Small Signal'!$B$37&gt;=1,AA200,X200)</f>
        <v>-60.1684768271992</v>
      </c>
      <c r="M200" s="175" t="str">
        <f>IMDIV(IMSUM('Small Signal'!$B$2*'Small Signal'!$B$16*'Small Signal'!$B$38,IMPRODUCT(H200,'Small Signal'!$B$2*'Small Signal'!$B$16*'Small Signal'!$B$38*'Small Signal'!$B$13*'Small Signal'!$B$14)),IMSUM(IMPRODUCT('Small Signal'!$B$11*'Small Signal'!$B$13*('Small Signal'!$B$14+'Small Signal'!$B$16),IMPOWER(H200,2)),IMSUM(IMPRODUCT(H200,('Small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-0.000944727211026557-0.000460638176499925i</v>
      </c>
      <c r="N200" s="175">
        <f>20*LOG(IMABS(M200))</f>
        <v>-59.567568124579786</v>
      </c>
      <c r="O200" s="175">
        <f>(180/PI())*IMARGUMENT(M200)</f>
        <v>-154.00666697444396</v>
      </c>
      <c r="P200" s="175" t="str">
        <f>IMDIV(IMSUM('Small Signal'!$B$48,IMPRODUCT(H200,'Small Signal'!$B$49)),IMSUM(IMPRODUCT('Small Signal'!$B$52,IMPOWER(H200,2)),IMSUM(IMPRODUCT(H200,'Small Signal'!$B$51),'Small Signal'!$B$50)))</f>
        <v>-0.000882852346604764-0.000412941265988487i</v>
      </c>
      <c r="Q200" s="175">
        <f>20*LOG(IMABS(P200))</f>
        <v>-60.222998220734638</v>
      </c>
      <c r="R200" s="175">
        <f>(180/PI())*IMARGUMENT(P200)</f>
        <v>-154.93284537056473</v>
      </c>
      <c r="S200" s="175" t="str">
        <f>IMPRODUCT(IMDIV(IMSUM(IMPRODUCT(H200,'Small Signal'!$B$33*'Small Signal'!$B$6*'Small Signal'!$B$27*'Small Signal'!$B$7*'Small Signal'!$B$8),'Small Signal'!$B$33*'Small Signal'!$B$6*'Small Signal'!$B$27),IMSUM(IMSUM(IMPRODUCT(H200,('Small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Signal'!$B$5),IMPRODUCT(IMPOWER(H200,2),'Small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-0.00220393504068956+0.0328506992243852i</v>
      </c>
      <c r="T200" s="175">
        <f>20*LOG(IMABS(S200))</f>
        <v>-29.649603937330582</v>
      </c>
      <c r="U200" s="175">
        <f>(180/PI())*IMARGUMENT(S200)</f>
        <v>93.838190147244845</v>
      </c>
      <c r="V200" s="175" t="str">
        <f>IMPRODUCT(M200,S200)</f>
        <v>0.0000172144035917426-0.0000300197328402582i</v>
      </c>
      <c r="W200" s="176">
        <f>20*LOG(IMABS(V200))</f>
        <v>-89.217172061910361</v>
      </c>
      <c r="X200" s="175">
        <f>(180/PI())*IMARGUMENT(V200)</f>
        <v>-60.1684768271992</v>
      </c>
      <c r="Y200" s="175" t="str">
        <f>IMPRODUCT(P200,S200)</f>
        <v>0.0000155111585487619-0.000028092221171997i</v>
      </c>
      <c r="Z200" s="176">
        <f>20*LOG(IMABS(Y200))</f>
        <v>-89.87260215806522</v>
      </c>
      <c r="AA200" s="175">
        <f>(180/PI())*IMARGUMENT(Y200)</f>
        <v>-61.094655223319812</v>
      </c>
    </row>
    <row r="201" spans="6:27" x14ac:dyDescent="0.25">
      <c r="F201" s="177">
        <v>199</v>
      </c>
      <c r="G201" s="175">
        <f>10^('Small Signal'!F201/30)</f>
        <v>4298662.3470822899</v>
      </c>
      <c r="H201" s="175" t="str">
        <f>COMPLEX(0,G201*2*PI())</f>
        <v>27009292.0997136i</v>
      </c>
      <c r="I201" s="175">
        <f>IF('Small Signal'!$B$37&gt;=1,Q201+0,N201+0)</f>
        <v>-60.784700821863169</v>
      </c>
      <c r="J201" s="175">
        <f>IF('Small Signal'!$B$37&gt;=1,R201,O201)</f>
        <v>-152.50792563965069</v>
      </c>
      <c r="K201" s="175">
        <f>IF('Small Signal'!$B$37&gt;=1,Z201+0,W201+0)</f>
        <v>-91.097979053990272</v>
      </c>
      <c r="L201" s="175">
        <f>IF('Small Signal'!$B$37&gt;=1,AA201,X201)</f>
        <v>-58.952454835605778</v>
      </c>
      <c r="M201" s="175" t="str">
        <f>IMDIV(IMSUM('Small Signal'!$B$2*'Small Signal'!$B$16*'Small Signal'!$B$38,IMPRODUCT(H201,'Small Signal'!$B$2*'Small Signal'!$B$16*'Small Signal'!$B$38*'Small Signal'!$B$13*'Small Signal'!$B$14)),IMSUM(IMPRODUCT('Small Signal'!$B$11*'Small Signal'!$B$13*('Small Signal'!$B$14+'Small Signal'!$B$16),IMPOWER(H201,2)),IMSUM(IMPRODUCT(H201,('Small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-0.000810447992448916-0.000421750043083044i</v>
      </c>
      <c r="N201" s="175">
        <f>20*LOG(IMABS(M201))</f>
        <v>-60.784700821863169</v>
      </c>
      <c r="O201" s="175">
        <f>(180/PI())*IMARGUMENT(M201)</f>
        <v>-152.50792563965069</v>
      </c>
      <c r="P201" s="175" t="str">
        <f>IMDIV(IMSUM('Small Signal'!$B$48,IMPRODUCT(H201,'Small Signal'!$B$49)),IMSUM(IMPRODUCT('Small Signal'!$B$52,IMPOWER(H201,2)),IMSUM(IMPRODUCT(H201,'Small Signal'!$B$51),'Small Signal'!$B$50)))</f>
        <v>-0.000757266437170143-0.000379776833802645i</v>
      </c>
      <c r="Q201" s="175">
        <f>20*LOG(IMABS(P201))</f>
        <v>-61.440674012232215</v>
      </c>
      <c r="R201" s="175">
        <f>(180/PI())*IMARGUMENT(P201)</f>
        <v>-153.36576869547997</v>
      </c>
      <c r="S201" s="175" t="str">
        <f>IMPRODUCT(IMDIV(IMSUM(IMPRODUCT(H201,'Small Signal'!$B$33*'Small Signal'!$B$6*'Small Signal'!$B$27*'Small Signal'!$B$7*'Small Signal'!$B$8),'Small Signal'!$B$33*'Small Signal'!$B$6*'Small Signal'!$B$27),IMSUM(IMSUM(IMPRODUCT(H201,('Small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Signal'!$B$5),IMPRODUCT(IMPOWER(H201,2),'Small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-0.00189161090068567+0.0304438353466449i</v>
      </c>
      <c r="T201" s="175">
        <f>20*LOG(IMABS(S201))</f>
        <v>-30.313278232127125</v>
      </c>
      <c r="U201" s="175">
        <f>(180/PI())*IMARGUMENT(S201)</f>
        <v>93.555470804044887</v>
      </c>
      <c r="V201" s="175" t="str">
        <f>IMPRODUCT(M201,S201)</f>
        <v>0.0000143727411260158-0.0000238753582602732i</v>
      </c>
      <c r="W201" s="176">
        <f>20*LOG(IMABS(V201))</f>
        <v>-91.097979053990272</v>
      </c>
      <c r="X201" s="175">
        <f>(180/PI())*IMARGUMENT(V201)</f>
        <v>-58.952454835605778</v>
      </c>
      <c r="Y201" s="175" t="str">
        <f>IMPRODUCT(P201,S201)</f>
        <v>0.0000129943168440323-0.0000223357047280993i</v>
      </c>
      <c r="Z201" s="176">
        <f>20*LOG(IMABS(Y201))</f>
        <v>-91.753952244359326</v>
      </c>
      <c r="AA201" s="175">
        <f>(180/PI())*IMARGUMENT(Y201)</f>
        <v>-59.810297891435098</v>
      </c>
    </row>
    <row r="202" spans="6:27" x14ac:dyDescent="0.25">
      <c r="F202" s="177">
        <v>200</v>
      </c>
      <c r="G202" s="175">
        <f>10^('Small Signal'!F202/30)</f>
        <v>4641588.8336127857</v>
      </c>
      <c r="H202" s="175" t="str">
        <f>COMPLEX(0,G202*2*PI())</f>
        <v>29163962.7613247i</v>
      </c>
      <c r="I202" s="175">
        <f>IF('Small Signal'!$B$37&gt;=1,Q202+0,N202+0)</f>
        <v>-61.986553652892184</v>
      </c>
      <c r="J202" s="175">
        <f>IF('Small Signal'!$B$37&gt;=1,R202,O202)</f>
        <v>-150.91450664095015</v>
      </c>
      <c r="K202" s="175">
        <f>IF('Small Signal'!$B$37&gt;=1,Z202+0,W202+0)</f>
        <v>-92.963930358086756</v>
      </c>
      <c r="L202" s="175">
        <f>IF('Small Signal'!$B$37&gt;=1,AA202,X202)</f>
        <v>-57.621042027134024</v>
      </c>
      <c r="M202" s="175" t="str">
        <f>IMDIV(IMSUM('Small Signal'!$B$2*'Small Signal'!$B$16*'Small Signal'!$B$38,IMPRODUCT(H202,'Small Signal'!$B$2*'Small Signal'!$B$16*'Small Signal'!$B$38*'Small Signal'!$B$13*'Small Signal'!$B$14)),IMSUM(IMPRODUCT('Small Signal'!$B$11*'Small Signal'!$B$13*('Small Signal'!$B$14+'Small Signal'!$B$16),IMPOWER(H202,2)),IMSUM(IMPRODUCT(H202,('Small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-0.000695235173142799-0.000386732408098307i</v>
      </c>
      <c r="N202" s="175">
        <f>20*LOG(IMABS(M202))</f>
        <v>-61.986553652892184</v>
      </c>
      <c r="O202" s="175">
        <f>(180/PI())*IMARGUMENT(M202)</f>
        <v>-150.91450664095015</v>
      </c>
      <c r="P202" s="175" t="str">
        <f>IMDIV(IMSUM('Small Signal'!$B$48,IMPRODUCT(H202,'Small Signal'!$B$49)),IMSUM(IMPRODUCT('Small Signal'!$B$52,IMPOWER(H202,2)),IMSUM(IMPRODUCT(H202,'Small Signal'!$B$51),'Small Signal'!$B$50)))</f>
        <v>-0.000649539337410614-0.000349608654268806i</v>
      </c>
      <c r="Q202" s="175">
        <f>20*LOG(IMABS(P202))</f>
        <v>-62.64299274987016</v>
      </c>
      <c r="R202" s="175">
        <f>(180/PI())*IMARGUMENT(P202)</f>
        <v>-151.70904417358679</v>
      </c>
      <c r="S202" s="175" t="str">
        <f>IMPRODUCT(IMDIV(IMSUM(IMPRODUCT(H202,'Small Signal'!$B$33*'Small Signal'!$B$6*'Small Signal'!$B$27*'Small Signal'!$B$7*'Small Signal'!$B$8),'Small Signal'!$B$33*'Small Signal'!$B$6*'Small Signal'!$B$27),IMSUM(IMSUM(IMPRODUCT(H202,('Small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Signal'!$B$5),IMPRODUCT(IMPOWER(H202,2),'Small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-0.00162338804977015+0.0282106621970346i</v>
      </c>
      <c r="T202" s="175">
        <f>20*LOG(IMABS(S202))</f>
        <v>-30.977376705194569</v>
      </c>
      <c r="U202" s="175">
        <f>(180/PI())*IMARGUMENT(S202)</f>
        <v>93.293464613815999</v>
      </c>
      <c r="V202" s="175" t="str">
        <f>IMPRODUCT(M202,S202)</f>
        <v>0.000012038613797367-0.0000189852278472627i</v>
      </c>
      <c r="W202" s="176">
        <f>20*LOG(IMABS(V202))</f>
        <v>-92.963930358086756</v>
      </c>
      <c r="X202" s="175">
        <f>(180/PI())*IMARGUMENT(V202)</f>
        <v>-57.621042027134024</v>
      </c>
      <c r="Y202" s="175" t="str">
        <f>IMPRODUCT(P202,S202)</f>
        <v>0.0000109171460449452-0.0000177563843199403i</v>
      </c>
      <c r="Z202" s="176">
        <f>20*LOG(IMABS(Y202))</f>
        <v>-93.620369455064719</v>
      </c>
      <c r="AA202" s="175">
        <f>(180/PI())*IMARGUMENT(Y202)</f>
        <v>-58.415579559770684</v>
      </c>
    </row>
    <row r="203" spans="6:27" x14ac:dyDescent="0.25">
      <c r="F203" s="177">
        <v>201</v>
      </c>
      <c r="G203" s="175">
        <f>10^('Small Signal'!F203/30)</f>
        <v>5011872.3362727314</v>
      </c>
      <c r="H203" s="175" t="str">
        <f>COMPLEX(0,G203*2*PI())</f>
        <v>31490522.6247287i</v>
      </c>
      <c r="I203" s="175">
        <f>IF('Small Signal'!$B$37&gt;=1,Q203+0,N203+0)</f>
        <v>-63.171609833760634</v>
      </c>
      <c r="J203" s="175">
        <f>IF('Small Signal'!$B$37&gt;=1,R203,O203)</f>
        <v>-149.23000738972036</v>
      </c>
      <c r="K203" s="175">
        <f>IF('Small Signal'!$B$37&gt;=1,Z203+0,W203+0)</f>
        <v>-94.813449262336334</v>
      </c>
      <c r="L203" s="175">
        <f>IF('Small Signal'!$B$37&gt;=1,AA203,X203)</f>
        <v>-56.179330400538674</v>
      </c>
      <c r="M203" s="175" t="str">
        <f>IMDIV(IMSUM('Small Signal'!$B$2*'Small Signal'!$B$16*'Small Signal'!$B$38,IMPRODUCT(H203,'Small Signal'!$B$2*'Small Signal'!$B$16*'Small Signal'!$B$38*'Small Signal'!$B$13*'Small Signal'!$B$14)),IMSUM(IMPRODUCT('Small Signal'!$B$11*'Small Signal'!$B$13*('Small Signal'!$B$14+'Small Signal'!$B$16),IMPOWER(H203,2)),IMSUM(IMPRODUCT(H203,('Small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-0.000596386637567591-0.000355094581561132i</v>
      </c>
      <c r="N203" s="175">
        <f>20*LOG(IMABS(M203))</f>
        <v>-63.171609833760634</v>
      </c>
      <c r="O203" s="175">
        <f>(180/PI())*IMARGUMENT(M203)</f>
        <v>-149.23000738972036</v>
      </c>
      <c r="P203" s="175" t="str">
        <f>IMDIV(IMSUM('Small Signal'!$B$48,IMPRODUCT(H203,'Small Signal'!$B$49)),IMSUM(IMPRODUCT('Small Signal'!$B$52,IMPOWER(H203,2)),IMSUM(IMPRODUCT(H203,'Small Signal'!$B$51),'Small Signal'!$B$50)))</f>
        <v>-0.000557132989977493-0.000322103123481415i</v>
      </c>
      <c r="Q203" s="175">
        <f>20*LOG(IMABS(P203))</f>
        <v>-63.828448608254085</v>
      </c>
      <c r="R203" s="175">
        <f>(180/PI())*IMARGUMENT(P203)</f>
        <v>-149.96590148594873</v>
      </c>
      <c r="S203" s="175" t="str">
        <f>IMPRODUCT(IMDIV(IMSUM(IMPRODUCT(H203,'Small Signal'!$B$33*'Small Signal'!$B$6*'Small Signal'!$B$27*'Small Signal'!$B$7*'Small Signal'!$B$8),'Small Signal'!$B$33*'Small Signal'!$B$6*'Small Signal'!$B$27),IMSUM(IMSUM(IMPRODUCT(H203,('Small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Signal'!$B$5),IMPRODUCT(IMPOWER(H203,2),'Small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-0.00139308110473733+0.0261391904710699i</v>
      </c>
      <c r="T203" s="175">
        <f>20*LOG(IMABS(S203))</f>
        <v>-31.6418394285757</v>
      </c>
      <c r="U203" s="175">
        <f>(180/PI())*IMARGUMENT(S203)</f>
        <v>93.050676989181824</v>
      </c>
      <c r="V203" s="175" t="str">
        <f>IMPRODUCT(M203,S203)</f>
        <v>0.0000101126998585845-0.0000150943883618128i</v>
      </c>
      <c r="W203" s="176">
        <f>20*LOG(IMABS(V203))</f>
        <v>-94.813449262336334</v>
      </c>
      <c r="X203" s="175">
        <f>(180/PI())*IMARGUMENT(V203)</f>
        <v>-56.179330400538674</v>
      </c>
      <c r="Y203" s="175" t="str">
        <f>IMPRODUCT(P203,S203)</f>
        <v>9.19564633717071E-06-0.0000141142895676395i</v>
      </c>
      <c r="Z203" s="176">
        <f>20*LOG(IMABS(Y203))</f>
        <v>-95.470288036829785</v>
      </c>
      <c r="AA203" s="175">
        <f>(180/PI())*IMARGUMENT(Y203)</f>
        <v>-56.915224496766868</v>
      </c>
    </row>
    <row r="204" spans="6:27" x14ac:dyDescent="0.25">
      <c r="F204" s="177">
        <v>202</v>
      </c>
      <c r="G204" s="175">
        <f>10^('Small Signal'!F204/30)</f>
        <v>5411695.2654646477</v>
      </c>
      <c r="H204" s="175" t="str">
        <f>COMPLEX(0,G204*2*PI())</f>
        <v>34002684.1789008i</v>
      </c>
      <c r="I204" s="175">
        <f>IF('Small Signal'!$B$37&gt;=1,Q204+0,N204+0)</f>
        <v>-64.338351955074245</v>
      </c>
      <c r="J204" s="175">
        <f>IF('Small Signal'!$B$37&gt;=1,R204,O204)</f>
        <v>-147.45934823830905</v>
      </c>
      <c r="K204" s="175">
        <f>IF('Small Signal'!$B$37&gt;=1,Z204+0,W204+0)</f>
        <v>-96.644966843090572</v>
      </c>
      <c r="L204" s="175">
        <f>IF('Small Signal'!$B$37&gt;=1,AA204,X204)</f>
        <v>-54.633631768970623</v>
      </c>
      <c r="M204" s="175" t="str">
        <f>IMDIV(IMSUM('Small Signal'!$B$2*'Small Signal'!$B$16*'Small Signal'!$B$38,IMPRODUCT(H204,'Small Signal'!$B$2*'Small Signal'!$B$16*'Small Signal'!$B$38*'Small Signal'!$B$13*'Small Signal'!$B$14)),IMSUM(IMPRODUCT('Small Signal'!$B$11*'Small Signal'!$B$13*('Small Signal'!$B$14+'Small Signal'!$B$16),IMPOWER(H204,2)),IMSUM(IMPRODUCT(H204,('Small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-0.000511581860126576-0.000326424105707364i</v>
      </c>
      <c r="N204" s="175">
        <f>20*LOG(IMABS(M204))</f>
        <v>-64.338351955074245</v>
      </c>
      <c r="O204" s="175">
        <f>(180/PI())*IMARGUMENT(M204)</f>
        <v>-147.45934823830905</v>
      </c>
      <c r="P204" s="175" t="str">
        <f>IMDIV(IMSUM('Small Signal'!$B$48,IMPRODUCT(H204,'Small Signal'!$B$49)),IMSUM(IMPRODUCT('Small Signal'!$B$52,IMPOWER(H204,2)),IMSUM(IMPRODUCT(H204,'Small Signal'!$B$51),'Small Signal'!$B$50)))</f>
        <v>-0.000477869635070281-0.00029697434806795i</v>
      </c>
      <c r="Q204" s="175">
        <f>20*LOG(IMABS(P204))</f>
        <v>-64.995533583819707</v>
      </c>
      <c r="R204" s="175">
        <f>(180/PI())*IMARGUMENT(P204)</f>
        <v>-148.14091962680905</v>
      </c>
      <c r="S204" s="175" t="str">
        <f>IMPRODUCT(IMDIV(IMSUM(IMPRODUCT(H204,'Small Signal'!$B$33*'Small Signal'!$B$6*'Small Signal'!$B$27*'Small Signal'!$B$7*'Small Signal'!$B$8),'Small Signal'!$B$33*'Small Signal'!$B$6*'Small Signal'!$B$27),IMSUM(IMSUM(IMPRODUCT(H204,('Small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Signal'!$B$5),IMPRODUCT(IMPOWER(H204,2),'Small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-0.00119536115349538+0.0242181453010011i</v>
      </c>
      <c r="T204" s="175">
        <f>20*LOG(IMABS(S204))</f>
        <v>-32.306614888016341</v>
      </c>
      <c r="U204" s="175">
        <f>(180/PI())*IMARGUMENT(S204)</f>
        <v>92.82571646933846</v>
      </c>
      <c r="V204" s="175" t="str">
        <f>IMPRODUCT(M204,S204)</f>
        <v>0.0000085169115041985-0.0000119993691263748i</v>
      </c>
      <c r="W204" s="176">
        <f>20*LOG(IMABS(V204))</f>
        <v>-96.644966843090572</v>
      </c>
      <c r="X204" s="175">
        <f>(180/PI())*IMARGUMENT(V204)</f>
        <v>-54.633631768970623</v>
      </c>
      <c r="Y204" s="175" t="str">
        <f>IMPRODUCT(P204,S204)</f>
        <v>7.76339471037771E-06-0.0000112181246578034i</v>
      </c>
      <c r="Z204" s="176">
        <f>20*LOG(IMABS(Y204))</f>
        <v>-97.302148471836034</v>
      </c>
      <c r="AA204" s="175">
        <f>(180/PI())*IMARGUMENT(Y204)</f>
        <v>-55.315203157470634</v>
      </c>
    </row>
    <row r="205" spans="6:27" x14ac:dyDescent="0.25">
      <c r="F205" s="177">
        <v>203</v>
      </c>
      <c r="G205" s="175">
        <f>10^('Small Signal'!F205/30)</f>
        <v>5843414.133735179</v>
      </c>
      <c r="H205" s="175" t="str">
        <f>COMPLEX(0,G205*2*PI())</f>
        <v>36715253.8288504i</v>
      </c>
      <c r="I205" s="175">
        <f>IF('Small Signal'!$B$37&gt;=1,Q205+0,N205+0)</f>
        <v>-65.485299443874212</v>
      </c>
      <c r="J205" s="175">
        <f>IF('Small Signal'!$B$37&gt;=1,R205,O205)</f>
        <v>-145.60886141096236</v>
      </c>
      <c r="K205" s="175">
        <f>IF('Small Signal'!$B$37&gt;=1,Z205+0,W205+0)</f>
        <v>-98.456958259553019</v>
      </c>
      <c r="L205" s="175">
        <f>IF('Small Signal'!$B$37&gt;=1,AA205,X205)</f>
        <v>-52.991572826227724</v>
      </c>
      <c r="M205" s="175" t="str">
        <f>IMDIV(IMSUM('Small Signal'!$B$2*'Small Signal'!$B$16*'Small Signal'!$B$38,IMPRODUCT(H205,'Small Signal'!$B$2*'Small Signal'!$B$16*'Small Signal'!$B$38*'Small Signal'!$B$13*'Small Signal'!$B$14)),IMSUM(IMPRODUCT('Small Signal'!$B$11*'Small Signal'!$B$13*('Small Signal'!$B$14+'Small Signal'!$B$16),IMPOWER(H205,2)),IMSUM(IMPRODUCT(H205,('Small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-0.000438828376591102-0.000300372381939629i</v>
      </c>
      <c r="N205" s="175">
        <f>20*LOG(IMABS(M205))</f>
        <v>-65.485299443874212</v>
      </c>
      <c r="O205" s="175">
        <f>(180/PI())*IMARGUMENT(M205)</f>
        <v>-145.60886141096236</v>
      </c>
      <c r="P205" s="175" t="str">
        <f>IMDIV(IMSUM('Small Signal'!$B$48,IMPRODUCT(H205,'Small Signal'!$B$49)),IMSUM(IMPRODUCT('Small Signal'!$B$52,IMPOWER(H205,2)),IMSUM(IMPRODUCT(H205,'Small Signal'!$B$51),'Small Signal'!$B$50)))</f>
        <v>-0.000409880770673561-0.000273975883309728i</v>
      </c>
      <c r="Q205" s="175">
        <f>20*LOG(IMABS(P205))</f>
        <v>-66.142775175925578</v>
      </c>
      <c r="R205" s="175">
        <f>(180/PI())*IMARGUMENT(P205)</f>
        <v>-146.24011404934097</v>
      </c>
      <c r="S205" s="175" t="str">
        <f>IMPRODUCT(IMDIV(IMSUM(IMPRODUCT(H205,'Small Signal'!$B$33*'Small Signal'!$B$6*'Small Signal'!$B$27*'Small Signal'!$B$7*'Small Signal'!$B$8),'Small Signal'!$B$33*'Small Signal'!$B$6*'Small Signal'!$B$27),IMSUM(IMSUM(IMPRODUCT(H205,('Small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Signal'!$B$5),IMPRODUCT(IMPOWER(H205,2),'Small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-0.00102564008886813+0.0224369480579331i</v>
      </c>
      <c r="T205" s="175">
        <f>20*LOG(IMABS(S205))</f>
        <v>-32.971658815678815</v>
      </c>
      <c r="U205" s="175">
        <f>(180/PI())*IMARGUMENT(S205)</f>
        <v>92.617288584734652</v>
      </c>
      <c r="V205" s="175" t="str">
        <f>IMPRODUCT(M205,S205)</f>
        <v>7.18951950678185E-06-9.53789553541557E-06i</v>
      </c>
      <c r="W205" s="176">
        <f>20*LOG(IMABS(V205))</f>
        <v>-98.456958259553019</v>
      </c>
      <c r="X205" s="175">
        <f>(180/PI())*IMARGUMENT(V205)</f>
        <v>-52.991572826227724</v>
      </c>
      <c r="Y205" s="175" t="str">
        <f>IMPRODUCT(P205,S205)</f>
        <v>6.56757281300568E-06-8.91547291224276E-06i</v>
      </c>
      <c r="Z205" s="176">
        <f>20*LOG(IMABS(Y205))</f>
        <v>-99.1144339916044</v>
      </c>
      <c r="AA205" s="175">
        <f>(180/PI())*IMARGUMENT(Y205)</f>
        <v>-53.622825464606294</v>
      </c>
    </row>
    <row r="206" spans="6:27" x14ac:dyDescent="0.25">
      <c r="F206" s="177">
        <v>204</v>
      </c>
      <c r="G206" s="175">
        <f>10^('Small Signal'!F206/30)</f>
        <v>6309573.4448019378</v>
      </c>
      <c r="H206" s="175" t="str">
        <f>COMPLEX(0,G206*2*PI())</f>
        <v>39644219.16295i</v>
      </c>
      <c r="I206" s="175">
        <f>IF('Small Signal'!$B$37&gt;=1,Q206+0,N206+0)</f>
        <v>-66.611051131393495</v>
      </c>
      <c r="J206" s="175">
        <f>IF('Small Signal'!$B$37&gt;=1,R206,O206)</f>
        <v>-143.68632761243094</v>
      </c>
      <c r="K206" s="175">
        <f>IF('Small Signal'!$B$37&gt;=1,Z206+0,W206+0)</f>
        <v>-100.24798431249496</v>
      </c>
      <c r="L206" s="175">
        <f>IF('Small Signal'!$B$37&gt;=1,AA206,X206)</f>
        <v>-51.262137737291212</v>
      </c>
      <c r="M206" s="175" t="str">
        <f>IMDIV(IMSUM('Small Signal'!$B$2*'Small Signal'!$B$16*'Small Signal'!$B$38,IMPRODUCT(H206,'Small Signal'!$B$2*'Small Signal'!$B$16*'Small Signal'!$B$38*'Small Signal'!$B$13*'Small Signal'!$B$14)),IMSUM(IMPRODUCT('Small Signal'!$B$11*'Small Signal'!$B$13*('Small Signal'!$B$14+'Small Signal'!$B$16),IMPOWER(H206,2)),IMSUM(IMPRODUCT(H206,('Small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-0.000376415669151578-0.000276643114060183i</v>
      </c>
      <c r="N206" s="175">
        <f>20*LOG(IMABS(M206))</f>
        <v>-66.611051131393495</v>
      </c>
      <c r="O206" s="175">
        <f>(180/PI())*IMARGUMENT(M206)</f>
        <v>-143.68632761243094</v>
      </c>
      <c r="P206" s="175" t="str">
        <f>IMDIV(IMSUM('Small Signal'!$B$48,IMPRODUCT(H206,'Small Signal'!$B$49)),IMSUM(IMPRODUCT('Small Signal'!$B$52,IMPOWER(H206,2)),IMSUM(IMPRODUCT(H206,'Small Signal'!$B$51),'Small Signal'!$B$50)))</f>
        <v>-0.000351563314675552-0.00025289405383867i</v>
      </c>
      <c r="Q206" s="175">
        <f>20*LOG(IMABS(P206))</f>
        <v>-67.26877914306047</v>
      </c>
      <c r="R206" s="175">
        <f>(180/PI())*IMARGUMENT(P206)</f>
        <v>-144.27097158755856</v>
      </c>
      <c r="S206" s="175" t="str">
        <f>IMPRODUCT(IMDIV(IMSUM(IMPRODUCT(H206,'Small Signal'!$B$33*'Small Signal'!$B$6*'Small Signal'!$B$27*'Small Signal'!$B$7*'Small Signal'!$B$8),'Small Signal'!$B$33*'Small Signal'!$B$6*'Small Signal'!$B$27),IMSUM(IMSUM(IMPRODUCT(H206,('Small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Signal'!$B$5),IMPRODUCT(IMPOWER(H206,2),'Small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-0.000879969782123698+0.0207856925924007i</v>
      </c>
      <c r="T206" s="175">
        <f>20*LOG(IMABS(S206))</f>
        <v>-33.63693318110149</v>
      </c>
      <c r="U206" s="175">
        <f>(180/PI())*IMARGUMENT(S206)</f>
        <v>92.424189875139731</v>
      </c>
      <c r="V206" s="175" t="str">
        <f>IMPRODUCT(M206,S206)</f>
        <v>6.08145314103067E-06-7.58062280514195E-06i</v>
      </c>
      <c r="W206" s="176">
        <f>20*LOG(IMABS(V206))</f>
        <v>-100.24798431249496</v>
      </c>
      <c r="X206" s="175">
        <f>(180/PI())*IMARGUMENT(V206)</f>
        <v>-51.262137737291212</v>
      </c>
      <c r="Y206" s="175" t="str">
        <f>IMPRODUCT(P206,S206)</f>
        <v>5.56594315495436E-06-7.08494786015466E-06i</v>
      </c>
      <c r="Z206" s="176">
        <f>20*LOG(IMABS(Y206))</f>
        <v>-100.90571232416197</v>
      </c>
      <c r="AA206" s="175">
        <f>(180/PI())*IMARGUMENT(Y206)</f>
        <v>-51.846781712418796</v>
      </c>
    </row>
    <row r="207" spans="6:27" x14ac:dyDescent="0.25">
      <c r="F207" s="177">
        <v>205</v>
      </c>
      <c r="G207" s="175">
        <f>10^('Small Signal'!F207/30)</f>
        <v>6812920.6905796202</v>
      </c>
      <c r="H207" s="175" t="str">
        <f>COMPLEX(0,G207*2*PI())</f>
        <v>42806843.1820297i</v>
      </c>
      <c r="I207" s="175">
        <f>IF('Small Signal'!$B$37&gt;=1,Q207+0,N207+0)</f>
        <v>-67.714330990029708</v>
      </c>
      <c r="J207" s="175">
        <f>IF('Small Signal'!$B$37&gt;=1,R207,O207)</f>
        <v>-141.7009479186508</v>
      </c>
      <c r="K207" s="175">
        <f>IF('Small Signal'!$B$37&gt;=1,Z207+0,W207+0)</f>
        <v>-102.01673630996731</v>
      </c>
      <c r="L207" s="175">
        <f>IF('Small Signal'!$B$37&gt;=1,AA207,X207)</f>
        <v>-49.455645808872696</v>
      </c>
      <c r="M207" s="175" t="str">
        <f>IMDIV(IMSUM('Small Signal'!$B$2*'Small Signal'!$B$16*'Small Signal'!$B$38,IMPRODUCT(H207,'Small Signal'!$B$2*'Small Signal'!$B$16*'Small Signal'!$B$38*'Small Signal'!$B$13*'Small Signal'!$B$14)),IMSUM(IMPRODUCT('Small Signal'!$B$11*'Small Signal'!$B$13*('Small Signal'!$B$14+'Small Signal'!$B$16),IMPOWER(H207,2)),IMSUM(IMPRODUCT(H207,('Small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-0.000322875463699089-0.000254983003017702i</v>
      </c>
      <c r="N207" s="175">
        <f>20*LOG(IMABS(M207))</f>
        <v>-67.714330990029708</v>
      </c>
      <c r="O207" s="175">
        <f>(180/PI())*IMARGUMENT(M207)</f>
        <v>-141.7009479186508</v>
      </c>
      <c r="P207" s="175" t="str">
        <f>IMDIV(IMSUM('Small Signal'!$B$48,IMPRODUCT(H207,'Small Signal'!$B$49)),IMSUM(IMPRODUCT('Small Signal'!$B$52,IMPOWER(H207,2)),IMSUM(IMPRODUCT(H207,'Small Signal'!$B$51),'Small Signal'!$B$50)))</f>
        <v>-0.000301541960190398-0.000233542540700802i</v>
      </c>
      <c r="Q207" s="175">
        <f>20*LOG(IMABS(P207))</f>
        <v>-68.372275401796244</v>
      </c>
      <c r="R207" s="175">
        <f>(180/PI())*IMARGUMENT(P207)</f>
        <v>-142.242420758328</v>
      </c>
      <c r="S207" s="175" t="str">
        <f>IMPRODUCT(IMDIV(IMSUM(IMPRODUCT(H207,'Small Signal'!$B$33*'Small Signal'!$B$6*'Small Signal'!$B$27*'Small Signal'!$B$7*'Small Signal'!$B$8),'Small Signal'!$B$33*'Small Signal'!$B$6*'Small Signal'!$B$27),IMSUM(IMSUM(IMPRODUCT(H207,('Small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Signal'!$B$5),IMPRODUCT(IMPOWER(H207,2),'Small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-0.000754954404524662+0.0192551176793505i</v>
      </c>
      <c r="T207" s="175">
        <f>20*LOG(IMABS(S207))</f>
        <v>-34.302405319937606</v>
      </c>
      <c r="U207" s="175">
        <f>(180/PI())*IMARGUMENT(S207)</f>
        <v>92.245302109778095</v>
      </c>
      <c r="V207" s="175" t="str">
        <f>IMPRODUCT(M207,S207)</f>
        <v>5.15348398277261E-06-6.02450450809368E-06i</v>
      </c>
      <c r="W207" s="176">
        <f>20*LOG(IMABS(V207))</f>
        <v>-102.01673630996731</v>
      </c>
      <c r="X207" s="175">
        <f>(180/PI())*IMARGUMENT(V207)</f>
        <v>-49.455645808872696</v>
      </c>
      <c r="Y207" s="175" t="str">
        <f>IMPRODUCT(P207,S207)</f>
        <v>4.72453953532319E-06-5.62991195898219E-06i</v>
      </c>
      <c r="Z207" s="176">
        <f>20*LOG(IMABS(Y207))</f>
        <v>-102.67468072173385</v>
      </c>
      <c r="AA207" s="175">
        <f>(180/PI())*IMARGUMENT(Y207)</f>
        <v>-49.997118648549936</v>
      </c>
    </row>
    <row r="208" spans="6:27" x14ac:dyDescent="0.25">
      <c r="F208" s="177">
        <v>206</v>
      </c>
      <c r="G208" s="175">
        <f>10^('Small Signal'!F208/30)</f>
        <v>7356422.5445964225</v>
      </c>
      <c r="H208" s="175" t="str">
        <f>COMPLEX(0,G208*2*PI())</f>
        <v>46221766.0456129i</v>
      </c>
      <c r="I208" s="175">
        <f>IF('Small Signal'!$B$37&gt;=1,Q208+0,N208+0)</f>
        <v>-68.794034377005801</v>
      </c>
      <c r="J208" s="175">
        <f>IF('Small Signal'!$B$37&gt;=1,R208,O208)</f>
        <v>-139.66324215599283</v>
      </c>
      <c r="K208" s="175">
        <f>IF('Small Signal'!$B$37&gt;=1,Z208+0,W208+0)</f>
        <v>-103.76208155939264</v>
      </c>
      <c r="L208" s="175">
        <f>IF('Small Signal'!$B$37&gt;=1,AA208,X208)</f>
        <v>-47.583655413196162</v>
      </c>
      <c r="M208" s="175" t="str">
        <f>IMDIV(IMSUM('Small Signal'!$B$2*'Small Signal'!$B$16*'Small Signal'!$B$38,IMPRODUCT(H208,'Small Signal'!$B$2*'Small Signal'!$B$16*'Small Signal'!$B$38*'Small Signal'!$B$13*'Small Signal'!$B$14)),IMSUM(IMPRODUCT('Small Signal'!$B$11*'Small Signal'!$B$13*('Small Signal'!$B$14+'Small Signal'!$B$16),IMPOWER(H208,2)),IMSUM(IMPRODUCT(H208,('Small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-0.000276947566371673-0.000235174242174814i</v>
      </c>
      <c r="N208" s="175">
        <f>20*LOG(IMABS(M208))</f>
        <v>-68.794034377005801</v>
      </c>
      <c r="O208" s="175">
        <f>(180/PI())*IMARGUMENT(M208)</f>
        <v>-139.66324215599283</v>
      </c>
      <c r="P208" s="175" t="str">
        <f>IMDIV(IMSUM('Small Signal'!$B$48,IMPRODUCT(H208,'Small Signal'!$B$49)),IMSUM(IMPRODUCT('Small Signal'!$B$52,IMPOWER(H208,2)),IMSUM(IMPRODUCT(H208,'Small Signal'!$B$51),'Small Signal'!$B$50)))</f>
        <v>-0.000258636854676237-0.000215757982715698i</v>
      </c>
      <c r="Q208" s="175">
        <f>20*LOG(IMABS(P208))</f>
        <v>-69.452164409633127</v>
      </c>
      <c r="R208" s="175">
        <f>(180/PI())*IMARGUMENT(P208)</f>
        <v>-140.16472864816473</v>
      </c>
      <c r="S208" s="175" t="str">
        <f>IMPRODUCT(IMDIV(IMSUM(IMPRODUCT(H208,'Small Signal'!$B$33*'Small Signal'!$B$6*'Small Signal'!$B$27*'Small Signal'!$B$7*'Small Signal'!$B$8),'Small Signal'!$B$33*'Small Signal'!$B$6*'Small Signal'!$B$27),IMSUM(IMSUM(IMPRODUCT(H208,('Small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Signal'!$B$5),IMPRODUCT(IMPOWER(H208,2),'Small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-0.000647674337895062+0.0178365770448253i</v>
      </c>
      <c r="T208" s="175">
        <f>20*LOG(IMABS(S208))</f>
        <v>-34.968047182386826</v>
      </c>
      <c r="U208" s="175">
        <f>(180/PI())*IMARGUMENT(S208)</f>
        <v>92.079586742796721</v>
      </c>
      <c r="V208" s="175" t="str">
        <f>IMPRODUCT(M208,S208)</f>
        <v>4.37407532119089E-06-4.78748028337467E-06i</v>
      </c>
      <c r="W208" s="176">
        <f>20*LOG(IMABS(V208))</f>
        <v>-103.76208155939264</v>
      </c>
      <c r="X208" s="175">
        <f>(180/PI())*IMARGUMENT(V208)</f>
        <v>-47.583655413196162</v>
      </c>
      <c r="Y208" s="175" t="str">
        <f>IMPRODUCT(P208,S208)</f>
        <v>4.01589633535233E-06-4.47345527646302E-06i</v>
      </c>
      <c r="Z208" s="176">
        <f>20*LOG(IMABS(Y208))</f>
        <v>-104.42021159201997</v>
      </c>
      <c r="AA208" s="175">
        <f>(180/PI())*IMARGUMENT(Y208)</f>
        <v>-48.085141905367976</v>
      </c>
    </row>
    <row r="209" spans="6:27" x14ac:dyDescent="0.25">
      <c r="F209" s="177">
        <v>207</v>
      </c>
      <c r="G209" s="175">
        <f>10^('Small Signal'!F209/30)</f>
        <v>7943282.3472428275</v>
      </c>
      <c r="H209" s="175" t="str">
        <f>COMPLEX(0,G209*2*PI())</f>
        <v>49909114.9349751i</v>
      </c>
      <c r="I209" s="175">
        <f>IF('Small Signal'!$B$37&gt;=1,Q209+0,N209+0)</f>
        <v>-69.8492715771185</v>
      </c>
      <c r="J209" s="175">
        <f>IF('Small Signal'!$B$37&gt;=1,R209,O209)</f>
        <v>-137.5848705755366</v>
      </c>
      <c r="K209" s="175">
        <f>IF('Small Signal'!$B$37&gt;=1,Z209+0,W209+0)</f>
        <v>-105.48310626252876</v>
      </c>
      <c r="L209" s="175">
        <f>IF('Small Signal'!$B$37&gt;=1,AA209,X209)</f>
        <v>-45.65879095021419</v>
      </c>
      <c r="M209" s="175" t="str">
        <f>IMDIV(IMSUM('Small Signal'!$B$2*'Small Signal'!$B$16*'Small Signal'!$B$38,IMPRODUCT(H209,'Small Signal'!$B$2*'Small Signal'!$B$16*'Small Signal'!$B$38*'Small Signal'!$B$13*'Small Signal'!$B$14)),IMSUM(IMPRODUCT('Small Signal'!$B$11*'Small Signal'!$B$13*('Small Signal'!$B$14+'Small Signal'!$B$16),IMPOWER(H209,2)),IMSUM(IMPRODUCT(H209,('Small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-0.000237550480238593-0.000217028453072678i</v>
      </c>
      <c r="N209" s="175">
        <f>20*LOG(IMABS(M209))</f>
        <v>-69.8492715771185</v>
      </c>
      <c r="O209" s="175">
        <f>(180/PI())*IMARGUMENT(M209)</f>
        <v>-137.5848705755366</v>
      </c>
      <c r="P209" s="175" t="str">
        <f>IMDIV(IMSUM('Small Signal'!$B$48,IMPRODUCT(H209,'Small Signal'!$B$49)),IMSUM(IMPRODUCT('Small Signal'!$B$52,IMPOWER(H209,2)),IMSUM(IMPRODUCT(H209,'Small Signal'!$B$51),'Small Signal'!$B$50)))</f>
        <v>-0.000221835854017997-0.000199396391141551i</v>
      </c>
      <c r="Q209" s="175">
        <f>20*LOG(IMABS(P209))</f>
        <v>-70.50756082731462</v>
      </c>
      <c r="R209" s="175">
        <f>(180/PI())*IMARGUMENT(P209)</f>
        <v>-138.04932118848737</v>
      </c>
      <c r="S209" s="175" t="str">
        <f>IMPRODUCT(IMDIV(IMSUM(IMPRODUCT(H209,'Small Signal'!$B$33*'Small Signal'!$B$6*'Small Signal'!$B$27*'Small Signal'!$B$7*'Small Signal'!$B$8),'Small Signal'!$B$33*'Small Signal'!$B$6*'Small Signal'!$B$27),IMSUM(IMSUM(IMPRODUCT(H209,('Small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Signal'!$B$5),IMPRODUCT(IMPOWER(H209,2),'Small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-0.000555620256479204+0.0165220080383968i</v>
      </c>
      <c r="T209" s="175">
        <f>20*LOG(IMABS(S209))</f>
        <v>-35.633834685410264</v>
      </c>
      <c r="U209" s="175">
        <f>(180/PI())*IMARGUMENT(S209)</f>
        <v>91.926079625322444</v>
      </c>
      <c r="V209" s="175" t="str">
        <f>IMPRODUCT(M209,S209)</f>
        <v>3.71773370498453E-06-3.80422553926753E-06i</v>
      </c>
      <c r="W209" s="176">
        <f>20*LOG(IMABS(V209))</f>
        <v>-105.48310626252876</v>
      </c>
      <c r="X209" s="175">
        <f>(180/PI())*IMARGUMENT(V209)</f>
        <v>-45.65879095021419</v>
      </c>
      <c r="Y209" s="175" t="str">
        <f>IMPRODUCT(P209,S209)</f>
        <v>3.41768527137378E-06-3.55438508930287E-06i</v>
      </c>
      <c r="Z209" s="176">
        <f>20*LOG(IMABS(Y209))</f>
        <v>-106.14139551272488</v>
      </c>
      <c r="AA209" s="175">
        <f>(180/PI())*IMARGUMENT(Y209)</f>
        <v>-46.123241563164932</v>
      </c>
    </row>
    <row r="210" spans="6:27" x14ac:dyDescent="0.25">
      <c r="F210" s="177">
        <v>208</v>
      </c>
      <c r="G210" s="175">
        <f>10^('Small Signal'!F210/30)</f>
        <v>8576958.9859089572</v>
      </c>
      <c r="H210" s="175" t="str">
        <f>COMPLEX(0,G210*2*PI())</f>
        <v>53890622.6805451i</v>
      </c>
      <c r="I210" s="175">
        <f>IF('Small Signal'!$B$37&gt;=1,Q210+0,N210+0)</f>
        <v>-70.879405209840883</v>
      </c>
      <c r="J210" s="175">
        <f>IF('Small Signal'!$B$37&gt;=1,R210,O210)</f>
        <v>-135.47838275486754</v>
      </c>
      <c r="K210" s="175">
        <f>IF('Small Signal'!$B$37&gt;=1,Z210+0,W210+0)</f>
        <v>-107.17915236463182</v>
      </c>
      <c r="L210" s="175">
        <f>IF('Small Signal'!$B$37&gt;=1,AA210,X210)</f>
        <v>-43.694496768772439</v>
      </c>
      <c r="M210" s="175" t="str">
        <f>IMDIV(IMSUM('Small Signal'!$B$2*'Small Signal'!$B$16*'Small Signal'!$B$38,IMPRODUCT(H210,'Small Signal'!$B$2*'Small Signal'!$B$16*'Small Signal'!$B$38*'Small Signal'!$B$13*'Small Signal'!$B$14)),IMSUM(IMPRODUCT('Small Signal'!$B$11*'Small Signal'!$B$13*('Small Signal'!$B$14+'Small Signal'!$B$16),IMPOWER(H210,2)),IMSUM(IMPRODUCT(H210,('Small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-0.000203756143359137-0.000200381774344495i</v>
      </c>
      <c r="N210" s="175">
        <f>20*LOG(IMABS(M210))</f>
        <v>-70.879405209840883</v>
      </c>
      <c r="O210" s="175">
        <f>(180/PI())*IMARGUMENT(M210)</f>
        <v>-135.47838275486754</v>
      </c>
      <c r="P210" s="175" t="str">
        <f>IMDIV(IMSUM('Small Signal'!$B$48,IMPRODUCT(H210,'Small Signal'!$B$49)),IMSUM(IMPRODUCT('Small Signal'!$B$52,IMPOWER(H210,2)),IMSUM(IMPRODUCT(H210,'Small Signal'!$B$51),'Small Signal'!$B$50)))</f>
        <v>-0.000190270706991246-0.00018433021733236i</v>
      </c>
      <c r="Q210" s="175">
        <f>20*LOG(IMABS(P210))</f>
        <v>-71.537831028619678</v>
      </c>
      <c r="R210" s="175">
        <f>(180/PI())*IMARGUMENT(P210)</f>
        <v>-135.9085307483746</v>
      </c>
      <c r="S210" s="175" t="str">
        <f>IMPRODUCT(IMDIV(IMSUM(IMPRODUCT(H210,'Small Signal'!$B$33*'Small Signal'!$B$6*'Small Signal'!$B$27*'Small Signal'!$B$7*'Small Signal'!$B$8),'Small Signal'!$B$33*'Small Signal'!$B$6*'Small Signal'!$B$27),IMSUM(IMSUM(IMPRODUCT(H210,('Small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Signal'!$B$5),IMPRODUCT(IMPOWER(H210,2),'Small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-0.00047663610414458+0.0153038997643619i</v>
      </c>
      <c r="T210" s="175">
        <f>20*LOG(IMABS(S210))</f>
        <v>-36.299747154790943</v>
      </c>
      <c r="U210" s="175">
        <f>(180/PI())*IMARGUMENT(S210)</f>
        <v>91.783885986095129</v>
      </c>
      <c r="V210" s="175" t="str">
        <f>IMPRODUCT(M210,S210)</f>
        <v>3.16374012353936E-06-3.02275440607605E-06i</v>
      </c>
      <c r="W210" s="176">
        <f>20*LOG(IMABS(V210))</f>
        <v>-107.17915236463182</v>
      </c>
      <c r="X210" s="175">
        <f>(180/PI())*IMARGUMENT(V210)</f>
        <v>-43.694496768772439</v>
      </c>
      <c r="Y210" s="175" t="str">
        <f>IMPRODUCT(P210,S210)</f>
        <v>2.91166105811062E-06-2.82402539122288E-06i</v>
      </c>
      <c r="Z210" s="176">
        <f>20*LOG(IMABS(Y210))</f>
        <v>-107.83757818341061</v>
      </c>
      <c r="AA210" s="175">
        <f>(180/PI())*IMARGUMENT(Y210)</f>
        <v>-44.124644762279495</v>
      </c>
    </row>
    <row r="211" spans="6:27" x14ac:dyDescent="0.25">
      <c r="F211" s="177">
        <v>209</v>
      </c>
      <c r="G211" s="175">
        <f>10^('Small Signal'!F211/30)</f>
        <v>9261187.2812879551</v>
      </c>
      <c r="H211" s="175" t="str">
        <f>COMPLEX(0,G211*2*PI())</f>
        <v>58189755.8528269i</v>
      </c>
      <c r="I211" s="175">
        <f>IF('Small Signal'!$B$37&gt;=1,Q211+0,N211+0)</f>
        <v>-71.884078259638997</v>
      </c>
      <c r="J211" s="175">
        <f>IF('Small Signal'!$B$37&gt;=1,R211,O211)</f>
        <v>-133.3569053973043</v>
      </c>
      <c r="K211" s="175">
        <f>IF('Small Signal'!$B$37&gt;=1,Z211+0,W211+0)</f>
        <v>-108.84984510450685</v>
      </c>
      <c r="L211" s="175">
        <f>IF('Small Signal'!$B$37&gt;=1,AA211,X211)</f>
        <v>-41.704729711722436</v>
      </c>
      <c r="M211" s="175" t="str">
        <f>IMDIV(IMSUM('Small Signal'!$B$2*'Small Signal'!$B$16*'Small Signal'!$B$38,IMPRODUCT(H211,'Small Signal'!$B$2*'Small Signal'!$B$16*'Small Signal'!$B$38*'Small Signal'!$B$13*'Small Signal'!$B$14)),IMSUM(IMPRODUCT('Small Signal'!$B$11*'Small Signal'!$B$13*('Small Signal'!$B$14+'Small Signal'!$B$16),IMPOWER(H211,2)),IMSUM(IMPRODUCT(H211,('Small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-0.00017476821754551-0.000185090874453317i</v>
      </c>
      <c r="N211" s="175">
        <f>20*LOG(IMABS(M211))</f>
        <v>-71.884078259638997</v>
      </c>
      <c r="O211" s="175">
        <f>(180/PI())*IMARGUMENT(M211)</f>
        <v>-133.3569053973043</v>
      </c>
      <c r="P211" s="175" t="str">
        <f>IMDIV(IMSUM('Small Signal'!$B$48,IMPRODUCT(H211,'Small Signal'!$B$49)),IMSUM(IMPRODUCT('Small Signal'!$B$52,IMPOWER(H211,2)),IMSUM(IMPRODUCT(H211,'Small Signal'!$B$51),'Small Signal'!$B$50)))</f>
        <v>-0.000163196615546502-0.000170445945464575i</v>
      </c>
      <c r="Q211" s="175">
        <f>20*LOG(IMABS(P211))</f>
        <v>-72.542621218857036</v>
      </c>
      <c r="R211" s="175">
        <f>(180/PI())*IMARGUMENT(P211)</f>
        <v>-133.75528271082121</v>
      </c>
      <c r="S211" s="175" t="str">
        <f>IMPRODUCT(IMDIV(IMSUM(IMPRODUCT(H211,'Small Signal'!$B$33*'Small Signal'!$B$6*'Small Signal'!$B$27*'Small Signal'!$B$7*'Small Signal'!$B$8),'Small Signal'!$B$33*'Small Signal'!$B$6*'Small Signal'!$B$27),IMSUM(IMSUM(IMPRODUCT(H211,('Small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Signal'!$B$5),IMPRODUCT(IMPOWER(H211,2),'Small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-0.000408869827992951+0.0141752612846533i</v>
      </c>
      <c r="T211" s="175">
        <f>20*LOG(IMABS(S211))</f>
        <v>-36.965766844867858</v>
      </c>
      <c r="U211" s="175">
        <f>(180/PI())*IMARGUMENT(S211)</f>
        <v>91.65217568558181</v>
      </c>
      <c r="V211" s="175" t="str">
        <f>IMPRODUCT(M211,S211)</f>
        <v>0.0000026951689578272-2.40170707395994E-06i</v>
      </c>
      <c r="W211" s="176">
        <f>20*LOG(IMABS(V211))</f>
        <v>-108.84984510450685</v>
      </c>
      <c r="X211" s="175">
        <f>(180/PI())*IMARGUMENT(V211)</f>
        <v>-41.704729711722436</v>
      </c>
      <c r="Y211" s="175" t="str">
        <f>IMPRODUCT(P211,S211)</f>
        <v>2.48284198399765E-06-2.24366446173858E-06i</v>
      </c>
      <c r="Z211" s="176">
        <f>20*LOG(IMABS(Y211))</f>
        <v>-109.50838806372489</v>
      </c>
      <c r="AA211" s="175">
        <f>(180/PI())*IMARGUMENT(Y211)</f>
        <v>-42.10310702523936</v>
      </c>
    </row>
    <row r="212" spans="6:27" x14ac:dyDescent="0.25">
      <c r="F212" s="177">
        <v>210</v>
      </c>
      <c r="G212" s="175">
        <f>10^('Small Signal'!F212/30)</f>
        <v>10000000</v>
      </c>
      <c r="H212" s="175" t="str">
        <f>COMPLEX(0,G212*2*PI())</f>
        <v>62831853.0717959i</v>
      </c>
      <c r="I212" s="175">
        <f>IF('Small Signal'!$B$37&gt;=1,Q212+0,N212+0)</f>
        <v>-72.86323013594756</v>
      </c>
      <c r="J212" s="175">
        <f>IF('Small Signal'!$B$37&gt;=1,R212,O212)</f>
        <v>-131.23378782021859</v>
      </c>
      <c r="K212" s="175">
        <f>IF('Small Signal'!$B$37&gt;=1,Z212+0,W212+0)</f>
        <v>-110.49510866129118</v>
      </c>
      <c r="L212" s="175">
        <f>IF('Small Signal'!$B$37&gt;=1,AA212,X212)</f>
        <v>-39.703609077077459</v>
      </c>
      <c r="M212" s="175" t="str">
        <f>IMDIV(IMSUM('Small Signal'!$B$2*'Small Signal'!$B$16*'Small Signal'!$B$38,IMPRODUCT(H212,'Small Signal'!$B$2*'Small Signal'!$B$16*'Small Signal'!$B$38*'Small Signal'!$B$13*'Small Signal'!$B$14)),IMSUM(IMPRODUCT('Small Signal'!$B$11*'Small Signal'!$B$13*('Small Signal'!$B$14+'Small Signal'!$B$16),IMPOWER(H212,2)),IMSUM(IMPRODUCT(H212,('Small Signal'!$B$11+'Small Signal'!$B$13*'Small Signal'!$B$16*'Small Signal'!$B$14+'Small Signal'!$B$13*'Small Signal'!$B$16*'Small Signal'!$B$12+'Small Signal'!$B$13*'Small Signal'!$B$14*'Small Signal'!$B$12+'Small Signal'!$B$13*1*'Small Signal'!$B$38*'Small Signal'!$B$16*'Small Signal'!$B$30*'Small Signal'!$B$2+'Small Signal'!$B$13*'Small Signal'!$B$38*1*'Small Signal'!$B$14*'Small Signal'!$B$30*'Small Signal'!$B$2)),('Small Signal'!$B$12+'Small Signal'!$B$16+'Small Signal'!$B$38*1*'Small Signal'!$B$30*'Small Signal'!$B$2))))</f>
        <v>-0.000149903434201824-0.000171029705231281i</v>
      </c>
      <c r="N212" s="175">
        <f>20*LOG(IMABS(M212))</f>
        <v>-72.86323013594756</v>
      </c>
      <c r="O212" s="175">
        <f>(180/PI())*IMARGUMENT(M212)</f>
        <v>-131.23378782021859</v>
      </c>
      <c r="P212" s="175" t="str">
        <f>IMDIV(IMSUM('Small Signal'!$B$48,IMPRODUCT(H212,'Small Signal'!$B$49)),IMSUM(IMPRODUCT('Small Signal'!$B$52,IMPOWER(H212,2)),IMSUM(IMPRODUCT(H212,'Small Signal'!$B$51),'Small Signal'!$B$50)))</f>
        <v>-0.000139974694015664-0.00015764210820375i</v>
      </c>
      <c r="Q212" s="175">
        <f>20*LOG(IMABS(P212))</f>
        <v>-73.521873570546973</v>
      </c>
      <c r="R212" s="175">
        <f>(180/PI())*IMARGUMENT(P212)</f>
        <v>-131.60273981997818</v>
      </c>
      <c r="S212" s="175" t="str">
        <f>IMPRODUCT(IMDIV(IMSUM(IMPRODUCT(H212,'Small Signal'!$B$33*'Small Signal'!$B$6*'Small Signal'!$B$27*'Small Signal'!$B$7*'Small Signal'!$B$8),'Small Signal'!$B$33*'Small Signal'!$B$6*'Small Signal'!$B$27),IMSUM(IMSUM(IMPRODUCT(H212,('Small Signal'!$B$5+'Small Signal'!$B$6)*('Small Signal'!$B$32*'Small Signal'!$B$33)+'Small Signal'!$B$5*'Small Signal'!$B$33*('Small Signal'!$B$8+'Small Signal'!$B$9)+'Small Signal'!$B$6*'Small Signal'!$B$33*('Small Signal'!$B$8+'Small Signal'!$B$9)+'Small Signal'!$B$7*'Small Signal'!$B$8*('Small Signal'!$B$5+'Small Signal'!$B$6)),'Small Signal'!$B$6+'Small Signal'!$B$5),IMPRODUCT(IMPOWER(H212,2),'Small Signal'!$B$32*'Small Signal'!$B$33*'Small Signal'!$B$8*'Small Signal'!$B$7*('Small Signal'!$B$5+'Small Signal'!$B$6)+('Small Signal'!$B$5+'Small Signal'!$B$6)*('Small Signal'!$B$9*'Small Signal'!$B$8*'Small Signal'!$B$33*'Small Signal'!$B$7)))),-1)</f>
        <v>-0.000350730858456904+0.013129590347836i</v>
      </c>
      <c r="T212" s="175">
        <f>20*LOG(IMABS(S212))</f>
        <v>-37.631878525343645</v>
      </c>
      <c r="U212" s="175">
        <f>(180/PI())*IMARGUMENT(S212)</f>
        <v>91.530178743141121</v>
      </c>
      <c r="V212" s="175" t="str">
        <f>IMPRODUCT(M212,S212)</f>
        <v>2.29812572716111E-06-1.90818528746634E-06i</v>
      </c>
      <c r="W212" s="176">
        <f>20*LOG(IMABS(V212))</f>
        <v>-110.49510866129118</v>
      </c>
      <c r="X212" s="175">
        <f>(180/PI())*IMARGUMENT(V212)</f>
        <v>-39.703609077077459</v>
      </c>
      <c r="Y212" s="175" t="str">
        <f>IMPRODUCT(P212,S212)</f>
        <v>2.11886974687883E-06-0.0000017825204395501i</v>
      </c>
      <c r="Z212" s="176">
        <f>20*LOG(IMABS(Y212))</f>
        <v>-111.15375209589061</v>
      </c>
      <c r="AA212" s="175">
        <f>(180/PI())*IMARGUMENT(Y212)</f>
        <v>-40.072561076837054</v>
      </c>
    </row>
  </sheetData>
  <sheetProtection algorithmName="SHA-512" hashValue="wwLp+7OZsVYRQtu0kkK7ygFZ94T8xTpU4qrlTyGTmuZ0m71fRgR5gBKMtawS4RWJY4zJ5EVcvBaV3bkGlsGSTw==" saltValue="e7tGh7SWDt2iPKLbeIkLkQ==" spinCount="100000" sheet="1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59"/>
  <sheetViews>
    <sheetView workbookViewId="0">
      <selection activeCell="Q4" sqref="Q4:Q10"/>
    </sheetView>
  </sheetViews>
  <sheetFormatPr defaultColWidth="8.81640625" defaultRowHeight="12.5" x14ac:dyDescent="0.25"/>
  <cols>
    <col min="1" max="1" width="16.7265625" style="5" customWidth="1"/>
    <col min="2" max="2" width="7" style="5" customWidth="1"/>
    <col min="3" max="3" width="7.7265625" style="5" customWidth="1"/>
    <col min="4" max="4" width="6.54296875" style="5" customWidth="1"/>
    <col min="5" max="5" width="10.26953125" style="5" customWidth="1"/>
    <col min="6" max="6" width="9.54296875" style="5" customWidth="1"/>
    <col min="7" max="7" width="5.54296875" style="5" customWidth="1"/>
    <col min="8" max="8" width="8.81640625" style="5"/>
    <col min="9" max="9" width="9" style="5" bestFit="1" customWidth="1"/>
    <col min="10" max="10" width="9.26953125" style="5" customWidth="1"/>
    <col min="11" max="12" width="8.81640625" style="5"/>
    <col min="13" max="13" width="9.1796875" style="5" customWidth="1"/>
    <col min="14" max="14" width="8.26953125" style="5" customWidth="1"/>
    <col min="15" max="15" width="8.54296875" style="5" customWidth="1"/>
    <col min="16" max="16" width="8.26953125" style="5" customWidth="1"/>
    <col min="17" max="19" width="8.81640625" style="5"/>
    <col min="20" max="20" width="16.453125" style="112" bestFit="1" customWidth="1"/>
    <col min="21" max="16384" width="8.81640625" style="5"/>
  </cols>
  <sheetData>
    <row r="1" spans="1:26" ht="16" customHeight="1" x14ac:dyDescent="0.2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66"/>
      <c r="N1" s="66"/>
      <c r="O1" s="66"/>
      <c r="P1" s="66"/>
      <c r="T1" s="97"/>
      <c r="U1" s="98"/>
      <c r="V1" s="98"/>
      <c r="W1" s="98"/>
      <c r="X1" s="98"/>
      <c r="Y1" s="98"/>
      <c r="Z1" s="98"/>
    </row>
    <row r="2" spans="1:26" s="99" customFormat="1" ht="16" customHeight="1" x14ac:dyDescent="0.25">
      <c r="A2" s="99" t="s">
        <v>54</v>
      </c>
      <c r="B2" s="99" t="s">
        <v>55</v>
      </c>
      <c r="C2" s="99" t="s">
        <v>56</v>
      </c>
      <c r="D2" s="99" t="s">
        <v>57</v>
      </c>
      <c r="E2" s="99" t="s">
        <v>58</v>
      </c>
      <c r="F2" s="99" t="s">
        <v>59</v>
      </c>
      <c r="G2" s="99" t="s">
        <v>60</v>
      </c>
      <c r="H2" s="99" t="s">
        <v>16</v>
      </c>
      <c r="I2" s="99" t="s">
        <v>14</v>
      </c>
      <c r="J2" s="99" t="s">
        <v>15</v>
      </c>
      <c r="K2" s="99" t="s">
        <v>61</v>
      </c>
      <c r="L2" s="99" t="s">
        <v>62</v>
      </c>
      <c r="M2" s="100" t="s">
        <v>63</v>
      </c>
      <c r="N2" s="100" t="s">
        <v>65</v>
      </c>
      <c r="O2" s="99" t="s">
        <v>66</v>
      </c>
      <c r="P2" s="100" t="s">
        <v>64</v>
      </c>
      <c r="Q2" s="99" t="s">
        <v>179</v>
      </c>
      <c r="T2" s="101"/>
      <c r="U2" s="102"/>
      <c r="V2" s="102"/>
      <c r="W2" s="102"/>
      <c r="X2" s="102"/>
      <c r="Y2" s="102"/>
      <c r="Z2" s="102"/>
    </row>
    <row r="3" spans="1:26" ht="16" customHeigh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T3" s="103"/>
      <c r="U3" s="104"/>
      <c r="V3" s="104"/>
      <c r="W3" s="104"/>
      <c r="X3" s="104"/>
      <c r="Y3" s="104"/>
      <c r="Z3" s="104"/>
    </row>
    <row r="4" spans="1:26" ht="16" customHeight="1" x14ac:dyDescent="0.25">
      <c r="A4" s="105" t="s">
        <v>232</v>
      </c>
      <c r="B4" s="106">
        <v>3.5</v>
      </c>
      <c r="C4" s="106">
        <v>42</v>
      </c>
      <c r="D4" s="106">
        <v>0.5</v>
      </c>
      <c r="E4" s="106">
        <v>2500</v>
      </c>
      <c r="F4" s="106">
        <v>100</v>
      </c>
      <c r="G4" s="106">
        <v>0.6</v>
      </c>
      <c r="H4" s="107">
        <v>1.3E-7</v>
      </c>
      <c r="I4" s="108">
        <v>1.9</v>
      </c>
      <c r="J4" s="107">
        <v>9.7E-5</v>
      </c>
      <c r="K4" s="108">
        <v>0.8</v>
      </c>
      <c r="L4" s="108">
        <v>0.2</v>
      </c>
      <c r="M4" s="107">
        <v>1.9999999999999999E-6</v>
      </c>
      <c r="N4" s="107">
        <v>2.9000000000000002E-6</v>
      </c>
      <c r="O4" s="107">
        <v>8.9999999999999996E-7</v>
      </c>
      <c r="P4" s="108">
        <v>1.25</v>
      </c>
      <c r="Q4" s="5">
        <f>206033/(Worksheet!C$85^1.0888)</f>
        <v>164.5106583193672</v>
      </c>
      <c r="T4" s="103"/>
      <c r="U4" s="104"/>
      <c r="V4" s="104"/>
      <c r="W4" s="104"/>
      <c r="X4" s="104"/>
      <c r="Y4" s="104"/>
      <c r="Z4" s="104"/>
    </row>
    <row r="5" spans="1:26" ht="16" customHeight="1" x14ac:dyDescent="0.25">
      <c r="A5" s="105" t="s">
        <v>224</v>
      </c>
      <c r="B5" s="106">
        <v>3.5</v>
      </c>
      <c r="C5" s="106">
        <v>42</v>
      </c>
      <c r="D5" s="106">
        <v>0.5</v>
      </c>
      <c r="E5" s="106">
        <v>2500</v>
      </c>
      <c r="F5" s="106">
        <v>100</v>
      </c>
      <c r="G5" s="106">
        <v>0.6</v>
      </c>
      <c r="H5" s="107">
        <v>1.3E-7</v>
      </c>
      <c r="I5" s="108">
        <v>1.9</v>
      </c>
      <c r="J5" s="107">
        <v>9.7E-5</v>
      </c>
      <c r="K5" s="108">
        <v>0.8</v>
      </c>
      <c r="L5" s="108">
        <v>0.2</v>
      </c>
      <c r="M5" s="107">
        <v>1.9999999999999999E-6</v>
      </c>
      <c r="N5" s="107">
        <v>2.9000000000000002E-6</v>
      </c>
      <c r="O5" s="107">
        <v>8.9999999999999996E-7</v>
      </c>
      <c r="P5" s="108">
        <v>1.25</v>
      </c>
      <c r="Q5" s="5">
        <f>206033/(Worksheet!C$85^1.0888)</f>
        <v>164.5106583193672</v>
      </c>
      <c r="T5" s="103"/>
      <c r="U5" s="104"/>
      <c r="V5" s="104"/>
      <c r="W5" s="104"/>
      <c r="X5" s="104"/>
      <c r="Y5" s="104"/>
      <c r="Z5" s="104"/>
    </row>
    <row r="6" spans="1:26" ht="16" customHeight="1" x14ac:dyDescent="0.25">
      <c r="A6" s="105" t="s">
        <v>225</v>
      </c>
      <c r="B6" s="106">
        <v>3.5</v>
      </c>
      <c r="C6" s="106">
        <v>60</v>
      </c>
      <c r="D6" s="106">
        <v>0.5</v>
      </c>
      <c r="E6" s="106">
        <v>2500</v>
      </c>
      <c r="F6" s="106">
        <v>100</v>
      </c>
      <c r="G6" s="106">
        <v>0.6</v>
      </c>
      <c r="H6" s="107">
        <v>1.3E-7</v>
      </c>
      <c r="I6" s="108">
        <v>1.9</v>
      </c>
      <c r="J6" s="107">
        <v>9.7E-5</v>
      </c>
      <c r="K6" s="108">
        <v>0.8</v>
      </c>
      <c r="L6" s="108">
        <v>0.2</v>
      </c>
      <c r="M6" s="107">
        <v>1.9999999999999999E-6</v>
      </c>
      <c r="N6" s="107">
        <v>2.9000000000000002E-6</v>
      </c>
      <c r="O6" s="107">
        <v>8.9999999999999996E-7</v>
      </c>
      <c r="P6" s="108">
        <v>1.25</v>
      </c>
      <c r="Q6" s="5">
        <f>206033/(Worksheet!C$85^1.0888)</f>
        <v>164.5106583193672</v>
      </c>
      <c r="T6" s="103"/>
      <c r="U6" s="104"/>
      <c r="V6" s="104"/>
      <c r="W6" s="104"/>
      <c r="X6" s="104"/>
      <c r="Y6" s="104"/>
      <c r="Z6" s="104"/>
    </row>
    <row r="7" spans="1:26" ht="16" customHeight="1" x14ac:dyDescent="0.25">
      <c r="A7" s="105" t="s">
        <v>226</v>
      </c>
      <c r="B7" s="106">
        <v>3.5</v>
      </c>
      <c r="C7" s="106">
        <v>42</v>
      </c>
      <c r="D7" s="106">
        <v>1.5</v>
      </c>
      <c r="E7" s="106">
        <v>2500</v>
      </c>
      <c r="F7" s="106">
        <v>100</v>
      </c>
      <c r="G7" s="106">
        <v>1.8</v>
      </c>
      <c r="H7" s="107">
        <v>1.3E-7</v>
      </c>
      <c r="I7" s="108">
        <v>6</v>
      </c>
      <c r="J7" s="107">
        <v>9.7E-5</v>
      </c>
      <c r="K7" s="108">
        <v>0.8</v>
      </c>
      <c r="L7" s="108">
        <v>0.2</v>
      </c>
      <c r="M7" s="107">
        <v>1.9999999999999999E-6</v>
      </c>
      <c r="N7" s="107">
        <v>2.9000000000000002E-6</v>
      </c>
      <c r="O7" s="107">
        <v>8.9999999999999996E-7</v>
      </c>
      <c r="P7" s="108">
        <v>1.25</v>
      </c>
      <c r="Q7" s="5">
        <f>206033/(Worksheet!C$85^1.0888)</f>
        <v>164.5106583193672</v>
      </c>
      <c r="T7" s="103"/>
      <c r="U7" s="104"/>
      <c r="V7" s="104"/>
      <c r="W7" s="104"/>
      <c r="X7" s="104"/>
      <c r="Y7" s="104"/>
      <c r="Z7" s="104"/>
    </row>
    <row r="8" spans="1:26" ht="16" customHeight="1" x14ac:dyDescent="0.25">
      <c r="A8" s="105" t="s">
        <v>227</v>
      </c>
      <c r="B8" s="106">
        <v>3.5</v>
      </c>
      <c r="C8" s="106">
        <v>60</v>
      </c>
      <c r="D8" s="106">
        <v>1.5</v>
      </c>
      <c r="E8" s="106">
        <v>2500</v>
      </c>
      <c r="F8" s="106">
        <v>100</v>
      </c>
      <c r="G8" s="106">
        <v>1.8</v>
      </c>
      <c r="H8" s="107">
        <v>1.3E-7</v>
      </c>
      <c r="I8" s="108">
        <v>6</v>
      </c>
      <c r="J8" s="107">
        <v>9.7E-5</v>
      </c>
      <c r="K8" s="108">
        <v>0.8</v>
      </c>
      <c r="L8" s="108">
        <v>0.2</v>
      </c>
      <c r="M8" s="107">
        <v>1.9999999999999999E-6</v>
      </c>
      <c r="N8" s="107">
        <v>2.9000000000000002E-6</v>
      </c>
      <c r="O8" s="107">
        <v>8.9999999999999996E-7</v>
      </c>
      <c r="P8" s="108">
        <v>1.25</v>
      </c>
      <c r="Q8" s="5">
        <f>206033/(Worksheet!C$85^1.0888)</f>
        <v>164.5106583193672</v>
      </c>
      <c r="T8" s="103"/>
      <c r="U8" s="104"/>
      <c r="V8" s="104"/>
      <c r="W8" s="104"/>
      <c r="X8" s="104"/>
      <c r="Y8" s="104"/>
      <c r="Z8" s="104"/>
    </row>
    <row r="9" spans="1:26" ht="16" customHeight="1" x14ac:dyDescent="0.25">
      <c r="A9" s="105" t="s">
        <v>162</v>
      </c>
      <c r="B9" s="106">
        <v>3.5</v>
      </c>
      <c r="C9" s="106">
        <v>42</v>
      </c>
      <c r="D9" s="106">
        <v>2.5</v>
      </c>
      <c r="E9" s="106">
        <v>2500</v>
      </c>
      <c r="F9" s="106">
        <v>100</v>
      </c>
      <c r="G9" s="106">
        <v>3.5</v>
      </c>
      <c r="H9" s="107">
        <v>1.35E-7</v>
      </c>
      <c r="I9" s="108">
        <v>10.5</v>
      </c>
      <c r="J9" s="107">
        <v>3.1E-4</v>
      </c>
      <c r="K9" s="108">
        <v>0.8</v>
      </c>
      <c r="L9" s="108">
        <v>0.2</v>
      </c>
      <c r="M9" s="107">
        <v>1.9999999999999999E-6</v>
      </c>
      <c r="N9" s="107">
        <v>2.9000000000000002E-6</v>
      </c>
      <c r="O9" s="107">
        <v>8.9999999999999996E-7</v>
      </c>
      <c r="P9" s="108">
        <v>1.25</v>
      </c>
      <c r="Q9" s="5">
        <f>206033/(Worksheet!C$85^1.0888)</f>
        <v>164.5106583193672</v>
      </c>
      <c r="T9" s="103"/>
      <c r="U9" s="104"/>
      <c r="V9" s="104"/>
      <c r="W9" s="104"/>
      <c r="X9" s="104"/>
      <c r="Y9" s="104"/>
      <c r="Z9" s="104"/>
    </row>
    <row r="10" spans="1:26" ht="16" customHeight="1" x14ac:dyDescent="0.25">
      <c r="A10" s="105" t="s">
        <v>163</v>
      </c>
      <c r="B10" s="106">
        <v>3.5</v>
      </c>
      <c r="C10" s="106">
        <v>60</v>
      </c>
      <c r="D10" s="106">
        <v>2.5</v>
      </c>
      <c r="E10" s="106">
        <v>2500</v>
      </c>
      <c r="F10" s="106">
        <v>100</v>
      </c>
      <c r="G10" s="106">
        <v>3.5</v>
      </c>
      <c r="H10" s="107">
        <v>1.35E-7</v>
      </c>
      <c r="I10" s="108">
        <v>10.5</v>
      </c>
      <c r="J10" s="107">
        <v>3.1E-4</v>
      </c>
      <c r="K10" s="108">
        <v>0.8</v>
      </c>
      <c r="L10" s="108">
        <v>0.2</v>
      </c>
      <c r="M10" s="107">
        <v>1.9999999999999999E-6</v>
      </c>
      <c r="N10" s="107">
        <v>2.9000000000000002E-6</v>
      </c>
      <c r="O10" s="107">
        <v>8.9999999999999996E-7</v>
      </c>
      <c r="P10" s="108">
        <v>1.25</v>
      </c>
      <c r="Q10" s="5">
        <f>206033/(Worksheet!C$85^1.0888)</f>
        <v>164.5106583193672</v>
      </c>
      <c r="T10" s="103"/>
      <c r="U10" s="104"/>
      <c r="V10" s="104"/>
      <c r="W10" s="104"/>
      <c r="X10" s="104"/>
      <c r="Y10" s="104"/>
      <c r="Z10" s="104"/>
    </row>
    <row r="11" spans="1:26" ht="13.5" customHeight="1" x14ac:dyDescent="0.25">
      <c r="A11" s="5" t="s">
        <v>161</v>
      </c>
      <c r="T11" s="103"/>
      <c r="U11" s="104"/>
      <c r="V11" s="104"/>
      <c r="W11" s="104"/>
      <c r="X11" s="104"/>
      <c r="Y11" s="104"/>
      <c r="Z11" s="104"/>
    </row>
    <row r="12" spans="1:26" ht="16" customHeight="1" x14ac:dyDescent="0.25">
      <c r="T12" s="103"/>
      <c r="U12" s="104"/>
      <c r="V12" s="104"/>
      <c r="W12" s="104"/>
      <c r="X12" s="104"/>
      <c r="Y12" s="104"/>
      <c r="Z12" s="104"/>
    </row>
    <row r="13" spans="1:26" ht="16" customHeight="1" x14ac:dyDescent="0.25">
      <c r="T13" s="103"/>
      <c r="U13" s="104"/>
      <c r="V13" s="104"/>
      <c r="W13" s="104"/>
      <c r="X13" s="104"/>
      <c r="Y13" s="104"/>
      <c r="Z13" s="104"/>
    </row>
    <row r="14" spans="1:26" ht="16" customHeight="1" x14ac:dyDescent="0.25">
      <c r="T14" s="103"/>
      <c r="U14" s="104"/>
      <c r="V14" s="104"/>
      <c r="W14" s="104"/>
      <c r="X14" s="104"/>
      <c r="Y14" s="104"/>
      <c r="Z14" s="104"/>
    </row>
    <row r="15" spans="1:26" ht="16" customHeight="1" x14ac:dyDescent="0.25">
      <c r="T15" s="103"/>
      <c r="U15" s="104"/>
      <c r="V15" s="104"/>
      <c r="W15" s="104"/>
      <c r="X15" s="104"/>
      <c r="Y15" s="104"/>
      <c r="Z15" s="104"/>
    </row>
    <row r="16" spans="1:26" ht="16" customHeight="1" x14ac:dyDescent="0.25">
      <c r="T16" s="103"/>
      <c r="U16" s="104"/>
      <c r="V16" s="104"/>
      <c r="W16" s="104"/>
      <c r="X16" s="104"/>
      <c r="Y16" s="104"/>
      <c r="Z16" s="104"/>
    </row>
    <row r="17" spans="20:26" ht="16" customHeight="1" x14ac:dyDescent="0.25">
      <c r="T17" s="103"/>
      <c r="U17" s="104"/>
      <c r="V17" s="104"/>
      <c r="W17" s="104"/>
      <c r="X17" s="104"/>
      <c r="Y17" s="104"/>
      <c r="Z17" s="104"/>
    </row>
    <row r="18" spans="20:26" ht="16" customHeight="1" x14ac:dyDescent="0.25">
      <c r="T18" s="103"/>
      <c r="U18" s="104"/>
      <c r="V18" s="104"/>
      <c r="W18" s="104"/>
      <c r="X18" s="104"/>
      <c r="Y18" s="104"/>
      <c r="Z18" s="104"/>
    </row>
    <row r="19" spans="20:26" ht="16" customHeight="1" x14ac:dyDescent="0.25">
      <c r="T19" s="103"/>
      <c r="U19" s="104"/>
      <c r="V19" s="104"/>
      <c r="W19" s="104"/>
      <c r="X19" s="104"/>
      <c r="Y19" s="104"/>
      <c r="Z19" s="104"/>
    </row>
    <row r="20" spans="20:26" ht="16" customHeight="1" x14ac:dyDescent="0.25">
      <c r="T20" s="103"/>
      <c r="U20" s="104"/>
      <c r="V20" s="104"/>
      <c r="W20" s="104"/>
      <c r="X20" s="104"/>
      <c r="Y20" s="104"/>
      <c r="Z20" s="104"/>
    </row>
    <row r="21" spans="20:26" ht="16" customHeight="1" x14ac:dyDescent="0.25">
      <c r="T21" s="103"/>
      <c r="U21" s="104"/>
      <c r="V21" s="104"/>
      <c r="W21" s="104"/>
      <c r="X21" s="104"/>
      <c r="Y21" s="104"/>
      <c r="Z21" s="104"/>
    </row>
    <row r="22" spans="20:26" ht="16" customHeight="1" x14ac:dyDescent="0.25">
      <c r="T22" s="103"/>
      <c r="U22" s="104"/>
      <c r="V22" s="104"/>
      <c r="W22" s="104"/>
      <c r="X22" s="104"/>
      <c r="Y22" s="104"/>
      <c r="Z22" s="104"/>
    </row>
    <row r="23" spans="20:26" ht="16" customHeight="1" x14ac:dyDescent="0.25">
      <c r="T23" s="103"/>
      <c r="U23" s="104"/>
      <c r="V23" s="104"/>
      <c r="W23" s="104"/>
      <c r="X23" s="104"/>
      <c r="Y23" s="104"/>
      <c r="Z23" s="104"/>
    </row>
    <row r="24" spans="20:26" ht="16" customHeight="1" x14ac:dyDescent="0.25">
      <c r="T24" s="103"/>
      <c r="U24" s="104"/>
      <c r="V24" s="104"/>
      <c r="W24" s="104"/>
      <c r="X24" s="104"/>
      <c r="Y24" s="104"/>
      <c r="Z24" s="104"/>
    </row>
    <row r="25" spans="20:26" ht="16" customHeight="1" x14ac:dyDescent="0.25">
      <c r="T25" s="103"/>
      <c r="U25" s="104"/>
      <c r="V25" s="104"/>
      <c r="W25" s="104"/>
      <c r="X25" s="104"/>
      <c r="Y25" s="104"/>
      <c r="Z25" s="104"/>
    </row>
    <row r="26" spans="20:26" ht="16" customHeight="1" x14ac:dyDescent="0.25">
      <c r="T26" s="103"/>
      <c r="U26" s="104"/>
      <c r="V26" s="104"/>
      <c r="W26" s="104"/>
      <c r="X26" s="104"/>
      <c r="Y26" s="104"/>
      <c r="Z26" s="104"/>
    </row>
    <row r="27" spans="20:26" ht="16" customHeight="1" x14ac:dyDescent="0.25">
      <c r="T27" s="103"/>
      <c r="U27" s="104"/>
      <c r="V27" s="104"/>
      <c r="W27" s="104"/>
      <c r="X27" s="104"/>
      <c r="Y27" s="104"/>
      <c r="Z27" s="104"/>
    </row>
    <row r="28" spans="20:26" ht="16" customHeight="1" x14ac:dyDescent="0.25">
      <c r="T28" s="103"/>
      <c r="U28" s="104"/>
      <c r="V28" s="104"/>
      <c r="W28" s="104"/>
      <c r="X28" s="104"/>
      <c r="Y28" s="104"/>
      <c r="Z28" s="104"/>
    </row>
    <row r="29" spans="20:26" ht="16" customHeight="1" x14ac:dyDescent="0.25">
      <c r="T29" s="103"/>
      <c r="U29" s="104"/>
      <c r="V29" s="104"/>
      <c r="W29" s="104"/>
      <c r="X29" s="104"/>
      <c r="Y29" s="104"/>
      <c r="Z29" s="104"/>
    </row>
    <row r="30" spans="20:26" ht="16" customHeight="1" x14ac:dyDescent="0.25">
      <c r="T30" s="103"/>
      <c r="U30" s="104"/>
      <c r="V30" s="104"/>
      <c r="W30" s="104"/>
      <c r="X30" s="104"/>
      <c r="Y30" s="104"/>
      <c r="Z30" s="104"/>
    </row>
    <row r="31" spans="20:26" ht="16" customHeight="1" x14ac:dyDescent="0.25">
      <c r="T31" s="103"/>
      <c r="U31" s="104"/>
      <c r="V31" s="104"/>
      <c r="W31" s="104"/>
      <c r="X31" s="104"/>
      <c r="Y31" s="104"/>
      <c r="Z31" s="104"/>
    </row>
    <row r="32" spans="20:26" ht="16" customHeight="1" x14ac:dyDescent="0.25">
      <c r="T32" s="103"/>
      <c r="U32" s="104"/>
      <c r="V32" s="104"/>
      <c r="W32" s="104"/>
      <c r="X32" s="104"/>
      <c r="Y32" s="104"/>
      <c r="Z32" s="104"/>
    </row>
    <row r="33" spans="20:26" ht="16" customHeight="1" x14ac:dyDescent="0.25">
      <c r="T33" s="103"/>
      <c r="U33" s="104"/>
      <c r="V33" s="104"/>
      <c r="W33" s="104"/>
      <c r="X33" s="104"/>
      <c r="Y33" s="104"/>
      <c r="Z33" s="104"/>
    </row>
    <row r="34" spans="20:26" ht="16" customHeight="1" x14ac:dyDescent="0.25">
      <c r="T34" s="103"/>
      <c r="U34" s="104"/>
      <c r="V34" s="104"/>
      <c r="W34" s="104"/>
      <c r="X34" s="104"/>
      <c r="Y34" s="104"/>
      <c r="Z34" s="104"/>
    </row>
    <row r="35" spans="20:26" ht="16" customHeight="1" x14ac:dyDescent="0.25">
      <c r="T35" s="103"/>
      <c r="U35" s="104"/>
      <c r="V35" s="104"/>
      <c r="W35" s="104"/>
      <c r="X35" s="104"/>
      <c r="Y35" s="104"/>
      <c r="Z35" s="104"/>
    </row>
    <row r="36" spans="20:26" ht="16" customHeight="1" x14ac:dyDescent="0.25">
      <c r="T36" s="103"/>
      <c r="U36" s="104"/>
      <c r="V36" s="104"/>
      <c r="W36" s="104"/>
      <c r="X36" s="104"/>
      <c r="Y36" s="104"/>
      <c r="Z36" s="104"/>
    </row>
    <row r="37" spans="20:26" ht="16" customHeight="1" x14ac:dyDescent="0.25">
      <c r="T37" s="103"/>
      <c r="U37" s="104"/>
      <c r="V37" s="104"/>
      <c r="W37" s="104"/>
      <c r="X37" s="104"/>
      <c r="Y37" s="104"/>
      <c r="Z37" s="104"/>
    </row>
    <row r="38" spans="20:26" ht="16" customHeight="1" x14ac:dyDescent="0.25">
      <c r="T38" s="103"/>
      <c r="U38" s="104"/>
      <c r="V38" s="104"/>
      <c r="W38" s="104"/>
      <c r="X38" s="104"/>
      <c r="Y38" s="104"/>
      <c r="Z38" s="104"/>
    </row>
    <row r="39" spans="20:26" ht="16" customHeight="1" x14ac:dyDescent="0.25">
      <c r="T39" s="103"/>
      <c r="U39" s="104"/>
      <c r="V39" s="104"/>
      <c r="W39" s="104"/>
      <c r="X39" s="104"/>
      <c r="Y39" s="104"/>
      <c r="Z39" s="104"/>
    </row>
    <row r="40" spans="20:26" ht="16" customHeight="1" x14ac:dyDescent="0.25">
      <c r="T40" s="103"/>
      <c r="U40" s="104"/>
      <c r="V40" s="104"/>
      <c r="W40" s="104"/>
      <c r="X40" s="104"/>
      <c r="Y40" s="104"/>
      <c r="Z40" s="104"/>
    </row>
    <row r="41" spans="20:26" ht="16" customHeight="1" x14ac:dyDescent="0.25">
      <c r="T41" s="103"/>
      <c r="U41" s="104"/>
      <c r="V41" s="104"/>
      <c r="W41" s="104"/>
      <c r="X41" s="104"/>
      <c r="Y41" s="104"/>
      <c r="Z41" s="104"/>
    </row>
    <row r="42" spans="20:26" ht="16" customHeight="1" x14ac:dyDescent="0.25">
      <c r="T42" s="103"/>
      <c r="U42" s="104"/>
      <c r="V42" s="104"/>
      <c r="W42" s="104"/>
      <c r="X42" s="104"/>
      <c r="Y42" s="104"/>
      <c r="Z42" s="104"/>
    </row>
    <row r="43" spans="20:26" ht="16" customHeight="1" x14ac:dyDescent="0.25">
      <c r="T43" s="103"/>
      <c r="U43" s="104"/>
      <c r="V43" s="104"/>
      <c r="W43" s="104"/>
      <c r="X43" s="104"/>
      <c r="Y43" s="104"/>
      <c r="Z43" s="104"/>
    </row>
    <row r="44" spans="20:26" ht="16" customHeight="1" x14ac:dyDescent="0.25">
      <c r="T44" s="103"/>
      <c r="U44" s="104"/>
      <c r="V44" s="104"/>
      <c r="W44" s="104"/>
      <c r="X44" s="104"/>
      <c r="Y44" s="104"/>
      <c r="Z44" s="104"/>
    </row>
    <row r="45" spans="20:26" ht="16" customHeight="1" x14ac:dyDescent="0.25">
      <c r="T45" s="109"/>
      <c r="U45" s="110"/>
      <c r="V45" s="111"/>
      <c r="W45" s="111"/>
      <c r="X45" s="111"/>
      <c r="Y45" s="111"/>
      <c r="Z45" s="111"/>
    </row>
    <row r="46" spans="20:26" ht="16" customHeight="1" x14ac:dyDescent="0.25">
      <c r="T46" s="109"/>
      <c r="U46" s="110"/>
      <c r="V46" s="111"/>
      <c r="W46" s="111"/>
      <c r="X46" s="111"/>
      <c r="Y46" s="111"/>
      <c r="Z46" s="111"/>
    </row>
    <row r="47" spans="20:26" ht="16" customHeight="1" x14ac:dyDescent="0.25">
      <c r="T47" s="109"/>
      <c r="U47" s="110"/>
      <c r="V47" s="111"/>
      <c r="W47" s="111"/>
      <c r="X47" s="111"/>
      <c r="Y47" s="111"/>
      <c r="Z47" s="111"/>
    </row>
    <row r="48" spans="20:26" ht="16" customHeight="1" x14ac:dyDescent="0.25">
      <c r="T48" s="109"/>
      <c r="U48" s="110"/>
      <c r="V48" s="111"/>
      <c r="W48" s="111"/>
      <c r="X48" s="111"/>
      <c r="Y48" s="111"/>
      <c r="Z48" s="111"/>
    </row>
    <row r="49" spans="20:26" ht="16" customHeight="1" x14ac:dyDescent="0.25">
      <c r="T49" s="109"/>
      <c r="U49" s="110"/>
      <c r="V49" s="111"/>
      <c r="W49" s="111"/>
      <c r="X49" s="111"/>
      <c r="Y49" s="111"/>
      <c r="Z49" s="111"/>
    </row>
    <row r="50" spans="20:26" ht="16" customHeight="1" x14ac:dyDescent="0.25">
      <c r="T50" s="109"/>
      <c r="U50" s="110"/>
      <c r="V50" s="111"/>
      <c r="W50" s="111"/>
      <c r="X50" s="111"/>
      <c r="Y50" s="111"/>
      <c r="Z50" s="111"/>
    </row>
    <row r="51" spans="20:26" ht="16" customHeight="1" x14ac:dyDescent="0.25">
      <c r="T51" s="109"/>
      <c r="U51" s="110"/>
      <c r="V51" s="111"/>
      <c r="W51" s="111"/>
      <c r="X51" s="111"/>
      <c r="Y51" s="111"/>
      <c r="Z51" s="111"/>
    </row>
    <row r="52" spans="20:26" ht="16" customHeight="1" x14ac:dyDescent="0.25">
      <c r="T52" s="109"/>
      <c r="U52" s="110"/>
      <c r="V52" s="111"/>
      <c r="W52" s="111"/>
      <c r="X52" s="111"/>
      <c r="Y52" s="111"/>
      <c r="Z52" s="111"/>
    </row>
    <row r="53" spans="20:26" ht="16" customHeight="1" x14ac:dyDescent="0.25">
      <c r="T53" s="109"/>
      <c r="U53" s="110"/>
      <c r="V53" s="111"/>
      <c r="W53" s="111"/>
      <c r="X53" s="111"/>
      <c r="Y53" s="111"/>
      <c r="Z53" s="111"/>
    </row>
    <row r="54" spans="20:26" ht="16" customHeight="1" x14ac:dyDescent="0.25">
      <c r="T54" s="109"/>
      <c r="U54" s="110"/>
      <c r="V54" s="111"/>
      <c r="W54" s="111"/>
      <c r="X54" s="111"/>
      <c r="Y54" s="111"/>
      <c r="Z54" s="111"/>
    </row>
    <row r="55" spans="20:26" ht="16" customHeight="1" x14ac:dyDescent="0.25">
      <c r="T55" s="109"/>
      <c r="U55" s="110"/>
      <c r="V55" s="111"/>
      <c r="W55" s="111"/>
      <c r="X55" s="111"/>
      <c r="Y55" s="111"/>
      <c r="Z55" s="111"/>
    </row>
    <row r="56" spans="20:26" ht="16" customHeight="1" x14ac:dyDescent="0.25">
      <c r="T56" s="109"/>
      <c r="U56" s="110"/>
      <c r="V56" s="111"/>
      <c r="W56" s="111"/>
      <c r="X56" s="111"/>
      <c r="Y56" s="111"/>
      <c r="Z56" s="111"/>
    </row>
    <row r="57" spans="20:26" ht="16" customHeight="1" x14ac:dyDescent="0.25">
      <c r="T57" s="109"/>
      <c r="U57" s="110"/>
      <c r="V57" s="111"/>
      <c r="W57" s="111"/>
      <c r="X57" s="111"/>
      <c r="Y57" s="111"/>
      <c r="Z57" s="111"/>
    </row>
    <row r="58" spans="20:26" ht="16" customHeight="1" x14ac:dyDescent="0.25">
      <c r="T58" s="109"/>
      <c r="U58" s="110"/>
      <c r="V58" s="111"/>
      <c r="W58" s="111"/>
      <c r="X58" s="111"/>
      <c r="Y58" s="111"/>
      <c r="Z58" s="111"/>
    </row>
    <row r="59" spans="20:26" ht="16" customHeight="1" x14ac:dyDescent="0.25">
      <c r="T59" s="109"/>
      <c r="U59" s="110"/>
      <c r="V59" s="111"/>
      <c r="W59" s="111"/>
      <c r="X59" s="111"/>
      <c r="Y59" s="111"/>
      <c r="Z59" s="111"/>
    </row>
    <row r="60" spans="20:26" ht="16" customHeight="1" x14ac:dyDescent="0.25">
      <c r="T60" s="109"/>
      <c r="U60" s="110"/>
      <c r="V60" s="111"/>
      <c r="W60" s="111"/>
      <c r="X60" s="111"/>
      <c r="Y60" s="111"/>
      <c r="Z60" s="111"/>
    </row>
    <row r="61" spans="20:26" ht="16" customHeight="1" x14ac:dyDescent="0.25">
      <c r="T61" s="109"/>
      <c r="U61" s="110"/>
      <c r="V61" s="111"/>
      <c r="W61" s="111"/>
      <c r="X61" s="111"/>
      <c r="Y61" s="111"/>
      <c r="Z61" s="111"/>
    </row>
    <row r="62" spans="20:26" ht="16" customHeight="1" x14ac:dyDescent="0.25">
      <c r="T62" s="109"/>
      <c r="U62" s="110"/>
      <c r="V62" s="111"/>
      <c r="W62" s="111"/>
      <c r="X62" s="111"/>
      <c r="Y62" s="111"/>
      <c r="Z62" s="111"/>
    </row>
    <row r="63" spans="20:26" ht="16" customHeight="1" x14ac:dyDescent="0.25">
      <c r="T63" s="109"/>
      <c r="U63" s="110"/>
      <c r="V63" s="111"/>
      <c r="W63" s="111"/>
      <c r="X63" s="111"/>
      <c r="Y63" s="111"/>
      <c r="Z63" s="111"/>
    </row>
    <row r="64" spans="20:26" ht="16" customHeight="1" x14ac:dyDescent="0.25">
      <c r="T64" s="109"/>
      <c r="U64" s="110"/>
      <c r="V64" s="111"/>
      <c r="W64" s="111"/>
      <c r="X64" s="111"/>
      <c r="Y64" s="111"/>
      <c r="Z64" s="111"/>
    </row>
    <row r="65" spans="20:26" ht="16" customHeight="1" x14ac:dyDescent="0.25">
      <c r="T65" s="109"/>
      <c r="U65" s="110"/>
      <c r="V65" s="111"/>
      <c r="W65" s="111"/>
      <c r="X65" s="111"/>
      <c r="Y65" s="111"/>
      <c r="Z65" s="111"/>
    </row>
    <row r="66" spans="20:26" ht="16" customHeight="1" x14ac:dyDescent="0.25">
      <c r="T66" s="109"/>
      <c r="U66" s="110"/>
      <c r="V66" s="111"/>
      <c r="W66" s="111"/>
      <c r="X66" s="111"/>
      <c r="Y66" s="111"/>
      <c r="Z66" s="111"/>
    </row>
    <row r="67" spans="20:26" ht="16" customHeight="1" x14ac:dyDescent="0.25">
      <c r="T67" s="109"/>
      <c r="U67" s="110"/>
      <c r="V67" s="111"/>
      <c r="W67" s="111"/>
      <c r="X67" s="111"/>
      <c r="Y67" s="111"/>
      <c r="Z67" s="111"/>
    </row>
    <row r="68" spans="20:26" ht="16" customHeight="1" x14ac:dyDescent="0.25">
      <c r="T68" s="109"/>
      <c r="U68" s="110"/>
      <c r="V68" s="111"/>
      <c r="W68" s="111"/>
      <c r="X68" s="111"/>
      <c r="Y68" s="111"/>
      <c r="Z68" s="111"/>
    </row>
    <row r="69" spans="20:26" ht="16" customHeight="1" x14ac:dyDescent="0.25">
      <c r="T69" s="109"/>
      <c r="U69" s="110"/>
      <c r="V69" s="111"/>
      <c r="W69" s="111"/>
      <c r="X69" s="111"/>
      <c r="Y69" s="111"/>
      <c r="Z69" s="111"/>
    </row>
    <row r="70" spans="20:26" ht="16" customHeight="1" x14ac:dyDescent="0.25">
      <c r="T70" s="109"/>
      <c r="U70" s="110"/>
      <c r="V70" s="111"/>
      <c r="W70" s="111"/>
      <c r="X70" s="111"/>
      <c r="Y70" s="111"/>
      <c r="Z70" s="111"/>
    </row>
    <row r="71" spans="20:26" ht="16" customHeight="1" x14ac:dyDescent="0.25">
      <c r="T71" s="109"/>
      <c r="U71" s="110"/>
      <c r="V71" s="111"/>
      <c r="W71" s="111"/>
      <c r="X71" s="111"/>
      <c r="Y71" s="111"/>
      <c r="Z71" s="111"/>
    </row>
    <row r="72" spans="20:26" ht="16" customHeight="1" x14ac:dyDescent="0.25">
      <c r="T72" s="109"/>
      <c r="U72" s="110"/>
      <c r="V72" s="111"/>
      <c r="W72" s="111"/>
      <c r="X72" s="111"/>
      <c r="Y72" s="111"/>
      <c r="Z72" s="111"/>
    </row>
    <row r="73" spans="20:26" ht="16" customHeight="1" x14ac:dyDescent="0.25">
      <c r="T73" s="109"/>
      <c r="U73" s="110"/>
      <c r="V73" s="111"/>
      <c r="W73" s="111"/>
      <c r="X73" s="111"/>
      <c r="Y73" s="111"/>
      <c r="Z73" s="111"/>
    </row>
    <row r="74" spans="20:26" ht="16" customHeight="1" x14ac:dyDescent="0.25">
      <c r="T74" s="103"/>
      <c r="U74" s="104"/>
      <c r="V74" s="104"/>
      <c r="W74" s="104"/>
      <c r="X74" s="104"/>
      <c r="Y74" s="104"/>
      <c r="Z74" s="104"/>
    </row>
    <row r="75" spans="20:26" ht="16" customHeight="1" x14ac:dyDescent="0.25">
      <c r="T75" s="103"/>
      <c r="U75" s="104"/>
      <c r="V75" s="104"/>
      <c r="W75" s="104"/>
      <c r="X75" s="104"/>
      <c r="Y75" s="104"/>
      <c r="Z75" s="104"/>
    </row>
    <row r="76" spans="20:26" ht="16" customHeight="1" x14ac:dyDescent="0.25">
      <c r="T76" s="103"/>
      <c r="U76" s="104"/>
      <c r="V76" s="104"/>
      <c r="W76" s="104"/>
      <c r="X76" s="104"/>
      <c r="Y76" s="104"/>
      <c r="Z76" s="104"/>
    </row>
    <row r="77" spans="20:26" ht="16" customHeight="1" x14ac:dyDescent="0.25">
      <c r="T77" s="103"/>
      <c r="U77" s="104"/>
      <c r="V77" s="104"/>
      <c r="W77" s="104"/>
      <c r="X77" s="104"/>
      <c r="Y77" s="104"/>
      <c r="Z77" s="104"/>
    </row>
    <row r="78" spans="20:26" ht="16" customHeight="1" x14ac:dyDescent="0.25">
      <c r="T78" s="103"/>
      <c r="U78" s="104"/>
      <c r="V78" s="104"/>
      <c r="W78" s="104"/>
      <c r="X78" s="104"/>
      <c r="Y78" s="104"/>
      <c r="Z78" s="104"/>
    </row>
    <row r="79" spans="20:26" ht="16" customHeight="1" x14ac:dyDescent="0.25">
      <c r="T79" s="103"/>
      <c r="U79" s="104"/>
      <c r="V79" s="104"/>
      <c r="W79" s="104"/>
      <c r="X79" s="104"/>
      <c r="Y79" s="104"/>
      <c r="Z79" s="104"/>
    </row>
    <row r="80" spans="20:26" ht="16" customHeight="1" x14ac:dyDescent="0.25">
      <c r="T80" s="103"/>
      <c r="U80" s="104"/>
      <c r="V80" s="104"/>
      <c r="W80" s="104"/>
      <c r="X80" s="104"/>
      <c r="Y80" s="104"/>
      <c r="Z80" s="104"/>
    </row>
    <row r="81" spans="20:26" ht="16" customHeight="1" x14ac:dyDescent="0.25">
      <c r="T81" s="103"/>
      <c r="U81" s="104"/>
      <c r="V81" s="104"/>
      <c r="W81" s="104"/>
      <c r="X81" s="104"/>
      <c r="Y81" s="104"/>
      <c r="Z81" s="104"/>
    </row>
    <row r="82" spans="20:26" ht="16" customHeight="1" x14ac:dyDescent="0.25">
      <c r="T82" s="103"/>
      <c r="U82" s="104"/>
      <c r="V82" s="104"/>
      <c r="W82" s="104"/>
      <c r="X82" s="104"/>
      <c r="Y82" s="104"/>
      <c r="Z82" s="104"/>
    </row>
    <row r="83" spans="20:26" ht="16" customHeight="1" x14ac:dyDescent="0.25">
      <c r="T83" s="103"/>
      <c r="U83" s="104"/>
      <c r="V83" s="104"/>
      <c r="W83" s="104"/>
      <c r="X83" s="104"/>
      <c r="Y83" s="104"/>
      <c r="Z83" s="104"/>
    </row>
    <row r="84" spans="20:26" ht="16" customHeight="1" x14ac:dyDescent="0.25">
      <c r="T84" s="103"/>
      <c r="U84" s="104"/>
      <c r="V84" s="104"/>
      <c r="W84" s="104"/>
      <c r="X84" s="104"/>
      <c r="Y84" s="104"/>
      <c r="Z84" s="104"/>
    </row>
    <row r="85" spans="20:26" ht="16" customHeight="1" x14ac:dyDescent="0.25">
      <c r="T85" s="103"/>
      <c r="U85" s="104"/>
      <c r="V85" s="104"/>
      <c r="W85" s="104"/>
      <c r="X85" s="104"/>
      <c r="Y85" s="104"/>
      <c r="Z85" s="104"/>
    </row>
    <row r="86" spans="20:26" ht="16" customHeight="1" x14ac:dyDescent="0.25">
      <c r="T86" s="103"/>
      <c r="U86" s="104"/>
      <c r="V86" s="104"/>
      <c r="W86" s="104"/>
      <c r="X86" s="104"/>
      <c r="Y86" s="104"/>
      <c r="Z86" s="104"/>
    </row>
    <row r="87" spans="20:26" ht="16" customHeight="1" x14ac:dyDescent="0.25">
      <c r="T87" s="103"/>
      <c r="U87" s="104"/>
      <c r="V87" s="104"/>
      <c r="W87" s="104"/>
      <c r="X87" s="104"/>
      <c r="Y87" s="104"/>
      <c r="Z87" s="104"/>
    </row>
    <row r="88" spans="20:26" ht="16" customHeight="1" x14ac:dyDescent="0.25">
      <c r="T88" s="103"/>
      <c r="U88" s="104"/>
      <c r="V88" s="104"/>
      <c r="W88" s="104"/>
      <c r="X88" s="104"/>
      <c r="Y88" s="104"/>
      <c r="Z88" s="104"/>
    </row>
    <row r="89" spans="20:26" ht="16" customHeight="1" x14ac:dyDescent="0.25">
      <c r="T89" s="103"/>
      <c r="U89" s="104"/>
      <c r="V89" s="104"/>
      <c r="W89" s="104"/>
      <c r="X89" s="104"/>
      <c r="Y89" s="104"/>
      <c r="Z89" s="104"/>
    </row>
    <row r="90" spans="20:26" ht="16" customHeight="1" x14ac:dyDescent="0.25">
      <c r="T90" s="103"/>
      <c r="U90" s="104"/>
      <c r="V90" s="104"/>
      <c r="W90" s="104"/>
      <c r="X90" s="104"/>
      <c r="Y90" s="104"/>
      <c r="Z90" s="104"/>
    </row>
    <row r="91" spans="20:26" ht="16" customHeight="1" x14ac:dyDescent="0.25">
      <c r="T91" s="103"/>
      <c r="U91" s="104"/>
      <c r="V91" s="104"/>
      <c r="W91" s="104"/>
      <c r="X91" s="104"/>
      <c r="Y91" s="104"/>
      <c r="Z91" s="104"/>
    </row>
    <row r="92" spans="20:26" ht="16" customHeight="1" x14ac:dyDescent="0.25">
      <c r="T92" s="103"/>
      <c r="U92" s="104"/>
      <c r="V92" s="104"/>
      <c r="W92" s="104"/>
      <c r="X92" s="104"/>
      <c r="Y92" s="104"/>
      <c r="Z92" s="104"/>
    </row>
    <row r="93" spans="20:26" ht="16" customHeight="1" x14ac:dyDescent="0.25">
      <c r="T93" s="103"/>
      <c r="U93" s="104"/>
      <c r="V93" s="104"/>
      <c r="W93" s="104"/>
      <c r="X93" s="104"/>
      <c r="Y93" s="104"/>
      <c r="Z93" s="104"/>
    </row>
    <row r="94" spans="20:26" ht="16" customHeight="1" x14ac:dyDescent="0.25">
      <c r="T94" s="103"/>
      <c r="U94" s="104"/>
      <c r="V94" s="104"/>
      <c r="W94" s="104"/>
      <c r="X94" s="104"/>
      <c r="Y94" s="104"/>
      <c r="Z94" s="104"/>
    </row>
    <row r="95" spans="20:26" ht="16" customHeight="1" x14ac:dyDescent="0.25">
      <c r="T95" s="103"/>
      <c r="U95" s="104"/>
      <c r="V95" s="104"/>
      <c r="W95" s="104"/>
      <c r="X95" s="104"/>
      <c r="Y95" s="104"/>
      <c r="Z95" s="104"/>
    </row>
    <row r="96" spans="20:26" ht="16" customHeight="1" x14ac:dyDescent="0.25">
      <c r="T96" s="103"/>
      <c r="U96" s="104"/>
      <c r="V96" s="104"/>
      <c r="W96" s="104"/>
      <c r="X96" s="104"/>
      <c r="Y96" s="104"/>
      <c r="Z96" s="104"/>
    </row>
    <row r="97" spans="20:26" ht="16" customHeight="1" x14ac:dyDescent="0.25">
      <c r="T97" s="103"/>
      <c r="U97" s="104"/>
      <c r="V97" s="104"/>
      <c r="W97" s="104"/>
      <c r="X97" s="104"/>
      <c r="Y97" s="104"/>
      <c r="Z97" s="104"/>
    </row>
    <row r="98" spans="20:26" ht="16" customHeight="1" x14ac:dyDescent="0.25">
      <c r="T98" s="103"/>
      <c r="U98" s="104"/>
      <c r="V98" s="104"/>
      <c r="W98" s="104"/>
      <c r="X98" s="104"/>
      <c r="Y98" s="104"/>
      <c r="Z98" s="104"/>
    </row>
    <row r="99" spans="20:26" ht="16" customHeight="1" x14ac:dyDescent="0.25">
      <c r="T99" s="103"/>
      <c r="U99" s="104"/>
      <c r="V99" s="104"/>
      <c r="W99" s="104"/>
      <c r="X99" s="104"/>
      <c r="Y99" s="104"/>
      <c r="Z99" s="104"/>
    </row>
    <row r="100" spans="20:26" ht="16" customHeight="1" x14ac:dyDescent="0.25">
      <c r="T100" s="103"/>
      <c r="U100" s="104"/>
      <c r="V100" s="104"/>
      <c r="W100" s="104"/>
      <c r="X100" s="104"/>
      <c r="Y100" s="104"/>
      <c r="Z100" s="104"/>
    </row>
    <row r="101" spans="20:26" ht="16" customHeight="1" x14ac:dyDescent="0.25">
      <c r="T101" s="103"/>
      <c r="U101" s="104"/>
      <c r="V101" s="104"/>
      <c r="W101" s="104"/>
      <c r="X101" s="104"/>
      <c r="Y101" s="104"/>
      <c r="Z101" s="104"/>
    </row>
    <row r="102" spans="20:26" ht="16" customHeight="1" x14ac:dyDescent="0.25">
      <c r="T102" s="103"/>
      <c r="U102" s="104"/>
      <c r="V102" s="104"/>
      <c r="W102" s="104"/>
      <c r="X102" s="104"/>
      <c r="Y102" s="104"/>
      <c r="Z102" s="104"/>
    </row>
    <row r="103" spans="20:26" ht="16" customHeight="1" x14ac:dyDescent="0.25">
      <c r="T103" s="103"/>
      <c r="U103" s="104"/>
      <c r="V103" s="104"/>
      <c r="W103" s="104"/>
      <c r="X103" s="104"/>
      <c r="Y103" s="104"/>
      <c r="Z103" s="104"/>
    </row>
    <row r="104" spans="20:26" ht="16" customHeight="1" x14ac:dyDescent="0.25">
      <c r="T104" s="103"/>
      <c r="U104" s="104"/>
      <c r="V104" s="104"/>
      <c r="W104" s="104"/>
      <c r="X104" s="104"/>
      <c r="Y104" s="104"/>
      <c r="Z104" s="104"/>
    </row>
    <row r="105" spans="20:26" ht="16" customHeight="1" x14ac:dyDescent="0.25">
      <c r="T105" s="103"/>
      <c r="U105" s="104"/>
      <c r="V105" s="104"/>
      <c r="W105" s="104"/>
      <c r="X105" s="104"/>
      <c r="Y105" s="104"/>
      <c r="Z105" s="104"/>
    </row>
    <row r="106" spans="20:26" ht="16" customHeight="1" x14ac:dyDescent="0.25">
      <c r="T106" s="103"/>
      <c r="U106" s="104"/>
      <c r="V106" s="104"/>
      <c r="W106" s="104"/>
      <c r="X106" s="104"/>
      <c r="Y106" s="104"/>
      <c r="Z106" s="104"/>
    </row>
    <row r="107" spans="20:26" ht="16" customHeight="1" x14ac:dyDescent="0.25">
      <c r="T107" s="103"/>
      <c r="U107" s="104"/>
      <c r="V107" s="104"/>
      <c r="W107" s="104"/>
      <c r="X107" s="104"/>
      <c r="Y107" s="104"/>
      <c r="Z107" s="104"/>
    </row>
    <row r="108" spans="20:26" ht="16" customHeight="1" x14ac:dyDescent="0.25">
      <c r="T108" s="103"/>
      <c r="U108" s="104"/>
      <c r="V108" s="104"/>
      <c r="W108" s="104"/>
      <c r="X108" s="104"/>
      <c r="Y108" s="104"/>
      <c r="Z108" s="104"/>
    </row>
    <row r="109" spans="20:26" ht="16" customHeight="1" x14ac:dyDescent="0.25">
      <c r="T109" s="103"/>
      <c r="U109" s="104"/>
      <c r="V109" s="104"/>
      <c r="W109" s="104"/>
      <c r="X109" s="104"/>
      <c r="Y109" s="104"/>
      <c r="Z109" s="104"/>
    </row>
    <row r="110" spans="20:26" ht="16" customHeight="1" x14ac:dyDescent="0.25">
      <c r="T110" s="103"/>
      <c r="U110" s="104"/>
      <c r="V110" s="104"/>
      <c r="W110" s="104"/>
      <c r="X110" s="104"/>
      <c r="Y110" s="104"/>
      <c r="Z110" s="104"/>
    </row>
    <row r="111" spans="20:26" ht="16" customHeight="1" x14ac:dyDescent="0.25">
      <c r="T111" s="103"/>
      <c r="U111" s="104"/>
      <c r="V111" s="104"/>
      <c r="W111" s="104"/>
      <c r="X111" s="104"/>
      <c r="Y111" s="104"/>
      <c r="Z111" s="104"/>
    </row>
    <row r="112" spans="20:26" ht="16" customHeight="1" x14ac:dyDescent="0.25">
      <c r="T112" s="103"/>
      <c r="U112" s="104"/>
      <c r="V112" s="104"/>
      <c r="W112" s="104"/>
      <c r="X112" s="104"/>
      <c r="Y112" s="104"/>
      <c r="Z112" s="104"/>
    </row>
    <row r="113" spans="20:26" ht="16" customHeight="1" x14ac:dyDescent="0.25">
      <c r="T113" s="103"/>
      <c r="U113" s="104"/>
      <c r="V113" s="104"/>
      <c r="W113" s="104"/>
      <c r="X113" s="104"/>
      <c r="Y113" s="104"/>
      <c r="Z113" s="104"/>
    </row>
    <row r="114" spans="20:26" ht="16" customHeight="1" x14ac:dyDescent="0.25">
      <c r="T114" s="103"/>
      <c r="U114" s="104"/>
      <c r="V114" s="104"/>
      <c r="W114" s="104"/>
      <c r="X114" s="104"/>
      <c r="Y114" s="104"/>
      <c r="Z114" s="104"/>
    </row>
    <row r="115" spans="20:26" ht="16" customHeight="1" x14ac:dyDescent="0.25">
      <c r="T115" s="103"/>
      <c r="U115" s="104"/>
      <c r="V115" s="104"/>
      <c r="W115" s="104"/>
      <c r="X115" s="104"/>
      <c r="Y115" s="104"/>
      <c r="Z115" s="104"/>
    </row>
    <row r="116" spans="20:26" ht="16" customHeight="1" x14ac:dyDescent="0.25">
      <c r="T116" s="103"/>
      <c r="U116" s="104"/>
      <c r="V116" s="104"/>
      <c r="W116" s="104"/>
      <c r="X116" s="104"/>
      <c r="Y116" s="104"/>
      <c r="Z116" s="104"/>
    </row>
    <row r="117" spans="20:26" ht="16" customHeight="1" x14ac:dyDescent="0.25">
      <c r="T117" s="103"/>
      <c r="U117" s="104"/>
      <c r="V117" s="104"/>
      <c r="W117" s="104"/>
      <c r="X117" s="104"/>
      <c r="Y117" s="104"/>
      <c r="Z117" s="104"/>
    </row>
    <row r="118" spans="20:26" ht="16" customHeight="1" x14ac:dyDescent="0.25">
      <c r="T118" s="103"/>
      <c r="U118" s="104"/>
      <c r="V118" s="104"/>
      <c r="W118" s="104"/>
      <c r="X118" s="104"/>
      <c r="Y118" s="104"/>
      <c r="Z118" s="104"/>
    </row>
    <row r="119" spans="20:26" ht="16" customHeight="1" x14ac:dyDescent="0.25">
      <c r="T119" s="103"/>
      <c r="U119" s="104"/>
      <c r="V119" s="104"/>
      <c r="W119" s="104"/>
      <c r="X119" s="104"/>
      <c r="Y119" s="104"/>
      <c r="Z119" s="104"/>
    </row>
    <row r="120" spans="20:26" ht="16" customHeight="1" x14ac:dyDescent="0.25">
      <c r="T120" s="103"/>
      <c r="U120" s="104"/>
      <c r="V120" s="104"/>
      <c r="W120" s="104"/>
      <c r="X120" s="104"/>
      <c r="Y120" s="104"/>
      <c r="Z120" s="104"/>
    </row>
    <row r="121" spans="20:26" ht="16" customHeight="1" x14ac:dyDescent="0.25">
      <c r="T121" s="103"/>
      <c r="U121" s="104"/>
      <c r="V121" s="104"/>
      <c r="W121" s="104"/>
      <c r="X121" s="104"/>
      <c r="Y121" s="104"/>
      <c r="Z121" s="104"/>
    </row>
    <row r="122" spans="20:26" ht="16" customHeight="1" x14ac:dyDescent="0.25">
      <c r="T122" s="103"/>
      <c r="U122" s="104"/>
      <c r="V122" s="104"/>
      <c r="W122" s="104"/>
      <c r="X122" s="104"/>
      <c r="Y122" s="104"/>
      <c r="Z122" s="104"/>
    </row>
    <row r="123" spans="20:26" ht="16" customHeight="1" x14ac:dyDescent="0.25">
      <c r="T123" s="103"/>
      <c r="U123" s="104"/>
      <c r="V123" s="104"/>
      <c r="W123" s="104"/>
      <c r="X123" s="104"/>
      <c r="Y123" s="104"/>
      <c r="Z123" s="104"/>
    </row>
    <row r="124" spans="20:26" ht="16" customHeight="1" x14ac:dyDescent="0.25">
      <c r="T124" s="103"/>
      <c r="U124" s="104"/>
      <c r="V124" s="104"/>
      <c r="W124" s="104"/>
      <c r="X124" s="104"/>
      <c r="Y124" s="104"/>
      <c r="Z124" s="104"/>
    </row>
    <row r="125" spans="20:26" ht="16" customHeight="1" x14ac:dyDescent="0.25">
      <c r="T125" s="103"/>
      <c r="U125" s="104"/>
      <c r="V125" s="104"/>
      <c r="W125" s="104"/>
      <c r="X125" s="104"/>
      <c r="Y125" s="104"/>
      <c r="Z125" s="104"/>
    </row>
    <row r="126" spans="20:26" ht="16" customHeight="1" x14ac:dyDescent="0.25">
      <c r="T126" s="103"/>
      <c r="U126" s="104"/>
      <c r="V126" s="104"/>
      <c r="W126" s="104"/>
      <c r="X126" s="104"/>
      <c r="Y126" s="104"/>
      <c r="Z126" s="104"/>
    </row>
    <row r="127" spans="20:26" ht="16" customHeight="1" x14ac:dyDescent="0.25">
      <c r="T127" s="103"/>
      <c r="U127" s="104"/>
      <c r="V127" s="104"/>
      <c r="W127" s="104"/>
      <c r="X127" s="104"/>
      <c r="Y127" s="104"/>
      <c r="Z127" s="104"/>
    </row>
    <row r="128" spans="20:26" ht="16" customHeight="1" x14ac:dyDescent="0.25">
      <c r="T128" s="103"/>
      <c r="U128" s="104"/>
      <c r="V128" s="104"/>
      <c r="W128" s="104"/>
      <c r="X128" s="104"/>
      <c r="Y128" s="104"/>
      <c r="Z128" s="104"/>
    </row>
    <row r="129" spans="20:26" ht="16" customHeight="1" x14ac:dyDescent="0.25">
      <c r="T129" s="103"/>
      <c r="U129" s="104"/>
      <c r="V129" s="104"/>
      <c r="W129" s="104"/>
      <c r="X129" s="104"/>
      <c r="Y129" s="104"/>
      <c r="Z129" s="104"/>
    </row>
    <row r="130" spans="20:26" ht="16" customHeight="1" x14ac:dyDescent="0.25">
      <c r="T130" s="103"/>
      <c r="U130" s="104"/>
      <c r="V130" s="104"/>
      <c r="W130" s="104"/>
      <c r="X130" s="104"/>
      <c r="Y130" s="104"/>
      <c r="Z130" s="104"/>
    </row>
    <row r="131" spans="20:26" ht="16" customHeight="1" x14ac:dyDescent="0.25">
      <c r="T131" s="103"/>
      <c r="U131" s="104"/>
      <c r="V131" s="104"/>
      <c r="W131" s="104"/>
      <c r="X131" s="104"/>
      <c r="Y131" s="104"/>
      <c r="Z131" s="104"/>
    </row>
    <row r="132" spans="20:26" ht="16" customHeight="1" x14ac:dyDescent="0.25">
      <c r="T132" s="103"/>
      <c r="U132" s="104"/>
      <c r="V132" s="104"/>
      <c r="W132" s="104"/>
      <c r="X132" s="104"/>
      <c r="Y132" s="104"/>
      <c r="Z132" s="104"/>
    </row>
    <row r="133" spans="20:26" ht="16" customHeight="1" x14ac:dyDescent="0.25">
      <c r="T133" s="103"/>
      <c r="U133" s="104"/>
      <c r="V133" s="104"/>
      <c r="W133" s="104"/>
      <c r="X133" s="104"/>
      <c r="Y133" s="104"/>
      <c r="Z133" s="104"/>
    </row>
    <row r="134" spans="20:26" ht="16" customHeight="1" x14ac:dyDescent="0.25"/>
    <row r="135" spans="20:26" ht="16" customHeight="1" x14ac:dyDescent="0.25"/>
    <row r="136" spans="20:26" ht="16" customHeight="1" x14ac:dyDescent="0.25"/>
    <row r="137" spans="20:26" ht="16" customHeight="1" x14ac:dyDescent="0.25"/>
    <row r="138" spans="20:26" ht="16" customHeight="1" x14ac:dyDescent="0.25"/>
    <row r="139" spans="20:26" ht="16" customHeight="1" x14ac:dyDescent="0.25"/>
    <row r="140" spans="20:26" ht="16" customHeight="1" x14ac:dyDescent="0.25"/>
    <row r="141" spans="20:26" ht="16" customHeight="1" x14ac:dyDescent="0.25"/>
    <row r="142" spans="20:26" ht="16" customHeight="1" x14ac:dyDescent="0.25"/>
    <row r="143" spans="20:26" ht="16" customHeight="1" x14ac:dyDescent="0.25"/>
    <row r="144" spans="20:26" ht="16" customHeight="1" x14ac:dyDescent="0.25"/>
    <row r="145" ht="16" customHeight="1" x14ac:dyDescent="0.25"/>
    <row r="146" ht="16" customHeight="1" x14ac:dyDescent="0.25"/>
    <row r="147" ht="16" customHeight="1" x14ac:dyDescent="0.25"/>
    <row r="148" ht="16" customHeight="1" x14ac:dyDescent="0.25"/>
    <row r="149" ht="16" customHeight="1" x14ac:dyDescent="0.25"/>
    <row r="150" ht="16" customHeight="1" x14ac:dyDescent="0.25"/>
    <row r="151" ht="16" customHeight="1" x14ac:dyDescent="0.25"/>
    <row r="152" ht="16" customHeight="1" x14ac:dyDescent="0.25"/>
    <row r="153" ht="16" customHeight="1" x14ac:dyDescent="0.25"/>
    <row r="154" ht="16" customHeight="1" x14ac:dyDescent="0.25"/>
    <row r="155" ht="16" customHeight="1" x14ac:dyDescent="0.25"/>
    <row r="156" ht="16" customHeight="1" x14ac:dyDescent="0.25"/>
    <row r="157" ht="16" customHeight="1" x14ac:dyDescent="0.25"/>
    <row r="158" ht="16" customHeight="1" x14ac:dyDescent="0.25"/>
    <row r="159" ht="16" customHeight="1" x14ac:dyDescent="0.25"/>
  </sheetData>
  <sheetProtection algorithmName="SHA-512" hashValue="+rPaxX0bRWgS3FWOuyCz7lKtGfYrqugR94Ohu+eBft51cDZnEMukRWBuFqp44DNq38VztGWPkOL+RMu9wsFyVA==" saltValue="0c+Izh8Zaz0h/w9OwAgXUA==" spinCount="100000" sheet="1"/>
  <phoneticPr fontId="1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46"/>
  <sheetViews>
    <sheetView zoomScaleNormal="100" workbookViewId="0">
      <selection activeCell="F35" sqref="F35"/>
    </sheetView>
  </sheetViews>
  <sheetFormatPr defaultColWidth="9.1796875" defaultRowHeight="12.5" x14ac:dyDescent="0.25"/>
  <cols>
    <col min="1" max="1" width="9.1796875" style="115"/>
    <col min="2" max="2" width="19.26953125" style="115" bestFit="1" customWidth="1"/>
    <col min="3" max="3" width="12.453125" style="115" bestFit="1" customWidth="1"/>
    <col min="4" max="4" width="7.7265625" style="115" customWidth="1"/>
    <col min="5" max="5" width="8.7265625" style="116" customWidth="1"/>
    <col min="6" max="8" width="8.7265625" style="117" customWidth="1"/>
    <col min="9" max="9" width="8.7265625" style="118" customWidth="1"/>
    <col min="10" max="11" width="9.1796875" style="133"/>
    <col min="12" max="12" width="8.54296875" style="133" bestFit="1" customWidth="1"/>
    <col min="13" max="17" width="9.1796875" style="116"/>
    <col min="18" max="16384" width="9.1796875" style="120"/>
  </cols>
  <sheetData>
    <row r="1" spans="1:17" ht="18" x14ac:dyDescent="0.4">
      <c r="A1" s="114" t="s">
        <v>235</v>
      </c>
      <c r="J1" s="119"/>
      <c r="K1" s="119"/>
      <c r="L1" s="119"/>
      <c r="M1" s="117"/>
    </row>
    <row r="2" spans="1:17" ht="18.5" thickBot="1" x14ac:dyDescent="0.45">
      <c r="A2" s="121"/>
      <c r="B2" s="116"/>
      <c r="C2" s="116"/>
      <c r="D2" s="116"/>
      <c r="E2" s="122" t="s">
        <v>236</v>
      </c>
      <c r="J2" s="122" t="s">
        <v>237</v>
      </c>
      <c r="K2" s="123"/>
      <c r="L2" s="123"/>
      <c r="N2" s="120"/>
      <c r="O2" s="120"/>
      <c r="P2" s="120"/>
      <c r="Q2" s="120"/>
    </row>
    <row r="3" spans="1:17" ht="13.5" thickBot="1" x14ac:dyDescent="0.35">
      <c r="A3" s="116"/>
      <c r="B3" s="124" t="s">
        <v>238</v>
      </c>
      <c r="C3" s="125">
        <v>100</v>
      </c>
      <c r="D3" s="116"/>
      <c r="E3" s="165" t="s">
        <v>239</v>
      </c>
      <c r="F3" s="166"/>
      <c r="G3" s="167" t="s">
        <v>240</v>
      </c>
      <c r="H3" s="168"/>
      <c r="J3" s="126" t="s">
        <v>241</v>
      </c>
      <c r="K3" s="127">
        <v>39</v>
      </c>
      <c r="L3" s="128" t="s">
        <v>242</v>
      </c>
      <c r="N3" s="120"/>
      <c r="O3" s="120"/>
      <c r="P3" s="120"/>
      <c r="Q3" s="120"/>
    </row>
    <row r="4" spans="1:17" ht="13.5" thickBot="1" x14ac:dyDescent="0.35">
      <c r="B4" s="116"/>
      <c r="E4" s="129">
        <v>100</v>
      </c>
      <c r="F4" s="130">
        <v>150</v>
      </c>
      <c r="G4" s="131">
        <v>100</v>
      </c>
      <c r="H4" s="132">
        <v>102</v>
      </c>
      <c r="K4" s="134">
        <f>IF(K3*10^12&lt;10000,IF((10^(LOG(K3*10^12)-INT(LOG(K3*10^12))))-VLOOKUP((10^(LOG(K3*10^12)-INT(LOG(K3*10^12)))),c_s1:C_f1,1)&lt;VLOOKUP((10^(LOG(K3*10^12)-INT(LOG(K3*10^12)))),c_s1:C_f1,2)-(10^(LOG(K3*10^12)-INT(LOG(K3*10^12)))),VLOOKUP((10^(LOG(K3*10^12)-INT(LOG(K3*10^12)))),c_s1:C_f1,1),VLOOKUP((10^(LOG(K3*10^12)-INT(LOG(K3*10^12)))),c_s1:C_f1,2))*10^INT(LOG(K3*10^12)),IF((10^(LOG(K3*10^12)-INT(LOG(K3*10^12))))-VLOOKUP((10^(LOG(K3*10^12)-INT(LOG(K3*10^12)))),C_s2:C_f2,1)&lt;VLOOKUP((10^(LOG(K3*10^12)-INT(LOG(K3*10^12)))),C_s2:C_f2,2)-(10^(LOG(K3*10^12)-INT(LOG(K3*10^12)))),VLOOKUP((10^(LOG(K3*10^12)-INT(LOG(K3*10^12)))),C_s2:C_f2,1),VLOOKUP((10^(LOG(K3*10^12)-INT(LOG(K3*10^12)))),C_s2:C_f2,2))*10^INT(LOG(K3*10^12)))*10^-12</f>
        <v>33</v>
      </c>
      <c r="L4" s="135" t="s">
        <v>242</v>
      </c>
      <c r="P4" s="120"/>
      <c r="Q4" s="120"/>
    </row>
    <row r="5" spans="1:17" ht="13.5" thickBot="1" x14ac:dyDescent="0.35">
      <c r="B5" s="136" t="s">
        <v>243</v>
      </c>
      <c r="C5" s="137">
        <f>(IF((10^(LOG(C3)-INT(LOG(C3)))*100)-VLOOKUP((10^(LOG(C3)-INT(LOG(C3)))*100),E6_s:E6_f,1)&lt;VLOOKUP((10^(LOG(C3)-INT(LOG(C3)))*100),E6_s:E6_f,2)-(10^(LOG(C3)-INT(LOG(C3)))*100),VLOOKUP((10^(LOG(C3)-INT(LOG(C3)))*100),E6_s:E6_f,1),VLOOKUP((10^(LOG(C3)-INT(LOG(C3)))*100),E6_s:E6_f,2)))*10^INT(LOG(C3))/100</f>
        <v>100</v>
      </c>
      <c r="E5" s="130">
        <v>150</v>
      </c>
      <c r="F5" s="129">
        <v>220</v>
      </c>
      <c r="G5" s="132">
        <v>102</v>
      </c>
      <c r="H5" s="131">
        <v>105</v>
      </c>
      <c r="J5" s="138"/>
      <c r="K5" s="139"/>
      <c r="L5" s="140"/>
      <c r="M5" s="117"/>
      <c r="N5" s="120"/>
      <c r="O5" s="120"/>
      <c r="P5" s="120"/>
      <c r="Q5" s="120"/>
    </row>
    <row r="6" spans="1:17" ht="13.5" thickBot="1" x14ac:dyDescent="0.35">
      <c r="B6" s="141" t="s">
        <v>244</v>
      </c>
      <c r="C6" s="142">
        <f>(IF((10^(LOG(C3)-INT(LOG(C3)))*100)-VLOOKUP((10^(LOG(C3)-INT(LOG(C3)))*100),E12_s:E12_f,1)&lt;VLOOKUP((10^(LOG(C3)-INT(LOG(C3)))*100),E12_s:E12_f,2)-(10^(LOG(C3)-INT(LOG(C3)))*100),VLOOKUP((10^(LOG(C3)-INT(LOG(C3)))*100),E12_s:E12_f,1),VLOOKUP((10^(LOG(C3)-INT(LOG(C3)))*100),E12_s:E12_f,2)))*10^INT(LOG(C3))/100</f>
        <v>100</v>
      </c>
      <c r="E6" s="129">
        <v>220</v>
      </c>
      <c r="F6" s="130">
        <v>330</v>
      </c>
      <c r="G6" s="131">
        <v>105</v>
      </c>
      <c r="H6" s="132">
        <v>107</v>
      </c>
      <c r="J6" s="143" t="s">
        <v>245</v>
      </c>
      <c r="K6" s="144"/>
      <c r="L6" s="117"/>
      <c r="N6" s="120"/>
      <c r="O6" s="120"/>
      <c r="P6" s="120"/>
      <c r="Q6" s="120"/>
    </row>
    <row r="7" spans="1:17" ht="13.5" thickBot="1" x14ac:dyDescent="0.35">
      <c r="B7" s="141" t="s">
        <v>246</v>
      </c>
      <c r="C7" s="142">
        <f>(IF((10^(LOG(C3)-INT(LOG(C3)))*100)-VLOOKUP((10^(LOG(C3)-INT(LOG(C3)))*100),E24_s:E24_f,1)&lt;VLOOKUP((10^(LOG(C3)-INT(LOG(C3)))*100),E24_s:E24_f,2)-(10^(LOG(C3)-INT(LOG(C3)))*100),VLOOKUP((10^(LOG(C3)-INT(LOG(C3)))*100),E24_s:E24_f,1),VLOOKUP((10^(LOG(C3)-INT(LOG(C3)))*100),E24_s:E24_f,2)))*10^INT(LOG(C3))/100</f>
        <v>100</v>
      </c>
      <c r="E7" s="130">
        <v>330</v>
      </c>
      <c r="F7" s="129">
        <v>470</v>
      </c>
      <c r="G7" s="132">
        <v>107</v>
      </c>
      <c r="H7" s="131">
        <v>110</v>
      </c>
      <c r="J7" s="144">
        <v>1</v>
      </c>
      <c r="K7" s="144">
        <v>1.2</v>
      </c>
      <c r="L7" s="145">
        <f>IF((10^(LOG(K3)-INT(LOG(K3))))-VLOOKUP((10^(LOG(K3)-INT(LOG(K3)))),c_s1:C_f1,1)&lt;VLOOKUP((10^(LOG(K3)-INT(LOG(K3)))),c_s1:C_f1,2)-(10^(LOG(K3)-INT(LOG(K3)))),VLOOKUP((10^(LOG(K3)-INT(LOG(K3)))),c_s1:C_f1,1),VLOOKUP((10^(LOG(K3)-INT(LOG(K3)))),c_s1:C_f1,2))</f>
        <v>3.9</v>
      </c>
      <c r="N7" s="120"/>
      <c r="O7" s="120"/>
      <c r="P7" s="120"/>
      <c r="Q7" s="120"/>
    </row>
    <row r="8" spans="1:17" ht="13.5" thickBot="1" x14ac:dyDescent="0.35">
      <c r="B8" s="141" t="s">
        <v>247</v>
      </c>
      <c r="C8" s="142">
        <f>(IF((10^(LOG(C3)-INT(LOG(C3)))*100)-VLOOKUP((10^(LOG(C3)-INT(LOG(C3)))*100),E48_s:E48_f,1)&lt;VLOOKUP((10^(LOG(C3)-INT(LOG(C3)))*100),E48_s:E48_f,2)-(10^(LOG(C3)-INT(LOG(C3)))*100),VLOOKUP((10^(LOG(C3)-INT(LOG(C3)))*100),E48_s:E48_f,1),VLOOKUP((10^(LOG(C3)-INT(LOG(C3)))*100),E48_s:E48_f,2)))*10^INT(LOG(C3))/100</f>
        <v>100</v>
      </c>
      <c r="D8" s="123"/>
      <c r="E8" s="129">
        <v>470</v>
      </c>
      <c r="F8" s="130">
        <v>680</v>
      </c>
      <c r="G8" s="131">
        <v>110</v>
      </c>
      <c r="H8" s="132">
        <v>113</v>
      </c>
      <c r="J8" s="144">
        <v>1.2</v>
      </c>
      <c r="K8" s="144">
        <v>1.5</v>
      </c>
      <c r="L8" s="146"/>
      <c r="M8" s="120"/>
      <c r="N8" s="120"/>
      <c r="O8" s="120"/>
      <c r="P8" s="120"/>
      <c r="Q8" s="120"/>
    </row>
    <row r="9" spans="1:17" ht="13.5" thickBot="1" x14ac:dyDescent="0.35">
      <c r="B9" s="147" t="s">
        <v>248</v>
      </c>
      <c r="C9" s="148">
        <f>(IF((10^(LOG(C3)-INT(LOG(C3)))*100)-VLOOKUP((10^(LOG(C3)-INT(LOG(C3)))*100),E96_s:E96_f,1)&lt;VLOOKUP((10^(LOG(C3)-INT(LOG(C3)))*100),E96_s:E96_f,2)-(10^(LOG(C3)-INT(LOG(C3)))*100),VLOOKUP((10^(LOG(C3)-INT(LOG(C3)))*100),E96_s:E96_f,1),VLOOKUP((10^(LOG(C3)-INT(LOG(C3)))*100),E96_s:E96_f,2)))*10^INT(LOG(C3))/100</f>
        <v>100</v>
      </c>
      <c r="D9" s="117"/>
      <c r="E9" s="130">
        <v>680</v>
      </c>
      <c r="F9" s="130">
        <v>1000</v>
      </c>
      <c r="G9" s="132">
        <v>113</v>
      </c>
      <c r="H9" s="131">
        <v>115</v>
      </c>
      <c r="J9" s="144">
        <v>1.5</v>
      </c>
      <c r="K9" s="144">
        <v>1.8</v>
      </c>
      <c r="L9" s="146"/>
      <c r="N9" s="120"/>
      <c r="O9" s="120"/>
      <c r="P9" s="120"/>
      <c r="Q9" s="120"/>
    </row>
    <row r="10" spans="1:17" ht="13.5" thickBot="1" x14ac:dyDescent="0.35">
      <c r="B10" s="123"/>
      <c r="C10" s="123"/>
      <c r="D10" s="123"/>
      <c r="E10" s="169" t="s">
        <v>249</v>
      </c>
      <c r="F10" s="170"/>
      <c r="G10" s="131">
        <v>115</v>
      </c>
      <c r="H10" s="132">
        <v>118</v>
      </c>
      <c r="J10" s="144">
        <v>1.8</v>
      </c>
      <c r="K10" s="144">
        <v>2.2000000000000002</v>
      </c>
      <c r="L10" s="117"/>
      <c r="N10" s="120"/>
      <c r="O10" s="120"/>
      <c r="P10" s="120"/>
      <c r="Q10" s="120"/>
    </row>
    <row r="11" spans="1:17" ht="13.5" thickBot="1" x14ac:dyDescent="0.35">
      <c r="E11" s="150">
        <v>100</v>
      </c>
      <c r="F11" s="151">
        <v>120</v>
      </c>
      <c r="G11" s="132">
        <v>118</v>
      </c>
      <c r="H11" s="131">
        <v>121</v>
      </c>
      <c r="J11" s="144">
        <v>2.2000000000000002</v>
      </c>
      <c r="K11" s="144">
        <v>2.7</v>
      </c>
      <c r="L11" s="117"/>
      <c r="N11" s="120"/>
      <c r="O11" s="120"/>
      <c r="P11" s="120"/>
      <c r="Q11" s="120"/>
    </row>
    <row r="12" spans="1:17" ht="13.5" thickBot="1" x14ac:dyDescent="0.35">
      <c r="E12" s="151">
        <v>120</v>
      </c>
      <c r="F12" s="151">
        <v>150</v>
      </c>
      <c r="G12" s="131">
        <v>121</v>
      </c>
      <c r="H12" s="132">
        <v>124</v>
      </c>
      <c r="J12" s="144">
        <v>2.7</v>
      </c>
      <c r="K12" s="144">
        <v>3.3</v>
      </c>
      <c r="L12" s="117"/>
      <c r="N12" s="120"/>
      <c r="O12" s="120"/>
      <c r="P12" s="120"/>
      <c r="Q12" s="120"/>
    </row>
    <row r="13" spans="1:17" ht="13.5" thickBot="1" x14ac:dyDescent="0.35">
      <c r="E13" s="151">
        <v>150</v>
      </c>
      <c r="F13" s="151">
        <v>180</v>
      </c>
      <c r="G13" s="132">
        <v>124</v>
      </c>
      <c r="H13" s="131">
        <v>127</v>
      </c>
      <c r="J13" s="144">
        <v>3.3</v>
      </c>
      <c r="K13" s="144">
        <v>3.9</v>
      </c>
      <c r="L13" s="117"/>
      <c r="N13" s="120"/>
      <c r="O13" s="120"/>
      <c r="P13" s="120"/>
      <c r="Q13" s="120"/>
    </row>
    <row r="14" spans="1:17" ht="13.5" thickBot="1" x14ac:dyDescent="0.35">
      <c r="A14" s="123"/>
      <c r="B14" s="123"/>
      <c r="C14" s="123"/>
      <c r="D14" s="123"/>
      <c r="E14" s="151">
        <v>180</v>
      </c>
      <c r="F14" s="150">
        <v>220</v>
      </c>
      <c r="G14" s="131">
        <v>127</v>
      </c>
      <c r="H14" s="132">
        <v>130</v>
      </c>
      <c r="J14" s="144">
        <v>3.9</v>
      </c>
      <c r="K14" s="144">
        <v>4.7</v>
      </c>
      <c r="L14" s="117"/>
      <c r="N14" s="120"/>
      <c r="O14" s="120"/>
      <c r="P14" s="120"/>
      <c r="Q14" s="120"/>
    </row>
    <row r="15" spans="1:17" ht="13.5" thickBot="1" x14ac:dyDescent="0.35">
      <c r="A15" s="123"/>
      <c r="B15" s="123"/>
      <c r="C15" s="123"/>
      <c r="D15" s="152"/>
      <c r="E15" s="150">
        <v>220</v>
      </c>
      <c r="F15" s="151">
        <v>270</v>
      </c>
      <c r="G15" s="132">
        <v>130</v>
      </c>
      <c r="H15" s="131">
        <v>133</v>
      </c>
      <c r="J15" s="144">
        <v>4.7</v>
      </c>
      <c r="K15" s="144">
        <v>5.6</v>
      </c>
      <c r="L15" s="117"/>
      <c r="N15" s="120"/>
      <c r="O15" s="120"/>
      <c r="P15" s="120"/>
      <c r="Q15" s="120"/>
    </row>
    <row r="16" spans="1:17" ht="13.5" thickBot="1" x14ac:dyDescent="0.35">
      <c r="A16" s="153"/>
      <c r="B16" s="154"/>
      <c r="C16" s="123"/>
      <c r="D16" s="155"/>
      <c r="E16" s="151">
        <v>270</v>
      </c>
      <c r="F16" s="151">
        <v>330</v>
      </c>
      <c r="G16" s="131">
        <v>133</v>
      </c>
      <c r="H16" s="132">
        <v>137</v>
      </c>
      <c r="J16" s="144">
        <v>5.6</v>
      </c>
      <c r="K16" s="144">
        <v>6.8</v>
      </c>
      <c r="L16" s="117"/>
      <c r="N16" s="120"/>
      <c r="O16" s="120"/>
      <c r="P16" s="120"/>
      <c r="Q16" s="120"/>
    </row>
    <row r="17" spans="1:17" ht="13.5" thickBot="1" x14ac:dyDescent="0.35">
      <c r="A17" s="153"/>
      <c r="B17" s="154"/>
      <c r="C17" s="123"/>
      <c r="D17" s="155"/>
      <c r="E17" s="151">
        <v>330</v>
      </c>
      <c r="F17" s="151">
        <v>390</v>
      </c>
      <c r="G17" s="132">
        <v>137</v>
      </c>
      <c r="H17" s="131">
        <v>140</v>
      </c>
      <c r="J17" s="144">
        <v>6.8</v>
      </c>
      <c r="K17" s="144">
        <v>8.1999999999999993</v>
      </c>
      <c r="L17" s="117"/>
      <c r="N17" s="120"/>
      <c r="O17" s="120"/>
      <c r="P17" s="120"/>
      <c r="Q17" s="120"/>
    </row>
    <row r="18" spans="1:17" ht="13.5" thickBot="1" x14ac:dyDescent="0.35">
      <c r="A18" s="153"/>
      <c r="B18" s="154"/>
      <c r="C18" s="123"/>
      <c r="D18" s="155"/>
      <c r="E18" s="151">
        <v>390</v>
      </c>
      <c r="F18" s="150">
        <v>470</v>
      </c>
      <c r="G18" s="131">
        <v>140</v>
      </c>
      <c r="H18" s="132">
        <v>143</v>
      </c>
      <c r="J18" s="144">
        <v>8.1999999999999993</v>
      </c>
      <c r="K18" s="144">
        <v>10</v>
      </c>
      <c r="L18" s="117"/>
      <c r="M18" s="120"/>
      <c r="N18" s="120"/>
      <c r="O18" s="120"/>
      <c r="P18" s="120"/>
      <c r="Q18" s="120"/>
    </row>
    <row r="19" spans="1:17" ht="13.5" thickBot="1" x14ac:dyDescent="0.35">
      <c r="A19" s="153"/>
      <c r="B19" s="154"/>
      <c r="C19" s="123"/>
      <c r="D19" s="155"/>
      <c r="E19" s="150">
        <v>470</v>
      </c>
      <c r="F19" s="151">
        <v>560</v>
      </c>
      <c r="G19" s="132">
        <v>143</v>
      </c>
      <c r="H19" s="131">
        <v>147</v>
      </c>
      <c r="J19" s="143" t="s">
        <v>250</v>
      </c>
      <c r="K19" s="144"/>
      <c r="L19" s="144"/>
      <c r="M19" s="120"/>
      <c r="N19" s="120"/>
      <c r="O19" s="120"/>
      <c r="P19" s="120"/>
      <c r="Q19" s="120"/>
    </row>
    <row r="20" spans="1:17" ht="13.5" thickBot="1" x14ac:dyDescent="0.35">
      <c r="A20" s="153"/>
      <c r="B20" s="154"/>
      <c r="C20" s="123"/>
      <c r="D20" s="155"/>
      <c r="E20" s="151">
        <v>560</v>
      </c>
      <c r="F20" s="151">
        <v>680</v>
      </c>
      <c r="G20" s="131">
        <v>147</v>
      </c>
      <c r="H20" s="132">
        <v>150</v>
      </c>
      <c r="J20" s="144">
        <v>1</v>
      </c>
      <c r="K20" s="144">
        <v>1.5</v>
      </c>
      <c r="L20" s="145">
        <f>IF((10^(LOG(K3)-INT(LOG(K3))))-VLOOKUP((10^(LOG(K3)-INT(LOG(K3)))),C_s2:C_f2,1)&lt;VLOOKUP((10^(LOG(K3)-INT(LOG(K3)))),C_s2:C_f2,2)-(10^(LOG(K3)-INT(LOG(K3)))),VLOOKUP((10^(LOG(K3)-INT(LOG(K3)))),C_s2:C_f2,1),VLOOKUP((10^(LOG(K3)-INT(LOG(K3)))),C_s2:C_f2,2))</f>
        <v>3.3</v>
      </c>
      <c r="M20" s="120"/>
      <c r="N20" s="120"/>
      <c r="O20" s="120"/>
      <c r="P20" s="120"/>
      <c r="Q20" s="120"/>
    </row>
    <row r="21" spans="1:17" ht="13.5" thickBot="1" x14ac:dyDescent="0.35">
      <c r="A21" s="153"/>
      <c r="B21" s="154"/>
      <c r="C21" s="123"/>
      <c r="D21" s="155"/>
      <c r="E21" s="149">
        <v>680</v>
      </c>
      <c r="F21" s="151">
        <v>820</v>
      </c>
      <c r="G21" s="132">
        <v>150</v>
      </c>
      <c r="H21" s="131">
        <v>154</v>
      </c>
      <c r="J21" s="144">
        <v>1.5</v>
      </c>
      <c r="K21" s="144">
        <v>2.2000000000000002</v>
      </c>
      <c r="M21" s="120"/>
      <c r="N21" s="120"/>
      <c r="O21" s="120"/>
      <c r="P21" s="120"/>
      <c r="Q21" s="120"/>
    </row>
    <row r="22" spans="1:17" ht="13.5" thickBot="1" x14ac:dyDescent="0.35">
      <c r="A22" s="153"/>
      <c r="B22" s="154"/>
      <c r="C22" s="123"/>
      <c r="D22" s="155"/>
      <c r="E22" s="149">
        <v>820</v>
      </c>
      <c r="F22" s="151">
        <v>1000</v>
      </c>
      <c r="G22" s="131">
        <v>154</v>
      </c>
      <c r="H22" s="132">
        <v>158</v>
      </c>
      <c r="J22" s="144">
        <v>2.2000000000000002</v>
      </c>
      <c r="K22" s="144">
        <v>3.3</v>
      </c>
      <c r="L22" s="145"/>
      <c r="M22" s="120"/>
      <c r="N22" s="120"/>
      <c r="O22" s="120"/>
      <c r="P22" s="120"/>
      <c r="Q22" s="120"/>
    </row>
    <row r="23" spans="1:17" ht="13.5" thickBot="1" x14ac:dyDescent="0.35">
      <c r="A23" s="153"/>
      <c r="B23" s="154"/>
      <c r="C23" s="123"/>
      <c r="D23" s="155"/>
      <c r="E23" s="171" t="s">
        <v>251</v>
      </c>
      <c r="F23" s="172"/>
      <c r="G23" s="132">
        <v>158</v>
      </c>
      <c r="H23" s="131">
        <v>162</v>
      </c>
      <c r="J23" s="144">
        <v>3.3</v>
      </c>
      <c r="K23" s="144">
        <v>4.7</v>
      </c>
      <c r="L23" s="145"/>
      <c r="M23" s="120"/>
      <c r="N23" s="120"/>
      <c r="O23" s="120"/>
      <c r="P23" s="120"/>
      <c r="Q23" s="120"/>
    </row>
    <row r="24" spans="1:17" ht="13.5" thickBot="1" x14ac:dyDescent="0.35">
      <c r="A24" s="153"/>
      <c r="B24" s="154"/>
      <c r="C24" s="123"/>
      <c r="D24" s="155"/>
      <c r="E24" s="156">
        <v>100</v>
      </c>
      <c r="F24" s="113">
        <v>110</v>
      </c>
      <c r="G24" s="131">
        <v>162</v>
      </c>
      <c r="H24" s="132">
        <v>165</v>
      </c>
      <c r="J24" s="144">
        <v>4.7</v>
      </c>
      <c r="K24" s="144">
        <v>6.8</v>
      </c>
      <c r="L24" s="117"/>
      <c r="M24" s="120"/>
      <c r="N24" s="120"/>
      <c r="O24" s="120"/>
      <c r="P24" s="120"/>
      <c r="Q24" s="120"/>
    </row>
    <row r="25" spans="1:17" ht="13.5" thickBot="1" x14ac:dyDescent="0.35">
      <c r="A25" s="153"/>
      <c r="B25" s="154"/>
      <c r="C25" s="123"/>
      <c r="D25" s="155"/>
      <c r="E25" s="113">
        <v>110</v>
      </c>
      <c r="F25" s="113">
        <v>120</v>
      </c>
      <c r="G25" s="132">
        <v>165</v>
      </c>
      <c r="H25" s="131">
        <v>169</v>
      </c>
      <c r="J25" s="144">
        <v>6.8</v>
      </c>
      <c r="K25" s="144">
        <v>10</v>
      </c>
      <c r="L25" s="117"/>
      <c r="M25" s="120"/>
      <c r="N25" s="120"/>
      <c r="O25" s="120"/>
      <c r="P25" s="120"/>
      <c r="Q25" s="120"/>
    </row>
    <row r="26" spans="1:17" ht="13.5" thickBot="1" x14ac:dyDescent="0.35">
      <c r="A26" s="153"/>
      <c r="B26" s="154"/>
      <c r="C26" s="123"/>
      <c r="D26" s="155"/>
      <c r="E26" s="113">
        <v>120</v>
      </c>
      <c r="F26" s="113">
        <v>130</v>
      </c>
      <c r="G26" s="131">
        <v>169</v>
      </c>
      <c r="H26" s="132">
        <v>174</v>
      </c>
      <c r="J26" s="157"/>
      <c r="K26" s="157"/>
      <c r="L26" s="157"/>
      <c r="M26" s="120"/>
      <c r="N26" s="120"/>
      <c r="O26" s="120"/>
      <c r="P26" s="120"/>
      <c r="Q26" s="120"/>
    </row>
    <row r="27" spans="1:17" ht="13.5" thickBot="1" x14ac:dyDescent="0.35">
      <c r="A27" s="153"/>
      <c r="B27" s="154"/>
      <c r="C27" s="123"/>
      <c r="D27" s="155"/>
      <c r="E27" s="113">
        <v>130</v>
      </c>
      <c r="F27" s="113">
        <v>150</v>
      </c>
      <c r="G27" s="132">
        <v>174</v>
      </c>
      <c r="H27" s="131">
        <v>178</v>
      </c>
      <c r="J27" s="157"/>
      <c r="K27" s="157"/>
      <c r="L27" s="157"/>
      <c r="M27" s="120"/>
      <c r="N27" s="120"/>
      <c r="O27" s="120"/>
      <c r="P27" s="120"/>
      <c r="Q27" s="120"/>
    </row>
    <row r="28" spans="1:17" ht="13.5" thickBot="1" x14ac:dyDescent="0.35">
      <c r="A28" s="153"/>
      <c r="B28" s="154"/>
      <c r="C28" s="123"/>
      <c r="D28" s="155"/>
      <c r="E28" s="113">
        <v>150</v>
      </c>
      <c r="F28" s="113">
        <v>160</v>
      </c>
      <c r="G28" s="131">
        <v>178</v>
      </c>
      <c r="H28" s="132">
        <v>182</v>
      </c>
      <c r="I28" s="158"/>
      <c r="J28" s="157"/>
      <c r="K28" s="157"/>
      <c r="L28" s="157"/>
      <c r="M28" s="120"/>
      <c r="N28" s="120"/>
      <c r="O28" s="120"/>
      <c r="P28" s="120"/>
      <c r="Q28" s="120"/>
    </row>
    <row r="29" spans="1:17" ht="13.5" thickBot="1" x14ac:dyDescent="0.35">
      <c r="A29" s="153"/>
      <c r="B29" s="154"/>
      <c r="C29" s="123"/>
      <c r="D29" s="155"/>
      <c r="E29" s="113">
        <v>160</v>
      </c>
      <c r="F29" s="113">
        <v>180</v>
      </c>
      <c r="G29" s="132">
        <v>182</v>
      </c>
      <c r="H29" s="131">
        <v>187</v>
      </c>
      <c r="I29" s="158"/>
      <c r="J29" s="157"/>
      <c r="K29" s="157"/>
      <c r="L29" s="157"/>
      <c r="M29" s="120"/>
      <c r="N29" s="120"/>
      <c r="O29" s="120"/>
      <c r="P29" s="120"/>
      <c r="Q29" s="120"/>
    </row>
    <row r="30" spans="1:17" ht="13.5" thickBot="1" x14ac:dyDescent="0.35">
      <c r="A30" s="153"/>
      <c r="B30" s="154"/>
      <c r="C30" s="123"/>
      <c r="D30" s="155"/>
      <c r="E30" s="113">
        <v>180</v>
      </c>
      <c r="F30" s="159">
        <v>200</v>
      </c>
      <c r="G30" s="131">
        <v>187</v>
      </c>
      <c r="H30" s="132">
        <v>191</v>
      </c>
      <c r="I30" s="158"/>
      <c r="J30" s="157"/>
      <c r="K30" s="157"/>
      <c r="L30" s="157"/>
      <c r="M30" s="120"/>
      <c r="N30" s="120"/>
      <c r="O30" s="120"/>
      <c r="P30" s="120"/>
      <c r="Q30" s="120"/>
    </row>
    <row r="31" spans="1:17" ht="13.5" thickBot="1" x14ac:dyDescent="0.35">
      <c r="A31" s="153"/>
      <c r="B31" s="154"/>
      <c r="C31" s="123"/>
      <c r="D31" s="155"/>
      <c r="E31" s="159">
        <v>200</v>
      </c>
      <c r="F31" s="156">
        <v>220</v>
      </c>
      <c r="G31" s="132">
        <v>191</v>
      </c>
      <c r="H31" s="131">
        <v>196</v>
      </c>
      <c r="I31" s="158"/>
      <c r="J31" s="157"/>
      <c r="K31" s="157"/>
      <c r="L31" s="157"/>
      <c r="M31" s="120"/>
      <c r="N31" s="120"/>
      <c r="O31" s="120"/>
      <c r="P31" s="120"/>
      <c r="Q31" s="120"/>
    </row>
    <row r="32" spans="1:17" ht="13.5" thickBot="1" x14ac:dyDescent="0.35">
      <c r="A32" s="153"/>
      <c r="B32" s="154"/>
      <c r="C32" s="123"/>
      <c r="D32" s="155"/>
      <c r="E32" s="156">
        <v>220</v>
      </c>
      <c r="F32" s="113">
        <v>240</v>
      </c>
      <c r="G32" s="131">
        <v>196</v>
      </c>
      <c r="H32" s="132">
        <v>200</v>
      </c>
      <c r="I32" s="158"/>
      <c r="J32" s="157"/>
      <c r="K32" s="157"/>
      <c r="L32" s="157"/>
      <c r="M32" s="120"/>
      <c r="N32" s="120"/>
      <c r="O32" s="120"/>
      <c r="P32" s="120"/>
      <c r="Q32" s="120"/>
    </row>
    <row r="33" spans="1:17" ht="13.5" thickBot="1" x14ac:dyDescent="0.35">
      <c r="A33" s="153"/>
      <c r="B33" s="154"/>
      <c r="C33" s="123"/>
      <c r="D33" s="155"/>
      <c r="E33" s="113">
        <v>240</v>
      </c>
      <c r="F33" s="113">
        <v>270</v>
      </c>
      <c r="G33" s="132">
        <v>200</v>
      </c>
      <c r="H33" s="131">
        <v>205</v>
      </c>
      <c r="I33" s="158"/>
      <c r="J33" s="157"/>
      <c r="K33" s="157"/>
      <c r="L33" s="157"/>
      <c r="M33" s="120"/>
      <c r="N33" s="120"/>
      <c r="O33" s="120"/>
      <c r="P33" s="120"/>
      <c r="Q33" s="120"/>
    </row>
    <row r="34" spans="1:17" s="161" customFormat="1" ht="13.5" thickBot="1" x14ac:dyDescent="0.35">
      <c r="A34" s="153"/>
      <c r="B34" s="154"/>
      <c r="C34" s="123"/>
      <c r="D34" s="155"/>
      <c r="E34" s="113">
        <v>270</v>
      </c>
      <c r="F34" s="113">
        <v>300</v>
      </c>
      <c r="G34" s="131">
        <v>205</v>
      </c>
      <c r="H34" s="132">
        <v>210</v>
      </c>
      <c r="I34" s="160"/>
      <c r="J34" s="157"/>
      <c r="K34" s="157"/>
      <c r="L34" s="157"/>
    </row>
    <row r="35" spans="1:17" s="161" customFormat="1" ht="13.5" thickBot="1" x14ac:dyDescent="0.35">
      <c r="A35" s="162"/>
      <c r="B35" s="162"/>
      <c r="C35" s="162"/>
      <c r="D35" s="162"/>
      <c r="E35" s="113">
        <v>300</v>
      </c>
      <c r="F35" s="113">
        <v>330</v>
      </c>
      <c r="G35" s="132">
        <v>210</v>
      </c>
      <c r="H35" s="131">
        <v>215</v>
      </c>
      <c r="I35" s="118"/>
      <c r="J35" s="157"/>
      <c r="K35" s="157"/>
      <c r="L35" s="157"/>
    </row>
    <row r="36" spans="1:17" s="161" customFormat="1" ht="13.5" thickBot="1" x14ac:dyDescent="0.35">
      <c r="E36" s="113">
        <v>330</v>
      </c>
      <c r="F36" s="113">
        <v>360</v>
      </c>
      <c r="G36" s="131">
        <v>215</v>
      </c>
      <c r="H36" s="132">
        <v>221</v>
      </c>
      <c r="I36" s="118"/>
      <c r="J36" s="157"/>
      <c r="K36" s="157"/>
      <c r="L36" s="157"/>
    </row>
    <row r="37" spans="1:17" s="161" customFormat="1" ht="13.5" thickBot="1" x14ac:dyDescent="0.35">
      <c r="E37" s="113">
        <v>360</v>
      </c>
      <c r="F37" s="113">
        <v>390</v>
      </c>
      <c r="G37" s="132">
        <v>221</v>
      </c>
      <c r="H37" s="131">
        <v>226</v>
      </c>
      <c r="I37" s="118"/>
      <c r="J37" s="157"/>
      <c r="K37" s="157"/>
      <c r="L37" s="157"/>
    </row>
    <row r="38" spans="1:17" s="161" customFormat="1" ht="13.5" thickBot="1" x14ac:dyDescent="0.35">
      <c r="E38" s="113">
        <v>390</v>
      </c>
      <c r="F38" s="159">
        <v>430</v>
      </c>
      <c r="G38" s="131">
        <v>226</v>
      </c>
      <c r="H38" s="132">
        <v>232</v>
      </c>
      <c r="I38" s="158"/>
      <c r="J38" s="157"/>
      <c r="K38" s="157"/>
      <c r="L38" s="157"/>
    </row>
    <row r="39" spans="1:17" ht="13.5" thickBot="1" x14ac:dyDescent="0.35">
      <c r="E39" s="159">
        <v>430</v>
      </c>
      <c r="F39" s="156">
        <v>470</v>
      </c>
      <c r="G39" s="132">
        <v>232</v>
      </c>
      <c r="H39" s="131">
        <v>237</v>
      </c>
      <c r="I39" s="158"/>
      <c r="J39" s="157"/>
      <c r="K39" s="157"/>
      <c r="L39" s="157"/>
      <c r="M39" s="120"/>
      <c r="N39" s="120"/>
      <c r="O39" s="120"/>
      <c r="P39" s="120"/>
      <c r="Q39" s="120"/>
    </row>
    <row r="40" spans="1:17" ht="13.5" thickBot="1" x14ac:dyDescent="0.35">
      <c r="E40" s="156">
        <v>470</v>
      </c>
      <c r="F40" s="113">
        <v>510</v>
      </c>
      <c r="G40" s="131">
        <v>237</v>
      </c>
      <c r="H40" s="132">
        <v>243</v>
      </c>
      <c r="I40" s="158"/>
      <c r="J40" s="157"/>
      <c r="K40" s="157"/>
      <c r="L40" s="157"/>
      <c r="M40" s="120"/>
      <c r="N40" s="120"/>
      <c r="O40" s="120"/>
      <c r="P40" s="120"/>
      <c r="Q40" s="120"/>
    </row>
    <row r="41" spans="1:17" ht="13.5" thickBot="1" x14ac:dyDescent="0.35">
      <c r="E41" s="113">
        <v>510</v>
      </c>
      <c r="F41" s="113">
        <v>560</v>
      </c>
      <c r="G41" s="132">
        <v>243</v>
      </c>
      <c r="H41" s="131">
        <v>249</v>
      </c>
      <c r="I41" s="158"/>
      <c r="J41" s="157"/>
      <c r="K41" s="157"/>
      <c r="L41" s="157"/>
      <c r="M41" s="120"/>
      <c r="N41" s="120"/>
      <c r="O41" s="120"/>
      <c r="P41" s="120"/>
      <c r="Q41" s="120"/>
    </row>
    <row r="42" spans="1:17" ht="13.5" thickBot="1" x14ac:dyDescent="0.35">
      <c r="E42" s="113">
        <v>560</v>
      </c>
      <c r="F42" s="113">
        <v>620</v>
      </c>
      <c r="G42" s="131">
        <v>249</v>
      </c>
      <c r="H42" s="132">
        <v>255</v>
      </c>
      <c r="I42" s="158"/>
      <c r="J42" s="157"/>
      <c r="K42" s="157"/>
      <c r="L42" s="157"/>
      <c r="M42" s="120"/>
      <c r="N42" s="120"/>
      <c r="O42" s="120"/>
      <c r="P42" s="120"/>
      <c r="Q42" s="120"/>
    </row>
    <row r="43" spans="1:17" ht="13.5" thickBot="1" x14ac:dyDescent="0.35">
      <c r="E43" s="113">
        <v>620</v>
      </c>
      <c r="F43" s="113">
        <v>680</v>
      </c>
      <c r="G43" s="132">
        <v>255</v>
      </c>
      <c r="H43" s="131">
        <v>261</v>
      </c>
      <c r="I43" s="158"/>
      <c r="J43" s="157"/>
      <c r="K43" s="157"/>
      <c r="L43" s="157"/>
      <c r="M43" s="120"/>
      <c r="N43" s="120"/>
      <c r="O43" s="120"/>
      <c r="P43" s="120"/>
      <c r="Q43" s="120"/>
    </row>
    <row r="44" spans="1:17" ht="13.5" thickBot="1" x14ac:dyDescent="0.35">
      <c r="E44" s="113">
        <v>680</v>
      </c>
      <c r="F44" s="113">
        <v>750</v>
      </c>
      <c r="G44" s="131">
        <v>261</v>
      </c>
      <c r="H44" s="132">
        <v>267</v>
      </c>
      <c r="I44" s="158"/>
      <c r="J44" s="157"/>
      <c r="K44" s="157"/>
      <c r="L44" s="157"/>
      <c r="M44" s="120"/>
      <c r="N44" s="120"/>
      <c r="O44" s="120"/>
      <c r="P44" s="120"/>
      <c r="Q44" s="120"/>
    </row>
    <row r="45" spans="1:17" ht="13.5" thickBot="1" x14ac:dyDescent="0.35">
      <c r="E45" s="113">
        <v>750</v>
      </c>
      <c r="F45" s="113">
        <v>820</v>
      </c>
      <c r="G45" s="132">
        <v>267</v>
      </c>
      <c r="H45" s="131">
        <v>274</v>
      </c>
      <c r="J45" s="157"/>
      <c r="K45" s="157"/>
      <c r="L45" s="157"/>
      <c r="M45" s="120"/>
      <c r="N45" s="120"/>
      <c r="O45" s="120"/>
      <c r="P45" s="120"/>
      <c r="Q45" s="120"/>
    </row>
    <row r="46" spans="1:17" ht="13.5" thickBot="1" x14ac:dyDescent="0.35">
      <c r="E46" s="113">
        <v>820</v>
      </c>
      <c r="F46" s="159">
        <v>910</v>
      </c>
      <c r="G46" s="131">
        <v>274</v>
      </c>
      <c r="H46" s="132">
        <v>280</v>
      </c>
      <c r="J46" s="157"/>
      <c r="K46" s="157"/>
      <c r="L46" s="157"/>
      <c r="M46" s="120"/>
      <c r="N46" s="120"/>
      <c r="O46" s="120"/>
      <c r="P46" s="120"/>
      <c r="Q46" s="120"/>
    </row>
    <row r="47" spans="1:17" ht="13.5" thickBot="1" x14ac:dyDescent="0.35">
      <c r="E47" s="159">
        <v>910</v>
      </c>
      <c r="F47" s="159">
        <v>1000</v>
      </c>
      <c r="G47" s="132">
        <v>280</v>
      </c>
      <c r="H47" s="131">
        <v>287</v>
      </c>
      <c r="J47" s="157"/>
      <c r="K47" s="157"/>
      <c r="L47" s="157"/>
      <c r="M47" s="120"/>
      <c r="N47" s="120"/>
      <c r="O47" s="120"/>
      <c r="P47" s="120"/>
      <c r="Q47" s="120"/>
    </row>
    <row r="48" spans="1:17" ht="13.5" thickBot="1" x14ac:dyDescent="0.35">
      <c r="E48" s="173" t="s">
        <v>252</v>
      </c>
      <c r="F48" s="173"/>
      <c r="G48" s="131">
        <v>287</v>
      </c>
      <c r="H48" s="132">
        <v>294</v>
      </c>
      <c r="J48" s="157"/>
      <c r="K48" s="157"/>
      <c r="L48" s="157"/>
      <c r="M48" s="120"/>
      <c r="N48" s="120"/>
      <c r="O48" s="120"/>
      <c r="P48" s="120"/>
      <c r="Q48" s="120"/>
    </row>
    <row r="49" spans="1:17" ht="13.5" thickBot="1" x14ac:dyDescent="0.35">
      <c r="E49" s="163">
        <v>100</v>
      </c>
      <c r="F49" s="163">
        <v>105</v>
      </c>
      <c r="G49" s="132">
        <v>294</v>
      </c>
      <c r="H49" s="131">
        <v>301</v>
      </c>
      <c r="J49" s="157"/>
      <c r="K49" s="157"/>
      <c r="L49" s="157"/>
      <c r="M49" s="120"/>
      <c r="N49" s="120"/>
      <c r="O49" s="120"/>
      <c r="P49" s="120"/>
      <c r="Q49" s="120"/>
    </row>
    <row r="50" spans="1:17" ht="13.5" thickBot="1" x14ac:dyDescent="0.35">
      <c r="A50" s="120"/>
      <c r="B50" s="120"/>
      <c r="C50" s="120"/>
      <c r="D50" s="120"/>
      <c r="E50" s="163">
        <v>105</v>
      </c>
      <c r="F50" s="163">
        <v>110</v>
      </c>
      <c r="G50" s="131">
        <v>301</v>
      </c>
      <c r="H50" s="132">
        <v>309</v>
      </c>
      <c r="J50" s="157"/>
      <c r="K50" s="157"/>
      <c r="L50" s="157"/>
      <c r="M50" s="120"/>
      <c r="N50" s="120"/>
      <c r="O50" s="120"/>
      <c r="P50" s="120"/>
      <c r="Q50" s="120"/>
    </row>
    <row r="51" spans="1:17" ht="13.5" thickBot="1" x14ac:dyDescent="0.35">
      <c r="A51" s="120"/>
      <c r="B51" s="120"/>
      <c r="C51" s="120"/>
      <c r="D51" s="120"/>
      <c r="E51" s="163">
        <v>110</v>
      </c>
      <c r="F51" s="163">
        <v>115</v>
      </c>
      <c r="G51" s="132">
        <v>309</v>
      </c>
      <c r="H51" s="131">
        <v>316</v>
      </c>
      <c r="J51" s="157"/>
      <c r="K51" s="157"/>
      <c r="L51" s="157"/>
      <c r="M51" s="120"/>
      <c r="N51" s="120"/>
      <c r="O51" s="120"/>
      <c r="P51" s="120"/>
      <c r="Q51" s="120"/>
    </row>
    <row r="52" spans="1:17" ht="13.5" thickBot="1" x14ac:dyDescent="0.35">
      <c r="A52" s="120"/>
      <c r="B52" s="120"/>
      <c r="C52" s="120"/>
      <c r="D52" s="120"/>
      <c r="E52" s="163">
        <v>115</v>
      </c>
      <c r="F52" s="163">
        <v>121</v>
      </c>
      <c r="G52" s="131">
        <v>316</v>
      </c>
      <c r="H52" s="132">
        <v>324</v>
      </c>
      <c r="J52" s="157"/>
      <c r="K52" s="157"/>
      <c r="L52" s="157"/>
      <c r="M52" s="120"/>
      <c r="N52" s="120"/>
      <c r="O52" s="120"/>
      <c r="P52" s="120"/>
      <c r="Q52" s="120"/>
    </row>
    <row r="53" spans="1:17" ht="13.5" thickBot="1" x14ac:dyDescent="0.35">
      <c r="A53" s="120"/>
      <c r="B53" s="120"/>
      <c r="C53" s="120"/>
      <c r="D53" s="120"/>
      <c r="E53" s="163">
        <v>121</v>
      </c>
      <c r="F53" s="163">
        <v>127</v>
      </c>
      <c r="G53" s="132">
        <v>324</v>
      </c>
      <c r="H53" s="131">
        <v>332</v>
      </c>
      <c r="J53" s="157"/>
      <c r="K53" s="157"/>
      <c r="L53" s="157"/>
      <c r="M53" s="120"/>
      <c r="N53" s="120"/>
      <c r="O53" s="120"/>
      <c r="P53" s="120"/>
      <c r="Q53" s="120"/>
    </row>
    <row r="54" spans="1:17" ht="13.5" thickBot="1" x14ac:dyDescent="0.35">
      <c r="A54" s="120"/>
      <c r="B54" s="120"/>
      <c r="C54" s="120"/>
      <c r="D54" s="120"/>
      <c r="E54" s="163">
        <v>127</v>
      </c>
      <c r="F54" s="163">
        <v>133</v>
      </c>
      <c r="G54" s="131">
        <v>332</v>
      </c>
      <c r="H54" s="132">
        <v>340</v>
      </c>
      <c r="J54" s="157"/>
      <c r="K54" s="157"/>
      <c r="L54" s="157"/>
      <c r="M54" s="120"/>
      <c r="N54" s="120"/>
      <c r="O54" s="120"/>
      <c r="P54" s="120"/>
      <c r="Q54" s="120"/>
    </row>
    <row r="55" spans="1:17" ht="13.5" thickBot="1" x14ac:dyDescent="0.35">
      <c r="A55" s="120"/>
      <c r="B55" s="120"/>
      <c r="C55" s="120"/>
      <c r="D55" s="120"/>
      <c r="E55" s="163">
        <v>133</v>
      </c>
      <c r="F55" s="163">
        <v>140</v>
      </c>
      <c r="G55" s="132">
        <v>340</v>
      </c>
      <c r="H55" s="131">
        <v>348</v>
      </c>
      <c r="J55" s="157"/>
      <c r="K55" s="157"/>
      <c r="L55" s="157"/>
      <c r="M55" s="120"/>
      <c r="N55" s="120"/>
      <c r="O55" s="120"/>
      <c r="P55" s="120"/>
      <c r="Q55" s="120"/>
    </row>
    <row r="56" spans="1:17" ht="13.5" thickBot="1" x14ac:dyDescent="0.35">
      <c r="A56" s="120"/>
      <c r="B56" s="120"/>
      <c r="C56" s="120"/>
      <c r="D56" s="120"/>
      <c r="E56" s="163">
        <v>140</v>
      </c>
      <c r="F56" s="163">
        <v>147</v>
      </c>
      <c r="G56" s="131">
        <v>348</v>
      </c>
      <c r="H56" s="132">
        <v>357</v>
      </c>
      <c r="J56" s="157"/>
      <c r="K56" s="157"/>
      <c r="L56" s="157"/>
      <c r="M56" s="120"/>
      <c r="N56" s="120"/>
      <c r="O56" s="120"/>
      <c r="P56" s="120"/>
      <c r="Q56" s="120"/>
    </row>
    <row r="57" spans="1:17" ht="13.5" thickBot="1" x14ac:dyDescent="0.35">
      <c r="A57" s="120"/>
      <c r="B57" s="120"/>
      <c r="C57" s="120"/>
      <c r="D57" s="120"/>
      <c r="E57" s="163">
        <v>147</v>
      </c>
      <c r="F57" s="163">
        <v>154</v>
      </c>
      <c r="G57" s="132">
        <v>357</v>
      </c>
      <c r="H57" s="131">
        <v>365</v>
      </c>
      <c r="J57" s="157"/>
      <c r="K57" s="157"/>
      <c r="L57" s="157"/>
      <c r="M57" s="120"/>
      <c r="N57" s="120"/>
      <c r="O57" s="120"/>
      <c r="P57" s="120"/>
      <c r="Q57" s="120"/>
    </row>
    <row r="58" spans="1:17" ht="13.5" thickBot="1" x14ac:dyDescent="0.35">
      <c r="A58" s="120"/>
      <c r="B58" s="120"/>
      <c r="C58" s="120"/>
      <c r="D58" s="120"/>
      <c r="E58" s="163">
        <v>154</v>
      </c>
      <c r="F58" s="163">
        <v>162</v>
      </c>
      <c r="G58" s="131">
        <v>365</v>
      </c>
      <c r="H58" s="132">
        <v>374</v>
      </c>
      <c r="J58" s="157"/>
      <c r="K58" s="157"/>
      <c r="L58" s="157"/>
      <c r="M58" s="120"/>
      <c r="N58" s="120"/>
      <c r="O58" s="120"/>
      <c r="P58" s="120"/>
      <c r="Q58" s="120"/>
    </row>
    <row r="59" spans="1:17" ht="13.5" thickBot="1" x14ac:dyDescent="0.35">
      <c r="A59" s="120"/>
      <c r="B59" s="120"/>
      <c r="C59" s="120"/>
      <c r="D59" s="120"/>
      <c r="E59" s="163">
        <v>162</v>
      </c>
      <c r="F59" s="163">
        <v>169</v>
      </c>
      <c r="G59" s="132">
        <v>374</v>
      </c>
      <c r="H59" s="131">
        <v>383</v>
      </c>
      <c r="J59" s="157"/>
      <c r="K59" s="157"/>
      <c r="L59" s="157"/>
      <c r="M59" s="120"/>
      <c r="N59" s="120"/>
      <c r="O59" s="120"/>
      <c r="P59" s="120"/>
      <c r="Q59" s="120"/>
    </row>
    <row r="60" spans="1:17" ht="13.5" thickBot="1" x14ac:dyDescent="0.35">
      <c r="A60" s="120"/>
      <c r="B60" s="120"/>
      <c r="C60" s="120"/>
      <c r="D60" s="120"/>
      <c r="E60" s="163">
        <v>169</v>
      </c>
      <c r="F60" s="163">
        <v>178</v>
      </c>
      <c r="G60" s="131">
        <v>383</v>
      </c>
      <c r="H60" s="132">
        <v>392</v>
      </c>
      <c r="J60" s="157"/>
      <c r="K60" s="157"/>
      <c r="L60" s="157"/>
      <c r="M60" s="120"/>
      <c r="N60" s="120"/>
      <c r="O60" s="120"/>
      <c r="P60" s="120"/>
      <c r="Q60" s="120"/>
    </row>
    <row r="61" spans="1:17" ht="13.5" thickBot="1" x14ac:dyDescent="0.35">
      <c r="A61" s="120"/>
      <c r="B61" s="120"/>
      <c r="C61" s="120"/>
      <c r="D61" s="120"/>
      <c r="E61" s="163">
        <v>178</v>
      </c>
      <c r="F61" s="163">
        <v>187</v>
      </c>
      <c r="G61" s="132">
        <v>392</v>
      </c>
      <c r="H61" s="131">
        <v>402</v>
      </c>
      <c r="J61" s="157"/>
      <c r="K61" s="157"/>
      <c r="L61" s="157"/>
      <c r="M61" s="120"/>
      <c r="N61" s="120"/>
      <c r="O61" s="120"/>
      <c r="P61" s="120"/>
      <c r="Q61" s="120"/>
    </row>
    <row r="62" spans="1:17" ht="13.5" thickBot="1" x14ac:dyDescent="0.35">
      <c r="A62" s="120"/>
      <c r="B62" s="120"/>
      <c r="C62" s="120"/>
      <c r="D62" s="120"/>
      <c r="E62" s="163">
        <v>187</v>
      </c>
      <c r="F62" s="163">
        <v>196</v>
      </c>
      <c r="G62" s="131">
        <v>402</v>
      </c>
      <c r="H62" s="132">
        <v>412</v>
      </c>
      <c r="J62" s="157"/>
      <c r="K62" s="157"/>
      <c r="L62" s="157"/>
      <c r="M62" s="120"/>
      <c r="N62" s="120"/>
      <c r="O62" s="120"/>
      <c r="P62" s="120"/>
      <c r="Q62" s="120"/>
    </row>
    <row r="63" spans="1:17" ht="13.5" thickBot="1" x14ac:dyDescent="0.35">
      <c r="A63" s="120"/>
      <c r="B63" s="120"/>
      <c r="C63" s="120"/>
      <c r="D63" s="120"/>
      <c r="E63" s="163">
        <v>196</v>
      </c>
      <c r="F63" s="163">
        <v>205</v>
      </c>
      <c r="G63" s="132">
        <v>412</v>
      </c>
      <c r="H63" s="131">
        <v>422</v>
      </c>
      <c r="J63" s="157"/>
      <c r="K63" s="157"/>
      <c r="L63" s="157"/>
      <c r="M63" s="120"/>
      <c r="N63" s="120"/>
      <c r="O63" s="120"/>
      <c r="P63" s="120"/>
      <c r="Q63" s="120"/>
    </row>
    <row r="64" spans="1:17" ht="13.5" thickBot="1" x14ac:dyDescent="0.35">
      <c r="A64" s="120"/>
      <c r="B64" s="120"/>
      <c r="C64" s="120"/>
      <c r="D64" s="120"/>
      <c r="E64" s="163">
        <v>205</v>
      </c>
      <c r="F64" s="163">
        <v>215</v>
      </c>
      <c r="G64" s="131">
        <v>422</v>
      </c>
      <c r="H64" s="132">
        <v>432</v>
      </c>
      <c r="J64" s="157"/>
      <c r="K64" s="157"/>
      <c r="L64" s="157"/>
      <c r="M64" s="120"/>
      <c r="N64" s="120"/>
      <c r="O64" s="120"/>
      <c r="P64" s="120"/>
      <c r="Q64" s="120"/>
    </row>
    <row r="65" spans="1:17" ht="13.5" thickBot="1" x14ac:dyDescent="0.35">
      <c r="A65" s="120"/>
      <c r="B65" s="120"/>
      <c r="C65" s="120"/>
      <c r="D65" s="120"/>
      <c r="E65" s="163">
        <v>215</v>
      </c>
      <c r="F65" s="163">
        <v>226</v>
      </c>
      <c r="G65" s="132">
        <v>432</v>
      </c>
      <c r="H65" s="131">
        <v>442</v>
      </c>
      <c r="J65" s="157"/>
      <c r="K65" s="157"/>
      <c r="L65" s="157"/>
      <c r="M65" s="120"/>
      <c r="N65" s="120"/>
      <c r="O65" s="120"/>
      <c r="P65" s="120"/>
      <c r="Q65" s="120"/>
    </row>
    <row r="66" spans="1:17" ht="13.5" thickBot="1" x14ac:dyDescent="0.35">
      <c r="A66" s="120"/>
      <c r="B66" s="120"/>
      <c r="C66" s="120"/>
      <c r="D66" s="120"/>
      <c r="E66" s="163">
        <v>226</v>
      </c>
      <c r="F66" s="163">
        <v>237</v>
      </c>
      <c r="G66" s="131">
        <v>442</v>
      </c>
      <c r="H66" s="132">
        <v>453</v>
      </c>
      <c r="J66" s="157"/>
      <c r="K66" s="157"/>
      <c r="L66" s="157"/>
      <c r="M66" s="120"/>
      <c r="N66" s="120"/>
      <c r="O66" s="120"/>
      <c r="P66" s="120"/>
      <c r="Q66" s="120"/>
    </row>
    <row r="67" spans="1:17" ht="13.5" thickBot="1" x14ac:dyDescent="0.35">
      <c r="A67" s="120"/>
      <c r="B67" s="120"/>
      <c r="C67" s="120"/>
      <c r="D67" s="120"/>
      <c r="E67" s="163">
        <v>237</v>
      </c>
      <c r="F67" s="163">
        <v>249</v>
      </c>
      <c r="G67" s="132">
        <v>453</v>
      </c>
      <c r="H67" s="131">
        <v>464</v>
      </c>
      <c r="J67" s="157"/>
      <c r="K67" s="157"/>
      <c r="L67" s="157"/>
      <c r="M67" s="120"/>
      <c r="N67" s="120"/>
      <c r="O67" s="120"/>
      <c r="P67" s="120"/>
      <c r="Q67" s="120"/>
    </row>
    <row r="68" spans="1:17" ht="13.5" thickBot="1" x14ac:dyDescent="0.35">
      <c r="A68" s="120"/>
      <c r="B68" s="120"/>
      <c r="C68" s="120"/>
      <c r="D68" s="120"/>
      <c r="E68" s="163">
        <v>249</v>
      </c>
      <c r="F68" s="163">
        <v>261</v>
      </c>
      <c r="G68" s="131">
        <v>464</v>
      </c>
      <c r="H68" s="132">
        <v>475</v>
      </c>
      <c r="J68" s="157"/>
      <c r="K68" s="157"/>
      <c r="L68" s="157"/>
      <c r="M68" s="120"/>
      <c r="N68" s="120"/>
      <c r="O68" s="120"/>
      <c r="P68" s="120"/>
      <c r="Q68" s="120"/>
    </row>
    <row r="69" spans="1:17" ht="13.5" thickBot="1" x14ac:dyDescent="0.35">
      <c r="A69" s="120"/>
      <c r="B69" s="120"/>
      <c r="C69" s="120"/>
      <c r="D69" s="120"/>
      <c r="E69" s="163">
        <v>261</v>
      </c>
      <c r="F69" s="163">
        <v>274</v>
      </c>
      <c r="G69" s="132">
        <v>475</v>
      </c>
      <c r="H69" s="131">
        <v>487</v>
      </c>
      <c r="J69" s="157"/>
      <c r="K69" s="157"/>
      <c r="L69" s="157"/>
      <c r="M69" s="120"/>
      <c r="N69" s="120"/>
      <c r="O69" s="120"/>
      <c r="P69" s="120"/>
      <c r="Q69" s="120"/>
    </row>
    <row r="70" spans="1:17" ht="13.5" thickBot="1" x14ac:dyDescent="0.35">
      <c r="A70" s="120"/>
      <c r="B70" s="120"/>
      <c r="C70" s="120"/>
      <c r="D70" s="120"/>
      <c r="E70" s="163">
        <v>274</v>
      </c>
      <c r="F70" s="163">
        <v>287</v>
      </c>
      <c r="G70" s="131">
        <v>487</v>
      </c>
      <c r="H70" s="132">
        <v>499</v>
      </c>
      <c r="J70" s="157"/>
      <c r="K70" s="157"/>
      <c r="L70" s="157"/>
      <c r="M70" s="120"/>
      <c r="N70" s="120"/>
      <c r="O70" s="120"/>
      <c r="P70" s="120"/>
      <c r="Q70" s="120"/>
    </row>
    <row r="71" spans="1:17" ht="13.5" thickBot="1" x14ac:dyDescent="0.35">
      <c r="A71" s="120"/>
      <c r="B71" s="120"/>
      <c r="C71" s="120"/>
      <c r="D71" s="120"/>
      <c r="E71" s="163">
        <v>287</v>
      </c>
      <c r="F71" s="163">
        <v>301</v>
      </c>
      <c r="G71" s="132">
        <v>499</v>
      </c>
      <c r="H71" s="131">
        <v>511</v>
      </c>
      <c r="J71" s="157"/>
      <c r="K71" s="157"/>
      <c r="L71" s="157"/>
      <c r="M71" s="120"/>
      <c r="N71" s="120"/>
      <c r="O71" s="120"/>
      <c r="P71" s="120"/>
      <c r="Q71" s="120"/>
    </row>
    <row r="72" spans="1:17" ht="13.5" thickBot="1" x14ac:dyDescent="0.35">
      <c r="A72" s="120"/>
      <c r="B72" s="120"/>
      <c r="C72" s="120"/>
      <c r="D72" s="120"/>
      <c r="E72" s="163">
        <v>301</v>
      </c>
      <c r="F72" s="163">
        <v>316</v>
      </c>
      <c r="G72" s="131">
        <v>511</v>
      </c>
      <c r="H72" s="132">
        <v>523</v>
      </c>
      <c r="J72" s="157"/>
      <c r="K72" s="157"/>
      <c r="L72" s="157"/>
      <c r="M72" s="120"/>
      <c r="N72" s="120"/>
      <c r="O72" s="120"/>
      <c r="P72" s="120"/>
      <c r="Q72" s="120"/>
    </row>
    <row r="73" spans="1:17" ht="13.5" thickBot="1" x14ac:dyDescent="0.35">
      <c r="A73" s="120"/>
      <c r="B73" s="120"/>
      <c r="C73" s="120"/>
      <c r="D73" s="120"/>
      <c r="E73" s="163">
        <v>316</v>
      </c>
      <c r="F73" s="163">
        <v>332</v>
      </c>
      <c r="G73" s="132">
        <v>523</v>
      </c>
      <c r="H73" s="131">
        <v>536</v>
      </c>
      <c r="J73" s="157"/>
      <c r="K73" s="157"/>
      <c r="L73" s="157"/>
      <c r="M73" s="120"/>
      <c r="N73" s="120"/>
      <c r="O73" s="120"/>
      <c r="P73" s="120"/>
      <c r="Q73" s="120"/>
    </row>
    <row r="74" spans="1:17" ht="13.5" thickBot="1" x14ac:dyDescent="0.35">
      <c r="A74" s="120"/>
      <c r="B74" s="120"/>
      <c r="C74" s="120"/>
      <c r="D74" s="120"/>
      <c r="E74" s="163">
        <v>332</v>
      </c>
      <c r="F74" s="163">
        <v>348</v>
      </c>
      <c r="G74" s="131">
        <v>536</v>
      </c>
      <c r="H74" s="132">
        <v>549</v>
      </c>
      <c r="J74" s="157"/>
      <c r="K74" s="157"/>
      <c r="L74" s="157"/>
      <c r="M74" s="120"/>
      <c r="N74" s="120"/>
      <c r="O74" s="120"/>
      <c r="P74" s="120"/>
      <c r="Q74" s="120"/>
    </row>
    <row r="75" spans="1:17" ht="13.5" thickBot="1" x14ac:dyDescent="0.35">
      <c r="A75" s="120"/>
      <c r="B75" s="120"/>
      <c r="C75" s="120"/>
      <c r="D75" s="120"/>
      <c r="E75" s="163">
        <v>348</v>
      </c>
      <c r="F75" s="163">
        <v>365</v>
      </c>
      <c r="G75" s="132">
        <v>549</v>
      </c>
      <c r="H75" s="131">
        <v>562</v>
      </c>
      <c r="J75" s="157"/>
      <c r="K75" s="157"/>
      <c r="L75" s="157"/>
      <c r="M75" s="120"/>
      <c r="N75" s="120"/>
      <c r="O75" s="120"/>
      <c r="P75" s="120"/>
      <c r="Q75" s="120"/>
    </row>
    <row r="76" spans="1:17" ht="13.5" thickBot="1" x14ac:dyDescent="0.35">
      <c r="A76" s="120"/>
      <c r="B76" s="120"/>
      <c r="C76" s="120"/>
      <c r="D76" s="120"/>
      <c r="E76" s="163">
        <v>365</v>
      </c>
      <c r="F76" s="163">
        <v>383</v>
      </c>
      <c r="G76" s="131">
        <v>562</v>
      </c>
      <c r="H76" s="132">
        <v>576</v>
      </c>
      <c r="J76" s="164"/>
      <c r="K76" s="164"/>
      <c r="L76" s="164"/>
      <c r="M76" s="120"/>
      <c r="N76" s="120"/>
      <c r="O76" s="120"/>
      <c r="P76" s="120"/>
      <c r="Q76" s="120"/>
    </row>
    <row r="77" spans="1:17" ht="13.5" thickBot="1" x14ac:dyDescent="0.35">
      <c r="A77" s="120"/>
      <c r="B77" s="120"/>
      <c r="C77" s="120"/>
      <c r="D77" s="120"/>
      <c r="E77" s="163">
        <v>383</v>
      </c>
      <c r="F77" s="163">
        <v>402</v>
      </c>
      <c r="G77" s="132">
        <v>576</v>
      </c>
      <c r="H77" s="131">
        <v>590</v>
      </c>
      <c r="J77" s="164"/>
      <c r="K77" s="164"/>
      <c r="L77" s="164"/>
      <c r="M77" s="120"/>
      <c r="N77" s="120"/>
      <c r="O77" s="120"/>
      <c r="P77" s="120"/>
      <c r="Q77" s="120"/>
    </row>
    <row r="78" spans="1:17" ht="13.5" thickBot="1" x14ac:dyDescent="0.35">
      <c r="A78" s="120"/>
      <c r="B78" s="120"/>
      <c r="C78" s="120"/>
      <c r="D78" s="120"/>
      <c r="E78" s="163">
        <v>402</v>
      </c>
      <c r="F78" s="163">
        <v>422</v>
      </c>
      <c r="G78" s="131">
        <v>590</v>
      </c>
      <c r="H78" s="132">
        <v>604</v>
      </c>
      <c r="J78" s="164"/>
      <c r="K78" s="164"/>
      <c r="L78" s="164"/>
      <c r="M78" s="120"/>
      <c r="N78" s="120"/>
      <c r="O78" s="120"/>
      <c r="P78" s="120"/>
      <c r="Q78" s="120"/>
    </row>
    <row r="79" spans="1:17" ht="13.5" thickBot="1" x14ac:dyDescent="0.35">
      <c r="A79" s="120"/>
      <c r="B79" s="120"/>
      <c r="C79" s="120"/>
      <c r="D79" s="120"/>
      <c r="E79" s="163">
        <v>422</v>
      </c>
      <c r="F79" s="163">
        <v>442</v>
      </c>
      <c r="G79" s="132">
        <v>604</v>
      </c>
      <c r="H79" s="131">
        <v>619</v>
      </c>
      <c r="J79" s="164"/>
      <c r="K79" s="164"/>
      <c r="L79" s="164"/>
      <c r="M79" s="120"/>
      <c r="N79" s="120"/>
      <c r="O79" s="120"/>
      <c r="P79" s="120"/>
      <c r="Q79" s="120"/>
    </row>
    <row r="80" spans="1:17" ht="13.5" thickBot="1" x14ac:dyDescent="0.35">
      <c r="A80" s="120"/>
      <c r="B80" s="120"/>
      <c r="C80" s="120"/>
      <c r="D80" s="120"/>
      <c r="E80" s="163">
        <v>442</v>
      </c>
      <c r="F80" s="163">
        <v>464</v>
      </c>
      <c r="G80" s="131">
        <v>619</v>
      </c>
      <c r="H80" s="132">
        <v>634</v>
      </c>
      <c r="J80" s="164"/>
      <c r="K80" s="164"/>
      <c r="L80" s="164"/>
      <c r="M80" s="120"/>
      <c r="N80" s="120"/>
      <c r="O80" s="120"/>
      <c r="P80" s="120"/>
      <c r="Q80" s="120"/>
    </row>
    <row r="81" spans="1:17" ht="13.5" thickBot="1" x14ac:dyDescent="0.35">
      <c r="A81" s="120"/>
      <c r="B81" s="120"/>
      <c r="C81" s="120"/>
      <c r="D81" s="120"/>
      <c r="E81" s="163">
        <v>464</v>
      </c>
      <c r="F81" s="163">
        <v>487</v>
      </c>
      <c r="G81" s="132">
        <v>634</v>
      </c>
      <c r="H81" s="131">
        <v>649</v>
      </c>
      <c r="J81" s="164"/>
      <c r="K81" s="164"/>
      <c r="L81" s="164"/>
      <c r="M81" s="120"/>
      <c r="N81" s="120"/>
      <c r="O81" s="120"/>
      <c r="P81" s="120"/>
      <c r="Q81" s="120"/>
    </row>
    <row r="82" spans="1:17" ht="13.5" thickBot="1" x14ac:dyDescent="0.35">
      <c r="A82" s="120"/>
      <c r="B82" s="120"/>
      <c r="C82" s="120"/>
      <c r="D82" s="120"/>
      <c r="E82" s="163">
        <v>487</v>
      </c>
      <c r="F82" s="163">
        <v>511</v>
      </c>
      <c r="G82" s="131">
        <v>649</v>
      </c>
      <c r="H82" s="132">
        <v>665</v>
      </c>
      <c r="J82" s="164"/>
      <c r="K82" s="164"/>
      <c r="L82" s="164"/>
      <c r="M82" s="120"/>
      <c r="N82" s="120"/>
      <c r="O82" s="120"/>
      <c r="P82" s="120"/>
      <c r="Q82" s="120"/>
    </row>
    <row r="83" spans="1:17" ht="13.5" thickBot="1" x14ac:dyDescent="0.35">
      <c r="A83" s="120"/>
      <c r="B83" s="120"/>
      <c r="C83" s="120"/>
      <c r="D83" s="120"/>
      <c r="E83" s="163">
        <v>511</v>
      </c>
      <c r="F83" s="163">
        <v>536</v>
      </c>
      <c r="G83" s="132">
        <v>665</v>
      </c>
      <c r="H83" s="131">
        <v>681</v>
      </c>
      <c r="J83" s="164"/>
      <c r="K83" s="164"/>
      <c r="L83" s="164"/>
      <c r="M83" s="120"/>
      <c r="N83" s="120"/>
      <c r="O83" s="120"/>
      <c r="P83" s="120"/>
      <c r="Q83" s="120"/>
    </row>
    <row r="84" spans="1:17" ht="13.5" thickBot="1" x14ac:dyDescent="0.35">
      <c r="A84" s="120"/>
      <c r="B84" s="120"/>
      <c r="C84" s="120"/>
      <c r="D84" s="120"/>
      <c r="E84" s="163">
        <v>536</v>
      </c>
      <c r="F84" s="163">
        <v>562</v>
      </c>
      <c r="G84" s="131">
        <v>681</v>
      </c>
      <c r="H84" s="132">
        <v>698</v>
      </c>
      <c r="J84" s="164"/>
      <c r="K84" s="164"/>
      <c r="L84" s="164"/>
      <c r="M84" s="120"/>
      <c r="N84" s="120"/>
      <c r="O84" s="120"/>
      <c r="P84" s="120"/>
      <c r="Q84" s="120"/>
    </row>
    <row r="85" spans="1:17" ht="13.5" thickBot="1" x14ac:dyDescent="0.35">
      <c r="A85" s="120"/>
      <c r="B85" s="120"/>
      <c r="C85" s="120"/>
      <c r="D85" s="120"/>
      <c r="E85" s="163">
        <v>562</v>
      </c>
      <c r="F85" s="163">
        <v>590</v>
      </c>
      <c r="G85" s="132">
        <v>698</v>
      </c>
      <c r="H85" s="131">
        <v>715</v>
      </c>
      <c r="J85" s="164"/>
      <c r="K85" s="164"/>
      <c r="L85" s="164"/>
      <c r="M85" s="120"/>
      <c r="N85" s="120"/>
      <c r="O85" s="120"/>
      <c r="P85" s="120"/>
      <c r="Q85" s="120"/>
    </row>
    <row r="86" spans="1:17" ht="13.5" thickBot="1" x14ac:dyDescent="0.35">
      <c r="A86" s="120"/>
      <c r="B86" s="120"/>
      <c r="C86" s="120"/>
      <c r="D86" s="120"/>
      <c r="E86" s="163">
        <v>590</v>
      </c>
      <c r="F86" s="163">
        <v>619</v>
      </c>
      <c r="G86" s="131">
        <v>715</v>
      </c>
      <c r="H86" s="132">
        <v>732</v>
      </c>
      <c r="J86" s="164"/>
      <c r="K86" s="164"/>
      <c r="L86" s="164"/>
      <c r="M86" s="120"/>
      <c r="N86" s="120"/>
      <c r="O86" s="120"/>
      <c r="P86" s="120"/>
      <c r="Q86" s="120"/>
    </row>
    <row r="87" spans="1:17" ht="13.5" thickBot="1" x14ac:dyDescent="0.35">
      <c r="A87" s="120"/>
      <c r="B87" s="120"/>
      <c r="C87" s="120"/>
      <c r="D87" s="120"/>
      <c r="E87" s="163">
        <v>619</v>
      </c>
      <c r="F87" s="163">
        <v>649</v>
      </c>
      <c r="G87" s="132">
        <v>732</v>
      </c>
      <c r="H87" s="131">
        <v>750</v>
      </c>
      <c r="J87" s="164"/>
      <c r="K87" s="164"/>
      <c r="L87" s="164"/>
      <c r="M87" s="120"/>
      <c r="N87" s="120"/>
      <c r="O87" s="120"/>
      <c r="P87" s="120"/>
      <c r="Q87" s="120"/>
    </row>
    <row r="88" spans="1:17" ht="13.5" thickBot="1" x14ac:dyDescent="0.35">
      <c r="A88" s="120"/>
      <c r="B88" s="120"/>
      <c r="C88" s="120"/>
      <c r="D88" s="120"/>
      <c r="E88" s="163">
        <v>649</v>
      </c>
      <c r="F88" s="163">
        <v>681</v>
      </c>
      <c r="G88" s="131">
        <v>750</v>
      </c>
      <c r="H88" s="132">
        <v>768</v>
      </c>
      <c r="J88" s="164"/>
      <c r="K88" s="164"/>
      <c r="L88" s="164"/>
      <c r="M88" s="120"/>
      <c r="N88" s="120"/>
      <c r="O88" s="120"/>
      <c r="P88" s="120"/>
      <c r="Q88" s="120"/>
    </row>
    <row r="89" spans="1:17" ht="13.5" thickBot="1" x14ac:dyDescent="0.35">
      <c r="A89" s="120"/>
      <c r="B89" s="120"/>
      <c r="C89" s="120"/>
      <c r="D89" s="120"/>
      <c r="E89" s="163">
        <v>681</v>
      </c>
      <c r="F89" s="163">
        <v>715</v>
      </c>
      <c r="G89" s="132">
        <v>768</v>
      </c>
      <c r="H89" s="131">
        <v>787</v>
      </c>
      <c r="J89" s="164"/>
      <c r="K89" s="164"/>
      <c r="L89" s="164"/>
      <c r="M89" s="120"/>
      <c r="N89" s="120"/>
      <c r="O89" s="120"/>
      <c r="P89" s="120"/>
      <c r="Q89" s="120"/>
    </row>
    <row r="90" spans="1:17" ht="13.5" thickBot="1" x14ac:dyDescent="0.35">
      <c r="A90" s="120"/>
      <c r="B90" s="120"/>
      <c r="C90" s="120"/>
      <c r="D90" s="120"/>
      <c r="E90" s="163">
        <v>715</v>
      </c>
      <c r="F90" s="163">
        <v>750</v>
      </c>
      <c r="G90" s="131">
        <v>787</v>
      </c>
      <c r="H90" s="132">
        <v>806</v>
      </c>
      <c r="J90" s="164"/>
      <c r="K90" s="164"/>
      <c r="L90" s="164"/>
      <c r="M90" s="120"/>
      <c r="N90" s="120"/>
      <c r="O90" s="120"/>
      <c r="P90" s="120"/>
      <c r="Q90" s="120"/>
    </row>
    <row r="91" spans="1:17" ht="13.5" thickBot="1" x14ac:dyDescent="0.35">
      <c r="A91" s="120"/>
      <c r="B91" s="120"/>
      <c r="C91" s="120"/>
      <c r="D91" s="120"/>
      <c r="E91" s="163">
        <v>750</v>
      </c>
      <c r="F91" s="163">
        <v>787</v>
      </c>
      <c r="G91" s="132">
        <v>806</v>
      </c>
      <c r="H91" s="131">
        <v>825</v>
      </c>
      <c r="J91" s="164"/>
      <c r="K91" s="164"/>
      <c r="L91" s="164"/>
      <c r="M91" s="120"/>
      <c r="N91" s="120"/>
      <c r="O91" s="120"/>
      <c r="P91" s="120"/>
      <c r="Q91" s="120"/>
    </row>
    <row r="92" spans="1:17" ht="13.5" thickBot="1" x14ac:dyDescent="0.35">
      <c r="A92" s="120"/>
      <c r="B92" s="120"/>
      <c r="C92" s="120"/>
      <c r="D92" s="120"/>
      <c r="E92" s="163">
        <v>787</v>
      </c>
      <c r="F92" s="163">
        <v>825</v>
      </c>
      <c r="G92" s="131">
        <v>825</v>
      </c>
      <c r="H92" s="132">
        <v>845</v>
      </c>
      <c r="J92" s="164"/>
      <c r="K92" s="164"/>
      <c r="L92" s="164"/>
      <c r="M92" s="120"/>
      <c r="N92" s="120"/>
      <c r="O92" s="120"/>
      <c r="P92" s="120"/>
      <c r="Q92" s="120"/>
    </row>
    <row r="93" spans="1:17" ht="13.5" thickBot="1" x14ac:dyDescent="0.35">
      <c r="A93" s="120"/>
      <c r="B93" s="120"/>
      <c r="C93" s="120"/>
      <c r="D93" s="120"/>
      <c r="E93" s="163">
        <v>825</v>
      </c>
      <c r="F93" s="163">
        <v>866</v>
      </c>
      <c r="G93" s="132">
        <v>845</v>
      </c>
      <c r="H93" s="131">
        <v>866</v>
      </c>
      <c r="J93" s="164"/>
      <c r="K93" s="164"/>
      <c r="L93" s="164"/>
      <c r="M93" s="120"/>
      <c r="N93" s="120"/>
      <c r="O93" s="120"/>
      <c r="P93" s="120"/>
      <c r="Q93" s="120"/>
    </row>
    <row r="94" spans="1:17" ht="13.5" thickBot="1" x14ac:dyDescent="0.35">
      <c r="A94" s="120"/>
      <c r="B94" s="120"/>
      <c r="C94" s="120"/>
      <c r="D94" s="120"/>
      <c r="E94" s="163">
        <v>866</v>
      </c>
      <c r="F94" s="163">
        <v>909</v>
      </c>
      <c r="G94" s="131">
        <v>866</v>
      </c>
      <c r="H94" s="132">
        <v>887</v>
      </c>
      <c r="J94" s="164"/>
      <c r="K94" s="164"/>
      <c r="L94" s="164"/>
      <c r="M94" s="120"/>
      <c r="N94" s="120"/>
      <c r="O94" s="120"/>
      <c r="P94" s="120"/>
      <c r="Q94" s="120"/>
    </row>
    <row r="95" spans="1:17" ht="13.5" thickBot="1" x14ac:dyDescent="0.35">
      <c r="A95" s="120"/>
      <c r="B95" s="120"/>
      <c r="C95" s="120"/>
      <c r="D95" s="120"/>
      <c r="E95" s="163">
        <v>909</v>
      </c>
      <c r="F95" s="163">
        <v>953</v>
      </c>
      <c r="G95" s="132">
        <v>887</v>
      </c>
      <c r="H95" s="131">
        <v>909</v>
      </c>
      <c r="J95" s="164"/>
      <c r="K95" s="164"/>
      <c r="L95" s="164"/>
      <c r="M95" s="120"/>
      <c r="N95" s="120"/>
      <c r="O95" s="120"/>
      <c r="P95" s="120"/>
      <c r="Q95" s="120"/>
    </row>
    <row r="96" spans="1:17" ht="13.5" thickBot="1" x14ac:dyDescent="0.35">
      <c r="A96" s="120"/>
      <c r="B96" s="120"/>
      <c r="C96" s="120"/>
      <c r="D96" s="120"/>
      <c r="E96" s="163">
        <v>953</v>
      </c>
      <c r="F96" s="163">
        <v>1000</v>
      </c>
      <c r="G96" s="131">
        <v>909</v>
      </c>
      <c r="H96" s="132">
        <v>931</v>
      </c>
      <c r="J96" s="164"/>
      <c r="K96" s="164"/>
      <c r="L96" s="164"/>
      <c r="M96" s="120"/>
      <c r="N96" s="120"/>
      <c r="O96" s="120"/>
      <c r="P96" s="120"/>
      <c r="Q96" s="120"/>
    </row>
    <row r="97" spans="1:17" ht="13.5" thickBot="1" x14ac:dyDescent="0.35">
      <c r="A97" s="120"/>
      <c r="B97" s="120"/>
      <c r="C97" s="120"/>
      <c r="D97" s="120"/>
      <c r="G97" s="132">
        <v>931</v>
      </c>
      <c r="H97" s="131">
        <v>953</v>
      </c>
      <c r="J97" s="164"/>
      <c r="K97" s="164"/>
      <c r="L97" s="164"/>
      <c r="M97" s="120"/>
      <c r="N97" s="120"/>
      <c r="O97" s="120"/>
      <c r="P97" s="120"/>
      <c r="Q97" s="120"/>
    </row>
    <row r="98" spans="1:17" ht="13.5" thickBot="1" x14ac:dyDescent="0.35">
      <c r="A98" s="120"/>
      <c r="B98" s="120"/>
      <c r="C98" s="120"/>
      <c r="D98" s="120"/>
      <c r="E98" s="120"/>
      <c r="F98" s="120"/>
      <c r="G98" s="131">
        <v>953</v>
      </c>
      <c r="H98" s="132">
        <v>976</v>
      </c>
      <c r="J98" s="164"/>
      <c r="K98" s="164"/>
      <c r="L98" s="164"/>
      <c r="M98" s="120"/>
      <c r="N98" s="120"/>
      <c r="O98" s="120"/>
      <c r="P98" s="120"/>
      <c r="Q98" s="120"/>
    </row>
    <row r="99" spans="1:17" ht="13.5" thickBot="1" x14ac:dyDescent="0.35">
      <c r="A99" s="120"/>
      <c r="B99" s="120"/>
      <c r="C99" s="120"/>
      <c r="D99" s="120"/>
      <c r="E99" s="120"/>
      <c r="F99" s="120"/>
      <c r="G99" s="132">
        <v>976</v>
      </c>
      <c r="H99" s="132">
        <v>1000</v>
      </c>
      <c r="J99" s="164"/>
      <c r="K99" s="164"/>
      <c r="L99" s="164"/>
      <c r="M99" s="120"/>
      <c r="N99" s="120"/>
      <c r="O99" s="120"/>
      <c r="P99" s="120"/>
      <c r="Q99" s="120"/>
    </row>
    <row r="100" spans="1:17" x14ac:dyDescent="0.25">
      <c r="A100" s="120"/>
      <c r="B100" s="120"/>
      <c r="C100" s="120"/>
      <c r="D100" s="120"/>
      <c r="E100" s="120"/>
      <c r="F100" s="120"/>
      <c r="J100" s="164"/>
      <c r="K100" s="164"/>
      <c r="L100" s="164"/>
      <c r="M100" s="120"/>
      <c r="N100" s="120"/>
      <c r="O100" s="120"/>
      <c r="P100" s="120"/>
      <c r="Q100" s="120"/>
    </row>
    <row r="101" spans="1:17" x14ac:dyDescent="0.25">
      <c r="A101" s="120"/>
      <c r="B101" s="120"/>
      <c r="C101" s="120"/>
      <c r="D101" s="120"/>
      <c r="E101" s="120"/>
      <c r="F101" s="120"/>
      <c r="J101" s="164"/>
      <c r="K101" s="164"/>
      <c r="L101" s="164"/>
      <c r="M101" s="120"/>
      <c r="N101" s="120"/>
      <c r="O101" s="120"/>
      <c r="P101" s="120"/>
      <c r="Q101" s="120"/>
    </row>
    <row r="102" spans="1:17" x14ac:dyDescent="0.25">
      <c r="A102" s="120"/>
      <c r="B102" s="120"/>
      <c r="C102" s="120"/>
      <c r="D102" s="120"/>
      <c r="E102" s="120"/>
      <c r="F102" s="120"/>
      <c r="J102" s="164"/>
      <c r="K102" s="164"/>
      <c r="L102" s="164"/>
      <c r="M102" s="120"/>
      <c r="N102" s="120"/>
      <c r="O102" s="120"/>
      <c r="P102" s="120"/>
      <c r="Q102" s="120"/>
    </row>
    <row r="103" spans="1:17" x14ac:dyDescent="0.25">
      <c r="A103" s="120"/>
      <c r="B103" s="120"/>
      <c r="C103" s="120"/>
      <c r="D103" s="120"/>
      <c r="E103" s="120"/>
      <c r="F103" s="120"/>
      <c r="J103" s="164"/>
      <c r="K103" s="164"/>
      <c r="L103" s="164"/>
      <c r="M103" s="120"/>
      <c r="N103" s="120"/>
      <c r="O103" s="120"/>
      <c r="P103" s="120"/>
      <c r="Q103" s="120"/>
    </row>
    <row r="104" spans="1:17" x14ac:dyDescent="0.25">
      <c r="A104" s="120"/>
      <c r="B104" s="120"/>
      <c r="C104" s="120"/>
      <c r="D104" s="120"/>
      <c r="E104" s="120"/>
      <c r="F104" s="120"/>
      <c r="J104" s="164"/>
      <c r="K104" s="164"/>
      <c r="L104" s="164"/>
      <c r="M104" s="120"/>
      <c r="N104" s="120"/>
      <c r="O104" s="120"/>
      <c r="P104" s="120"/>
      <c r="Q104" s="120"/>
    </row>
    <row r="105" spans="1:17" x14ac:dyDescent="0.25">
      <c r="A105" s="120"/>
      <c r="B105" s="120"/>
      <c r="C105" s="120"/>
      <c r="D105" s="120"/>
      <c r="E105" s="120"/>
      <c r="F105" s="120"/>
      <c r="J105" s="164"/>
      <c r="K105" s="164"/>
      <c r="L105" s="164"/>
      <c r="M105" s="120"/>
      <c r="N105" s="120"/>
      <c r="O105" s="120"/>
      <c r="P105" s="120"/>
      <c r="Q105" s="120"/>
    </row>
    <row r="106" spans="1:17" x14ac:dyDescent="0.25">
      <c r="A106" s="120"/>
      <c r="B106" s="120"/>
      <c r="C106" s="120"/>
      <c r="D106" s="120"/>
      <c r="E106" s="120"/>
      <c r="F106" s="120"/>
      <c r="J106" s="164"/>
      <c r="K106" s="164"/>
      <c r="L106" s="164"/>
      <c r="M106" s="120"/>
      <c r="N106" s="120"/>
      <c r="O106" s="120"/>
      <c r="P106" s="120"/>
      <c r="Q106" s="120"/>
    </row>
    <row r="107" spans="1:17" x14ac:dyDescent="0.25">
      <c r="A107" s="120"/>
      <c r="B107" s="120"/>
      <c r="C107" s="120"/>
      <c r="D107" s="120"/>
      <c r="E107" s="120"/>
      <c r="F107" s="120"/>
      <c r="J107" s="164"/>
      <c r="K107" s="164"/>
      <c r="L107" s="164"/>
      <c r="M107" s="120"/>
      <c r="N107" s="120"/>
      <c r="O107" s="120"/>
      <c r="P107" s="120"/>
      <c r="Q107" s="120"/>
    </row>
    <row r="108" spans="1:17" x14ac:dyDescent="0.25">
      <c r="A108" s="120"/>
      <c r="B108" s="120"/>
      <c r="C108" s="120"/>
      <c r="D108" s="120"/>
      <c r="E108" s="120"/>
      <c r="F108" s="120"/>
      <c r="J108" s="164"/>
      <c r="K108" s="164"/>
      <c r="L108" s="164"/>
      <c r="M108" s="120"/>
      <c r="N108" s="120"/>
      <c r="O108" s="120"/>
      <c r="P108" s="120"/>
      <c r="Q108" s="120"/>
    </row>
    <row r="109" spans="1:17" x14ac:dyDescent="0.25">
      <c r="A109" s="120"/>
      <c r="B109" s="120"/>
      <c r="C109" s="120"/>
      <c r="D109" s="120"/>
      <c r="E109" s="120"/>
      <c r="F109" s="120"/>
      <c r="J109" s="164"/>
      <c r="K109" s="164"/>
      <c r="L109" s="164"/>
      <c r="M109" s="120"/>
      <c r="N109" s="120"/>
      <c r="O109" s="120"/>
      <c r="P109" s="120"/>
      <c r="Q109" s="120"/>
    </row>
    <row r="110" spans="1:17" x14ac:dyDescent="0.25">
      <c r="A110" s="120"/>
      <c r="B110" s="120"/>
      <c r="C110" s="120"/>
      <c r="D110" s="120"/>
      <c r="E110" s="120"/>
      <c r="F110" s="120"/>
      <c r="J110" s="164"/>
      <c r="K110" s="164"/>
      <c r="L110" s="164"/>
      <c r="M110" s="120"/>
      <c r="N110" s="120"/>
      <c r="O110" s="120"/>
      <c r="P110" s="120"/>
      <c r="Q110" s="120"/>
    </row>
    <row r="111" spans="1:17" x14ac:dyDescent="0.25">
      <c r="A111" s="120"/>
      <c r="B111" s="120"/>
      <c r="C111" s="120"/>
      <c r="D111" s="120"/>
      <c r="E111" s="120"/>
      <c r="F111" s="120"/>
      <c r="J111" s="164"/>
      <c r="K111" s="164"/>
      <c r="L111" s="164"/>
      <c r="M111" s="120"/>
      <c r="N111" s="120"/>
      <c r="O111" s="120"/>
      <c r="P111" s="120"/>
      <c r="Q111" s="120"/>
    </row>
    <row r="112" spans="1:17" x14ac:dyDescent="0.25">
      <c r="A112" s="120"/>
      <c r="B112" s="120"/>
      <c r="C112" s="120"/>
      <c r="D112" s="120"/>
      <c r="E112" s="120"/>
      <c r="F112" s="120"/>
      <c r="J112" s="164"/>
      <c r="K112" s="164"/>
      <c r="L112" s="164"/>
      <c r="M112" s="120"/>
      <c r="N112" s="120"/>
      <c r="O112" s="120"/>
      <c r="P112" s="120"/>
      <c r="Q112" s="120"/>
    </row>
    <row r="113" spans="1:17" x14ac:dyDescent="0.25">
      <c r="A113" s="120"/>
      <c r="B113" s="120"/>
      <c r="C113" s="120"/>
      <c r="D113" s="120"/>
      <c r="E113" s="120"/>
      <c r="F113" s="120"/>
      <c r="J113" s="164"/>
      <c r="K113" s="164"/>
      <c r="L113" s="164"/>
      <c r="M113" s="120"/>
      <c r="N113" s="120"/>
      <c r="O113" s="120"/>
      <c r="P113" s="120"/>
      <c r="Q113" s="120"/>
    </row>
    <row r="114" spans="1:17" x14ac:dyDescent="0.25">
      <c r="A114" s="120"/>
      <c r="B114" s="120"/>
      <c r="C114" s="120"/>
      <c r="D114" s="120"/>
      <c r="E114" s="120"/>
      <c r="F114" s="120"/>
      <c r="G114" s="120"/>
      <c r="H114" s="120"/>
      <c r="I114" s="120"/>
      <c r="J114" s="164"/>
      <c r="K114" s="164"/>
      <c r="L114" s="164"/>
      <c r="M114" s="120"/>
      <c r="N114" s="120"/>
      <c r="O114" s="120"/>
      <c r="P114" s="120"/>
      <c r="Q114" s="120"/>
    </row>
    <row r="115" spans="1:17" x14ac:dyDescent="0.25">
      <c r="A115" s="120"/>
      <c r="B115" s="120"/>
      <c r="C115" s="120"/>
      <c r="D115" s="120"/>
      <c r="E115" s="120"/>
      <c r="F115" s="120"/>
      <c r="G115" s="120"/>
      <c r="H115" s="120"/>
      <c r="I115" s="120"/>
      <c r="J115" s="164"/>
      <c r="K115" s="164"/>
      <c r="L115" s="164"/>
      <c r="M115" s="120"/>
      <c r="N115" s="120"/>
      <c r="O115" s="120"/>
      <c r="P115" s="120"/>
      <c r="Q115" s="120"/>
    </row>
    <row r="116" spans="1:17" x14ac:dyDescent="0.25">
      <c r="A116" s="120"/>
      <c r="B116" s="120"/>
      <c r="C116" s="120"/>
      <c r="D116" s="120"/>
      <c r="E116" s="120"/>
      <c r="F116" s="120"/>
      <c r="G116" s="120"/>
      <c r="H116" s="120"/>
      <c r="I116" s="120"/>
      <c r="J116" s="164"/>
      <c r="K116" s="164"/>
      <c r="L116" s="164"/>
      <c r="M116" s="120"/>
      <c r="N116" s="120"/>
      <c r="O116" s="120"/>
      <c r="P116" s="120"/>
      <c r="Q116" s="120"/>
    </row>
    <row r="117" spans="1:17" x14ac:dyDescent="0.25">
      <c r="A117" s="120"/>
      <c r="B117" s="120"/>
      <c r="C117" s="120"/>
      <c r="D117" s="120"/>
      <c r="E117" s="120"/>
      <c r="F117" s="120"/>
      <c r="G117" s="120"/>
      <c r="H117" s="120"/>
      <c r="I117" s="120"/>
      <c r="J117" s="164"/>
      <c r="K117" s="164"/>
      <c r="L117" s="164"/>
      <c r="M117" s="120"/>
      <c r="N117" s="120"/>
      <c r="O117" s="120"/>
      <c r="P117" s="120"/>
      <c r="Q117" s="120"/>
    </row>
    <row r="118" spans="1:17" x14ac:dyDescent="0.25">
      <c r="A118" s="120"/>
      <c r="B118" s="120"/>
      <c r="C118" s="120"/>
      <c r="D118" s="120"/>
      <c r="E118" s="120"/>
      <c r="F118" s="120"/>
      <c r="G118" s="120"/>
      <c r="H118" s="120"/>
      <c r="I118" s="120"/>
      <c r="J118" s="164"/>
      <c r="K118" s="164"/>
      <c r="L118" s="164"/>
      <c r="M118" s="120"/>
      <c r="N118" s="120"/>
      <c r="O118" s="120"/>
      <c r="P118" s="120"/>
      <c r="Q118" s="120"/>
    </row>
    <row r="119" spans="1:17" x14ac:dyDescent="0.25">
      <c r="A119" s="120"/>
      <c r="B119" s="120"/>
      <c r="C119" s="120"/>
      <c r="D119" s="120"/>
      <c r="E119" s="120"/>
      <c r="F119" s="120"/>
      <c r="G119" s="120"/>
      <c r="H119" s="120"/>
      <c r="I119" s="120"/>
      <c r="J119" s="164"/>
      <c r="K119" s="164"/>
      <c r="L119" s="164"/>
      <c r="M119" s="120"/>
      <c r="N119" s="120"/>
      <c r="O119" s="120"/>
      <c r="P119" s="120"/>
      <c r="Q119" s="120"/>
    </row>
    <row r="120" spans="1:17" x14ac:dyDescent="0.25">
      <c r="A120" s="120"/>
      <c r="B120" s="120"/>
      <c r="C120" s="120"/>
      <c r="D120" s="120"/>
      <c r="E120" s="120"/>
      <c r="F120" s="120"/>
      <c r="G120" s="120"/>
      <c r="H120" s="120"/>
      <c r="I120" s="120"/>
      <c r="J120" s="164"/>
      <c r="K120" s="164"/>
      <c r="L120" s="164"/>
      <c r="M120" s="120"/>
      <c r="N120" s="120"/>
      <c r="O120" s="120"/>
      <c r="P120" s="120"/>
      <c r="Q120" s="120"/>
    </row>
    <row r="121" spans="1:17" x14ac:dyDescent="0.25">
      <c r="A121" s="120"/>
      <c r="B121" s="120"/>
      <c r="C121" s="120"/>
      <c r="D121" s="120"/>
      <c r="E121" s="120"/>
      <c r="F121" s="120"/>
      <c r="G121" s="120"/>
      <c r="H121" s="120"/>
      <c r="I121" s="120"/>
      <c r="J121" s="164"/>
      <c r="K121" s="164"/>
      <c r="L121" s="164"/>
      <c r="M121" s="120"/>
      <c r="N121" s="120"/>
      <c r="O121" s="120"/>
      <c r="P121" s="120"/>
      <c r="Q121" s="120"/>
    </row>
    <row r="122" spans="1:17" x14ac:dyDescent="0.25">
      <c r="A122" s="120"/>
      <c r="B122" s="120"/>
      <c r="C122" s="120"/>
      <c r="D122" s="120"/>
      <c r="E122" s="120"/>
      <c r="F122" s="120"/>
      <c r="G122" s="120"/>
      <c r="H122" s="120"/>
      <c r="I122" s="120"/>
      <c r="J122" s="164"/>
      <c r="K122" s="164"/>
      <c r="L122" s="164"/>
      <c r="M122" s="120"/>
      <c r="N122" s="120"/>
      <c r="O122" s="120"/>
      <c r="P122" s="120"/>
      <c r="Q122" s="120"/>
    </row>
    <row r="123" spans="1:17" x14ac:dyDescent="0.25">
      <c r="A123" s="120"/>
      <c r="B123" s="120"/>
      <c r="C123" s="120"/>
      <c r="D123" s="120"/>
      <c r="E123" s="120"/>
      <c r="F123" s="120"/>
      <c r="G123" s="120"/>
      <c r="H123" s="120"/>
      <c r="I123" s="120"/>
      <c r="J123" s="164"/>
      <c r="K123" s="164"/>
      <c r="L123" s="164"/>
      <c r="M123" s="120"/>
      <c r="N123" s="120"/>
      <c r="O123" s="120"/>
      <c r="P123" s="120"/>
      <c r="Q123" s="120"/>
    </row>
    <row r="124" spans="1:17" x14ac:dyDescent="0.25">
      <c r="A124" s="120"/>
      <c r="B124" s="120"/>
      <c r="C124" s="120"/>
      <c r="D124" s="120"/>
      <c r="E124" s="120"/>
      <c r="F124" s="120"/>
      <c r="G124" s="120"/>
      <c r="H124" s="120"/>
      <c r="I124" s="120"/>
      <c r="J124" s="164"/>
      <c r="K124" s="164"/>
      <c r="L124" s="164"/>
      <c r="M124" s="120"/>
      <c r="N124" s="120"/>
      <c r="O124" s="120"/>
      <c r="P124" s="120"/>
      <c r="Q124" s="120"/>
    </row>
    <row r="125" spans="1:17" x14ac:dyDescent="0.25">
      <c r="A125" s="120"/>
      <c r="B125" s="120"/>
      <c r="C125" s="120"/>
      <c r="D125" s="120"/>
      <c r="E125" s="120"/>
      <c r="F125" s="120"/>
      <c r="G125" s="120"/>
      <c r="H125" s="120"/>
      <c r="I125" s="120"/>
      <c r="J125" s="164"/>
      <c r="K125" s="164"/>
      <c r="L125" s="164"/>
      <c r="M125" s="120"/>
      <c r="N125" s="120"/>
      <c r="O125" s="120"/>
      <c r="P125" s="120"/>
      <c r="Q125" s="120"/>
    </row>
    <row r="126" spans="1:17" x14ac:dyDescent="0.25">
      <c r="A126" s="120"/>
      <c r="B126" s="120"/>
      <c r="C126" s="120"/>
      <c r="D126" s="120"/>
      <c r="E126" s="120"/>
      <c r="F126" s="120"/>
      <c r="G126" s="120"/>
      <c r="H126" s="120"/>
      <c r="I126" s="120"/>
      <c r="J126" s="164"/>
      <c r="K126" s="164"/>
      <c r="L126" s="164"/>
      <c r="M126" s="120"/>
      <c r="N126" s="120"/>
      <c r="O126" s="120"/>
      <c r="P126" s="120"/>
      <c r="Q126" s="120"/>
    </row>
    <row r="127" spans="1:17" x14ac:dyDescent="0.25">
      <c r="A127" s="120"/>
      <c r="B127" s="120"/>
      <c r="C127" s="120"/>
      <c r="D127" s="120"/>
      <c r="E127" s="120"/>
      <c r="F127" s="120"/>
      <c r="G127" s="120"/>
      <c r="H127" s="120"/>
      <c r="I127" s="120"/>
      <c r="J127" s="164"/>
      <c r="K127" s="164"/>
      <c r="L127" s="164"/>
      <c r="M127" s="120"/>
      <c r="N127" s="120"/>
      <c r="O127" s="120"/>
      <c r="P127" s="120"/>
      <c r="Q127" s="120"/>
    </row>
    <row r="128" spans="1:17" x14ac:dyDescent="0.25">
      <c r="A128" s="120"/>
      <c r="B128" s="120"/>
      <c r="C128" s="120"/>
      <c r="D128" s="120"/>
      <c r="E128" s="120"/>
      <c r="F128" s="120"/>
      <c r="G128" s="120"/>
      <c r="H128" s="120"/>
      <c r="I128" s="120"/>
      <c r="J128" s="164"/>
      <c r="K128" s="164"/>
      <c r="L128" s="164"/>
      <c r="M128" s="120"/>
      <c r="N128" s="120"/>
      <c r="O128" s="120"/>
      <c r="P128" s="120"/>
      <c r="Q128" s="120"/>
    </row>
    <row r="129" spans="1:17" x14ac:dyDescent="0.25">
      <c r="A129" s="120"/>
      <c r="B129" s="120"/>
      <c r="C129" s="120"/>
      <c r="D129" s="120"/>
      <c r="E129" s="120"/>
      <c r="F129" s="120"/>
      <c r="G129" s="120"/>
      <c r="H129" s="120"/>
      <c r="I129" s="120"/>
      <c r="J129" s="164"/>
      <c r="K129" s="164"/>
      <c r="L129" s="164"/>
      <c r="M129" s="120"/>
      <c r="N129" s="120"/>
      <c r="O129" s="120"/>
      <c r="P129" s="120"/>
      <c r="Q129" s="120"/>
    </row>
    <row r="130" spans="1:17" x14ac:dyDescent="0.25">
      <c r="A130" s="120"/>
      <c r="B130" s="120"/>
      <c r="C130" s="120"/>
      <c r="D130" s="120"/>
      <c r="E130" s="120"/>
      <c r="F130" s="120"/>
      <c r="G130" s="120"/>
      <c r="H130" s="120"/>
      <c r="I130" s="120"/>
      <c r="J130" s="164"/>
      <c r="K130" s="164"/>
      <c r="L130" s="164"/>
      <c r="M130" s="120"/>
      <c r="N130" s="120"/>
      <c r="O130" s="120"/>
      <c r="P130" s="120"/>
      <c r="Q130" s="120"/>
    </row>
    <row r="131" spans="1:17" x14ac:dyDescent="0.25">
      <c r="A131" s="120"/>
      <c r="B131" s="120"/>
      <c r="C131" s="120"/>
      <c r="D131" s="120"/>
      <c r="E131" s="120"/>
      <c r="F131" s="120"/>
      <c r="G131" s="120"/>
      <c r="H131" s="120"/>
      <c r="I131" s="120"/>
      <c r="J131" s="164"/>
      <c r="K131" s="164"/>
      <c r="L131" s="164"/>
      <c r="M131" s="120"/>
      <c r="N131" s="120"/>
      <c r="O131" s="120"/>
      <c r="P131" s="120"/>
      <c r="Q131" s="120"/>
    </row>
    <row r="132" spans="1:17" x14ac:dyDescent="0.25">
      <c r="A132" s="120"/>
      <c r="B132" s="120"/>
      <c r="C132" s="120"/>
      <c r="D132" s="120"/>
      <c r="E132" s="120"/>
      <c r="F132" s="120"/>
      <c r="G132" s="120"/>
      <c r="H132" s="120"/>
      <c r="I132" s="120"/>
      <c r="J132" s="164"/>
      <c r="K132" s="164"/>
      <c r="L132" s="164"/>
      <c r="M132" s="120"/>
      <c r="N132" s="120"/>
      <c r="O132" s="120"/>
      <c r="P132" s="120"/>
      <c r="Q132" s="120"/>
    </row>
    <row r="133" spans="1:17" x14ac:dyDescent="0.25">
      <c r="A133" s="120"/>
      <c r="B133" s="120"/>
      <c r="C133" s="120"/>
      <c r="D133" s="120"/>
      <c r="E133" s="120"/>
      <c r="F133" s="120"/>
      <c r="G133" s="120"/>
      <c r="H133" s="120"/>
      <c r="I133" s="120"/>
      <c r="J133" s="164"/>
      <c r="K133" s="164"/>
      <c r="L133" s="164"/>
      <c r="M133" s="120"/>
      <c r="N133" s="120"/>
      <c r="O133" s="120"/>
      <c r="P133" s="120"/>
      <c r="Q133" s="120"/>
    </row>
    <row r="134" spans="1:17" x14ac:dyDescent="0.25">
      <c r="A134" s="120"/>
      <c r="B134" s="120"/>
      <c r="C134" s="120"/>
      <c r="D134" s="120"/>
      <c r="E134" s="120"/>
      <c r="F134" s="120"/>
      <c r="G134" s="120"/>
      <c r="H134" s="120"/>
      <c r="I134" s="120"/>
      <c r="J134" s="164"/>
      <c r="K134" s="164"/>
      <c r="L134" s="164"/>
      <c r="M134" s="120"/>
      <c r="N134" s="120"/>
      <c r="O134" s="120"/>
      <c r="P134" s="120"/>
      <c r="Q134" s="120"/>
    </row>
    <row r="135" spans="1:17" x14ac:dyDescent="0.25">
      <c r="A135" s="120"/>
      <c r="B135" s="120"/>
      <c r="C135" s="120"/>
      <c r="D135" s="120"/>
      <c r="E135" s="120"/>
      <c r="F135" s="120"/>
      <c r="G135" s="120"/>
      <c r="H135" s="120"/>
      <c r="I135" s="120"/>
      <c r="J135" s="164"/>
      <c r="K135" s="164"/>
      <c r="L135" s="164"/>
      <c r="M135" s="120"/>
      <c r="N135" s="120"/>
      <c r="O135" s="120"/>
      <c r="P135" s="120"/>
      <c r="Q135" s="120"/>
    </row>
    <row r="136" spans="1:17" x14ac:dyDescent="0.25">
      <c r="A136" s="120"/>
      <c r="B136" s="120"/>
      <c r="C136" s="120"/>
      <c r="D136" s="120"/>
      <c r="E136" s="120"/>
      <c r="F136" s="120"/>
      <c r="G136" s="120"/>
      <c r="H136" s="120"/>
      <c r="I136" s="120"/>
      <c r="J136" s="164"/>
      <c r="K136" s="164"/>
      <c r="L136" s="164"/>
      <c r="M136" s="120"/>
      <c r="N136" s="120"/>
      <c r="O136" s="120"/>
      <c r="P136" s="120"/>
      <c r="Q136" s="120"/>
    </row>
    <row r="137" spans="1:17" x14ac:dyDescent="0.25">
      <c r="A137" s="120"/>
      <c r="B137" s="120"/>
      <c r="C137" s="120"/>
      <c r="D137" s="120"/>
      <c r="E137" s="120"/>
      <c r="F137" s="120"/>
      <c r="G137" s="120"/>
      <c r="H137" s="120"/>
      <c r="I137" s="120"/>
      <c r="J137" s="164"/>
      <c r="K137" s="164"/>
      <c r="L137" s="164"/>
      <c r="M137" s="120"/>
      <c r="N137" s="120"/>
      <c r="O137" s="120"/>
      <c r="P137" s="120"/>
      <c r="Q137" s="120"/>
    </row>
    <row r="138" spans="1:17" x14ac:dyDescent="0.25">
      <c r="A138" s="120"/>
      <c r="B138" s="120"/>
      <c r="C138" s="120"/>
      <c r="D138" s="120"/>
      <c r="E138" s="120"/>
      <c r="F138" s="120"/>
      <c r="G138" s="120"/>
      <c r="H138" s="120"/>
      <c r="I138" s="120"/>
      <c r="J138" s="164"/>
      <c r="K138" s="164"/>
      <c r="L138" s="164"/>
      <c r="M138" s="120"/>
      <c r="N138" s="120"/>
      <c r="O138" s="120"/>
      <c r="P138" s="120"/>
      <c r="Q138" s="120"/>
    </row>
    <row r="139" spans="1:17" x14ac:dyDescent="0.25">
      <c r="A139" s="120"/>
      <c r="B139" s="120"/>
      <c r="C139" s="120"/>
      <c r="D139" s="120"/>
      <c r="E139" s="120"/>
      <c r="F139" s="120"/>
      <c r="G139" s="120"/>
      <c r="H139" s="120"/>
      <c r="I139" s="120"/>
      <c r="J139" s="164"/>
      <c r="K139" s="164"/>
      <c r="L139" s="164"/>
      <c r="M139" s="120"/>
      <c r="N139" s="120"/>
      <c r="O139" s="120"/>
      <c r="P139" s="120"/>
      <c r="Q139" s="120"/>
    </row>
    <row r="140" spans="1:17" x14ac:dyDescent="0.25">
      <c r="A140" s="120"/>
      <c r="B140" s="120"/>
      <c r="C140" s="120"/>
      <c r="D140" s="120"/>
      <c r="E140" s="120"/>
      <c r="F140" s="120"/>
      <c r="G140" s="120"/>
      <c r="H140" s="120"/>
      <c r="I140" s="120"/>
      <c r="J140" s="164"/>
      <c r="K140" s="164"/>
      <c r="L140" s="164"/>
      <c r="M140" s="120"/>
      <c r="N140" s="120"/>
      <c r="O140" s="120"/>
      <c r="P140" s="120"/>
      <c r="Q140" s="120"/>
    </row>
    <row r="141" spans="1:17" x14ac:dyDescent="0.25">
      <c r="A141" s="120"/>
      <c r="B141" s="120"/>
      <c r="C141" s="120"/>
      <c r="D141" s="120"/>
      <c r="E141" s="120"/>
      <c r="F141" s="120"/>
      <c r="G141" s="120"/>
      <c r="H141" s="120"/>
      <c r="I141" s="120"/>
      <c r="J141" s="164"/>
      <c r="K141" s="164"/>
      <c r="L141" s="164"/>
      <c r="M141" s="120"/>
      <c r="N141" s="120"/>
      <c r="O141" s="120"/>
      <c r="P141" s="120"/>
      <c r="Q141" s="120"/>
    </row>
    <row r="142" spans="1:17" x14ac:dyDescent="0.25">
      <c r="A142" s="120"/>
      <c r="B142" s="120"/>
      <c r="C142" s="120"/>
      <c r="D142" s="120"/>
      <c r="E142" s="120"/>
      <c r="F142" s="120"/>
      <c r="G142" s="120"/>
      <c r="H142" s="120"/>
      <c r="I142" s="120"/>
      <c r="J142" s="164"/>
      <c r="K142" s="164"/>
      <c r="L142" s="164"/>
      <c r="M142" s="120"/>
      <c r="N142" s="120"/>
      <c r="O142" s="120"/>
      <c r="P142" s="120"/>
      <c r="Q142" s="120"/>
    </row>
    <row r="143" spans="1:17" x14ac:dyDescent="0.25">
      <c r="A143" s="120"/>
      <c r="B143" s="120"/>
      <c r="C143" s="120"/>
      <c r="D143" s="120"/>
      <c r="E143" s="120"/>
      <c r="F143" s="120"/>
      <c r="G143" s="120"/>
      <c r="H143" s="120"/>
      <c r="I143" s="120"/>
      <c r="J143" s="164"/>
      <c r="K143" s="164"/>
      <c r="L143" s="164"/>
      <c r="M143" s="120"/>
      <c r="N143" s="120"/>
      <c r="O143" s="120"/>
      <c r="P143" s="120"/>
      <c r="Q143" s="120"/>
    </row>
    <row r="144" spans="1:17" x14ac:dyDescent="0.25">
      <c r="A144" s="120"/>
      <c r="B144" s="120"/>
      <c r="C144" s="120"/>
      <c r="D144" s="120"/>
      <c r="E144" s="120"/>
      <c r="F144" s="120"/>
      <c r="G144" s="120"/>
      <c r="H144" s="120"/>
      <c r="I144" s="120"/>
      <c r="J144" s="164"/>
      <c r="K144" s="164"/>
      <c r="L144" s="164"/>
      <c r="M144" s="120"/>
      <c r="N144" s="120"/>
      <c r="O144" s="120"/>
      <c r="P144" s="120"/>
      <c r="Q144" s="120"/>
    </row>
    <row r="145" spans="1:17" x14ac:dyDescent="0.25">
      <c r="A145" s="120"/>
      <c r="B145" s="120"/>
      <c r="C145" s="120"/>
      <c r="D145" s="120"/>
      <c r="E145" s="120"/>
      <c r="F145" s="120"/>
      <c r="G145" s="120"/>
      <c r="H145" s="120"/>
      <c r="I145" s="120"/>
      <c r="J145" s="164"/>
      <c r="K145" s="164"/>
      <c r="L145" s="164"/>
      <c r="M145" s="120"/>
      <c r="N145" s="120"/>
      <c r="O145" s="120"/>
      <c r="P145" s="120"/>
      <c r="Q145" s="120"/>
    </row>
    <row r="146" spans="1:17" x14ac:dyDescent="0.25">
      <c r="A146" s="120"/>
      <c r="B146" s="120"/>
      <c r="C146" s="120"/>
      <c r="D146" s="120"/>
      <c r="E146" s="120"/>
      <c r="F146" s="120"/>
      <c r="G146" s="120"/>
      <c r="H146" s="120"/>
      <c r="I146" s="120"/>
      <c r="J146" s="164"/>
      <c r="K146" s="164"/>
      <c r="L146" s="164"/>
      <c r="M146" s="120"/>
      <c r="N146" s="120"/>
      <c r="O146" s="120"/>
      <c r="P146" s="120"/>
      <c r="Q146" s="120"/>
    </row>
  </sheetData>
  <sheetProtection sheet="1" selectLockedCells="1"/>
  <mergeCells count="5">
    <mergeCell ref="E3:F3"/>
    <mergeCell ref="G3:H3"/>
    <mergeCell ref="E10:F10"/>
    <mergeCell ref="E23:F23"/>
    <mergeCell ref="E48:F48"/>
  </mergeCells>
  <pageMargins left="0.49" right="0.42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343D56-5F00-44B8-9889-09F9B44A7B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E0483-2BF7-4C4A-8EF6-994C6FC27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C3924B0-53B7-492A-9426-272EC9D74625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29</vt:i4>
      </vt:variant>
    </vt:vector>
  </HeadingPairs>
  <TitlesOfParts>
    <vt:vector size="33" baseType="lpstr">
      <vt:lpstr>Worksheet</vt:lpstr>
      <vt:lpstr>Small Signal</vt:lpstr>
      <vt:lpstr>data</vt:lpstr>
      <vt:lpstr>Std. R and C Values</vt:lpstr>
      <vt:lpstr>C_f1</vt:lpstr>
      <vt:lpstr>C_f2</vt:lpstr>
      <vt:lpstr>c_s1</vt:lpstr>
      <vt:lpstr>C_s2</vt:lpstr>
      <vt:lpstr>Ccomp</vt:lpstr>
      <vt:lpstr>Chf</vt:lpstr>
      <vt:lpstr>Cout</vt:lpstr>
      <vt:lpstr>Css</vt:lpstr>
      <vt:lpstr>E12_f</vt:lpstr>
      <vt:lpstr>E12_s</vt:lpstr>
      <vt:lpstr>E24_f</vt:lpstr>
      <vt:lpstr>E24_s</vt:lpstr>
      <vt:lpstr>E48_f</vt:lpstr>
      <vt:lpstr>E48_s</vt:lpstr>
      <vt:lpstr>E6_f</vt:lpstr>
      <vt:lpstr>E6_s</vt:lpstr>
      <vt:lpstr>E96_f</vt:lpstr>
      <vt:lpstr>E96_s</vt:lpstr>
      <vt:lpstr>ESR</vt:lpstr>
      <vt:lpstr>fco</vt:lpstr>
      <vt:lpstr>L</vt:lpstr>
      <vt:lpstr>'Std. R and C Values'!Print_Area</vt:lpstr>
      <vt:lpstr>Rcomp</vt:lpstr>
      <vt:lpstr>Rdc</vt:lpstr>
      <vt:lpstr>Rfbb</vt:lpstr>
      <vt:lpstr>Rfbt</vt:lpstr>
      <vt:lpstr>RT</vt:lpstr>
      <vt:lpstr>RUVLO1</vt:lpstr>
      <vt:lpstr>RUVLO2</vt:lpstr>
    </vt:vector>
  </TitlesOfParts>
  <Company>Texas Instruments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a0196457</dc:creator>
  <cp:lastModifiedBy>Bhakare, Onkar</cp:lastModifiedBy>
  <cp:lastPrinted>2009-08-24T21:32:39Z</cp:lastPrinted>
  <dcterms:created xsi:type="dcterms:W3CDTF">2008-12-16T17:24:35Z</dcterms:created>
  <dcterms:modified xsi:type="dcterms:W3CDTF">2025-01-25T07:14:18Z</dcterms:modified>
</cp:coreProperties>
</file>