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C:\Users\a0223970\Desktop\"/>
    </mc:Choice>
  </mc:AlternateContent>
  <xr:revisionPtr revIDLastSave="0" documentId="8_{6BCE0C5F-F88C-4E62-87B3-B4190E09071B}" xr6:coauthVersionLast="36" xr6:coauthVersionMax="36" xr10:uidLastSave="{00000000-0000-0000-0000-000000000000}"/>
  <workbookProtection workbookPassword="D12D" lockStructure="1"/>
  <bookViews>
    <workbookView xWindow="2700" yWindow="2715" windowWidth="9720" windowHeight="7800"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Calculation'!$C$101</definedName>
    <definedName name="BST_HS_Rdson">'Design Calculation'!$C$100</definedName>
    <definedName name="BST_HS_Vd">'Design Calculation'!$C$102</definedName>
    <definedName name="BST_LS_fall_time">'Design Calculation'!$C$98</definedName>
    <definedName name="BST_LS_Rdson">'Design Calculation'!$C$97</definedName>
    <definedName name="BST_LS_rise_time">'Design Calculation'!$C$99</definedName>
    <definedName name="BUCK_HS_Coss">'Design Calculation'!$C$89</definedName>
    <definedName name="BUCK_HS_fall_time">'Design Calculation'!$C$91</definedName>
    <definedName name="BUCK_HS_Qg">'Design Calculation'!$C$88</definedName>
    <definedName name="BUCK_HS_Rdson">'Design Calculation'!$C$87</definedName>
    <definedName name="BUCK_HS_rise_time">'Design Calculation'!$C$90</definedName>
    <definedName name="BUCK_LS_dead_time">'Design Calculation'!$C$95</definedName>
    <definedName name="BUCK_LS_deadtime">'Design Calculation'!$C$95</definedName>
    <definedName name="BUCK_LS_Qg">'Design Calculation'!$C$93</definedName>
    <definedName name="BUCK_LS_Qrr">'Design Calculation'!$C$94</definedName>
    <definedName name="BUCK_LS_Rdson">'Design Calculation'!$C$92</definedName>
    <definedName name="BUCK_LS_Vd">'Design Calculation'!$C$96</definedName>
    <definedName name="C_bst_snubber">'Design Calculation'!$C$104</definedName>
    <definedName name="C_buck_snubber">'Design Calculation'!$C$103</definedName>
    <definedName name="C_ca">'Frequency Response Calculation'!$AG$5</definedName>
    <definedName name="Ccomp">'Design Calculation'!$C$76</definedName>
    <definedName name="Cout_c">'Design Calculation'!$C$33</definedName>
    <definedName name="Cout_e">'Design Calculation'!$C$35</definedName>
    <definedName name="Cp">'Design Calculation'!$C$79</definedName>
    <definedName name="DCR">'Design Calculation'!$C$86</definedName>
    <definedName name="dVinpkpk">'Design Calculation'!$C$39</definedName>
    <definedName name="dVoutpkpk">'Design Calculation'!$C$31</definedName>
    <definedName name="eff">'Design Calculation'!$C$45</definedName>
    <definedName name="ESR">'Design Calculation'!$C$37</definedName>
    <definedName name="fco">'Design Calculation'!$C$71</definedName>
    <definedName name="fp">'Design Calculation'!$C$68</definedName>
    <definedName name="fp_comp2">'Design Calculation'!$C$80</definedName>
    <definedName name="fsw">'Design Calculation'!$C$27</definedName>
    <definedName name="fz_comp">'Design Calculation'!$C$77</definedName>
    <definedName name="fz_ESR">'Design Calculation'!$C$70</definedName>
    <definedName name="fzRHP">'Design Calculation'!$C$69</definedName>
    <definedName name="gm_ca">'Frequency Response Calculation'!$AG$3</definedName>
    <definedName name="gm_EA">'Design Calculation'!$C$72</definedName>
    <definedName name="gm_PS">'Design Calculation'!$C$67</definedName>
    <definedName name="Iavg_limit">'Design Calculation'!$C$54</definedName>
    <definedName name="ILpeak">'Design Calculation'!$C$84</definedName>
    <definedName name="ILpeak_max">'Design Calculation'!$C$52</definedName>
    <definedName name="ILrms">'Design Calculation'!$C$83</definedName>
    <definedName name="ILrms_max">'Design Calculation'!$C$51</definedName>
    <definedName name="ILvalley">'Design Calculation'!$C$85</definedName>
    <definedName name="ILvalley_max">'Design Calculation'!$C$53</definedName>
    <definedName name="Iout_limit">'Design Calculation'!$C$23</definedName>
    <definedName name="Ioutmax">'Design Calculation'!$C$17</definedName>
    <definedName name="K">'Design Calculation'!$C$47</definedName>
    <definedName name="L">'Design Calculation'!$C$50</definedName>
    <definedName name="Op_mode">'Design Calculation'!$C$66</definedName>
    <definedName name="R_1">'Design Calculation'!$C$24</definedName>
    <definedName name="R_7">'Design Calculation'!$C$21</definedName>
    <definedName name="R_ca">'Frequency Response Calculation'!$AG$4</definedName>
    <definedName name="Rcomp">'Design Calculation'!$C$74</definedName>
    <definedName name="Reg_Ilimit">'Design Calculation'!#REF!</definedName>
    <definedName name="Reg_Vref">'Design Calculation'!#REF!</definedName>
    <definedName name="Rpcb">'Design Calculation'!$C$105</definedName>
    <definedName name="tou">'Design Calculation'!$F$115</definedName>
    <definedName name="V_m">'Frequency Response Calculation'!$AG$6</definedName>
    <definedName name="Vin">'Design Calculation'!$C$64</definedName>
    <definedName name="Vin_eff">'Design Calculation'!$C$82</definedName>
    <definedName name="Vin_LP">'Design Calculation'!$C$64</definedName>
    <definedName name="Vin_max">'Design Calculation'!$C$15</definedName>
    <definedName name="Vin_min">'Design Calculation'!$C$14</definedName>
    <definedName name="Vout">'Design Calculation'!$C$16</definedName>
    <definedName name="Vout_LP">'Design Calculation'!$C$65</definedName>
    <definedName name="Vout_max">'Design Calculation'!#REF!</definedName>
  </definedNames>
  <calcPr calcId="191029"/>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C24" i="1" l="1"/>
  <c r="C20" i="1"/>
  <c r="C22" i="1"/>
  <c r="C75" i="1" l="1"/>
  <c r="C80" i="1" l="1"/>
  <c r="C85" i="1" l="1"/>
  <c r="C83" i="1"/>
  <c r="C55" i="1"/>
  <c r="C53" i="1"/>
  <c r="C52" i="1"/>
  <c r="C67" i="1" l="1"/>
  <c r="C41" i="1" l="1"/>
  <c r="C84" i="1"/>
  <c r="C112" i="1" l="1"/>
  <c r="C113" i="1"/>
  <c r="C109" i="1"/>
  <c r="C111" i="1"/>
  <c r="C49" i="1"/>
  <c r="C51" i="1"/>
  <c r="C28" i="1"/>
  <c r="C30" i="1" s="1"/>
  <c r="C66" i="1"/>
  <c r="C73" i="1" s="1"/>
  <c r="AG6" i="2"/>
  <c r="C70" i="1"/>
  <c r="C77" i="1"/>
  <c r="I11" i="2"/>
  <c r="I17" i="2"/>
  <c r="I18" i="2"/>
  <c r="I33" i="2"/>
  <c r="I34" i="2"/>
  <c r="I35" i="2"/>
  <c r="I40" i="2"/>
  <c r="I41" i="2"/>
  <c r="J5" i="2"/>
  <c r="J7" i="2"/>
  <c r="J22" i="2"/>
  <c r="J23" i="2"/>
  <c r="J28" i="2"/>
  <c r="J29" i="2"/>
  <c r="J36" i="2"/>
  <c r="J37" i="2"/>
  <c r="J39" i="2"/>
  <c r="R5" i="2"/>
  <c r="R6" i="2"/>
  <c r="R11" i="2"/>
  <c r="R12" i="2"/>
  <c r="R19" i="2"/>
  <c r="R22" i="2"/>
  <c r="R28" i="2"/>
  <c r="R29" i="2"/>
  <c r="R35" i="2"/>
  <c r="R36" i="2"/>
  <c r="R38" i="2"/>
  <c r="Q5" i="2"/>
  <c r="Q11" i="2"/>
  <c r="Q12" i="2"/>
  <c r="Q18" i="2"/>
  <c r="Q19" i="2"/>
  <c r="Q28" i="2"/>
  <c r="Q29" i="2"/>
  <c r="Q34" i="2"/>
  <c r="Q35" i="2"/>
  <c r="Q36" i="2"/>
  <c r="Q37" i="2"/>
  <c r="Q43" i="2"/>
  <c r="X10" i="2"/>
  <c r="X11" i="2"/>
  <c r="X12" i="2"/>
  <c r="X17" i="2"/>
  <c r="X18" i="2"/>
  <c r="X19" i="2"/>
  <c r="X26" i="2"/>
  <c r="X28" i="2"/>
  <c r="X34" i="2"/>
  <c r="X35" i="2"/>
  <c r="X36" i="2"/>
  <c r="X41" i="2"/>
  <c r="Y11" i="2"/>
  <c r="Y17" i="2"/>
  <c r="Y18" i="2"/>
  <c r="Y19" i="2"/>
  <c r="Y24" i="2"/>
  <c r="Y33" i="2"/>
  <c r="Y34" i="2"/>
  <c r="Y35" i="2"/>
  <c r="Y40" i="2"/>
  <c r="Y41" i="2"/>
  <c r="Y43" i="2"/>
  <c r="Z7" i="2"/>
  <c r="Z10" i="2"/>
  <c r="Z16" i="2"/>
  <c r="Z17" i="2"/>
  <c r="Z18" i="2"/>
  <c r="Z23" i="2"/>
  <c r="Z24" i="2"/>
  <c r="Z26" i="2"/>
  <c r="Z34" i="2"/>
  <c r="Z36" i="2"/>
  <c r="Z39" i="2"/>
  <c r="Z40" i="2"/>
  <c r="Z41" i="2"/>
  <c r="C26" i="1"/>
  <c r="C25" i="1"/>
  <c r="T34" i="2"/>
  <c r="T35" i="2"/>
  <c r="T36" i="2"/>
  <c r="T37" i="2"/>
  <c r="T39" i="2"/>
  <c r="T43" i="2"/>
  <c r="T11" i="2"/>
  <c r="T17" i="2"/>
  <c r="T18" i="2"/>
  <c r="T19" i="2"/>
  <c r="T24" i="2"/>
  <c r="T33" i="2"/>
  <c r="T5" i="2"/>
  <c r="T7" i="2"/>
  <c r="S23" i="2"/>
  <c r="S24" i="2"/>
  <c r="S31" i="2"/>
  <c r="S33" i="2"/>
  <c r="S35" i="2"/>
  <c r="S39" i="2"/>
  <c r="S40" i="2"/>
  <c r="S41" i="2"/>
  <c r="S6" i="2"/>
  <c r="S7" i="2"/>
  <c r="S11" i="2"/>
  <c r="S16" i="2"/>
  <c r="S17" i="2"/>
  <c r="S22" i="2"/>
  <c r="B43" i="2"/>
  <c r="B42" i="2"/>
  <c r="B41" i="2"/>
  <c r="J41" i="2" s="1"/>
  <c r="P41" i="2"/>
  <c r="B40" i="2"/>
  <c r="X40" i="2" s="1"/>
  <c r="B39" i="2"/>
  <c r="B38" i="2"/>
  <c r="I38" i="2" s="1"/>
  <c r="O38" i="2"/>
  <c r="B37" i="2"/>
  <c r="O37" i="2"/>
  <c r="B36" i="2"/>
  <c r="S36" i="2" s="1"/>
  <c r="O36" i="2"/>
  <c r="B35" i="2"/>
  <c r="J35" i="2" s="1"/>
  <c r="B34" i="2"/>
  <c r="B33" i="2"/>
  <c r="R33" i="2" s="1"/>
  <c r="B32" i="2"/>
  <c r="S32" i="2" s="1"/>
  <c r="B31" i="2"/>
  <c r="B30" i="2"/>
  <c r="Q30" i="2" s="1"/>
  <c r="B29" i="2"/>
  <c r="Z29" i="2" s="1"/>
  <c r="B28" i="2"/>
  <c r="P28" i="2"/>
  <c r="B27" i="2"/>
  <c r="X27" i="2" s="1"/>
  <c r="B26" i="2"/>
  <c r="B25" i="2"/>
  <c r="P25" i="2" s="1"/>
  <c r="B24" i="2"/>
  <c r="Q24" i="2" s="1"/>
  <c r="B23" i="2"/>
  <c r="I23" i="2" s="1"/>
  <c r="B22" i="2"/>
  <c r="O22" i="2"/>
  <c r="B21" i="2"/>
  <c r="R21" i="2" s="1"/>
  <c r="B20" i="2"/>
  <c r="B19" i="2"/>
  <c r="O19" i="2" s="1"/>
  <c r="B18" i="2"/>
  <c r="R18" i="2" s="1"/>
  <c r="B17" i="2"/>
  <c r="B16" i="2"/>
  <c r="B15" i="2"/>
  <c r="X15" i="2" s="1"/>
  <c r="B14" i="2"/>
  <c r="B13" i="2"/>
  <c r="X13" i="2" s="1"/>
  <c r="B12" i="2"/>
  <c r="S12" i="2" s="1"/>
  <c r="B11" i="2"/>
  <c r="B10" i="2"/>
  <c r="J10" i="2" s="1"/>
  <c r="B9" i="2"/>
  <c r="I9" i="2" s="1"/>
  <c r="B8" i="2"/>
  <c r="J8" i="2" s="1"/>
  <c r="B7" i="2"/>
  <c r="Q7" i="2" s="1"/>
  <c r="B6" i="2"/>
  <c r="Y6" i="2" s="1"/>
  <c r="B5" i="2"/>
  <c r="O5" i="2"/>
  <c r="B4" i="2"/>
  <c r="S4" i="2" s="1"/>
  <c r="B3" i="2"/>
  <c r="O35" i="2"/>
  <c r="O41" i="2"/>
  <c r="O9" i="2"/>
  <c r="P18" i="2"/>
  <c r="O15" i="2"/>
  <c r="P40" i="2"/>
  <c r="P24" i="2"/>
  <c r="O34" i="2"/>
  <c r="O18" i="2"/>
  <c r="P11" i="2"/>
  <c r="P14" i="2"/>
  <c r="O3" i="2"/>
  <c r="O12" i="2"/>
  <c r="P5" i="2"/>
  <c r="O27" i="2"/>
  <c r="O11" i="2"/>
  <c r="P36" i="2"/>
  <c r="P39" i="2"/>
  <c r="P23" i="2"/>
  <c r="P7" i="2"/>
  <c r="O33" i="2"/>
  <c r="O40" i="2"/>
  <c r="O24" i="2"/>
  <c r="O8" i="2"/>
  <c r="P33" i="2"/>
  <c r="P17" i="2"/>
  <c r="O39" i="2"/>
  <c r="O23" i="2"/>
  <c r="O7" i="2"/>
  <c r="P16" i="2"/>
  <c r="O42" i="2"/>
  <c r="O26" i="2"/>
  <c r="O10" i="2"/>
  <c r="P35" i="2"/>
  <c r="P19" i="2"/>
  <c r="O29" i="2"/>
  <c r="P38" i="2"/>
  <c r="P22" i="2"/>
  <c r="P6" i="2"/>
  <c r="H38" i="2"/>
  <c r="H11" i="2"/>
  <c r="H18" i="2"/>
  <c r="H22" i="2"/>
  <c r="H20" i="2"/>
  <c r="H17" i="2"/>
  <c r="H41" i="2"/>
  <c r="H28" i="2"/>
  <c r="N6" i="2"/>
  <c r="N14" i="2"/>
  <c r="N26" i="2"/>
  <c r="N39" i="2"/>
  <c r="C57" i="1"/>
  <c r="L3" i="2" l="1"/>
  <c r="K3" i="2"/>
  <c r="K20" i="2"/>
  <c r="L20" i="2"/>
  <c r="K42" i="2"/>
  <c r="L42" i="2"/>
  <c r="S9" i="2"/>
  <c r="S25" i="2"/>
  <c r="X3" i="2"/>
  <c r="X20" i="2"/>
  <c r="X4" i="2"/>
  <c r="Q21" i="2"/>
  <c r="Q13" i="2"/>
  <c r="R30" i="2"/>
  <c r="H3" i="2"/>
  <c r="O25" i="2"/>
  <c r="O4" i="2"/>
  <c r="P9" i="2"/>
  <c r="L14" i="2"/>
  <c r="K14" i="2"/>
  <c r="O21" i="2"/>
  <c r="L26" i="2"/>
  <c r="K26" i="2"/>
  <c r="L31" i="2"/>
  <c r="K31" i="2"/>
  <c r="L37" i="2"/>
  <c r="K37" i="2"/>
  <c r="L43" i="2"/>
  <c r="K43" i="2"/>
  <c r="S8" i="2"/>
  <c r="T4" i="2"/>
  <c r="T26" i="2"/>
  <c r="T10" i="2"/>
  <c r="Z33" i="2"/>
  <c r="Z25" i="2"/>
  <c r="Z9" i="2"/>
  <c r="Y42" i="2"/>
  <c r="Y26" i="2"/>
  <c r="Y10" i="2"/>
  <c r="X43" i="2"/>
  <c r="Q3" i="2"/>
  <c r="Q20" i="2"/>
  <c r="Q4" i="2"/>
  <c r="R37" i="2"/>
  <c r="R13" i="2"/>
  <c r="J38" i="2"/>
  <c r="J30" i="2"/>
  <c r="J14" i="2"/>
  <c r="J6" i="2"/>
  <c r="I42" i="2"/>
  <c r="I26" i="2"/>
  <c r="I10" i="2"/>
  <c r="K9" i="2"/>
  <c r="L9" i="2"/>
  <c r="L21" i="2"/>
  <c r="K21" i="2"/>
  <c r="K27" i="2"/>
  <c r="L27" i="2"/>
  <c r="K32" i="2"/>
  <c r="L32" i="2"/>
  <c r="S3" i="2"/>
  <c r="T25" i="2"/>
  <c r="Z32" i="2"/>
  <c r="Z8" i="2"/>
  <c r="Y25" i="2"/>
  <c r="Y9" i="2"/>
  <c r="X42" i="2"/>
  <c r="Q27" i="2"/>
  <c r="R3" i="2"/>
  <c r="R20" i="2"/>
  <c r="R4" i="2"/>
  <c r="J21" i="2"/>
  <c r="J13" i="2"/>
  <c r="O31" i="2"/>
  <c r="P15" i="2"/>
  <c r="L16" i="2"/>
  <c r="K16" i="2"/>
  <c r="S14" i="2"/>
  <c r="S38" i="2"/>
  <c r="T3" i="2"/>
  <c r="T32" i="2"/>
  <c r="T16" i="2"/>
  <c r="T42" i="2"/>
  <c r="Z31" i="2"/>
  <c r="Z15" i="2"/>
  <c r="Y16" i="2"/>
  <c r="Y8" i="2"/>
  <c r="X33" i="2"/>
  <c r="X9" i="2"/>
  <c r="Q42" i="2"/>
  <c r="Q26" i="2"/>
  <c r="Q10" i="2"/>
  <c r="R43" i="2"/>
  <c r="R27" i="2"/>
  <c r="J3" i="2"/>
  <c r="J20" i="2"/>
  <c r="J12" i="2"/>
  <c r="J4" i="2"/>
  <c r="I32" i="2"/>
  <c r="I24" i="2"/>
  <c r="I16" i="2"/>
  <c r="I8" i="2"/>
  <c r="O14" i="2"/>
  <c r="P21" i="2"/>
  <c r="P43" i="2"/>
  <c r="O16" i="2"/>
  <c r="P31" i="2"/>
  <c r="L5" i="2"/>
  <c r="K5" i="2"/>
  <c r="L11" i="2"/>
  <c r="K11" i="2"/>
  <c r="K17" i="2"/>
  <c r="L17" i="2"/>
  <c r="L22" i="2"/>
  <c r="K22" i="2"/>
  <c r="K28" i="2"/>
  <c r="L28" i="2"/>
  <c r="L34" i="2"/>
  <c r="K34" i="2"/>
  <c r="L39" i="2"/>
  <c r="K39" i="2"/>
  <c r="S21" i="2"/>
  <c r="S13" i="2"/>
  <c r="S5" i="2"/>
  <c r="S37" i="2"/>
  <c r="S29" i="2"/>
  <c r="T9" i="2"/>
  <c r="T31" i="2"/>
  <c r="T23" i="2"/>
  <c r="T15" i="2"/>
  <c r="T41" i="2"/>
  <c r="Z38" i="2"/>
  <c r="Z30" i="2"/>
  <c r="Z22" i="2"/>
  <c r="Z14" i="2"/>
  <c r="Z6" i="2"/>
  <c r="Y39" i="2"/>
  <c r="Y31" i="2"/>
  <c r="Y23" i="2"/>
  <c r="Y15" i="2"/>
  <c r="Y7" i="2"/>
  <c r="X32" i="2"/>
  <c r="X24" i="2"/>
  <c r="X16" i="2"/>
  <c r="X8" i="2"/>
  <c r="Q41" i="2"/>
  <c r="Q33" i="2"/>
  <c r="Q25" i="2"/>
  <c r="Q17" i="2"/>
  <c r="Q9" i="2"/>
  <c r="R42" i="2"/>
  <c r="R34" i="2"/>
  <c r="R26" i="2"/>
  <c r="R10" i="2"/>
  <c r="J43" i="2"/>
  <c r="J27" i="2"/>
  <c r="J19" i="2"/>
  <c r="J11" i="2"/>
  <c r="P42" i="2"/>
  <c r="I39" i="2"/>
  <c r="I31" i="2"/>
  <c r="I15" i="2"/>
  <c r="I7" i="2"/>
  <c r="O32" i="2"/>
  <c r="O6" i="2"/>
  <c r="P12" i="2"/>
  <c r="K18" i="2"/>
  <c r="L18" i="2"/>
  <c r="L23" i="2"/>
  <c r="K23" i="2"/>
  <c r="P29" i="2"/>
  <c r="L35" i="2"/>
  <c r="K35" i="2"/>
  <c r="L40" i="2"/>
  <c r="K40" i="2"/>
  <c r="S20" i="2"/>
  <c r="S28" i="2"/>
  <c r="T8" i="2"/>
  <c r="T30" i="2"/>
  <c r="T22" i="2"/>
  <c r="T14" i="2"/>
  <c r="T40" i="2"/>
  <c r="Z37" i="2"/>
  <c r="Z21" i="2"/>
  <c r="Z13" i="2"/>
  <c r="Z5" i="2"/>
  <c r="Y38" i="2"/>
  <c r="Y30" i="2"/>
  <c r="Y22" i="2"/>
  <c r="Y14" i="2"/>
  <c r="X39" i="2"/>
  <c r="X31" i="2"/>
  <c r="X23" i="2"/>
  <c r="X7" i="2"/>
  <c r="Q40" i="2"/>
  <c r="Q32" i="2"/>
  <c r="Q16" i="2"/>
  <c r="Q8" i="2"/>
  <c r="R41" i="2"/>
  <c r="R25" i="2"/>
  <c r="R17" i="2"/>
  <c r="R9" i="2"/>
  <c r="J42" i="2"/>
  <c r="J34" i="2"/>
  <c r="J26" i="2"/>
  <c r="J18" i="2"/>
  <c r="I3" i="2"/>
  <c r="I30" i="2"/>
  <c r="I22" i="2"/>
  <c r="I14" i="2"/>
  <c r="M6" i="2"/>
  <c r="K4" i="2"/>
  <c r="L4" i="2"/>
  <c r="L15" i="2"/>
  <c r="K15" i="2"/>
  <c r="S15" i="2"/>
  <c r="I25" i="2"/>
  <c r="O13" i="2"/>
  <c r="P27" i="2"/>
  <c r="L10" i="2"/>
  <c r="K10" i="2"/>
  <c r="K33" i="2"/>
  <c r="L33" i="2"/>
  <c r="L38" i="2"/>
  <c r="K38" i="2"/>
  <c r="S30" i="2"/>
  <c r="Y32" i="2"/>
  <c r="X25" i="2"/>
  <c r="H31" i="2"/>
  <c r="P32" i="2"/>
  <c r="H25" i="2"/>
  <c r="O43" i="2"/>
  <c r="P10" i="2"/>
  <c r="O30" i="2"/>
  <c r="P37" i="2"/>
  <c r="H33" i="2"/>
  <c r="P26" i="2"/>
  <c r="P4" i="2"/>
  <c r="L6" i="2"/>
  <c r="K6" i="2"/>
  <c r="K12" i="2"/>
  <c r="L12" i="2"/>
  <c r="K19" i="2"/>
  <c r="L19" i="2"/>
  <c r="L24" i="2"/>
  <c r="K24" i="2"/>
  <c r="L29" i="2"/>
  <c r="K29" i="2"/>
  <c r="S19" i="2"/>
  <c r="S43" i="2"/>
  <c r="S27" i="2"/>
  <c r="T29" i="2"/>
  <c r="T21" i="2"/>
  <c r="T13" i="2"/>
  <c r="Z3" i="2"/>
  <c r="Z28" i="2"/>
  <c r="Z20" i="2"/>
  <c r="Z12" i="2"/>
  <c r="Z4" i="2"/>
  <c r="Y37" i="2"/>
  <c r="Y29" i="2"/>
  <c r="Y21" i="2"/>
  <c r="Y13" i="2"/>
  <c r="Y5" i="2"/>
  <c r="X38" i="2"/>
  <c r="X30" i="2"/>
  <c r="X22" i="2"/>
  <c r="X14" i="2"/>
  <c r="X6" i="2"/>
  <c r="Q39" i="2"/>
  <c r="Q31" i="2"/>
  <c r="Q23" i="2"/>
  <c r="Q15" i="2"/>
  <c r="R40" i="2"/>
  <c r="R32" i="2"/>
  <c r="R24" i="2"/>
  <c r="R16" i="2"/>
  <c r="R8" i="2"/>
  <c r="J33" i="2"/>
  <c r="J25" i="2"/>
  <c r="J17" i="2"/>
  <c r="J9" i="2"/>
  <c r="I4" i="2"/>
  <c r="I37" i="2"/>
  <c r="I29" i="2"/>
  <c r="I21" i="2"/>
  <c r="I13" i="2"/>
  <c r="I6" i="2"/>
  <c r="O17" i="2"/>
  <c r="P20" i="2"/>
  <c r="O28" i="2"/>
  <c r="P8" i="2"/>
  <c r="P34" i="2"/>
  <c r="P3" i="2"/>
  <c r="L7" i="2"/>
  <c r="K7" i="2"/>
  <c r="P13" i="2"/>
  <c r="O20" i="2"/>
  <c r="P30" i="2"/>
  <c r="K36" i="2"/>
  <c r="L36" i="2"/>
  <c r="L41" i="2"/>
  <c r="K41" i="2"/>
  <c r="S18" i="2"/>
  <c r="S10" i="2"/>
  <c r="S42" i="2"/>
  <c r="S34" i="2"/>
  <c r="S26" i="2"/>
  <c r="T6" i="2"/>
  <c r="T28" i="2"/>
  <c r="T20" i="2"/>
  <c r="T12" i="2"/>
  <c r="T38" i="2"/>
  <c r="Z43" i="2"/>
  <c r="Z35" i="2"/>
  <c r="Z27" i="2"/>
  <c r="Z19" i="2"/>
  <c r="Z11" i="2"/>
  <c r="Y3" i="2"/>
  <c r="Y36" i="2"/>
  <c r="Y28" i="2"/>
  <c r="Y20" i="2"/>
  <c r="Y12" i="2"/>
  <c r="Y4" i="2"/>
  <c r="X37" i="2"/>
  <c r="X29" i="2"/>
  <c r="X21" i="2"/>
  <c r="X5" i="2"/>
  <c r="Q38" i="2"/>
  <c r="Q22" i="2"/>
  <c r="Q14" i="2"/>
  <c r="Q6" i="2"/>
  <c r="R39" i="2"/>
  <c r="R31" i="2"/>
  <c r="R23" i="2"/>
  <c r="R15" i="2"/>
  <c r="R7" i="2"/>
  <c r="J40" i="2"/>
  <c r="J32" i="2"/>
  <c r="J24" i="2"/>
  <c r="J16" i="2"/>
  <c r="I5" i="2"/>
  <c r="I36" i="2"/>
  <c r="I28" i="2"/>
  <c r="I20" i="2"/>
  <c r="I12" i="2"/>
  <c r="G6" i="2"/>
  <c r="L8" i="2"/>
  <c r="K8" i="2"/>
  <c r="L13" i="2"/>
  <c r="K13" i="2"/>
  <c r="K25" i="2"/>
  <c r="L25" i="2"/>
  <c r="L30" i="2"/>
  <c r="K30" i="2"/>
  <c r="T27" i="2"/>
  <c r="Z42" i="2"/>
  <c r="Y27" i="2"/>
  <c r="R14" i="2"/>
  <c r="J31" i="2"/>
  <c r="J15" i="2"/>
  <c r="I43" i="2"/>
  <c r="I27" i="2"/>
  <c r="I19" i="2"/>
  <c r="H7" i="2"/>
  <c r="H6" i="2"/>
  <c r="H9" i="2"/>
  <c r="H39" i="2"/>
  <c r="N27" i="2"/>
  <c r="H36" i="2"/>
  <c r="H4" i="2"/>
  <c r="H19" i="2"/>
  <c r="N3" i="2"/>
  <c r="H30" i="2"/>
  <c r="H8"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14" i="1"/>
  <c r="C69" i="1"/>
  <c r="C78"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2" i="1"/>
  <c r="C68" i="1"/>
  <c r="F34" i="2" s="1"/>
  <c r="V19" i="2"/>
  <c r="V6" i="2"/>
  <c r="V35" i="2"/>
  <c r="C117" i="1"/>
  <c r="C107" i="1"/>
  <c r="C106"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C6" i="2"/>
  <c r="D28" i="2"/>
  <c r="D24" i="2"/>
  <c r="D30" i="2"/>
  <c r="D36" i="2"/>
  <c r="D20" i="2"/>
  <c r="C7" i="2"/>
  <c r="C10" i="2"/>
  <c r="C17" i="2"/>
  <c r="C18" i="2"/>
  <c r="C21" i="2"/>
  <c r="C27" i="2"/>
  <c r="C29" i="2"/>
  <c r="C31" i="2"/>
  <c r="C38" i="2"/>
  <c r="C39" i="2"/>
  <c r="C42" i="2"/>
  <c r="D31" i="2"/>
  <c r="D23" i="2"/>
  <c r="D27" i="2"/>
  <c r="D32" i="2"/>
  <c r="D3" i="2"/>
  <c r="D22" i="2"/>
  <c r="V39" i="2"/>
  <c r="V23" i="2"/>
  <c r="D11" i="2" l="1"/>
  <c r="D10" i="2"/>
  <c r="C41" i="2"/>
  <c r="C30" i="2"/>
  <c r="C19" i="2"/>
  <c r="C9" i="2"/>
  <c r="D38" i="2"/>
  <c r="D18" i="2"/>
  <c r="D21" i="2"/>
  <c r="C26" i="2"/>
  <c r="C15" i="2"/>
  <c r="D8" i="2"/>
  <c r="D12" i="2"/>
  <c r="D34" i="2"/>
  <c r="AB34" i="2" s="1"/>
  <c r="AD34" i="2" s="1"/>
  <c r="C37" i="2"/>
  <c r="D43" i="2"/>
  <c r="D7" i="2"/>
  <c r="C3" i="2"/>
  <c r="C35" i="2"/>
  <c r="C25" i="2"/>
  <c r="C14" i="2"/>
  <c r="D13" i="2"/>
  <c r="D4" i="2"/>
  <c r="D9" i="2"/>
  <c r="D15" i="2"/>
  <c r="C4" i="2"/>
  <c r="C34" i="2"/>
  <c r="C23" i="2"/>
  <c r="C13" i="2"/>
  <c r="D16" i="2"/>
  <c r="D35" i="2"/>
  <c r="D42" i="2"/>
  <c r="D5" i="2"/>
  <c r="C43" i="2"/>
  <c r="C33" i="2"/>
  <c r="C22" i="2"/>
  <c r="C11" i="2"/>
  <c r="D6" i="2"/>
  <c r="D14" i="2"/>
  <c r="D25" i="2"/>
  <c r="D17" i="2"/>
  <c r="D39" i="2"/>
  <c r="C40" i="2"/>
  <c r="C32" i="2"/>
  <c r="C24" i="2"/>
  <c r="C16" i="2"/>
  <c r="C8" i="2"/>
  <c r="D19" i="2"/>
  <c r="D33" i="2"/>
  <c r="D40" i="2"/>
  <c r="D26" i="2"/>
  <c r="C5" i="2"/>
  <c r="C36" i="2"/>
  <c r="C28" i="2"/>
  <c r="C20" i="2"/>
  <c r="C12" i="2"/>
  <c r="D29" i="2"/>
  <c r="D41" i="2"/>
  <c r="D37" i="2"/>
  <c r="F27" i="2"/>
  <c r="AB27" i="2" s="1"/>
  <c r="AD27" i="2" s="1"/>
  <c r="F17" i="2"/>
  <c r="E36" i="2"/>
  <c r="AA36" i="2" s="1"/>
  <c r="E3" i="2"/>
  <c r="F38" i="2"/>
  <c r="AB38" i="2" s="1"/>
  <c r="AD38" i="2" s="1"/>
  <c r="E23" i="2"/>
  <c r="F14" i="2"/>
  <c r="AB14" i="2" s="1"/>
  <c r="AD14" i="2" s="1"/>
  <c r="F6" i="2"/>
  <c r="E31" i="2"/>
  <c r="AA31" i="2" s="1"/>
  <c r="F24" i="2"/>
  <c r="AB24" i="2" s="1"/>
  <c r="AD24" i="2" s="1"/>
  <c r="E41" i="2"/>
  <c r="AA41" i="2" s="1"/>
  <c r="E7" i="2"/>
  <c r="AA7" i="2" s="1"/>
  <c r="F23" i="2"/>
  <c r="AB23" i="2" s="1"/>
  <c r="AD23" i="2" s="1"/>
  <c r="F39" i="2"/>
  <c r="F32" i="2"/>
  <c r="AB32" i="2" s="1"/>
  <c r="AD32" i="2" s="1"/>
  <c r="F37" i="2"/>
  <c r="AB37" i="2" s="1"/>
  <c r="AD37" i="2" s="1"/>
  <c r="F7" i="2"/>
  <c r="AB7" i="2" s="1"/>
  <c r="AD7" i="2" s="1"/>
  <c r="F20" i="2"/>
  <c r="AB20" i="2" s="1"/>
  <c r="AD20" i="2" s="1"/>
  <c r="E4" i="2"/>
  <c r="AA4" i="2" s="1"/>
  <c r="E40" i="2"/>
  <c r="E35" i="2"/>
  <c r="E28" i="2"/>
  <c r="E21" i="2"/>
  <c r="AA21" i="2" s="1"/>
  <c r="E6" i="2"/>
  <c r="AA6" i="2" s="1"/>
  <c r="F12" i="2"/>
  <c r="F40" i="2"/>
  <c r="E33" i="2"/>
  <c r="AA33" i="2" s="1"/>
  <c r="F15" i="2"/>
  <c r="AB15" i="2" s="1"/>
  <c r="AD15" i="2" s="1"/>
  <c r="F26" i="2"/>
  <c r="AB26" i="2" s="1"/>
  <c r="AD26" i="2" s="1"/>
  <c r="F4" i="2"/>
  <c r="AB4" i="2" s="1"/>
  <c r="AD4" i="2" s="1"/>
  <c r="F35" i="2"/>
  <c r="AB35" i="2" s="1"/>
  <c r="AD35" i="2" s="1"/>
  <c r="E5" i="2"/>
  <c r="E39" i="2"/>
  <c r="AA39" i="2" s="1"/>
  <c r="E27" i="2"/>
  <c r="E18" i="2"/>
  <c r="F13" i="2"/>
  <c r="F11" i="2"/>
  <c r="AB11" i="2" s="1"/>
  <c r="AD11" i="2" s="1"/>
  <c r="F42" i="2"/>
  <c r="F33" i="2"/>
  <c r="AB33" i="2" s="1"/>
  <c r="AD33" i="2" s="1"/>
  <c r="F19" i="2"/>
  <c r="F10" i="2"/>
  <c r="AB10" i="2" s="1"/>
  <c r="AD10" i="2" s="1"/>
  <c r="F21" i="2"/>
  <c r="AB21" i="2" s="1"/>
  <c r="AD21" i="2" s="1"/>
  <c r="E43" i="2"/>
  <c r="AA43" i="2" s="1"/>
  <c r="E37" i="2"/>
  <c r="AA37" i="2" s="1"/>
  <c r="E32" i="2"/>
  <c r="E25" i="2"/>
  <c r="AA25" i="2" s="1"/>
  <c r="E9" i="2"/>
  <c r="F22" i="2"/>
  <c r="AB22" i="2" s="1"/>
  <c r="AD22" i="2" s="1"/>
  <c r="F8" i="2"/>
  <c r="AB8" i="2" s="1"/>
  <c r="AD8" i="2" s="1"/>
  <c r="E42" i="2"/>
  <c r="AA42" i="2" s="1"/>
  <c r="E38" i="2"/>
  <c r="E34" i="2"/>
  <c r="E29" i="2"/>
  <c r="E24" i="2"/>
  <c r="E16" i="2"/>
  <c r="E14" i="2"/>
  <c r="E20" i="2"/>
  <c r="E13" i="2"/>
  <c r="E30" i="2"/>
  <c r="E26" i="2"/>
  <c r="AA26" i="2" s="1"/>
  <c r="E22" i="2"/>
  <c r="AA22" i="2" s="1"/>
  <c r="E17" i="2"/>
  <c r="AA17" i="2" s="1"/>
  <c r="E11" i="2"/>
  <c r="E19" i="2"/>
  <c r="E15" i="2"/>
  <c r="AA15" i="2" s="1"/>
  <c r="E10" i="2"/>
  <c r="AA10" i="2" s="1"/>
  <c r="F31" i="2"/>
  <c r="AB31" i="2" s="1"/>
  <c r="AD31" i="2" s="1"/>
  <c r="F30" i="2"/>
  <c r="AB30" i="2" s="1"/>
  <c r="AD30" i="2" s="1"/>
  <c r="F41" i="2"/>
  <c r="E12" i="2"/>
  <c r="E8" i="2"/>
  <c r="F9" i="2"/>
  <c r="F36" i="2"/>
  <c r="AB36" i="2" s="1"/>
  <c r="AD36" i="2" s="1"/>
  <c r="F5" i="2"/>
  <c r="AB5" i="2" s="1"/>
  <c r="AD5" i="2" s="1"/>
  <c r="F18" i="2"/>
  <c r="F16" i="2"/>
  <c r="F29" i="2"/>
  <c r="F28" i="2"/>
  <c r="AB28" i="2" s="1"/>
  <c r="AD28" i="2" s="1"/>
  <c r="F43" i="2"/>
  <c r="F25" i="2"/>
  <c r="F3" i="2"/>
  <c r="AB3" i="2" s="1"/>
  <c r="AD3" i="2" s="1"/>
  <c r="AB25" i="2" l="1"/>
  <c r="AD25" i="2" s="1"/>
  <c r="AB9" i="2"/>
  <c r="AD9" i="2" s="1"/>
  <c r="AB19" i="2"/>
  <c r="AD19" i="2" s="1"/>
  <c r="AB18" i="2"/>
  <c r="AD18" i="2" s="1"/>
  <c r="AB43" i="2"/>
  <c r="AD43" i="2" s="1"/>
  <c r="AB42" i="2"/>
  <c r="AD42" i="2" s="1"/>
  <c r="AA19" i="2"/>
  <c r="AC19" i="2" s="1"/>
  <c r="AB16" i="2"/>
  <c r="AD16" i="2" s="1"/>
  <c r="AB13" i="2"/>
  <c r="AD13" i="2" s="1"/>
  <c r="AB12" i="2"/>
  <c r="AD12" i="2" s="1"/>
  <c r="AB6" i="2"/>
  <c r="AD6" i="2" s="1"/>
  <c r="AA11" i="2"/>
  <c r="AC11" i="2" s="1"/>
  <c r="AA14" i="2"/>
  <c r="AC14" i="2" s="1"/>
  <c r="AA28" i="2"/>
  <c r="AC28" i="2" s="1"/>
  <c r="AB39" i="2"/>
  <c r="AD39" i="2" s="1"/>
  <c r="AB29" i="2"/>
  <c r="AD29" i="2" s="1"/>
  <c r="AB41" i="2"/>
  <c r="AD41" i="2" s="1"/>
  <c r="AB40" i="2"/>
  <c r="AD40" i="2" s="1"/>
  <c r="AB17" i="2"/>
  <c r="AD17" i="2" s="1"/>
  <c r="AA23" i="2"/>
  <c r="AC23" i="2" s="1"/>
  <c r="AA12" i="2"/>
  <c r="AC12" i="2" s="1"/>
  <c r="AC7" i="2"/>
  <c r="AA30" i="2"/>
  <c r="AC30" i="2" s="1"/>
  <c r="AC43" i="2"/>
  <c r="AC33" i="2"/>
  <c r="AC4" i="2"/>
  <c r="AC41" i="2"/>
  <c r="AC36" i="2"/>
  <c r="AA18" i="2"/>
  <c r="AC18" i="2" s="1"/>
  <c r="AA40" i="2"/>
  <c r="AC40" i="2" s="1"/>
  <c r="AA29" i="2"/>
  <c r="AC29" i="2" s="1"/>
  <c r="AA13" i="2"/>
  <c r="AC13" i="2" s="1"/>
  <c r="AC15" i="2"/>
  <c r="AA20" i="2"/>
  <c r="AC20" i="2" s="1"/>
  <c r="AC39" i="2"/>
  <c r="AC31" i="2"/>
  <c r="AC10" i="2"/>
  <c r="AC42" i="2"/>
  <c r="AC6" i="2"/>
  <c r="AA9" i="2"/>
  <c r="AC9" i="2" s="1"/>
  <c r="AA38" i="2"/>
  <c r="AC38" i="2" s="1"/>
  <c r="AA34" i="2"/>
  <c r="AC34" i="2" s="1"/>
  <c r="AA3" i="2"/>
  <c r="AC3" i="2" s="1"/>
  <c r="AC21" i="2"/>
  <c r="AA27" i="2"/>
  <c r="AC27" i="2" s="1"/>
  <c r="AC17" i="2"/>
  <c r="AA35" i="2"/>
  <c r="AC35" i="2" s="1"/>
  <c r="AA16" i="2"/>
  <c r="AC16" i="2" s="1"/>
  <c r="AC25" i="2"/>
  <c r="AC22" i="2"/>
  <c r="AA8" i="2"/>
  <c r="AC8" i="2" s="1"/>
  <c r="AC26" i="2"/>
  <c r="AC37" i="2"/>
  <c r="AA24" i="2"/>
  <c r="AC24" i="2" s="1"/>
  <c r="AA5" i="2"/>
  <c r="AC5" i="2" s="1"/>
  <c r="AA32" i="2"/>
  <c r="AC32" i="2" s="1"/>
  <c r="C110" i="1"/>
  <c r="C115" i="1" s="1"/>
</calcChain>
</file>

<file path=xl/sharedStrings.xml><?xml version="1.0" encoding="utf-8"?>
<sst xmlns="http://schemas.openxmlformats.org/spreadsheetml/2006/main" count="337" uniqueCount="258">
  <si>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</si>
  <si>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</si>
  <si>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</si>
  <si>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</si>
  <si>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</si>
  <si>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</si>
  <si>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</si>
  <si>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</si>
  <si>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</si>
  <si>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</si>
  <si>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</si>
  <si>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</si>
  <si>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</si>
  <si>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</si>
  <si>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</si>
  <si>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</si>
  <si>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</si>
  <si>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</si>
  <si>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</si>
  <si>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</si>
  <si>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</si>
  <si>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</si>
  <si>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</si>
  <si>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</si>
  <si>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</si>
  <si>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</si>
  <si>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</si>
  <si>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</si>
  <si>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</si>
  <si>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</si>
  <si>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HSFET on-resistance</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</si>
  <si>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</si>
  <si>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</si>
  <si>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</si>
  <si>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</si>
  <si>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</si>
  <si>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</si>
  <si>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</si>
  <si>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</si>
  <si>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</si>
  <si>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</si>
  <si>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</si>
  <si>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</si>
  <si>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</si>
  <si>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</si>
  <si>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Output current limit setting</t>
  </si>
  <si>
    <t>Output current sensing resistor</t>
  </si>
  <si>
    <t>R7</t>
  </si>
  <si>
    <t>R8 recommended</t>
  </si>
  <si>
    <t>VCC</t>
  </si>
  <si>
    <t>R6</t>
  </si>
  <si>
    <t>Ω</t>
  </si>
  <si>
    <t>Mode setting resistor</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</si>
  <si>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</si>
  <si>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</si>
  <si>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</si>
  <si>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</si>
  <si>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</si>
  <si>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</si>
  <si>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</si>
  <si>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</si>
  <si>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</si>
  <si>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</si>
  <si>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</si>
  <si>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</si>
  <si>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</si>
  <si>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</si>
  <si>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</si>
  <si>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</si>
  <si>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</si>
  <si>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</si>
  <si>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</si>
  <si>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</si>
  <si>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</si>
  <si>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</si>
  <si>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</si>
  <si>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</si>
  <si>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</si>
  <si>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</si>
  <si>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</si>
  <si>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</si>
  <si>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</si>
  <si>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</si>
  <si>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</si>
  <si>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</si>
  <si>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</si>
  <si>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&gt;=2.7V</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</si>
  <si>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</si>
  <si>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</si>
  <si>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</si>
  <si>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</si>
  <si>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</si>
  <si>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</si>
  <si>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</si>
  <si>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</si>
  <si>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</si>
  <si>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</si>
  <si>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</si>
  <si>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</si>
  <si>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</si>
  <si>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</si>
  <si>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</si>
  <si>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</si>
  <si>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</si>
  <si>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</si>
  <si>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</si>
  <si>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</si>
  <si>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</si>
  <si>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</si>
  <si>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</si>
  <si>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</si>
  <si>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</si>
  <si>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</si>
  <si>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</si>
  <si>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</si>
  <si>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</si>
  <si>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</si>
  <si>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</si>
  <si>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</si>
  <si>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</si>
  <si>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</si>
  <si>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</si>
  <si>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</si>
  <si>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</si>
  <si>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</si>
  <si>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</si>
  <si>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</si>
  <si>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</si>
  <si>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</si>
  <si>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</si>
  <si>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</si>
  <si>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</si>
  <si>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</si>
  <si>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</si>
  <si>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</si>
  <si>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</si>
  <si>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</si>
  <si>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</si>
  <si>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</si>
  <si>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</si>
  <si>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</si>
  <si>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</si>
  <si>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</si>
  <si>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</si>
  <si>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</si>
  <si>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</si>
  <si>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</si>
  <si>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</si>
  <si>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</si>
  <si>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</si>
  <si>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</si>
  <si>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</si>
  <si>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</si>
  <si>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</si>
  <si>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</si>
  <si>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</si>
  <si>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</si>
  <si>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</si>
  <si>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</si>
  <si>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</si>
  <si>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</si>
  <si>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</si>
  <si>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Enable</t>
  </si>
  <si>
    <t>Calculate open loop compensate at buck mode or boost mode</t>
  </si>
  <si>
    <t>Enable OVP indication</t>
  </si>
  <si>
    <t>Enable OCP indication</t>
  </si>
  <si>
    <t>Enable SCP indication</t>
  </si>
  <si>
    <t>Enable or disable the output short circuit indication</t>
  </si>
  <si>
    <t>Enable or disable the output over current indication</t>
  </si>
  <si>
    <t>Enable or disable the output over voltage indication</t>
  </si>
  <si>
    <t>OCP delay time</t>
  </si>
  <si>
    <t>VOUT change slew rate</t>
  </si>
  <si>
    <t>Set the output current limit response time</t>
  </si>
  <si>
    <t>Set the output voltage change slew rate during vPPS</t>
  </si>
  <si>
    <t>ms</t>
  </si>
  <si>
    <t>V/ms</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</si>
  <si>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</si>
  <si>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</si>
  <si>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</si>
  <si>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</si>
  <si>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</si>
  <si>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</si>
  <si>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</si>
  <si>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</si>
  <si>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</si>
  <si>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</si>
  <si>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</si>
  <si>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</si>
  <si>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</si>
  <si>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</si>
  <si>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</si>
  <si>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</si>
  <si>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</si>
  <si>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</si>
  <si>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</si>
  <si>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</si>
  <si>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</si>
  <si>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</si>
  <si>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</si>
  <si>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LSFET on-resistance in TPS55288 is 7.1mΩ at 25°C. Temperature coefficient is 0.4%/°C. Correct it when at high Tj</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</si>
  <si>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</si>
  <si>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</si>
  <si>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</si>
  <si>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</si>
  <si>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</si>
  <si>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</si>
  <si>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</si>
  <si>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</si>
  <si>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</si>
  <si>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</si>
  <si>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</si>
  <si>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</si>
  <si>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</si>
  <si>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</si>
  <si>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</si>
  <si>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</si>
  <si>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</si>
  <si>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t>HSFET on-resistance in TPS55288 is 7.6m</t>
    </r>
    <r>
      <rPr>
        <sz val="10"/>
        <rFont val="Arial"/>
        <family val="2"/>
      </rPr>
      <t>Ω at 25°C. Temperature coefficient is 0.4%/°C. Correct it when at high Tj</t>
    </r>
  </si>
  <si>
    <r>
      <rPr>
        <sz val="10"/>
        <rFont val="Arial"/>
        <family val="2"/>
      </rPr>
      <t>ΘJA</t>
    </r>
  </si>
  <si>
    <r>
      <t>TPS55288 junction to ambient thermal resistance on EVM. The actual ΘJA depends on the PCB d</t>
    </r>
    <r>
      <rPr>
        <sz val="10"/>
        <rFont val="Arial"/>
        <family val="2"/>
      </rPr>
      <t xml:space="preserve">esign. </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</si>
  <si>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</si>
  <si>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</si>
  <si>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</si>
  <si>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Power loss on TPS55288</t>
  </si>
  <si>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</si>
  <si>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</si>
  <si>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</si>
  <si>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</si>
  <si>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</si>
  <si>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r>
      <t xml:space="preserve">Desired typical average inductor current limit. </t>
    </r>
    <r>
      <rPr>
        <sz val="10"/>
        <rFont val="Calibri"/>
        <family val="2"/>
      </rPr>
      <t>±2.5A tolerance</t>
    </r>
  </si>
  <si>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</si>
  <si>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</si>
  <si>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</si>
  <si>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</si>
  <si>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</si>
  <si>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</si>
  <si>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</si>
  <si>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</si>
  <si>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</si>
  <si>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</si>
  <si>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</si>
  <si>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Must be lower than or equal to the 1.063x Vout(max)</t>
  </si>
  <si>
    <t>Buck HSFET Pd</t>
  </si>
  <si>
    <t>Buck LSFET Pd</t>
  </si>
  <si>
    <t>Power loss on buck high side FET</t>
  </si>
  <si>
    <t>Power loss on buck low side FET</t>
  </si>
  <si>
    <t>Buck HSFET Coss</t>
  </si>
  <si>
    <t>HSFET output capacitance when VDS=VIN</t>
  </si>
  <si>
    <t>Core and AC loss of inductor. Use inductor vendor's formula to estimate. 344mW is the power loss of XAL1010-472 running at 400kHz with Ilrms=5.21A and Ilripple=2.55A at 400kHz.</t>
  </si>
  <si>
    <t>The lower zero of the Cout's ESR zero and boost right half plane zero should be cancelled by the R3*(C6*C7/(C6+C7)) pole.</t>
  </si>
  <si>
    <t>TI Information - Selective Disclosure. You may not use the Program in non-TI devices.</t>
  </si>
  <si>
    <t>APFM</t>
  </si>
  <si>
    <t>TPS552882 Pd</t>
  </si>
  <si>
    <t>TPS552882 temperature rise</t>
  </si>
  <si>
    <t>R1 recommended</t>
  </si>
  <si>
    <t>Design Tool for TPS552882</t>
  </si>
  <si>
    <t>V1.0 (12/1/2020)</t>
  </si>
  <si>
    <t>This tool is designed to aid the user in designing the TPS552882 buck-boost converter. Refer to TPS552882 datasheet for detail design precedure and all equations.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</si>
</sst>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2">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170">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applyBorder="1"/>
    <xf numFmtId="167" fontId="0" fillId="0" borderId="8" xfId="0" applyNumberFormat="1" applyBorder="1"/>
    <xf numFmtId="0" fontId="0" fillId="0" borderId="7" xfId="0" applyFill="1" applyBorder="1"/>
    <xf numFmtId="167" fontId="0" fillId="0" borderId="0" xfId="0" applyNumberFormat="1" applyFill="1" applyBorder="1"/>
    <xf numFmtId="0" fontId="0" fillId="0" borderId="20" xfId="0" applyBorder="1"/>
    <xf numFmtId="167"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6"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2" fontId="0" fillId="4" borderId="1" xfId="0" applyNumberFormat="1" applyFont="1" applyFill="1" applyBorder="1" applyAlignment="1" applyProtection="1">
      <alignment horizontal="right"/>
      <protection locked="0"/>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6"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7" fontId="0" fillId="0" borderId="0" xfId="0" applyNumberFormat="1" applyFont="1" applyProtection="1">
      <protection hidden="1"/>
    </xf>
    <xf numFmtId="2" fontId="0" fillId="0" borderId="0" xfId="0" applyNumberFormat="1" applyFont="1" applyProtection="1">
      <protection hidden="1"/>
    </xf>
    <xf numFmtId="167" fontId="0" fillId="0" borderId="0" xfId="0" applyNumberFormat="1" applyProtection="1">
      <protection hidden="1"/>
    </xf>
    <xf numFmtId="2" fontId="0" fillId="4" borderId="1" xfId="0" applyNumberFormat="1" applyFont="1" applyFill="1" applyBorder="1" applyProtection="1">
      <protection locked="0"/>
    </xf>
    <xf numFmtId="0" fontId="0" fillId="3" borderId="0" xfId="0" applyFill="1" applyBorder="1" applyAlignment="1" applyProtection="1">
      <protection hidden="1"/>
    </xf>
    <xf numFmtId="0" fontId="5" fillId="3" borderId="0" xfId="0" applyFont="1" applyFill="1" applyBorder="1" applyAlignment="1" applyProtection="1">
      <alignment horizontal="center" vertical="center" wrapText="1"/>
      <protection hidden="1"/>
    </xf>
    <xf numFmtId="0" fontId="5" fillId="3" borderId="0" xfId="0" applyFont="1" applyFill="1" applyBorder="1" applyAlignment="1" applyProtection="1">
      <alignment horizontal="center" vertical="center"/>
      <protection hidden="1"/>
    </xf>
    <xf numFmtId="1" fontId="5" fillId="3" borderId="0" xfId="0" applyNumberFormat="1" applyFont="1" applyFill="1" applyBorder="1" applyAlignment="1" applyProtection="1">
      <alignment horizontal="center" vertical="center"/>
      <protection hidden="1"/>
    </xf>
    <xf numFmtId="0" fontId="0" fillId="3" borderId="0" xfId="0" applyFill="1" applyBorder="1" applyAlignment="1" applyProtection="1">
      <alignment horizontal="center" vertical="center" wrapText="1"/>
      <protection hidden="1"/>
    </xf>
    <xf numFmtId="0" fontId="0" fillId="3" borderId="0" xfId="0" applyFont="1" applyFill="1" applyBorder="1" applyAlignment="1" applyProtection="1">
      <alignment horizontal="center" vertical="center" wrapText="1"/>
      <protection hidden="1"/>
    </xf>
    <xf numFmtId="1" fontId="0" fillId="3" borderId="0" xfId="0" applyNumberFormat="1" applyFont="1" applyFill="1" applyBorder="1" applyAlignment="1" applyProtection="1">
      <alignment horizontal="center" vertical="center"/>
      <protection hidden="1"/>
    </xf>
    <xf numFmtId="0" fontId="0" fillId="3" borderId="0" xfId="0" applyFont="1"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3" fillId="3" borderId="0" xfId="0" applyFont="1" applyFill="1" applyBorder="1" applyAlignment="1" applyProtection="1">
      <alignment horizontal="center" vertical="center"/>
      <protection hidden="1"/>
    </xf>
    <xf numFmtId="165" fontId="0" fillId="3" borderId="0" xfId="0" applyNumberFormat="1" applyFont="1" applyFill="1" applyBorder="1" applyAlignment="1" applyProtection="1">
      <alignment horizontal="center" vertical="center"/>
      <protection hidden="1"/>
    </xf>
    <xf numFmtId="0" fontId="0" fillId="3" borderId="0" xfId="0" applyFill="1" applyBorder="1" applyAlignment="1" applyProtection="1">
      <alignment horizontal="center" vertical="center" wrapText="1"/>
      <protection locked="0"/>
    </xf>
    <xf numFmtId="0" fontId="0" fillId="10" borderId="1" xfId="0" applyFont="1" applyFill="1" applyBorder="1" applyProtection="1">
      <protection hidden="1"/>
    </xf>
    <xf numFmtId="0" fontId="0" fillId="3" borderId="0" xfId="0"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0" fillId="3" borderId="0" xfId="0" applyFont="1"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0" fillId="3" borderId="0"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8" fontId="0" fillId="4" borderId="15" xfId="0" applyNumberFormat="1" applyFont="1" applyFill="1" applyBorder="1" applyAlignment="1" applyProtection="1">
      <alignment horizontal="right"/>
      <protection locked="0"/>
    </xf>
    <xf numFmtId="168" fontId="0" fillId="4" borderId="30" xfId="0" applyNumberFormat="1" applyFont="1" applyFill="1" applyBorder="1" applyAlignment="1" applyProtection="1">
      <alignment horizontal="right"/>
      <protection locked="0"/>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2">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43.17948262269632</c:v>
                </c:pt>
                <c:pt idx="1">
                  <c:v>41.17125337595489</c:v>
                </c:pt>
                <c:pt idx="2">
                  <c:v>39.156791213988242</c:v>
                </c:pt>
                <c:pt idx="3">
                  <c:v>37.133437428336734</c:v>
                </c:pt>
                <c:pt idx="4">
                  <c:v>35.097250936593746</c:v>
                </c:pt>
                <c:pt idx="5">
                  <c:v>33.042952307219274</c:v>
                </c:pt>
                <c:pt idx="6">
                  <c:v>30.964382740255587</c:v>
                </c:pt>
                <c:pt idx="7">
                  <c:v>28.856003905352409</c:v>
                </c:pt>
                <c:pt idx="8">
                  <c:v>26.715762752188013</c:v>
                </c:pt>
                <c:pt idx="9">
                  <c:v>24.548564895789276</c:v>
                </c:pt>
                <c:pt idx="10">
                  <c:v>22.367912348228732</c:v>
                </c:pt>
                <c:pt idx="11">
                  <c:v>20.193135440815464</c:v>
                </c:pt>
                <c:pt idx="12">
                  <c:v>18.042994423853582</c:v>
                </c:pt>
                <c:pt idx="13">
                  <c:v>15.930224682727825</c:v>
                </c:pt>
                <c:pt idx="14">
                  <c:v>13.860714006940505</c:v>
                </c:pt>
                <c:pt idx="15">
                  <c:v>11.836719031128199</c:v>
                </c:pt>
                <c:pt idx="16">
                  <c:v>9.8612716782080021</c:v>
                </c:pt>
                <c:pt idx="17">
                  <c:v>7.9418109263003327</c:v>
                </c:pt>
                <c:pt idx="18">
                  <c:v>6.09248858315775</c:v>
                </c:pt>
                <c:pt idx="19">
                  <c:v>4.3348773895804085</c:v>
                </c:pt>
                <c:pt idx="20">
                  <c:v>2.6960730377632443</c:v>
                </c:pt>
                <c:pt idx="21">
                  <c:v>1.2023252773197197</c:v>
                </c:pt>
                <c:pt idx="22">
                  <c:v>-0.13320280174449556</c:v>
                </c:pt>
                <c:pt idx="23">
                  <c:v>-1.3266972438705324</c:v>
                </c:pt>
                <c:pt idx="24">
                  <c:v>-2.437003298078924</c:v>
                </c:pt>
                <c:pt idx="25">
                  <c:v>-3.5670147629121942</c:v>
                </c:pt>
                <c:pt idx="26">
                  <c:v>-4.849639321031983</c:v>
                </c:pt>
                <c:pt idx="27">
                  <c:v>-6.4239675565200036</c:v>
                </c:pt>
                <c:pt idx="28">
                  <c:v>-8.4113974777188272</c:v>
                </c:pt>
                <c:pt idx="29">
                  <c:v>-10.898649615882436</c:v>
                </c:pt>
                <c:pt idx="30">
                  <c:v>-13.930528619055583</c:v>
                </c:pt>
                <c:pt idx="31">
                  <c:v>-17.512508423801723</c:v>
                </c:pt>
                <c:pt idx="32">
                  <c:v>-21.619659098059117</c:v>
                </c:pt>
                <c:pt idx="33">
                  <c:v>-26.206430983175807</c:v>
                </c:pt>
                <c:pt idx="34">
                  <c:v>-31.215202181057194</c:v>
                </c:pt>
                <c:pt idx="35">
                  <c:v>-36.585572815964426</c:v>
                </c:pt>
                <c:pt idx="36">
                  <c:v>-42.265038617469862</c:v>
                </c:pt>
                <c:pt idx="37">
                  <c:v>-48.217908580149839</c:v>
                </c:pt>
                <c:pt idx="38">
                  <c:v>-54.428586009427761</c:v>
                </c:pt>
                <c:pt idx="39">
                  <c:v>-60.897415889057761</c:v>
                </c:pt>
                <c:pt idx="40">
                  <c:v>-67.63009046351975</c:v>
                </c:pt>
              </c:numCache>
            </c:numRef>
          </c:yVal>
          <c:smooth val="1"/>
          <c:extLst>
            <c:ext xmlns:c16="http://schemas.microsoft.com/office/drawing/2014/chart" uri="{C3380CC4-5D6E-409C-BE32-E72D297353CC}">
              <c16:uniqueId val="{00000000-5A99-46F5-9EDF-A2870EB67AB2}"/>
            </c:ext>
          </c:extLst>
        </c:ser>
        <c:dLbls>
          <c:showLegendKey val="0"/>
          <c:showVal val="0"/>
          <c:showCatName val="0"/>
          <c:showSerName val="0"/>
          <c:showPercent val="0"/>
          <c:showBubbleSize val="0"/>
        </c:dLbls>
        <c:axId val="152415616"/>
        <c:axId val="152417792"/>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90.711091985545309</c:v>
                </c:pt>
                <c:pt idx="1">
                  <c:v>90.022396312357131</c:v>
                </c:pt>
                <c:pt idx="2">
                  <c:v>89.344947668909185</c:v>
                </c:pt>
                <c:pt idx="3">
                  <c:v>88.652265287807609</c:v>
                </c:pt>
                <c:pt idx="4">
                  <c:v>87.925218420908806</c:v>
                </c:pt>
                <c:pt idx="5">
                  <c:v>87.156830253284568</c:v>
                </c:pt>
                <c:pt idx="6">
                  <c:v>86.359700074291069</c:v>
                </c:pt>
                <c:pt idx="7">
                  <c:v>85.573883079837955</c:v>
                </c:pt>
                <c:pt idx="8">
                  <c:v>84.86872409509597</c:v>
                </c:pt>
                <c:pt idx="9">
                  <c:v>84.328861842256316</c:v>
                </c:pt>
                <c:pt idx="10">
                  <c:v>84.020787959000145</c:v>
                </c:pt>
                <c:pt idx="11">
                  <c:v>83.955313595818581</c:v>
                </c:pt>
                <c:pt idx="12">
                  <c:v>84.07413575444599</c:v>
                </c:pt>
                <c:pt idx="13">
                  <c:v>84.271378252306278</c:v>
                </c:pt>
                <c:pt idx="14">
                  <c:v>84.429643098136609</c:v>
                </c:pt>
                <c:pt idx="15">
                  <c:v>84.443101894162041</c:v>
                </c:pt>
                <c:pt idx="16">
                  <c:v>84.21783726995551</c:v>
                </c:pt>
                <c:pt idx="17">
                  <c:v>83.654472525726334</c:v>
                </c:pt>
                <c:pt idx="18">
                  <c:v>82.619330166388721</c:v>
                </c:pt>
                <c:pt idx="19">
                  <c:v>80.905936072023849</c:v>
                </c:pt>
                <c:pt idx="20">
                  <c:v>78.187904777127244</c:v>
                </c:pt>
                <c:pt idx="21">
                  <c:v>73.972174586932866</c:v>
                </c:pt>
                <c:pt idx="22">
                  <c:v>67.578250194842695</c:v>
                </c:pt>
                <c:pt idx="23">
                  <c:v>58.18333475339638</c:v>
                </c:pt>
                <c:pt idx="24">
                  <c:v>44.961594750473367</c:v>
                </c:pt>
                <c:pt idx="25">
                  <c:v>27.297200860376037</c:v>
                </c:pt>
                <c:pt idx="26">
                  <c:v>4.9951706941804019</c:v>
                </c:pt>
                <c:pt idx="27">
                  <c:v>-21.602534590508206</c:v>
                </c:pt>
                <c:pt idx="28">
                  <c:v>-51.657457699777709</c:v>
                </c:pt>
                <c:pt idx="29">
                  <c:v>-84.035541783347924</c:v>
                </c:pt>
                <c:pt idx="30">
                  <c:v>-117.59976098440255</c:v>
                </c:pt>
                <c:pt idx="31">
                  <c:v>-151.47302912132898</c:v>
                </c:pt>
                <c:pt idx="32">
                  <c:v>-185.17753868744379</c:v>
                </c:pt>
                <c:pt idx="33">
                  <c:v>-218.65395570947339</c:v>
                </c:pt>
                <c:pt idx="34">
                  <c:v>-252.23018498451964</c:v>
                </c:pt>
                <c:pt idx="35">
                  <c:v>-286.58990527997815</c:v>
                </c:pt>
                <c:pt idx="36">
                  <c:v>-322.74271637454621</c:v>
                </c:pt>
                <c:pt idx="37">
                  <c:v>-339.21849794846366</c:v>
                </c:pt>
                <c:pt idx="38">
                  <c:v>-353.89795881682858</c:v>
                </c:pt>
                <c:pt idx="39">
                  <c:v>-367.42732481154519</c:v>
                </c:pt>
                <c:pt idx="40">
                  <c:v>-379.89032984132115</c:v>
                </c:pt>
              </c:numCache>
            </c:numRef>
          </c:yVal>
          <c:smooth val="1"/>
          <c:extLst>
            <c:ext xmlns:c16="http://schemas.microsoft.com/office/drawing/2014/chart" uri="{C3380CC4-5D6E-409C-BE32-E72D297353CC}">
              <c16:uniqueId val="{00000001-5A99-46F5-9EDF-A2870EB67AB2}"/>
            </c:ext>
          </c:extLst>
        </c:ser>
        <c:dLbls>
          <c:showLegendKey val="0"/>
          <c:showVal val="0"/>
          <c:showCatName val="0"/>
          <c:showSerName val="0"/>
          <c:showPercent val="0"/>
          <c:showBubbleSize val="0"/>
        </c:dLbls>
        <c:axId val="153159168"/>
        <c:axId val="152419712"/>
      </c:scatterChart>
      <c:valAx>
        <c:axId val="152415616"/>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52417792"/>
        <c:crossesAt val="-40"/>
        <c:crossBetween val="midCat"/>
      </c:valAx>
      <c:valAx>
        <c:axId val="152417792"/>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52415616"/>
        <c:crossesAt val="100"/>
        <c:crossBetween val="midCat"/>
        <c:majorUnit val="5"/>
      </c:valAx>
      <c:valAx>
        <c:axId val="152419712"/>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53159168"/>
        <c:crosses val="max"/>
        <c:crossBetween val="midCat"/>
        <c:majorUnit val="15"/>
      </c:valAx>
      <c:valAx>
        <c:axId val="153159168"/>
        <c:scaling>
          <c:logBase val="10"/>
          <c:orientation val="minMax"/>
        </c:scaling>
        <c:delete val="1"/>
        <c:axPos val="b"/>
        <c:numFmt formatCode="#,##0" sourceLinked="1"/>
        <c:majorTickMark val="out"/>
        <c:minorTickMark val="none"/>
        <c:tickLblPos val="nextTo"/>
        <c:crossAx val="152419712"/>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64</xdr:row>
      <xdr:rowOff>35924</xdr:rowOff>
    </xdr:from>
    <xdr:to>
      <xdr:col>15</xdr:col>
      <xdr:colOff>524691</xdr:colOff>
      <xdr:row>95</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24315" y="12044751"/>
          <a:ext cx="6747049" cy="5298662"/>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5</xdr:col>
          <xdr:colOff>247650</xdr:colOff>
          <xdr:row>13</xdr:row>
          <xdr:rowOff>104775</xdr:rowOff>
        </xdr:from>
        <xdr:to>
          <xdr:col>15</xdr:col>
          <xdr:colOff>428625</xdr:colOff>
          <xdr:row>28</xdr:row>
          <xdr:rowOff>123825</xdr:rowOff>
        </xdr:to>
        <xdr:sp macro="" textlink="">
          <xdr:nvSpPr>
            <xdr:cNvPr id="1210" name="Object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2"/>
  <sheetViews>
    <sheetView tabSelected="1" topLeftCell="A59" zoomScale="130" zoomScaleNormal="130" workbookViewId="0">
      <selection activeCell="C74" sqref="C74"/>
    </sheetView>
  </sheetViews>
  <sheetFormatPr defaultColWidth="8.85546875" defaultRowHeight="12.75"/>
  <cols>
    <col min="1" max="1" width="2.5703125" style="104" customWidth="1"/>
    <col min="2" max="2" width="24" style="105" customWidth="1"/>
    <col min="3" max="3" width="13.42578125" style="105" customWidth="1"/>
    <col min="4" max="4" width="6.5703125" style="105" customWidth="1"/>
    <col min="5" max="5" width="53.85546875" style="105" customWidth="1"/>
    <col min="6" max="6" width="9.42578125" style="67" customWidth="1"/>
    <col min="7" max="10" width="8.85546875" style="67" customWidth="1"/>
    <col min="11" max="11" width="8.85546875" style="57" customWidth="1"/>
    <col min="12" max="13" width="8.85546875" style="67"/>
    <col min="14" max="14" width="13.140625" style="67" bestFit="1" customWidth="1"/>
    <col min="15" max="16" width="8.85546875" style="67"/>
    <col min="17" max="17" width="2.5703125" style="67" customWidth="1"/>
    <col min="18" max="19" width="8.85546875" style="67"/>
    <col min="20" max="20" width="8.85546875" style="67" customWidth="1"/>
    <col min="21" max="16384" width="8.85546875" style="67"/>
  </cols>
  <sheetData>
    <row r="1" spans="1:17" s="57" customFormat="1" ht="13.5" thickBot="1">
      <c r="A1" s="53"/>
      <c r="B1" s="54"/>
      <c r="C1" s="54"/>
      <c r="D1" s="54"/>
      <c r="E1" s="54"/>
      <c r="F1" s="55"/>
      <c r="G1" s="55"/>
      <c r="H1" s="55"/>
      <c r="I1" s="55"/>
      <c r="J1" s="56"/>
      <c r="K1" s="56"/>
      <c r="L1" s="56"/>
      <c r="M1" s="56"/>
      <c r="N1" s="56"/>
      <c r="O1" s="56"/>
      <c r="P1" s="56"/>
      <c r="Q1" s="56"/>
    </row>
    <row r="2" spans="1:17" s="57" customFormat="1" ht="16.5" thickTop="1">
      <c r="A2" s="53"/>
      <c r="B2" s="148" t="s">
        <v>255</v>
      </c>
      <c r="C2" s="149"/>
      <c r="D2" s="149"/>
      <c r="E2" s="149"/>
      <c r="F2" s="149"/>
      <c r="G2" s="149"/>
      <c r="H2" s="149"/>
      <c r="I2" s="149"/>
      <c r="J2" s="149"/>
      <c r="K2" s="149"/>
      <c r="L2" s="149"/>
      <c r="M2" s="149"/>
      <c r="N2" s="149"/>
      <c r="O2" s="149"/>
      <c r="P2" s="150"/>
      <c r="Q2" s="56"/>
    </row>
    <row r="3" spans="1:17" s="57" customFormat="1">
      <c r="A3" s="53"/>
      <c r="B3" s="151" t="s">
        <v>256</v>
      </c>
      <c r="C3" s="152"/>
      <c r="D3" s="152"/>
      <c r="E3" s="152"/>
      <c r="F3" s="152"/>
      <c r="G3" s="152"/>
      <c r="H3" s="152"/>
      <c r="I3" s="152"/>
      <c r="J3" s="152"/>
      <c r="K3" s="152"/>
      <c r="L3" s="152"/>
      <c r="M3" s="152"/>
      <c r="N3" s="152"/>
      <c r="O3" s="152"/>
      <c r="P3" s="153"/>
      <c r="Q3" s="56"/>
    </row>
    <row r="4" spans="1:17" s="57" customFormat="1">
      <c r="A4" s="53"/>
      <c r="B4" s="151"/>
      <c r="C4" s="152"/>
      <c r="D4" s="152"/>
      <c r="E4" s="152"/>
      <c r="F4" s="152"/>
      <c r="G4" s="152"/>
      <c r="H4" s="152"/>
      <c r="I4" s="152"/>
      <c r="J4" s="152"/>
      <c r="K4" s="152"/>
      <c r="L4" s="152"/>
      <c r="M4" s="152"/>
      <c r="N4" s="152"/>
      <c r="O4" s="152"/>
      <c r="P4" s="153"/>
      <c r="Q4" s="56"/>
    </row>
    <row r="5" spans="1:17" s="57" customFormat="1">
      <c r="A5" s="53"/>
      <c r="B5" s="58"/>
      <c r="C5" s="59"/>
      <c r="D5" s="59"/>
      <c r="E5" s="59"/>
      <c r="F5" s="60"/>
      <c r="G5" s="60"/>
      <c r="H5" s="60"/>
      <c r="I5" s="60"/>
      <c r="J5" s="60"/>
      <c r="K5" s="61"/>
      <c r="L5" s="61"/>
      <c r="M5" s="61"/>
      <c r="N5" s="61"/>
      <c r="O5" s="61"/>
      <c r="P5" s="62"/>
      <c r="Q5" s="56"/>
    </row>
    <row r="6" spans="1:17" s="57" customFormat="1" ht="13.35" customHeight="1">
      <c r="A6" s="53"/>
      <c r="B6" s="154" t="s">
        <v>257</v>
      </c>
      <c r="C6" s="155"/>
      <c r="D6" s="155"/>
      <c r="E6" s="155"/>
      <c r="F6" s="155"/>
      <c r="G6" s="155"/>
      <c r="H6" s="155"/>
      <c r="I6" s="155"/>
      <c r="J6" s="155"/>
      <c r="K6" s="155"/>
      <c r="L6" s="155"/>
      <c r="M6" s="155"/>
      <c r="N6" s="155"/>
      <c r="O6" s="155"/>
      <c r="P6" s="156"/>
      <c r="Q6" s="56"/>
    </row>
    <row r="7" spans="1:17" s="57" customFormat="1">
      <c r="A7" s="53"/>
      <c r="B7" s="146"/>
      <c r="C7" s="147"/>
      <c r="D7" s="147"/>
      <c r="E7" s="147"/>
      <c r="F7" s="147"/>
      <c r="G7" s="147"/>
      <c r="H7" s="147"/>
      <c r="I7" s="147"/>
      <c r="J7" s="147"/>
      <c r="K7" s="61"/>
      <c r="L7" s="61"/>
      <c r="M7" s="61"/>
      <c r="N7" s="61"/>
      <c r="O7" s="61"/>
      <c r="P7" s="62"/>
      <c r="Q7" s="56"/>
    </row>
    <row r="8" spans="1:17" ht="15.75">
      <c r="A8" s="53"/>
      <c r="B8" s="63"/>
      <c r="C8" s="64"/>
      <c r="D8" s="65" t="s">
        <v>84</v>
      </c>
      <c r="E8" s="66"/>
      <c r="F8" s="61"/>
      <c r="G8" s="61"/>
      <c r="H8" s="61"/>
      <c r="I8" s="61"/>
      <c r="J8" s="61"/>
      <c r="K8" s="61"/>
      <c r="L8" s="61"/>
      <c r="M8" s="61"/>
      <c r="N8" s="61"/>
      <c r="O8" s="61"/>
      <c r="P8" s="62"/>
      <c r="Q8" s="56"/>
    </row>
    <row r="9" spans="1:17" ht="15.75">
      <c r="A9" s="53"/>
      <c r="B9" s="63"/>
      <c r="C9" s="68"/>
      <c r="D9" s="65" t="s">
        <v>44</v>
      </c>
      <c r="E9" s="66"/>
      <c r="F9" s="61"/>
      <c r="G9" s="61"/>
      <c r="H9" s="61"/>
      <c r="I9" s="61"/>
      <c r="J9" s="61"/>
      <c r="K9" s="61"/>
      <c r="L9" s="61"/>
      <c r="M9" s="61"/>
      <c r="N9" s="61"/>
      <c r="O9" s="61"/>
      <c r="P9" s="62"/>
      <c r="Q9" s="56"/>
    </row>
    <row r="10" spans="1:17" ht="15">
      <c r="A10" s="53"/>
      <c r="B10" s="63"/>
      <c r="C10" s="69"/>
      <c r="D10" s="65" t="s">
        <v>43</v>
      </c>
      <c r="E10" s="70"/>
      <c r="F10" s="61"/>
      <c r="G10" s="61"/>
      <c r="H10" s="61"/>
      <c r="I10" s="61"/>
      <c r="J10" s="61"/>
      <c r="K10" s="61"/>
      <c r="L10" s="61"/>
      <c r="M10" s="61"/>
      <c r="N10" s="61"/>
      <c r="O10" s="61"/>
      <c r="P10" s="62"/>
      <c r="Q10" s="56"/>
    </row>
    <row r="11" spans="1:17" ht="15">
      <c r="A11" s="53"/>
      <c r="B11" s="63"/>
      <c r="C11" s="70"/>
      <c r="D11" s="65"/>
      <c r="E11" s="70"/>
      <c r="F11" s="61"/>
      <c r="G11" s="61"/>
      <c r="H11" s="61"/>
      <c r="I11" s="61"/>
      <c r="J11" s="61"/>
      <c r="K11" s="61"/>
      <c r="L11" s="61"/>
      <c r="M11" s="61"/>
      <c r="N11" s="61"/>
      <c r="O11" s="61"/>
      <c r="P11" s="62"/>
      <c r="Q11" s="56"/>
    </row>
    <row r="12" spans="1:17">
      <c r="A12" s="53"/>
      <c r="B12" s="71" t="s">
        <v>25</v>
      </c>
      <c r="C12" s="72" t="s">
        <v>24</v>
      </c>
      <c r="D12" s="72" t="s">
        <v>23</v>
      </c>
      <c r="E12" s="72" t="s">
        <v>26</v>
      </c>
      <c r="F12" s="157" t="s">
        <v>41</v>
      </c>
      <c r="G12" s="157"/>
      <c r="H12" s="157"/>
      <c r="I12" s="157"/>
      <c r="J12" s="157"/>
      <c r="K12" s="157"/>
      <c r="L12" s="157"/>
      <c r="M12" s="157"/>
      <c r="N12" s="157"/>
      <c r="O12" s="157"/>
      <c r="P12" s="158"/>
      <c r="Q12" s="56"/>
    </row>
    <row r="13" spans="1:17">
      <c r="A13" s="53"/>
      <c r="B13" s="159" t="s">
        <v>42</v>
      </c>
      <c r="C13" s="157"/>
      <c r="D13" s="157"/>
      <c r="E13" s="157"/>
      <c r="F13" s="73"/>
      <c r="G13" s="74"/>
      <c r="H13" s="74"/>
      <c r="I13" s="74"/>
      <c r="J13" s="74"/>
      <c r="K13" s="74"/>
      <c r="L13" s="74"/>
      <c r="M13" s="74"/>
      <c r="N13" s="74"/>
      <c r="O13" s="74"/>
      <c r="P13" s="75"/>
      <c r="Q13" s="56"/>
    </row>
    <row r="14" spans="1:17">
      <c r="A14" s="53"/>
      <c r="B14" s="76" t="s">
        <v>12</v>
      </c>
      <c r="C14" s="33">
        <v>2.8</v>
      </c>
      <c r="D14" s="77" t="s">
        <v>3</v>
      </c>
      <c r="E14" s="78" t="s">
        <v>86</v>
      </c>
      <c r="F14" s="61"/>
      <c r="G14" s="61"/>
      <c r="H14" s="61"/>
      <c r="I14" s="61"/>
      <c r="J14" s="61"/>
      <c r="K14" s="61"/>
      <c r="L14" s="61"/>
      <c r="M14" s="61"/>
      <c r="N14" s="61"/>
      <c r="O14" s="61"/>
      <c r="P14" s="62"/>
      <c r="Q14" s="56"/>
    </row>
    <row r="15" spans="1:17">
      <c r="A15" s="53"/>
      <c r="B15" s="76" t="s">
        <v>13</v>
      </c>
      <c r="C15" s="33">
        <v>4.2</v>
      </c>
      <c r="D15" s="77" t="s">
        <v>3</v>
      </c>
      <c r="E15" s="78" t="s">
        <v>34</v>
      </c>
      <c r="F15" s="61"/>
      <c r="G15" s="61"/>
      <c r="H15" s="61"/>
      <c r="I15" s="61"/>
      <c r="J15" s="61"/>
      <c r="K15" s="61"/>
      <c r="L15" s="61"/>
      <c r="M15" s="61"/>
      <c r="N15" s="61"/>
      <c r="O15" s="61"/>
      <c r="P15" s="62"/>
      <c r="Q15" s="56"/>
    </row>
    <row r="16" spans="1:17">
      <c r="A16" s="53"/>
      <c r="B16" s="76" t="s">
        <v>31</v>
      </c>
      <c r="C16" s="109">
        <v>3.3</v>
      </c>
      <c r="D16" s="77" t="s">
        <v>3</v>
      </c>
      <c r="E16" s="78" t="s">
        <v>241</v>
      </c>
      <c r="F16" s="61"/>
      <c r="G16" s="61"/>
      <c r="H16" s="61"/>
      <c r="I16" s="61"/>
      <c r="J16" s="61"/>
      <c r="K16" s="61"/>
      <c r="L16" s="61"/>
      <c r="M16" s="61"/>
      <c r="N16" s="61"/>
      <c r="O16" s="61"/>
      <c r="P16" s="62"/>
      <c r="Q16" s="56"/>
    </row>
    <row r="17" spans="1:17">
      <c r="A17" s="53"/>
      <c r="B17" s="76" t="s">
        <v>57</v>
      </c>
      <c r="C17" s="33">
        <v>4</v>
      </c>
      <c r="D17" s="77" t="s">
        <v>4</v>
      </c>
      <c r="E17" s="78" t="s">
        <v>79</v>
      </c>
      <c r="F17" s="61"/>
      <c r="G17" s="61"/>
      <c r="H17" s="61"/>
      <c r="I17" s="61"/>
      <c r="J17" s="61"/>
      <c r="K17" s="61"/>
      <c r="L17" s="61"/>
      <c r="M17" s="61"/>
      <c r="N17" s="61"/>
      <c r="O17" s="61"/>
      <c r="P17" s="62"/>
      <c r="Q17" s="56"/>
    </row>
    <row r="18" spans="1:17">
      <c r="A18" s="53"/>
      <c r="B18" s="76" t="s">
        <v>49</v>
      </c>
      <c r="C18" s="34" t="s">
        <v>39</v>
      </c>
      <c r="D18" s="77"/>
      <c r="E18" s="78" t="s">
        <v>85</v>
      </c>
      <c r="F18" s="61"/>
      <c r="G18" s="61"/>
      <c r="H18" s="61"/>
      <c r="I18" s="61"/>
      <c r="J18" s="61"/>
      <c r="K18" s="61"/>
      <c r="L18" s="61"/>
      <c r="M18" s="61"/>
      <c r="N18" s="61"/>
      <c r="O18" s="61"/>
      <c r="P18" s="62"/>
      <c r="Q18" s="56"/>
    </row>
    <row r="19" spans="1:17">
      <c r="A19" s="53"/>
      <c r="B19" s="76" t="s">
        <v>83</v>
      </c>
      <c r="C19" s="34" t="s">
        <v>251</v>
      </c>
      <c r="D19" s="77"/>
      <c r="E19" s="78" t="s">
        <v>87</v>
      </c>
      <c r="F19" s="61"/>
      <c r="G19" s="61"/>
      <c r="H19" s="61"/>
      <c r="I19" s="61"/>
      <c r="J19" s="61"/>
      <c r="K19" s="61"/>
      <c r="L19" s="61"/>
      <c r="M19" s="61"/>
      <c r="N19" s="61"/>
      <c r="O19" s="61"/>
      <c r="P19" s="62"/>
      <c r="Q19" s="56"/>
    </row>
    <row r="20" spans="1:17">
      <c r="A20" s="53"/>
      <c r="B20" s="79" t="s">
        <v>50</v>
      </c>
      <c r="C20" s="35">
        <f>IF((C18="Internal")*(C19="FPWM"),0,IF((C18="Internal")*(C19="APFM"),24900,IF((C18="External")*(C19="FPWM"),51100,IF((C18="external")*(C19="FPWM"),10500,"floating"))))</f>
        <v>24900</v>
      </c>
      <c r="D20" s="77" t="s">
        <v>51</v>
      </c>
      <c r="E20" s="78" t="s">
        <v>52</v>
      </c>
      <c r="F20" s="61"/>
      <c r="G20" s="61"/>
      <c r="H20" s="61"/>
      <c r="I20" s="61"/>
      <c r="J20" s="61"/>
      <c r="K20" s="61"/>
      <c r="L20" s="61"/>
      <c r="M20" s="61"/>
      <c r="N20" s="61"/>
      <c r="O20" s="61"/>
      <c r="P20" s="62"/>
      <c r="Q20" s="56"/>
    </row>
    <row r="21" spans="1:17" ht="25.5">
      <c r="A21" s="53"/>
      <c r="B21" s="76" t="s">
        <v>47</v>
      </c>
      <c r="C21" s="36">
        <v>100000</v>
      </c>
      <c r="D21" s="77" t="s">
        <v>28</v>
      </c>
      <c r="E21" s="78" t="s">
        <v>213</v>
      </c>
      <c r="F21" s="61"/>
      <c r="G21" s="61"/>
      <c r="H21" s="61"/>
      <c r="I21" s="61"/>
      <c r="J21" s="61"/>
      <c r="K21" s="61"/>
      <c r="L21" s="61"/>
      <c r="M21" s="61"/>
      <c r="N21" s="61"/>
      <c r="O21" s="61"/>
      <c r="P21" s="62"/>
      <c r="Q21" s="56"/>
    </row>
    <row r="22" spans="1:17">
      <c r="A22" s="53"/>
      <c r="B22" s="79" t="s">
        <v>48</v>
      </c>
      <c r="C22" s="37">
        <f>R_7/(Vout/1.2-1)</f>
        <v>57142.857142857145</v>
      </c>
      <c r="D22" s="77" t="s">
        <v>28</v>
      </c>
      <c r="E22" s="78" t="s">
        <v>187</v>
      </c>
      <c r="F22" s="61"/>
      <c r="G22" s="61"/>
      <c r="H22" s="61"/>
      <c r="I22" s="61"/>
      <c r="J22" s="61"/>
      <c r="K22" s="61"/>
      <c r="L22" s="61"/>
      <c r="M22" s="61"/>
      <c r="N22" s="61"/>
      <c r="O22" s="61"/>
      <c r="P22" s="62"/>
      <c r="Q22" s="56"/>
    </row>
    <row r="23" spans="1:17">
      <c r="A23" s="53"/>
      <c r="B23" s="76" t="s">
        <v>78</v>
      </c>
      <c r="C23" s="33">
        <v>4</v>
      </c>
      <c r="D23" s="77" t="s">
        <v>4</v>
      </c>
      <c r="E23" s="78" t="s">
        <v>45</v>
      </c>
      <c r="F23" s="61"/>
      <c r="G23" s="61"/>
      <c r="H23" s="61"/>
      <c r="I23" s="61"/>
      <c r="J23" s="61"/>
      <c r="K23" s="61"/>
      <c r="L23" s="61"/>
      <c r="M23" s="61"/>
      <c r="N23" s="61"/>
      <c r="O23" s="61"/>
      <c r="P23" s="62"/>
      <c r="Q23" s="56"/>
    </row>
    <row r="24" spans="1:17">
      <c r="A24" s="53"/>
      <c r="B24" s="79" t="s">
        <v>254</v>
      </c>
      <c r="C24" s="122">
        <f>50/Iout_limit</f>
        <v>12.5</v>
      </c>
      <c r="D24" s="77" t="s">
        <v>214</v>
      </c>
      <c r="E24" s="78" t="s">
        <v>46</v>
      </c>
      <c r="F24" s="61"/>
      <c r="G24" s="61"/>
      <c r="H24" s="61"/>
      <c r="I24" s="61"/>
      <c r="J24" s="61"/>
      <c r="K24" s="61"/>
      <c r="L24" s="61"/>
      <c r="M24" s="61"/>
      <c r="N24" s="61"/>
      <c r="O24" s="61"/>
      <c r="P24" s="62"/>
      <c r="Q24" s="56"/>
    </row>
    <row r="25" spans="1:17" ht="25.5">
      <c r="A25" s="53"/>
      <c r="B25" s="76" t="s">
        <v>221</v>
      </c>
      <c r="C25" s="38">
        <f>IF((Vout&gt;Vin_min), SQRT((Vout-Vin_min)/Vin_min)*Ioutmax, 1/SQRT(12)*Vout*(1-Vout/Vin_max)/L/fsw)</f>
        <v>1.6903085094570331</v>
      </c>
      <c r="D25" s="77" t="s">
        <v>19</v>
      </c>
      <c r="E25" s="78" t="s">
        <v>22</v>
      </c>
      <c r="F25" s="61"/>
      <c r="G25" s="61"/>
      <c r="H25" s="61"/>
      <c r="I25" s="61"/>
      <c r="J25" s="61"/>
      <c r="K25" s="61"/>
      <c r="L25" s="61"/>
      <c r="M25" s="61"/>
      <c r="N25" s="61"/>
      <c r="O25" s="61"/>
      <c r="P25" s="62"/>
      <c r="Q25" s="56"/>
    </row>
    <row r="26" spans="1:17" ht="25.5">
      <c r="A26" s="53"/>
      <c r="B26" s="76" t="s">
        <v>215</v>
      </c>
      <c r="C26" s="38">
        <f>IF((Vin_max&gt;Vout), IF(Vin_max&lt;(2*Vout), Ioutmax*SQRT(Vout*(Vin_max-Vout)/Vin_max/Vin_max), Ioutmax/2), IF(Vin_min&gt;Vout/2, 1/SQRT(12)*Vin_min*(1-Vin_min/Vout)/L/fsw, 1/SQRT(12)*Vout/4/L/fsw))</f>
        <v>1.6413036132965799</v>
      </c>
      <c r="D26" s="77" t="s">
        <v>19</v>
      </c>
      <c r="E26" s="78" t="s">
        <v>37</v>
      </c>
      <c r="F26" s="61"/>
      <c r="G26" s="61"/>
      <c r="H26" s="61"/>
      <c r="I26" s="61"/>
      <c r="J26" s="61"/>
      <c r="K26" s="61"/>
      <c r="L26" s="61"/>
      <c r="M26" s="61"/>
      <c r="N26" s="61"/>
      <c r="O26" s="61"/>
      <c r="P26" s="62"/>
      <c r="Q26" s="56"/>
    </row>
    <row r="27" spans="1:17">
      <c r="A27" s="53"/>
      <c r="B27" s="76" t="s">
        <v>2</v>
      </c>
      <c r="C27" s="39">
        <v>400000</v>
      </c>
      <c r="D27" s="77" t="s">
        <v>6</v>
      </c>
      <c r="E27" s="78" t="s">
        <v>16</v>
      </c>
      <c r="F27" s="61"/>
      <c r="G27" s="61"/>
      <c r="H27" s="61"/>
      <c r="I27" s="61"/>
      <c r="J27" s="61"/>
      <c r="K27" s="61"/>
      <c r="L27" s="61"/>
      <c r="M27" s="61"/>
      <c r="N27" s="61"/>
      <c r="O27" s="61"/>
      <c r="P27" s="62"/>
      <c r="Q27" s="56"/>
    </row>
    <row r="28" spans="1:17">
      <c r="A28" s="53"/>
      <c r="B28" s="79" t="s">
        <v>36</v>
      </c>
      <c r="C28" s="40">
        <f>(10^9/fsw-20)/0.05-250</f>
        <v>49350</v>
      </c>
      <c r="D28" s="77" t="s">
        <v>28</v>
      </c>
      <c r="E28" s="78" t="s">
        <v>35</v>
      </c>
      <c r="F28" s="61"/>
      <c r="G28" s="61"/>
      <c r="H28" s="61"/>
      <c r="I28" s="61"/>
      <c r="J28" s="61"/>
      <c r="K28" s="61"/>
      <c r="L28" s="61"/>
      <c r="M28" s="61"/>
      <c r="N28" s="61"/>
      <c r="O28" s="61"/>
      <c r="P28" s="62"/>
      <c r="Q28" s="56"/>
    </row>
    <row r="29" spans="1:17">
      <c r="A29" s="53"/>
      <c r="B29" s="76" t="s">
        <v>80</v>
      </c>
      <c r="C29" s="39">
        <v>500</v>
      </c>
      <c r="D29" s="77" t="s">
        <v>6</v>
      </c>
      <c r="E29" s="78" t="s">
        <v>81</v>
      </c>
      <c r="F29" s="61"/>
      <c r="G29" s="61"/>
      <c r="H29" s="61"/>
      <c r="I29" s="61"/>
      <c r="J29" s="61"/>
      <c r="K29" s="61"/>
      <c r="L29" s="61"/>
      <c r="M29" s="61"/>
      <c r="N29" s="61"/>
      <c r="O29" s="61"/>
      <c r="P29" s="62"/>
      <c r="Q29" s="56"/>
    </row>
    <row r="30" spans="1:17">
      <c r="A30" s="53"/>
      <c r="B30" s="79" t="s">
        <v>82</v>
      </c>
      <c r="C30" s="41">
        <f>1/2.8/C28/C29</f>
        <v>1.4473874656245477E-8</v>
      </c>
      <c r="D30" s="77" t="s">
        <v>9</v>
      </c>
      <c r="E30" s="78"/>
      <c r="F30" s="61"/>
      <c r="G30" s="61"/>
      <c r="H30" s="61"/>
      <c r="I30" s="61"/>
      <c r="J30" s="61"/>
      <c r="K30" s="61"/>
      <c r="L30" s="61"/>
      <c r="M30" s="61"/>
      <c r="N30" s="61"/>
      <c r="O30" s="61"/>
      <c r="P30" s="62"/>
      <c r="Q30" s="56"/>
    </row>
    <row r="31" spans="1:17" ht="25.5">
      <c r="A31" s="53"/>
      <c r="B31" s="76" t="s">
        <v>222</v>
      </c>
      <c r="C31" s="42">
        <v>0.05</v>
      </c>
      <c r="D31" s="77" t="s">
        <v>20</v>
      </c>
      <c r="E31" s="78" t="s">
        <v>203</v>
      </c>
      <c r="F31" s="164"/>
      <c r="G31" s="161"/>
      <c r="H31" s="161"/>
      <c r="I31" s="161"/>
      <c r="J31" s="161"/>
      <c r="K31" s="161"/>
      <c r="L31" s="161"/>
      <c r="M31" s="161"/>
      <c r="N31" s="161"/>
      <c r="O31" s="161"/>
      <c r="P31" s="162"/>
      <c r="Q31" s="56"/>
    </row>
    <row r="32" spans="1:17" ht="25.5">
      <c r="A32" s="53"/>
      <c r="B32" s="79" t="s">
        <v>55</v>
      </c>
      <c r="C32" s="43">
        <f>MAX((Vout-Vin_min)/Vout/fsw*Ioutmax/dVoutpkpk, 1/8/fsw*(ILpeak_max-ILvalley_max)/dVoutpkpk)</f>
        <v>3.0303030303030302E-5</v>
      </c>
      <c r="D32" s="77" t="s">
        <v>9</v>
      </c>
      <c r="E32" s="78" t="s">
        <v>38</v>
      </c>
      <c r="F32" s="80"/>
      <c r="G32" s="61"/>
      <c r="H32" s="61"/>
      <c r="I32" s="61"/>
      <c r="J32" s="61"/>
      <c r="K32" s="61"/>
      <c r="L32" s="61"/>
      <c r="M32" s="61"/>
      <c r="N32" s="61"/>
      <c r="O32" s="61"/>
      <c r="P32" s="62"/>
      <c r="Q32" s="56"/>
    </row>
    <row r="33" spans="1:17" ht="27" customHeight="1">
      <c r="A33" s="53"/>
      <c r="B33" s="124" t="s">
        <v>124</v>
      </c>
      <c r="C33" s="133">
        <v>1.1E-4</v>
      </c>
      <c r="D33" s="135" t="s">
        <v>9</v>
      </c>
      <c r="E33" s="130" t="s">
        <v>191</v>
      </c>
      <c r="F33" s="111"/>
      <c r="G33" s="112"/>
      <c r="H33" s="112"/>
      <c r="I33" s="113"/>
      <c r="J33" s="112"/>
      <c r="K33" s="111"/>
      <c r="L33" s="112"/>
      <c r="M33" s="112"/>
      <c r="N33" s="112"/>
      <c r="O33" s="112"/>
      <c r="P33" s="111"/>
      <c r="Q33" s="56"/>
    </row>
    <row r="34" spans="1:17">
      <c r="A34" s="53"/>
      <c r="B34" s="125"/>
      <c r="C34" s="134"/>
      <c r="D34" s="136"/>
      <c r="E34" s="131"/>
      <c r="F34" s="141"/>
      <c r="G34" s="123"/>
      <c r="H34" s="114"/>
      <c r="I34" s="114"/>
      <c r="J34" s="114"/>
      <c r="K34" s="114"/>
      <c r="L34" s="114"/>
      <c r="M34" s="114"/>
      <c r="N34" s="114"/>
      <c r="O34" s="114"/>
      <c r="P34" s="123"/>
      <c r="Q34" s="56"/>
    </row>
    <row r="35" spans="1:17">
      <c r="A35" s="53"/>
      <c r="B35" s="124" t="s">
        <v>125</v>
      </c>
      <c r="C35" s="133">
        <v>3.3E-4</v>
      </c>
      <c r="D35" s="135" t="s">
        <v>9</v>
      </c>
      <c r="E35" s="130" t="s">
        <v>131</v>
      </c>
      <c r="F35" s="141"/>
      <c r="G35" s="123"/>
      <c r="H35" s="115"/>
      <c r="I35" s="116"/>
      <c r="J35" s="117"/>
      <c r="K35" s="115"/>
      <c r="L35" s="118"/>
      <c r="M35" s="118"/>
      <c r="N35" s="118"/>
      <c r="O35" s="118"/>
      <c r="P35" s="123"/>
      <c r="Q35" s="56"/>
    </row>
    <row r="36" spans="1:17">
      <c r="A36" s="53"/>
      <c r="B36" s="125"/>
      <c r="C36" s="134"/>
      <c r="D36" s="136"/>
      <c r="E36" s="131"/>
      <c r="F36" s="141"/>
      <c r="G36" s="123"/>
      <c r="H36" s="114"/>
      <c r="I36" s="114"/>
      <c r="J36" s="114"/>
      <c r="K36" s="114"/>
      <c r="L36" s="114"/>
      <c r="M36" s="114"/>
      <c r="N36" s="114"/>
      <c r="O36" s="114"/>
      <c r="P36" s="123"/>
      <c r="Q36" s="56"/>
    </row>
    <row r="37" spans="1:17">
      <c r="A37" s="53"/>
      <c r="B37" s="124" t="s">
        <v>188</v>
      </c>
      <c r="C37" s="144">
        <v>2.7E-2</v>
      </c>
      <c r="D37" s="135" t="s">
        <v>28</v>
      </c>
      <c r="E37" s="130" t="s">
        <v>115</v>
      </c>
      <c r="F37" s="141"/>
      <c r="G37" s="123"/>
      <c r="H37" s="114"/>
      <c r="I37" s="114"/>
      <c r="J37" s="114"/>
      <c r="K37" s="114"/>
      <c r="L37" s="114"/>
      <c r="M37" s="114"/>
      <c r="N37" s="118"/>
      <c r="O37" s="118"/>
      <c r="P37" s="123"/>
      <c r="Q37" s="56"/>
    </row>
    <row r="38" spans="1:17">
      <c r="A38" s="53"/>
      <c r="B38" s="125"/>
      <c r="C38" s="145"/>
      <c r="D38" s="136"/>
      <c r="E38" s="131"/>
      <c r="F38" s="141"/>
      <c r="G38" s="123"/>
      <c r="H38" s="114"/>
      <c r="I38" s="114"/>
      <c r="J38" s="114"/>
      <c r="K38" s="114"/>
      <c r="L38" s="114"/>
      <c r="M38" s="118"/>
      <c r="N38" s="118"/>
      <c r="O38" s="118"/>
      <c r="P38" s="123"/>
      <c r="Q38" s="56"/>
    </row>
    <row r="39" spans="1:17">
      <c r="A39" s="53"/>
      <c r="B39" s="124" t="s">
        <v>216</v>
      </c>
      <c r="C39" s="142">
        <v>0.05</v>
      </c>
      <c r="D39" s="135" t="s">
        <v>20</v>
      </c>
      <c r="E39" s="130" t="s">
        <v>53</v>
      </c>
      <c r="F39" s="141"/>
      <c r="G39" s="123"/>
      <c r="H39" s="119"/>
      <c r="I39" s="120"/>
      <c r="J39" s="117"/>
      <c r="K39" s="115"/>
      <c r="L39" s="118"/>
      <c r="M39" s="118"/>
      <c r="N39" s="118"/>
      <c r="O39" s="118"/>
      <c r="P39" s="123"/>
      <c r="Q39" s="56"/>
    </row>
    <row r="40" spans="1:17">
      <c r="A40" s="53"/>
      <c r="B40" s="125"/>
      <c r="C40" s="143"/>
      <c r="D40" s="136"/>
      <c r="E40" s="131"/>
      <c r="F40" s="141"/>
      <c r="G40" s="123"/>
      <c r="H40" s="114"/>
      <c r="I40" s="114"/>
      <c r="J40" s="117"/>
      <c r="K40" s="115"/>
      <c r="L40" s="114"/>
      <c r="M40" s="114"/>
      <c r="N40" s="118"/>
      <c r="O40" s="118"/>
      <c r="P40" s="123"/>
      <c r="Q40" s="56"/>
    </row>
    <row r="41" spans="1:17">
      <c r="A41" s="53"/>
      <c r="B41" s="137" t="s">
        <v>54</v>
      </c>
      <c r="C41" s="139">
        <f>Ioutmax*0.25/dVinpkpk/fsw</f>
        <v>5.0000000000000002E-5</v>
      </c>
      <c r="D41" s="135" t="s">
        <v>9</v>
      </c>
      <c r="E41" s="130" t="s">
        <v>88</v>
      </c>
      <c r="F41" s="141"/>
      <c r="G41" s="123"/>
      <c r="H41" s="114"/>
      <c r="I41" s="114"/>
      <c r="J41" s="118"/>
      <c r="K41" s="118"/>
      <c r="L41" s="114"/>
      <c r="M41" s="114"/>
      <c r="N41" s="118"/>
      <c r="O41" s="118"/>
      <c r="P41" s="123"/>
      <c r="Q41" s="56"/>
    </row>
    <row r="42" spans="1:17">
      <c r="A42" s="53"/>
      <c r="B42" s="138"/>
      <c r="C42" s="140"/>
      <c r="D42" s="136"/>
      <c r="E42" s="131"/>
      <c r="F42" s="141"/>
      <c r="G42" s="123"/>
      <c r="H42" s="114"/>
      <c r="I42" s="114"/>
      <c r="J42" s="114"/>
      <c r="K42" s="114"/>
      <c r="L42" s="114"/>
      <c r="M42" s="114"/>
      <c r="N42" s="118"/>
      <c r="O42" s="118"/>
      <c r="P42" s="123"/>
      <c r="Q42" s="56"/>
    </row>
    <row r="43" spans="1:17">
      <c r="A43" s="53"/>
      <c r="B43" s="124" t="s">
        <v>56</v>
      </c>
      <c r="C43" s="133">
        <v>4.3000000000000002E-5</v>
      </c>
      <c r="D43" s="135" t="s">
        <v>9</v>
      </c>
      <c r="E43" s="130" t="s">
        <v>32</v>
      </c>
      <c r="F43" s="141"/>
      <c r="G43" s="123"/>
      <c r="H43" s="114"/>
      <c r="I43" s="114"/>
      <c r="J43" s="114"/>
      <c r="K43" s="114"/>
      <c r="L43" s="114"/>
      <c r="M43" s="114"/>
      <c r="N43" s="118"/>
      <c r="O43" s="118"/>
      <c r="P43" s="123"/>
      <c r="Q43" s="56"/>
    </row>
    <row r="44" spans="1:17">
      <c r="A44" s="53"/>
      <c r="B44" s="125"/>
      <c r="C44" s="134"/>
      <c r="D44" s="136"/>
      <c r="E44" s="131"/>
      <c r="F44" s="132"/>
      <c r="G44" s="123"/>
      <c r="H44" s="114"/>
      <c r="I44" s="114"/>
      <c r="J44" s="114"/>
      <c r="K44" s="114"/>
      <c r="L44" s="114"/>
      <c r="M44" s="114"/>
      <c r="N44" s="118"/>
      <c r="O44" s="118"/>
      <c r="P44" s="123"/>
      <c r="Q44" s="56"/>
    </row>
    <row r="45" spans="1:17">
      <c r="A45" s="53"/>
      <c r="B45" s="124" t="s">
        <v>226</v>
      </c>
      <c r="C45" s="165">
        <v>0.97</v>
      </c>
      <c r="D45" s="128"/>
      <c r="E45" s="130" t="s">
        <v>40</v>
      </c>
      <c r="F45" s="132"/>
      <c r="G45" s="123"/>
      <c r="H45" s="114"/>
      <c r="I45" s="114"/>
      <c r="J45" s="114"/>
      <c r="K45" s="114"/>
      <c r="L45" s="114"/>
      <c r="M45" s="118"/>
      <c r="N45" s="118"/>
      <c r="O45" s="118"/>
      <c r="P45" s="123"/>
      <c r="Q45" s="56"/>
    </row>
    <row r="46" spans="1:17">
      <c r="A46" s="53"/>
      <c r="B46" s="125"/>
      <c r="C46" s="166"/>
      <c r="D46" s="129"/>
      <c r="E46" s="131"/>
      <c r="F46" s="132"/>
      <c r="G46" s="123"/>
      <c r="H46" s="114"/>
      <c r="I46" s="114"/>
      <c r="J46" s="114"/>
      <c r="K46" s="114"/>
      <c r="L46" s="114"/>
      <c r="M46" s="114"/>
      <c r="N46" s="114"/>
      <c r="O46" s="114"/>
      <c r="P46" s="123"/>
      <c r="Q46" s="56"/>
    </row>
    <row r="47" spans="1:17">
      <c r="A47" s="53"/>
      <c r="B47" s="124" t="s">
        <v>11</v>
      </c>
      <c r="C47" s="126">
        <v>0.5</v>
      </c>
      <c r="D47" s="128"/>
      <c r="E47" s="130" t="s">
        <v>90</v>
      </c>
      <c r="F47" s="132"/>
      <c r="G47" s="123"/>
      <c r="H47" s="121"/>
      <c r="I47" s="121"/>
      <c r="J47" s="121"/>
      <c r="K47" s="121"/>
      <c r="L47" s="121"/>
      <c r="M47" s="121"/>
      <c r="N47" s="121"/>
      <c r="O47" s="121"/>
      <c r="P47" s="123"/>
      <c r="Q47" s="56"/>
    </row>
    <row r="48" spans="1:17">
      <c r="A48" s="53"/>
      <c r="B48" s="125"/>
      <c r="C48" s="127"/>
      <c r="D48" s="129"/>
      <c r="E48" s="131"/>
      <c r="F48" s="132"/>
      <c r="G48" s="123"/>
      <c r="H48" s="118"/>
      <c r="I48" s="118"/>
      <c r="J48" s="118"/>
      <c r="K48" s="118"/>
      <c r="L48" s="118"/>
      <c r="M48" s="114"/>
      <c r="N48" s="118"/>
      <c r="O48" s="118"/>
      <c r="P48" s="123"/>
      <c r="Q48" s="56"/>
    </row>
    <row r="49" spans="1:17" ht="25.5">
      <c r="A49" s="53"/>
      <c r="B49" s="76" t="s">
        <v>101</v>
      </c>
      <c r="C49" s="43">
        <f>IF(Vout&gt;Vin_min, Vin_min^2*eff*(Vout-Vin_min)/(K*Ioutmax*fsw*Vout^2), (1-Vout/Vin_max)*Vout/(K*Ioutmax*fsw))</f>
        <v>4.3645546372819103E-7</v>
      </c>
      <c r="D49" s="77" t="s">
        <v>5</v>
      </c>
      <c r="E49" s="78" t="s">
        <v>89</v>
      </c>
      <c r="F49" s="132"/>
      <c r="G49" s="123"/>
      <c r="H49" s="118"/>
      <c r="I49" s="118"/>
      <c r="J49" s="118"/>
      <c r="K49" s="118"/>
      <c r="L49" s="118"/>
      <c r="M49" s="114"/>
      <c r="N49" s="118"/>
      <c r="O49" s="118"/>
      <c r="P49" s="123"/>
      <c r="Q49" s="56"/>
    </row>
    <row r="50" spans="1:17">
      <c r="A50" s="53"/>
      <c r="B50" s="76" t="s">
        <v>17</v>
      </c>
      <c r="C50" s="44">
        <v>1.5E-6</v>
      </c>
      <c r="D50" s="77" t="s">
        <v>5</v>
      </c>
      <c r="E50" s="78"/>
      <c r="F50" s="110"/>
      <c r="G50" s="61"/>
      <c r="H50" s="61"/>
      <c r="I50" s="61"/>
      <c r="J50" s="61"/>
      <c r="K50" s="61"/>
      <c r="L50" s="61"/>
      <c r="M50" s="61"/>
      <c r="N50" s="61"/>
      <c r="O50" s="61"/>
      <c r="P50" s="62"/>
      <c r="Q50" s="56"/>
    </row>
    <row r="51" spans="1:17" ht="15.6" customHeight="1">
      <c r="A51" s="53"/>
      <c r="B51" s="76" t="s">
        <v>179</v>
      </c>
      <c r="C51" s="38">
        <f>IF(Vout&gt;Vin_min, ((Ioutmax/(Vin_min/Vout)/eff)^2+1/12*(Vin_min/L*(1-Vin_min/Vout)/fsw)^2)^0.5, ((Ioutmax^2+1/12*(Vout/L*(1-Vout/Vin_max)/fsw)^2)^0.5))</f>
        <v>4.8643726556844111</v>
      </c>
      <c r="D51" s="77" t="s">
        <v>19</v>
      </c>
      <c r="E51" s="78" t="s">
        <v>14</v>
      </c>
      <c r="F51" s="81"/>
      <c r="G51" s="61"/>
      <c r="H51" s="81"/>
      <c r="I51" s="81"/>
      <c r="J51" s="61"/>
      <c r="K51" s="61"/>
      <c r="L51" s="61"/>
      <c r="M51" s="61"/>
      <c r="N51" s="61"/>
      <c r="O51" s="61"/>
      <c r="P51" s="62"/>
      <c r="Q51" s="56"/>
    </row>
    <row r="52" spans="1:17" ht="25.5">
      <c r="A52" s="53"/>
      <c r="B52" s="76" t="s">
        <v>181</v>
      </c>
      <c r="C52" s="38">
        <f>IF(Vout&gt;Vin_min, (Ioutmax/(Vin_min/Vout)/eff+(1/2*Vin_min/L*(1-Vin_min/Vout)/fsw)), Ioutmax+1/2*(Vout*(1-Vout/Vin_max)/L/fsw))</f>
        <v>5.2136237187783587</v>
      </c>
      <c r="D52" s="77" t="s">
        <v>4</v>
      </c>
      <c r="E52" s="78" t="s">
        <v>230</v>
      </c>
      <c r="F52" s="61"/>
      <c r="G52" s="61"/>
      <c r="H52" s="61"/>
      <c r="I52" s="61"/>
      <c r="J52" s="61"/>
      <c r="K52" s="61"/>
      <c r="L52" s="61"/>
      <c r="M52" s="61"/>
      <c r="N52" s="61"/>
      <c r="O52" s="61"/>
      <c r="P52" s="62"/>
      <c r="Q52" s="56"/>
    </row>
    <row r="53" spans="1:17" ht="25.5" customHeight="1">
      <c r="A53" s="53"/>
      <c r="B53" s="76" t="s">
        <v>182</v>
      </c>
      <c r="C53" s="38">
        <f>IF(Vout&gt;Vin_min, (Ioutmax/(Vin_min/Vout)/eff-(1/2*Vin_min/L*(1-Vin_min/Vout)/fsw)), Ioutmax-1/2*(Vout*(1-Vout/Vin_max)/L/fsw))</f>
        <v>4.5065530117076511</v>
      </c>
      <c r="D53" s="77" t="s">
        <v>4</v>
      </c>
      <c r="E53" s="78"/>
      <c r="F53" s="61"/>
      <c r="G53" s="82"/>
      <c r="H53" s="83"/>
      <c r="I53" s="82"/>
      <c r="J53" s="80"/>
      <c r="K53" s="61"/>
      <c r="L53" s="61"/>
      <c r="M53" s="61"/>
      <c r="N53" s="61"/>
      <c r="O53" s="61"/>
      <c r="P53" s="62"/>
      <c r="Q53" s="56"/>
    </row>
    <row r="54" spans="1:17">
      <c r="A54" s="53"/>
      <c r="B54" s="76" t="s">
        <v>204</v>
      </c>
      <c r="C54" s="26">
        <v>7</v>
      </c>
      <c r="D54" s="77" t="s">
        <v>4</v>
      </c>
      <c r="E54" s="78" t="s">
        <v>229</v>
      </c>
      <c r="F54" s="61"/>
      <c r="G54" s="82"/>
      <c r="H54" s="83"/>
      <c r="I54" s="82"/>
      <c r="J54" s="80"/>
      <c r="K54" s="61"/>
      <c r="L54" s="61"/>
      <c r="M54" s="61"/>
      <c r="N54" s="61"/>
      <c r="O54" s="61"/>
      <c r="P54" s="62"/>
      <c r="Q54" s="56"/>
    </row>
    <row r="55" spans="1:17">
      <c r="A55" s="53"/>
      <c r="B55" s="79" t="s">
        <v>76</v>
      </c>
      <c r="C55" s="29">
        <f>MIN(1, 0.6*Vout)*330000/(Iavg_limit)</f>
        <v>47142.857142857145</v>
      </c>
      <c r="D55" s="77" t="s">
        <v>28</v>
      </c>
      <c r="E55" s="78"/>
      <c r="F55" s="61"/>
      <c r="G55" s="82"/>
      <c r="H55" s="83"/>
      <c r="I55" s="82"/>
      <c r="J55" s="80"/>
      <c r="K55" s="61"/>
      <c r="L55" s="61"/>
      <c r="M55" s="61"/>
      <c r="N55" s="61"/>
      <c r="O55" s="61"/>
      <c r="P55" s="62"/>
      <c r="Q55" s="56"/>
    </row>
    <row r="56" spans="1:17">
      <c r="A56" s="53"/>
      <c r="B56" s="84" t="s">
        <v>91</v>
      </c>
      <c r="C56" s="45">
        <v>30</v>
      </c>
      <c r="D56" s="77" t="s">
        <v>93</v>
      </c>
      <c r="E56" s="78" t="s">
        <v>92</v>
      </c>
      <c r="F56" s="61"/>
      <c r="G56" s="82"/>
      <c r="H56" s="83"/>
      <c r="I56" s="82"/>
      <c r="J56" s="80"/>
      <c r="K56" s="61"/>
      <c r="L56" s="61"/>
      <c r="M56" s="61"/>
      <c r="N56" s="61"/>
      <c r="O56" s="61"/>
      <c r="P56" s="62"/>
      <c r="Q56" s="56"/>
    </row>
    <row r="57" spans="1:17">
      <c r="A57" s="53"/>
      <c r="B57" s="79" t="s">
        <v>99</v>
      </c>
      <c r="C57" s="46">
        <f>IF((C56=0), "floating", 3*R_7/C56)</f>
        <v>10000</v>
      </c>
      <c r="D57" s="77" t="s">
        <v>51</v>
      </c>
      <c r="E57" s="78" t="s">
        <v>100</v>
      </c>
      <c r="F57" s="61"/>
      <c r="G57" s="82"/>
      <c r="H57" s="83"/>
      <c r="I57" s="82"/>
      <c r="J57" s="80"/>
      <c r="K57" s="61"/>
      <c r="L57" s="61"/>
      <c r="M57" s="61"/>
      <c r="N57" s="61"/>
      <c r="O57" s="61"/>
      <c r="P57" s="62"/>
      <c r="Q57" s="56"/>
    </row>
    <row r="58" spans="1:17">
      <c r="A58" s="53"/>
      <c r="B58" s="76" t="s">
        <v>170</v>
      </c>
      <c r="C58" s="34">
        <v>0.1</v>
      </c>
      <c r="D58" s="77" t="s">
        <v>174</v>
      </c>
      <c r="E58" s="78" t="s">
        <v>172</v>
      </c>
      <c r="F58" s="61"/>
      <c r="G58" s="61"/>
      <c r="H58" s="61"/>
      <c r="I58" s="61"/>
      <c r="J58" s="61"/>
      <c r="K58" s="61"/>
      <c r="L58" s="61"/>
      <c r="M58" s="61"/>
      <c r="N58" s="61"/>
      <c r="O58" s="61"/>
      <c r="P58" s="62"/>
      <c r="Q58" s="56"/>
    </row>
    <row r="59" spans="1:17">
      <c r="A59" s="53"/>
      <c r="B59" s="76" t="s">
        <v>171</v>
      </c>
      <c r="C59" s="47">
        <v>2.5</v>
      </c>
      <c r="D59" s="77" t="s">
        <v>175</v>
      </c>
      <c r="E59" s="78" t="s">
        <v>173</v>
      </c>
      <c r="F59" s="61"/>
      <c r="G59" s="61"/>
      <c r="H59" s="61"/>
      <c r="I59" s="61"/>
      <c r="J59" s="61"/>
      <c r="K59" s="61"/>
      <c r="L59" s="61"/>
      <c r="M59" s="61"/>
      <c r="N59" s="61"/>
      <c r="O59" s="61"/>
      <c r="P59" s="62"/>
      <c r="Q59" s="56"/>
    </row>
    <row r="60" spans="1:17">
      <c r="A60" s="53"/>
      <c r="B60" s="76" t="s">
        <v>166</v>
      </c>
      <c r="C60" s="45" t="s">
        <v>162</v>
      </c>
      <c r="D60" s="77"/>
      <c r="E60" s="78" t="s">
        <v>167</v>
      </c>
      <c r="F60" s="61"/>
      <c r="G60" s="61"/>
      <c r="H60" s="61"/>
      <c r="I60" s="61"/>
      <c r="J60" s="61"/>
      <c r="K60" s="61"/>
      <c r="L60" s="61"/>
      <c r="M60" s="61"/>
      <c r="N60" s="61"/>
      <c r="O60" s="61"/>
      <c r="P60" s="62"/>
      <c r="Q60" s="56"/>
    </row>
    <row r="61" spans="1:17">
      <c r="A61" s="53"/>
      <c r="B61" s="76" t="s">
        <v>165</v>
      </c>
      <c r="C61" s="45" t="s">
        <v>162</v>
      </c>
      <c r="D61" s="77"/>
      <c r="E61" s="78" t="s">
        <v>168</v>
      </c>
      <c r="F61" s="61"/>
      <c r="G61" s="61"/>
      <c r="H61" s="61"/>
      <c r="I61" s="61"/>
      <c r="J61" s="61"/>
      <c r="K61" s="61"/>
      <c r="L61" s="61"/>
      <c r="M61" s="61"/>
      <c r="N61" s="61"/>
      <c r="O61" s="61"/>
      <c r="P61" s="62"/>
      <c r="Q61" s="56"/>
    </row>
    <row r="62" spans="1:17">
      <c r="A62" s="53"/>
      <c r="B62" s="76" t="s">
        <v>164</v>
      </c>
      <c r="C62" s="45" t="s">
        <v>162</v>
      </c>
      <c r="D62" s="77"/>
      <c r="E62" s="78" t="s">
        <v>169</v>
      </c>
      <c r="F62" s="61"/>
      <c r="G62" s="61"/>
      <c r="H62" s="61"/>
      <c r="I62" s="61"/>
      <c r="J62" s="61"/>
      <c r="K62" s="61"/>
      <c r="L62" s="61"/>
      <c r="M62" s="61"/>
      <c r="N62" s="61"/>
      <c r="O62" s="61"/>
      <c r="P62" s="62"/>
      <c r="Q62" s="56"/>
    </row>
    <row r="63" spans="1:17">
      <c r="A63" s="53"/>
      <c r="B63" s="163" t="s">
        <v>200</v>
      </c>
      <c r="C63" s="161"/>
      <c r="D63" s="161"/>
      <c r="E63" s="161"/>
      <c r="F63" s="61"/>
      <c r="G63" s="61"/>
      <c r="H63" s="61"/>
      <c r="I63" s="61"/>
      <c r="J63" s="61"/>
      <c r="K63" s="61"/>
      <c r="L63" s="61"/>
      <c r="M63" s="61"/>
      <c r="N63" s="61"/>
      <c r="O63" s="61"/>
      <c r="P63" s="62"/>
      <c r="Q63" s="56"/>
    </row>
    <row r="64" spans="1:17">
      <c r="A64" s="53"/>
      <c r="B64" s="76" t="s">
        <v>0</v>
      </c>
      <c r="C64" s="26">
        <v>2.8</v>
      </c>
      <c r="D64" s="77" t="s">
        <v>3</v>
      </c>
      <c r="E64" s="130" t="s">
        <v>202</v>
      </c>
      <c r="F64" s="160" t="s">
        <v>154</v>
      </c>
      <c r="G64" s="161"/>
      <c r="H64" s="161"/>
      <c r="I64" s="161"/>
      <c r="J64" s="161"/>
      <c r="K64" s="161"/>
      <c r="L64" s="161"/>
      <c r="M64" s="161"/>
      <c r="N64" s="161"/>
      <c r="O64" s="161"/>
      <c r="P64" s="162"/>
      <c r="Q64" s="56"/>
    </row>
    <row r="65" spans="1:17">
      <c r="A65" s="53"/>
      <c r="B65" s="76" t="s">
        <v>31</v>
      </c>
      <c r="C65" s="26">
        <v>3.3</v>
      </c>
      <c r="D65" s="77" t="s">
        <v>3</v>
      </c>
      <c r="E65" s="131"/>
      <c r="F65" s="61"/>
      <c r="G65" s="61"/>
      <c r="H65" s="61"/>
      <c r="I65" s="61"/>
      <c r="J65" s="61"/>
      <c r="K65" s="61"/>
      <c r="L65" s="61"/>
      <c r="M65" s="61"/>
      <c r="N65" s="61"/>
      <c r="O65" s="61"/>
      <c r="P65" s="62"/>
      <c r="Q65" s="56"/>
    </row>
    <row r="66" spans="1:17">
      <c r="A66" s="53"/>
      <c r="B66" s="76" t="s">
        <v>150</v>
      </c>
      <c r="C66" s="35" t="str">
        <f>IF((Vin_LP &gt; Vout_LP),"Buck","Boost")</f>
        <v>Boost</v>
      </c>
      <c r="D66" s="77"/>
      <c r="E66" s="78" t="s">
        <v>163</v>
      </c>
      <c r="F66" s="61"/>
      <c r="G66" s="61"/>
      <c r="H66" s="61"/>
      <c r="I66" s="61"/>
      <c r="J66" s="61"/>
      <c r="K66" s="61"/>
      <c r="L66" s="61"/>
      <c r="M66" s="61"/>
      <c r="N66" s="61"/>
      <c r="O66" s="61"/>
      <c r="P66" s="62"/>
      <c r="Q66" s="56"/>
    </row>
    <row r="67" spans="1:17" ht="12.75" customHeight="1">
      <c r="A67" s="85"/>
      <c r="B67" s="76" t="s">
        <v>233</v>
      </c>
      <c r="C67" s="48">
        <f>17+Ioutmax/2.5</f>
        <v>18.600000000000001</v>
      </c>
      <c r="D67" s="77" t="s">
        <v>128</v>
      </c>
      <c r="E67" s="78" t="s">
        <v>130</v>
      </c>
      <c r="F67" s="61"/>
      <c r="G67" s="61"/>
      <c r="H67" s="61"/>
      <c r="I67" s="61"/>
      <c r="J67" s="61"/>
      <c r="K67" s="61"/>
      <c r="L67" s="61"/>
      <c r="M67" s="61"/>
      <c r="N67" s="61"/>
      <c r="O67" s="61"/>
      <c r="P67" s="62"/>
      <c r="Q67" s="56"/>
    </row>
    <row r="68" spans="1:17" ht="12.75" customHeight="1">
      <c r="A68" s="85"/>
      <c r="B68" s="76" t="s">
        <v>232</v>
      </c>
      <c r="C68" s="35">
        <f>IF((Op_mode="Buck"), Ioutmax/2/PI()/Vout_LP/(Cout_c+Cout_e), Ioutmax/PI()/Vout_LP/(Cout_c+Cout_e))</f>
        <v>876.8867387983214</v>
      </c>
      <c r="D68" s="77" t="s">
        <v>6</v>
      </c>
      <c r="E68" s="78" t="s">
        <v>153</v>
      </c>
      <c r="F68" s="61"/>
      <c r="G68" s="61"/>
      <c r="H68" s="61"/>
      <c r="I68" s="61"/>
      <c r="J68" s="61"/>
      <c r="K68" s="61"/>
      <c r="L68" s="61"/>
      <c r="M68" s="61"/>
      <c r="N68" s="61"/>
      <c r="O68" s="61"/>
      <c r="P68" s="62"/>
      <c r="Q68" s="56"/>
    </row>
    <row r="69" spans="1:17" ht="12.75" customHeight="1">
      <c r="A69" s="85"/>
      <c r="B69" s="76" t="s">
        <v>236</v>
      </c>
      <c r="C69" s="35">
        <f>IF(Op_mode="Boost", Vout_LP*(eff*Vin_LP/Vout_LP)^2/2/PI()/L/Ioutmax, "No RPHZ")</f>
        <v>59294.508378206476</v>
      </c>
      <c r="D69" s="77" t="s">
        <v>6</v>
      </c>
      <c r="E69" s="78" t="s">
        <v>151</v>
      </c>
      <c r="F69" s="61"/>
      <c r="G69" s="61"/>
      <c r="H69" s="61"/>
      <c r="I69" s="61"/>
      <c r="J69" s="61"/>
      <c r="K69" s="61"/>
      <c r="L69" s="61"/>
      <c r="M69" s="61"/>
      <c r="N69" s="61"/>
      <c r="O69" s="61"/>
      <c r="P69" s="62"/>
      <c r="Q69" s="56"/>
    </row>
    <row r="70" spans="1:17" ht="12.75" customHeight="1">
      <c r="A70" s="85"/>
      <c r="B70" s="76" t="s">
        <v>237</v>
      </c>
      <c r="C70" s="35">
        <f>1/2/PI()/Cout_e/ESR</f>
        <v>17862.507642188029</v>
      </c>
      <c r="D70" s="77" t="s">
        <v>6</v>
      </c>
      <c r="E70" s="78" t="s">
        <v>152</v>
      </c>
      <c r="F70" s="61"/>
      <c r="G70" s="61"/>
      <c r="H70" s="61"/>
      <c r="I70" s="61"/>
      <c r="J70" s="61"/>
      <c r="K70" s="61"/>
      <c r="L70" s="61"/>
      <c r="M70" s="61"/>
      <c r="N70" s="61"/>
      <c r="O70" s="61"/>
      <c r="P70" s="62"/>
      <c r="Q70" s="56"/>
    </row>
    <row r="71" spans="1:17" ht="12.75" customHeight="1">
      <c r="A71" s="85"/>
      <c r="B71" s="76" t="s">
        <v>27</v>
      </c>
      <c r="C71" s="25">
        <v>5000</v>
      </c>
      <c r="D71" s="77" t="s">
        <v>6</v>
      </c>
      <c r="E71" s="78" t="s">
        <v>33</v>
      </c>
      <c r="F71" s="61"/>
      <c r="G71" s="61"/>
      <c r="H71" s="61"/>
      <c r="I71" s="61"/>
      <c r="J71" s="61"/>
      <c r="K71" s="61"/>
      <c r="L71" s="61"/>
      <c r="M71" s="61"/>
      <c r="N71" s="61"/>
      <c r="O71" s="61"/>
      <c r="P71" s="62"/>
      <c r="Q71" s="56"/>
    </row>
    <row r="72" spans="1:17" ht="12.75" customHeight="1">
      <c r="A72" s="85"/>
      <c r="B72" s="76" t="s">
        <v>234</v>
      </c>
      <c r="C72" s="86">
        <v>1.9000000000000001E-4</v>
      </c>
      <c r="D72" s="77" t="s">
        <v>128</v>
      </c>
      <c r="E72" s="78" t="s">
        <v>129</v>
      </c>
      <c r="F72" s="61"/>
      <c r="G72" s="61"/>
      <c r="H72" s="61"/>
      <c r="I72" s="61"/>
      <c r="J72" s="61"/>
      <c r="K72" s="61"/>
      <c r="L72" s="61"/>
      <c r="M72" s="61"/>
      <c r="N72" s="61"/>
      <c r="O72" s="61"/>
      <c r="P72" s="62"/>
      <c r="Q72" s="56"/>
    </row>
    <row r="73" spans="1:17" ht="12.75" customHeight="1">
      <c r="A73" s="85"/>
      <c r="B73" s="79" t="s">
        <v>94</v>
      </c>
      <c r="C73" s="29">
        <f>IF(Op_mode="Boost", 2*PI()*fco*(Cout_c+Cout_e)*Vout/1.2/gm_PS/(eff*Vin_LP/Vout_LP)/gm_EA, 2*PI()*fco*(Cout_c+Cout_e)*Vout/1.2/gm_PS/gm_EA)</f>
        <v>13069.316400604152</v>
      </c>
      <c r="D73" s="77" t="s">
        <v>28</v>
      </c>
      <c r="E73" s="87"/>
      <c r="F73" s="61"/>
      <c r="G73" s="61"/>
      <c r="H73" s="61"/>
      <c r="I73" s="61"/>
      <c r="J73" s="61"/>
      <c r="K73" s="61"/>
      <c r="L73" s="61"/>
      <c r="M73" s="61"/>
      <c r="N73" s="61"/>
      <c r="O73" s="61"/>
      <c r="P73" s="62"/>
      <c r="Q73" s="56"/>
    </row>
    <row r="74" spans="1:17">
      <c r="A74" s="85"/>
      <c r="B74" s="76" t="s">
        <v>114</v>
      </c>
      <c r="C74" s="25">
        <v>30000</v>
      </c>
      <c r="D74" s="77" t="s">
        <v>28</v>
      </c>
      <c r="E74" s="87" t="s">
        <v>186</v>
      </c>
      <c r="F74" s="61"/>
      <c r="G74" s="61"/>
      <c r="H74" s="61"/>
      <c r="I74" s="61"/>
      <c r="J74" s="61"/>
      <c r="K74" s="61"/>
      <c r="L74" s="61"/>
      <c r="M74" s="61"/>
      <c r="N74" s="61"/>
      <c r="O74" s="61"/>
      <c r="P74" s="62"/>
      <c r="Q74" s="56"/>
    </row>
    <row r="75" spans="1:17">
      <c r="A75" s="85"/>
      <c r="B75" s="79" t="s">
        <v>95</v>
      </c>
      <c r="C75" s="43">
        <f>1/(2*PI()*(fco/10)*(Rcomp+2000))</f>
        <v>9.9471839432434593E-9</v>
      </c>
      <c r="D75" s="77" t="s">
        <v>9</v>
      </c>
      <c r="E75" s="87" t="s">
        <v>240</v>
      </c>
      <c r="F75" s="61"/>
      <c r="G75" s="61"/>
      <c r="H75" s="61"/>
      <c r="I75" s="61"/>
      <c r="J75" s="61"/>
      <c r="K75" s="61"/>
      <c r="L75" s="61"/>
      <c r="M75" s="61"/>
      <c r="N75" s="61"/>
      <c r="O75" s="61"/>
      <c r="P75" s="62"/>
      <c r="Q75" s="56"/>
    </row>
    <row r="76" spans="1:17">
      <c r="A76" s="85"/>
      <c r="B76" s="76" t="s">
        <v>96</v>
      </c>
      <c r="C76" s="44">
        <v>4.6999999999999999E-9</v>
      </c>
      <c r="D76" s="77" t="s">
        <v>9</v>
      </c>
      <c r="E76" s="87"/>
      <c r="F76" s="61"/>
      <c r="G76" s="61"/>
      <c r="H76" s="61"/>
      <c r="I76" s="61"/>
      <c r="J76" s="61"/>
      <c r="K76" s="61"/>
      <c r="L76" s="61"/>
      <c r="M76" s="61"/>
      <c r="N76" s="61"/>
      <c r="O76" s="61"/>
      <c r="P76" s="62"/>
      <c r="Q76" s="56"/>
    </row>
    <row r="77" spans="1:17">
      <c r="A77" s="85"/>
      <c r="B77" s="76" t="s">
        <v>235</v>
      </c>
      <c r="C77" s="29">
        <f>1/2/PI()/(Rcomp+2000)/Ccomp</f>
        <v>1058.2110577918575</v>
      </c>
      <c r="D77" s="77" t="s">
        <v>6</v>
      </c>
      <c r="E77" s="87" t="s">
        <v>239</v>
      </c>
      <c r="F77" s="61"/>
      <c r="G77" s="61"/>
      <c r="H77" s="61"/>
      <c r="I77" s="61"/>
      <c r="J77" s="61"/>
      <c r="K77" s="61"/>
      <c r="L77" s="61"/>
      <c r="M77" s="61"/>
      <c r="N77" s="61"/>
      <c r="O77" s="61"/>
      <c r="P77" s="62"/>
      <c r="Q77" s="56"/>
    </row>
    <row r="78" spans="1:17" ht="38.25">
      <c r="A78" s="85"/>
      <c r="B78" s="79" t="s">
        <v>97</v>
      </c>
      <c r="C78" s="49">
        <f>Ccomp*(IF(fzRHP&gt;fz_ESR, (Cout_e*ESR/Rcomp)/(Ccomp-Cout_e*ESR/Rcomp), (1/2/PI()/fzRHP/Rcomp)/(Ccomp-1/2/PI()/fzRHP/Rcomp)))</f>
        <v>3.1703384056325228E-10</v>
      </c>
      <c r="D78" s="77" t="s">
        <v>9</v>
      </c>
      <c r="E78" s="78" t="s">
        <v>249</v>
      </c>
      <c r="F78" s="61"/>
      <c r="G78" s="61"/>
      <c r="H78" s="61"/>
      <c r="I78" s="61"/>
      <c r="J78" s="61"/>
      <c r="K78" s="61"/>
      <c r="L78" s="61"/>
      <c r="M78" s="61"/>
      <c r="N78" s="61"/>
      <c r="O78" s="61"/>
      <c r="P78" s="62"/>
      <c r="Q78" s="56"/>
    </row>
    <row r="79" spans="1:17">
      <c r="A79" s="85"/>
      <c r="B79" s="88" t="s">
        <v>98</v>
      </c>
      <c r="C79" s="50">
        <v>1E-10</v>
      </c>
      <c r="D79" s="89" t="s">
        <v>9</v>
      </c>
      <c r="E79" s="90"/>
      <c r="F79" s="80"/>
      <c r="G79" s="81"/>
      <c r="H79" s="81"/>
      <c r="I79" s="61"/>
      <c r="J79" s="61"/>
      <c r="K79" s="61"/>
      <c r="L79" s="61"/>
      <c r="M79" s="61"/>
      <c r="N79" s="61"/>
      <c r="O79" s="61"/>
      <c r="P79" s="62"/>
      <c r="Q79" s="56"/>
    </row>
    <row r="80" spans="1:17">
      <c r="A80" s="85"/>
      <c r="B80" s="88" t="s">
        <v>238</v>
      </c>
      <c r="C80" s="30">
        <f>1/2/PI()/(Rcomp+2000)/(Ccomp*(Cp+0.000000000003)/(Ccomp+Cp+0.000000000003))</f>
        <v>49345.511753148458</v>
      </c>
      <c r="D80" s="89" t="s">
        <v>6</v>
      </c>
      <c r="E80" s="90" t="s">
        <v>201</v>
      </c>
      <c r="F80" s="81"/>
      <c r="G80" s="81"/>
      <c r="H80" s="81"/>
      <c r="I80" s="61"/>
      <c r="J80" s="61"/>
      <c r="K80" s="61"/>
      <c r="L80" s="61"/>
      <c r="M80" s="61"/>
      <c r="N80" s="61"/>
      <c r="O80" s="61"/>
      <c r="P80" s="62"/>
      <c r="Q80" s="56"/>
    </row>
    <row r="81" spans="1:17">
      <c r="A81" s="85"/>
      <c r="B81" s="159" t="s">
        <v>231</v>
      </c>
      <c r="C81" s="157"/>
      <c r="D81" s="157"/>
      <c r="E81" s="157"/>
      <c r="F81" s="81"/>
      <c r="G81" s="81"/>
      <c r="H81" s="81"/>
      <c r="I81" s="61"/>
      <c r="J81" s="61"/>
      <c r="K81" s="61"/>
      <c r="L81" s="61"/>
      <c r="M81" s="61"/>
      <c r="N81" s="61"/>
      <c r="O81" s="61"/>
      <c r="P81" s="62"/>
      <c r="Q81" s="56"/>
    </row>
    <row r="82" spans="1:17">
      <c r="A82" s="85"/>
      <c r="B82" s="76" t="s">
        <v>0</v>
      </c>
      <c r="C82" s="26">
        <v>12</v>
      </c>
      <c r="D82" s="91" t="s">
        <v>3</v>
      </c>
      <c r="E82" s="91" t="s">
        <v>210</v>
      </c>
      <c r="F82" s="61"/>
      <c r="G82" s="61"/>
      <c r="H82" s="61"/>
      <c r="I82" s="61"/>
      <c r="J82" s="61"/>
      <c r="K82" s="61"/>
      <c r="L82" s="61"/>
      <c r="M82" s="61"/>
      <c r="N82" s="61"/>
      <c r="O82" s="61"/>
      <c r="P82" s="62"/>
      <c r="Q82" s="56"/>
    </row>
    <row r="83" spans="1:17">
      <c r="A83" s="85"/>
      <c r="B83" s="76" t="s">
        <v>1</v>
      </c>
      <c r="C83" s="51">
        <f>IF(Vin_eff&lt;Vout, ((Ioutmax/(Vin_eff/Vout)/eff)^2+1/12*(Vin_eff/L*(1-Vin_eff/Vout)/fsw)^2)^0.5, ((Ioutmax^2+1/12*(Vout/L*(1-Vout/Vin_eff)/fsw)^2)^0.5))</f>
        <v>4.1623326417807283</v>
      </c>
      <c r="D83" s="77" t="s">
        <v>4</v>
      </c>
      <c r="E83" s="78" t="s">
        <v>180</v>
      </c>
      <c r="F83" s="61"/>
      <c r="G83" s="61"/>
      <c r="H83" s="61"/>
      <c r="I83" s="61"/>
      <c r="J83" s="61"/>
      <c r="K83" s="61"/>
      <c r="L83" s="61"/>
      <c r="M83" s="61"/>
      <c r="N83" s="61"/>
      <c r="O83" s="61"/>
      <c r="P83" s="62"/>
      <c r="Q83" s="56"/>
    </row>
    <row r="84" spans="1:17">
      <c r="A84" s="85"/>
      <c r="B84" s="76" t="s">
        <v>7</v>
      </c>
      <c r="C84" s="51">
        <f>IF(Vin_eff&lt;Vout, (Ioutmax/(Vin_eff/Vout)/eff+(1/2*Vin_eff/L*(1-Vin_eff/Vout)/fsw)), Ioutmax+1/2*(Vout*(1-Vout/Vin_eff)/L/fsw))</f>
        <v>5.9937500000000004</v>
      </c>
      <c r="D84" s="77" t="s">
        <v>4</v>
      </c>
      <c r="E84" s="78" t="s">
        <v>183</v>
      </c>
      <c r="F84" s="61"/>
      <c r="G84" s="61"/>
      <c r="H84" s="61"/>
      <c r="I84" s="61"/>
      <c r="J84" s="61"/>
      <c r="K84" s="61"/>
      <c r="L84" s="61"/>
      <c r="M84" s="61"/>
      <c r="N84" s="61"/>
      <c r="O84" s="61"/>
      <c r="P84" s="62"/>
      <c r="Q84" s="56"/>
    </row>
    <row r="85" spans="1:17">
      <c r="A85" s="85"/>
      <c r="B85" s="76" t="s">
        <v>228</v>
      </c>
      <c r="C85" s="51">
        <f>IF(Vin_eff&lt;Vout, (Ioutmax/(Vin_eff/Vout)/eff-(1/2*Vin_eff/L*(1-Vin_eff/Vout)/fsw)),Ioutmax-1/2*(Vout*(1-Vout/Vin_eff)/L/fsw))</f>
        <v>2.0062500000000001</v>
      </c>
      <c r="D85" s="77" t="s">
        <v>4</v>
      </c>
      <c r="E85" s="78" t="s">
        <v>184</v>
      </c>
      <c r="F85" s="61"/>
      <c r="G85" s="61"/>
      <c r="H85" s="61"/>
      <c r="I85" s="61"/>
      <c r="J85" s="61"/>
      <c r="K85" s="61"/>
      <c r="L85" s="61"/>
      <c r="M85" s="61"/>
      <c r="N85" s="61"/>
      <c r="O85" s="61"/>
      <c r="P85" s="62"/>
      <c r="Q85" s="56"/>
    </row>
    <row r="86" spans="1:17">
      <c r="A86" s="85"/>
      <c r="B86" s="76" t="s">
        <v>21</v>
      </c>
      <c r="C86" s="33">
        <v>5.1999999999999998E-3</v>
      </c>
      <c r="D86" s="77" t="s">
        <v>28</v>
      </c>
      <c r="E86" s="78" t="s">
        <v>15</v>
      </c>
      <c r="F86" s="61"/>
      <c r="G86" s="61"/>
      <c r="H86" s="61"/>
      <c r="I86" s="61"/>
      <c r="J86" s="61"/>
      <c r="K86" s="61"/>
      <c r="L86" s="61"/>
      <c r="M86" s="61"/>
      <c r="N86" s="61"/>
      <c r="O86" s="61"/>
      <c r="P86" s="62"/>
      <c r="Q86" s="56"/>
    </row>
    <row r="87" spans="1:17">
      <c r="A87" s="53"/>
      <c r="B87" s="76" t="s">
        <v>64</v>
      </c>
      <c r="C87" s="33">
        <v>5.0000000000000001E-3</v>
      </c>
      <c r="D87" s="77" t="s">
        <v>28</v>
      </c>
      <c r="E87" s="78" t="s">
        <v>30</v>
      </c>
      <c r="F87" s="61"/>
      <c r="G87" s="61"/>
      <c r="H87" s="61"/>
      <c r="I87" s="61"/>
      <c r="J87" s="61"/>
      <c r="K87" s="61"/>
      <c r="L87" s="61"/>
      <c r="M87" s="61"/>
      <c r="N87" s="61"/>
      <c r="O87" s="61"/>
      <c r="P87" s="62"/>
      <c r="Q87" s="56"/>
    </row>
    <row r="88" spans="1:17">
      <c r="A88" s="53"/>
      <c r="B88" s="76" t="s">
        <v>70</v>
      </c>
      <c r="C88" s="44">
        <v>1E-8</v>
      </c>
      <c r="D88" s="77" t="s">
        <v>71</v>
      </c>
      <c r="E88" s="78" t="s">
        <v>73</v>
      </c>
      <c r="F88" s="61"/>
      <c r="G88" s="82"/>
      <c r="H88" s="83"/>
      <c r="I88" s="82"/>
      <c r="J88" s="80"/>
      <c r="K88" s="61"/>
      <c r="L88" s="61"/>
      <c r="M88" s="61"/>
      <c r="N88" s="61"/>
      <c r="O88" s="61"/>
      <c r="P88" s="62"/>
      <c r="Q88" s="56"/>
    </row>
    <row r="89" spans="1:17">
      <c r="A89" s="53"/>
      <c r="B89" s="76" t="s">
        <v>246</v>
      </c>
      <c r="C89" s="44">
        <v>2.7E-10</v>
      </c>
      <c r="D89" s="77" t="s">
        <v>9</v>
      </c>
      <c r="E89" s="78" t="s">
        <v>247</v>
      </c>
      <c r="F89" s="61"/>
      <c r="G89" s="82"/>
      <c r="H89" s="83"/>
      <c r="I89" s="82"/>
      <c r="J89" s="80"/>
      <c r="K89" s="61"/>
      <c r="L89" s="61"/>
      <c r="M89" s="61"/>
      <c r="N89" s="61"/>
      <c r="O89" s="61"/>
      <c r="P89" s="62"/>
      <c r="Q89" s="56"/>
    </row>
    <row r="90" spans="1:17">
      <c r="A90" s="53"/>
      <c r="B90" s="76" t="s">
        <v>65</v>
      </c>
      <c r="C90" s="44">
        <v>8.9999999999999995E-9</v>
      </c>
      <c r="D90" s="77" t="s">
        <v>8</v>
      </c>
      <c r="E90" s="78" t="s">
        <v>211</v>
      </c>
      <c r="F90" s="61"/>
      <c r="G90" s="82"/>
      <c r="H90" s="83"/>
      <c r="I90" s="82"/>
      <c r="J90" s="80"/>
      <c r="K90" s="61"/>
      <c r="L90" s="61"/>
      <c r="M90" s="61"/>
      <c r="N90" s="61"/>
      <c r="O90" s="61"/>
      <c r="P90" s="62"/>
      <c r="Q90" s="56"/>
    </row>
    <row r="91" spans="1:17">
      <c r="A91" s="53"/>
      <c r="B91" s="76" t="s">
        <v>66</v>
      </c>
      <c r="C91" s="44">
        <v>8.9999999999999995E-9</v>
      </c>
      <c r="D91" s="77" t="s">
        <v>8</v>
      </c>
      <c r="E91" s="78" t="s">
        <v>212</v>
      </c>
      <c r="F91" s="61"/>
      <c r="G91" s="92"/>
      <c r="H91" s="61"/>
      <c r="I91" s="61"/>
      <c r="J91" s="61"/>
      <c r="K91" s="61"/>
      <c r="L91" s="61"/>
      <c r="M91" s="61"/>
      <c r="N91" s="61"/>
      <c r="O91" s="61"/>
      <c r="P91" s="62"/>
      <c r="Q91" s="56"/>
    </row>
    <row r="92" spans="1:17">
      <c r="A92" s="53"/>
      <c r="B92" s="76" t="s">
        <v>67</v>
      </c>
      <c r="C92" s="33">
        <v>5.0000000000000001E-3</v>
      </c>
      <c r="D92" s="77" t="s">
        <v>28</v>
      </c>
      <c r="E92" s="78" t="s">
        <v>30</v>
      </c>
      <c r="F92" s="61"/>
      <c r="G92" s="61"/>
      <c r="H92" s="61"/>
      <c r="I92" s="61"/>
      <c r="J92" s="61"/>
      <c r="K92" s="61"/>
      <c r="L92" s="61"/>
      <c r="M92" s="61"/>
      <c r="N92" s="61"/>
      <c r="O92" s="61"/>
      <c r="P92" s="62"/>
      <c r="Q92" s="56"/>
    </row>
    <row r="93" spans="1:17">
      <c r="A93" s="53"/>
      <c r="B93" s="76" t="s">
        <v>72</v>
      </c>
      <c r="C93" s="44">
        <v>1E-8</v>
      </c>
      <c r="D93" s="77" t="s">
        <v>71</v>
      </c>
      <c r="E93" s="78" t="s">
        <v>73</v>
      </c>
      <c r="F93" s="61"/>
      <c r="G93" s="61"/>
      <c r="H93" s="61"/>
      <c r="I93" s="61"/>
      <c r="J93" s="61"/>
      <c r="K93" s="61"/>
      <c r="L93" s="61"/>
      <c r="M93" s="61"/>
      <c r="N93" s="61"/>
      <c r="O93" s="61"/>
      <c r="P93" s="62"/>
      <c r="Q93" s="56"/>
    </row>
    <row r="94" spans="1:17">
      <c r="A94" s="53"/>
      <c r="B94" s="76" t="s">
        <v>197</v>
      </c>
      <c r="C94" s="44">
        <v>5.0000000000000001E-9</v>
      </c>
      <c r="D94" s="77" t="s">
        <v>71</v>
      </c>
      <c r="E94" s="78" t="s">
        <v>198</v>
      </c>
      <c r="F94" s="61"/>
      <c r="G94" s="61"/>
      <c r="H94" s="61"/>
      <c r="I94" s="61"/>
      <c r="J94" s="61"/>
      <c r="K94" s="61"/>
      <c r="L94" s="61"/>
      <c r="M94" s="61"/>
      <c r="N94" s="61"/>
      <c r="O94" s="61"/>
      <c r="P94" s="62"/>
      <c r="Q94" s="56"/>
    </row>
    <row r="95" spans="1:17">
      <c r="A95" s="53"/>
      <c r="B95" s="76" t="s">
        <v>68</v>
      </c>
      <c r="C95" s="86">
        <v>1E-8</v>
      </c>
      <c r="D95" s="77" t="s">
        <v>8</v>
      </c>
      <c r="E95" s="78" t="s">
        <v>75</v>
      </c>
      <c r="F95" s="61"/>
      <c r="G95" s="61"/>
      <c r="H95" s="61"/>
      <c r="I95" s="61"/>
      <c r="J95" s="61"/>
      <c r="K95" s="61"/>
      <c r="L95" s="61"/>
      <c r="M95" s="61"/>
      <c r="N95" s="61"/>
      <c r="O95" s="61"/>
      <c r="P95" s="62"/>
      <c r="Q95" s="56"/>
    </row>
    <row r="96" spans="1:17">
      <c r="A96" s="53"/>
      <c r="B96" s="76" t="s">
        <v>69</v>
      </c>
      <c r="C96" s="26">
        <v>0.8</v>
      </c>
      <c r="D96" s="77" t="s">
        <v>3</v>
      </c>
      <c r="E96" s="78" t="s">
        <v>29</v>
      </c>
      <c r="F96" s="61"/>
      <c r="G96" s="61"/>
      <c r="H96" s="61"/>
      <c r="I96" s="61"/>
      <c r="J96" s="61"/>
      <c r="K96" s="61"/>
      <c r="L96" s="61"/>
      <c r="M96" s="61"/>
      <c r="N96" s="61"/>
      <c r="O96" s="61"/>
      <c r="P96" s="62"/>
      <c r="Q96" s="56"/>
    </row>
    <row r="97" spans="1:17" ht="25.5">
      <c r="A97" s="53"/>
      <c r="B97" s="76" t="s">
        <v>58</v>
      </c>
      <c r="C97" s="33">
        <v>8.1600000000000006E-3</v>
      </c>
      <c r="D97" s="77" t="s">
        <v>28</v>
      </c>
      <c r="E97" s="78" t="s">
        <v>199</v>
      </c>
      <c r="F97" s="61"/>
      <c r="G97" s="61"/>
      <c r="H97" s="61"/>
      <c r="I97" s="61"/>
      <c r="J97" s="61"/>
      <c r="K97" s="61"/>
      <c r="L97" s="61"/>
      <c r="M97" s="61"/>
      <c r="N97" s="61"/>
      <c r="O97" s="61"/>
      <c r="P97" s="62"/>
      <c r="Q97" s="56"/>
    </row>
    <row r="98" spans="1:17">
      <c r="A98" s="53"/>
      <c r="B98" s="76" t="s">
        <v>59</v>
      </c>
      <c r="C98" s="86">
        <v>1.3000000000000001E-8</v>
      </c>
      <c r="D98" s="77" t="s">
        <v>8</v>
      </c>
      <c r="E98" s="78" t="s">
        <v>225</v>
      </c>
      <c r="F98" s="61"/>
      <c r="G98" s="82"/>
      <c r="H98" s="83"/>
      <c r="I98" s="82"/>
      <c r="J98" s="80"/>
      <c r="K98" s="61"/>
      <c r="L98" s="61"/>
      <c r="M98" s="61"/>
      <c r="N98" s="61"/>
      <c r="O98" s="61"/>
      <c r="P98" s="62"/>
      <c r="Q98" s="56"/>
    </row>
    <row r="99" spans="1:17">
      <c r="A99" s="53"/>
      <c r="B99" s="76" t="s">
        <v>60</v>
      </c>
      <c r="C99" s="86">
        <v>1.3000000000000001E-8</v>
      </c>
      <c r="D99" s="77" t="s">
        <v>8</v>
      </c>
      <c r="E99" s="78" t="s">
        <v>224</v>
      </c>
      <c r="F99" s="61"/>
      <c r="G99" s="92"/>
      <c r="H99" s="61"/>
      <c r="I99" s="61"/>
      <c r="J99" s="61"/>
      <c r="K99" s="61"/>
      <c r="L99" s="61"/>
      <c r="M99" s="61"/>
      <c r="N99" s="61"/>
      <c r="O99" s="61"/>
      <c r="P99" s="62"/>
      <c r="Q99" s="56"/>
    </row>
    <row r="100" spans="1:17" ht="25.5">
      <c r="A100" s="53"/>
      <c r="B100" s="76" t="s">
        <v>61</v>
      </c>
      <c r="C100" s="33">
        <v>8.7299999999999999E-3</v>
      </c>
      <c r="D100" s="77" t="s">
        <v>28</v>
      </c>
      <c r="E100" s="78" t="s">
        <v>217</v>
      </c>
      <c r="F100" s="61"/>
      <c r="G100" s="61"/>
      <c r="H100" s="61"/>
      <c r="I100" s="61"/>
      <c r="J100" s="61"/>
      <c r="K100" s="61"/>
      <c r="L100" s="61"/>
      <c r="M100" s="61"/>
      <c r="N100" s="61"/>
      <c r="O100" s="61"/>
      <c r="P100" s="62"/>
      <c r="Q100" s="56"/>
    </row>
    <row r="101" spans="1:17">
      <c r="A101" s="53"/>
      <c r="B101" s="76" t="s">
        <v>62</v>
      </c>
      <c r="C101" s="86">
        <v>2E-8</v>
      </c>
      <c r="D101" s="77" t="s">
        <v>8</v>
      </c>
      <c r="E101" s="78" t="s">
        <v>75</v>
      </c>
      <c r="F101" s="61"/>
      <c r="G101" s="61"/>
      <c r="H101" s="61"/>
      <c r="I101" s="61"/>
      <c r="J101" s="61"/>
      <c r="K101" s="61"/>
      <c r="L101" s="61"/>
      <c r="M101" s="61"/>
      <c r="N101" s="61"/>
      <c r="O101" s="61"/>
      <c r="P101" s="62"/>
      <c r="Q101" s="56"/>
    </row>
    <row r="102" spans="1:17">
      <c r="A102" s="53"/>
      <c r="B102" s="76" t="s">
        <v>63</v>
      </c>
      <c r="C102" s="37">
        <v>1</v>
      </c>
      <c r="D102" s="77" t="s">
        <v>3</v>
      </c>
      <c r="E102" s="78" t="s">
        <v>29</v>
      </c>
      <c r="F102" s="61"/>
      <c r="G102" s="61"/>
      <c r="H102" s="61"/>
      <c r="I102" s="61"/>
      <c r="J102" s="61"/>
      <c r="K102" s="61"/>
      <c r="L102" s="61"/>
      <c r="M102" s="61"/>
      <c r="N102" s="61"/>
      <c r="O102" s="61"/>
      <c r="P102" s="62"/>
      <c r="Q102" s="56"/>
    </row>
    <row r="103" spans="1:17">
      <c r="A103" s="53"/>
      <c r="B103" s="76" t="s">
        <v>176</v>
      </c>
      <c r="C103" s="52">
        <v>0</v>
      </c>
      <c r="D103" s="77" t="s">
        <v>9</v>
      </c>
      <c r="E103" s="78" t="s">
        <v>205</v>
      </c>
      <c r="F103" s="61"/>
      <c r="G103" s="61"/>
      <c r="H103" s="61"/>
      <c r="I103" s="61"/>
      <c r="J103" s="61"/>
      <c r="K103" s="61"/>
      <c r="L103" s="61"/>
      <c r="M103" s="61"/>
      <c r="N103" s="61"/>
      <c r="O103" s="61"/>
      <c r="P103" s="62"/>
      <c r="Q103" s="56"/>
    </row>
    <row r="104" spans="1:17">
      <c r="A104" s="53"/>
      <c r="B104" s="76" t="s">
        <v>121</v>
      </c>
      <c r="C104" s="52">
        <v>0</v>
      </c>
      <c r="D104" s="77" t="s">
        <v>9</v>
      </c>
      <c r="E104" s="78" t="s">
        <v>120</v>
      </c>
      <c r="F104" s="61"/>
      <c r="G104" s="61"/>
      <c r="H104" s="61"/>
      <c r="I104" s="61"/>
      <c r="J104" s="61"/>
      <c r="K104" s="61"/>
      <c r="L104" s="61"/>
      <c r="M104" s="61"/>
      <c r="N104" s="61"/>
      <c r="O104" s="61"/>
      <c r="P104" s="62"/>
      <c r="Q104" s="56"/>
    </row>
    <row r="105" spans="1:17">
      <c r="A105" s="53"/>
      <c r="B105" s="84" t="s">
        <v>122</v>
      </c>
      <c r="C105" s="26">
        <v>2</v>
      </c>
      <c r="D105" s="77" t="s">
        <v>214</v>
      </c>
      <c r="E105" s="78" t="s">
        <v>149</v>
      </c>
      <c r="F105" s="61"/>
      <c r="G105" s="61"/>
      <c r="H105" s="61"/>
      <c r="I105" s="61"/>
      <c r="J105" s="61"/>
      <c r="K105" s="61"/>
      <c r="L105" s="61"/>
      <c r="M105" s="61"/>
      <c r="N105" s="61"/>
      <c r="O105" s="61"/>
      <c r="P105" s="62"/>
      <c r="Q105" s="56"/>
    </row>
    <row r="106" spans="1:17">
      <c r="A106" s="53"/>
      <c r="B106" s="84" t="s">
        <v>123</v>
      </c>
      <c r="C106" s="29">
        <f>Rpcb*(ILrms^2)</f>
        <v>34.650026041666671</v>
      </c>
      <c r="D106" s="77" t="s">
        <v>10</v>
      </c>
      <c r="E106" s="78" t="s">
        <v>132</v>
      </c>
      <c r="F106" s="61"/>
      <c r="G106" s="61"/>
      <c r="H106" s="61"/>
      <c r="I106" s="61"/>
      <c r="J106" s="61"/>
      <c r="K106" s="61"/>
      <c r="L106" s="61"/>
      <c r="M106" s="61"/>
      <c r="N106" s="61"/>
      <c r="O106" s="61"/>
      <c r="P106" s="62"/>
      <c r="Q106" s="56"/>
    </row>
    <row r="107" spans="1:17">
      <c r="A107" s="53"/>
      <c r="B107" s="76" t="s">
        <v>77</v>
      </c>
      <c r="C107" s="29">
        <f>(ILrms)^2*DCR*1000</f>
        <v>90.090067708333351</v>
      </c>
      <c r="D107" s="77" t="s">
        <v>10</v>
      </c>
      <c r="E107" s="78" t="s">
        <v>18</v>
      </c>
      <c r="F107" s="61"/>
      <c r="G107" s="61"/>
      <c r="H107" s="61"/>
      <c r="I107" s="61"/>
      <c r="J107" s="61"/>
      <c r="K107" s="61"/>
      <c r="L107" s="61"/>
      <c r="M107" s="61"/>
      <c r="N107" s="61"/>
      <c r="O107" s="61"/>
      <c r="P107" s="62"/>
      <c r="Q107" s="56"/>
    </row>
    <row r="108" spans="1:17" ht="38.25">
      <c r="A108" s="85"/>
      <c r="B108" s="76" t="s">
        <v>178</v>
      </c>
      <c r="C108" s="25">
        <v>344</v>
      </c>
      <c r="D108" s="77" t="s">
        <v>10</v>
      </c>
      <c r="E108" s="78" t="s">
        <v>248</v>
      </c>
      <c r="F108" s="61"/>
      <c r="G108" s="61"/>
      <c r="H108" s="61"/>
      <c r="I108" s="61"/>
      <c r="J108" s="61"/>
      <c r="K108" s="61"/>
      <c r="L108" s="61"/>
      <c r="M108" s="61"/>
      <c r="N108" s="61"/>
      <c r="O108" s="61"/>
      <c r="P108" s="62"/>
      <c r="Q108" s="56"/>
    </row>
    <row r="109" spans="1:17" ht="37.700000000000003" customHeight="1">
      <c r="A109" s="85"/>
      <c r="B109" s="84" t="s">
        <v>252</v>
      </c>
      <c r="C109" s="29">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((0.001+(BUCK_HS_Qg+BUCK_LS_Qg)*fsw)*IF(AND(Vin_eff&gt;Vout, Vout&gt;6.2), Vout, Vin_eff)+BST_HS_Rdson*ILrms^2)*1000)</f>
        <v>259.24736367187506</v>
      </c>
      <c r="D109" s="77" t="s">
        <v>10</v>
      </c>
      <c r="E109" s="78" t="s">
        <v>223</v>
      </c>
      <c r="F109" s="61"/>
      <c r="G109" s="61"/>
      <c r="H109" s="61"/>
      <c r="I109" s="61"/>
      <c r="J109" s="61"/>
      <c r="K109" s="61"/>
      <c r="L109" s="61"/>
      <c r="M109" s="61"/>
      <c r="N109" s="61"/>
      <c r="O109" s="61"/>
      <c r="P109" s="62"/>
      <c r="Q109" s="56"/>
    </row>
    <row r="110" spans="1:17">
      <c r="A110" s="85"/>
      <c r="B110" s="93" t="s">
        <v>119</v>
      </c>
      <c r="C110" s="30">
        <f>Ioutmax*Ioutmax*R_1</f>
        <v>200</v>
      </c>
      <c r="D110" s="77" t="s">
        <v>10</v>
      </c>
      <c r="E110" s="94" t="s">
        <v>207</v>
      </c>
      <c r="F110" s="61"/>
      <c r="G110" s="61"/>
      <c r="H110" s="61"/>
      <c r="I110" s="61"/>
      <c r="J110" s="61"/>
      <c r="K110" s="61"/>
      <c r="L110" s="61"/>
      <c r="M110" s="61"/>
      <c r="N110" s="61"/>
      <c r="O110" s="61"/>
      <c r="P110" s="62"/>
      <c r="Q110" s="56"/>
    </row>
    <row r="111" spans="1:17">
      <c r="A111" s="85"/>
      <c r="B111" s="93" t="s">
        <v>177</v>
      </c>
      <c r="C111" s="30">
        <f>IF(Vin_eff&lt;Vout, 2/3*C_bst_snubber*(Vout+BST_HS_Vd)*(Vout+BST_HS_Vd)*fsw*1000, 2/3*C_buck_snubber*(Vin_eff+BUCK_LS_Vd)*(Vin_eff+BUCK_LS_Vd)*fsw*1000)</f>
        <v>0</v>
      </c>
      <c r="D111" s="77" t="s">
        <v>10</v>
      </c>
      <c r="E111" s="94" t="s">
        <v>208</v>
      </c>
      <c r="F111" s="61"/>
      <c r="G111" s="61"/>
      <c r="H111" s="61"/>
      <c r="I111" s="61"/>
      <c r="J111" s="61"/>
      <c r="K111" s="61"/>
      <c r="L111" s="61"/>
      <c r="M111" s="61"/>
      <c r="N111" s="61"/>
      <c r="O111" s="61"/>
      <c r="P111" s="62"/>
      <c r="Q111" s="56"/>
    </row>
    <row r="112" spans="1:17">
      <c r="A112" s="85"/>
      <c r="B112" s="93" t="s">
        <v>242</v>
      </c>
      <c r="C112" s="30">
        <f>IF(Vin_eff&lt;Vout, (ILrms)^2*(BUCK_HS_Rdson)*1000, ((Vout/Vin_eff)*ILrms^2*BUCK_HS_Rdson+1/2*ILpeak*(Vin_eff+BUCK_LS_Vd)*BUCK_HS_fall_time*fsw+1/2*ILvalley*(Vin_eff+BUCK_LS_Vd)*BUCK_HS_rise_time*fsw+1/2*BUCK_HS_Coss*(Vin_eff+BUCK_LS_Vd)*(Vin_eff+BUCK_LS_Vd)*fsw)*1000)</f>
        <v>216.98925290364588</v>
      </c>
      <c r="D112" s="77" t="s">
        <v>10</v>
      </c>
      <c r="E112" s="94" t="s">
        <v>244</v>
      </c>
      <c r="F112" s="61"/>
      <c r="G112" s="61"/>
      <c r="H112" s="61"/>
      <c r="I112" s="61"/>
      <c r="J112" s="61"/>
      <c r="K112" s="61"/>
      <c r="L112" s="61"/>
      <c r="M112" s="61"/>
      <c r="N112" s="61"/>
      <c r="O112" s="61"/>
      <c r="P112" s="62"/>
      <c r="Q112" s="56"/>
    </row>
    <row r="113" spans="1:17">
      <c r="A113" s="85"/>
      <c r="B113" s="93" t="s">
        <v>243</v>
      </c>
      <c r="C113" s="30">
        <f>IF(Vin_eff&lt;Vout, 0, ((1-Vout/Vin_eff)*ILrms^2*BUCK_LS_Rdson+(ILpeak+ILvalley)*BUCK_LS_Vd*BUCK_LS_dead_time*fsw+Vin_eff*BUCK_LS_Qrr*fsw)*1000)</f>
        <v>112.40317220052086</v>
      </c>
      <c r="D113" s="77" t="s">
        <v>10</v>
      </c>
      <c r="E113" s="94" t="s">
        <v>245</v>
      </c>
      <c r="F113" s="61"/>
      <c r="G113" s="61"/>
      <c r="H113" s="61"/>
      <c r="I113" s="61"/>
      <c r="J113" s="61"/>
      <c r="K113" s="61"/>
      <c r="L113" s="61"/>
      <c r="M113" s="61"/>
      <c r="N113" s="61"/>
      <c r="O113" s="61"/>
      <c r="P113" s="62"/>
      <c r="Q113" s="56"/>
    </row>
    <row r="114" spans="1:17">
      <c r="A114" s="85"/>
      <c r="B114" s="93" t="s">
        <v>206</v>
      </c>
      <c r="C114" s="30">
        <f>IF(Vin_eff&lt;Vout, 1000*ESR*(G115+H115), 0)</f>
        <v>0</v>
      </c>
      <c r="D114" s="89" t="s">
        <v>10</v>
      </c>
      <c r="E114" s="94" t="s">
        <v>209</v>
      </c>
      <c r="F114" s="61"/>
      <c r="G114" s="61"/>
      <c r="H114" s="61"/>
      <c r="I114" s="61"/>
      <c r="J114" s="61"/>
      <c r="K114" s="61"/>
      <c r="L114" s="61"/>
      <c r="M114" s="61"/>
      <c r="N114" s="61"/>
      <c r="O114" s="61"/>
      <c r="P114" s="62"/>
      <c r="Q114" s="56"/>
    </row>
    <row r="115" spans="1:17">
      <c r="A115" s="85"/>
      <c r="B115" s="88" t="s">
        <v>227</v>
      </c>
      <c r="C115" s="31">
        <f>IF(Vin_eff&lt;Vout, Vout*Ioutmax/(Vout*Ioutmax+(C106+C107+C108+C109+C110+C111+C112+C113+C114)/1000), Vout*Ioutmax/(Vout*Ioutmax+(C106+C107+C108+C109+C110+C111+C112+C113)/1000))</f>
        <v>0.91302850912524069</v>
      </c>
      <c r="D115" s="89"/>
      <c r="E115" s="94" t="s">
        <v>185</v>
      </c>
      <c r="F115" s="61"/>
      <c r="G115" s="61"/>
      <c r="H115" s="61"/>
      <c r="I115" s="61"/>
      <c r="J115" s="61"/>
      <c r="K115" s="61"/>
      <c r="L115" s="61"/>
      <c r="M115" s="61"/>
      <c r="N115" s="61"/>
      <c r="O115" s="61"/>
      <c r="P115" s="62"/>
      <c r="Q115" s="56"/>
    </row>
    <row r="116" spans="1:17" ht="25.5">
      <c r="A116" s="85"/>
      <c r="B116" s="76" t="s">
        <v>218</v>
      </c>
      <c r="C116" s="25">
        <v>37</v>
      </c>
      <c r="D116" s="77" t="s">
        <v>118</v>
      </c>
      <c r="E116" s="78" t="s">
        <v>219</v>
      </c>
      <c r="F116" s="61"/>
      <c r="G116" s="61"/>
      <c r="H116" s="61"/>
      <c r="I116" s="61"/>
      <c r="J116" s="61"/>
      <c r="K116" s="61"/>
      <c r="L116" s="61"/>
      <c r="M116" s="61"/>
      <c r="N116" s="61"/>
      <c r="O116" s="61"/>
      <c r="P116" s="62"/>
      <c r="Q116" s="56"/>
    </row>
    <row r="117" spans="1:17" ht="26.25" thickBot="1">
      <c r="A117" s="85"/>
      <c r="B117" s="95" t="s">
        <v>253</v>
      </c>
      <c r="C117" s="32">
        <f>C116*(C109)/1000</f>
        <v>9.5921524558593774</v>
      </c>
      <c r="D117" s="96" t="s">
        <v>74</v>
      </c>
      <c r="E117" s="97" t="s">
        <v>220</v>
      </c>
      <c r="F117" s="61"/>
      <c r="G117" s="61"/>
      <c r="H117" s="61"/>
      <c r="I117" s="61"/>
      <c r="J117" s="61"/>
      <c r="K117" s="61"/>
      <c r="L117" s="61"/>
      <c r="M117" s="61"/>
      <c r="N117" s="61"/>
      <c r="O117" s="61"/>
      <c r="P117" s="62"/>
      <c r="Q117" s="56"/>
    </row>
    <row r="118" spans="1:17" ht="14.25" thickTop="1" thickBot="1">
      <c r="A118" s="85"/>
      <c r="B118" s="100"/>
      <c r="C118" s="101"/>
      <c r="D118" s="100"/>
      <c r="E118" s="102"/>
      <c r="F118" s="98"/>
      <c r="G118" s="98"/>
      <c r="H118" s="98"/>
      <c r="I118" s="98"/>
      <c r="J118" s="98"/>
      <c r="K118" s="98"/>
      <c r="L118" s="98"/>
      <c r="M118" s="98"/>
      <c r="N118" s="98"/>
      <c r="O118" s="98"/>
      <c r="P118" s="99"/>
      <c r="Q118" s="56"/>
    </row>
    <row r="119" spans="1:17" ht="13.5" thickTop="1">
      <c r="A119" s="85"/>
      <c r="F119" s="103"/>
      <c r="G119" s="103"/>
      <c r="H119" s="103"/>
      <c r="I119" s="103"/>
      <c r="J119" s="103"/>
      <c r="K119" s="103"/>
      <c r="L119" s="103"/>
      <c r="M119" s="103"/>
      <c r="N119" s="103"/>
      <c r="O119" s="103"/>
      <c r="P119" s="103"/>
      <c r="Q119" s="56"/>
    </row>
    <row r="121" spans="1:17">
      <c r="D121" s="106"/>
    </row>
    <row r="122" spans="1:17">
      <c r="C122" s="107"/>
      <c r="H122" s="108"/>
    </row>
  </sheetData>
  <sheetProtection password="D12D"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E64:E65"/>
    <mergeCell ref="F12:P12"/>
    <mergeCell ref="B81:E81"/>
    <mergeCell ref="F64:P64"/>
    <mergeCell ref="B13:E13"/>
    <mergeCell ref="B63:E63"/>
    <mergeCell ref="F31:P31"/>
    <mergeCell ref="B45:B46"/>
    <mergeCell ref="C45:C46"/>
    <mergeCell ref="D45:D46"/>
    <mergeCell ref="E45:E46"/>
    <mergeCell ref="F46:F47"/>
    <mergeCell ref="G46:G47"/>
    <mergeCell ref="P46:P47"/>
    <mergeCell ref="B33:B34"/>
    <mergeCell ref="C33:C34"/>
    <mergeCell ref="D33:D34"/>
    <mergeCell ref="B7:J7"/>
    <mergeCell ref="B2:P2"/>
    <mergeCell ref="B3:P3"/>
    <mergeCell ref="B4:P4"/>
    <mergeCell ref="B6:P6"/>
    <mergeCell ref="E33:E34"/>
    <mergeCell ref="F34:F35"/>
    <mergeCell ref="G34:G35"/>
    <mergeCell ref="P34:P35"/>
    <mergeCell ref="B35:B36"/>
    <mergeCell ref="C35:C36"/>
    <mergeCell ref="D35:D36"/>
    <mergeCell ref="E35:E36"/>
    <mergeCell ref="F36:F37"/>
    <mergeCell ref="G36:G37"/>
    <mergeCell ref="P36:P37"/>
    <mergeCell ref="G38:G39"/>
    <mergeCell ref="P38:P39"/>
    <mergeCell ref="B39:B40"/>
    <mergeCell ref="C39:C40"/>
    <mergeCell ref="D39:D40"/>
    <mergeCell ref="E39:E40"/>
    <mergeCell ref="F40:F41"/>
    <mergeCell ref="G40:G41"/>
    <mergeCell ref="P40:P41"/>
    <mergeCell ref="B37:B38"/>
    <mergeCell ref="C37:C38"/>
    <mergeCell ref="D37:D38"/>
    <mergeCell ref="E37:E38"/>
    <mergeCell ref="F38:F39"/>
    <mergeCell ref="G42:G43"/>
    <mergeCell ref="P42:P43"/>
    <mergeCell ref="P44:P45"/>
    <mergeCell ref="B43:B44"/>
    <mergeCell ref="C43:C44"/>
    <mergeCell ref="D43:D44"/>
    <mergeCell ref="E43:E44"/>
    <mergeCell ref="F44:F45"/>
    <mergeCell ref="G44:G45"/>
    <mergeCell ref="B41:B42"/>
    <mergeCell ref="C41:C42"/>
    <mergeCell ref="D41:D42"/>
    <mergeCell ref="E41:E42"/>
    <mergeCell ref="F42:F43"/>
    <mergeCell ref="G48:G49"/>
    <mergeCell ref="P48:P49"/>
    <mergeCell ref="B47:B48"/>
    <mergeCell ref="C47:C48"/>
    <mergeCell ref="D47:D48"/>
    <mergeCell ref="E47:E48"/>
    <mergeCell ref="F48:F49"/>
  </mergeCells>
  <phoneticPr fontId="2" type="noConversion"/>
  <conditionalFormatting sqref="C69">
    <cfRule type="expression" dxfId="11" priority="9">
      <formula>$C$66="Boost"</formula>
    </cfRule>
    <cfRule type="expression" dxfId="10" priority="10">
      <formula>$C$66="Buck"</formula>
    </cfRule>
  </conditionalFormatting>
  <conditionalFormatting sqref="C23">
    <cfRule type="expression" dxfId="9" priority="7">
      <formula>#REF!="Disable"</formula>
    </cfRule>
    <cfRule type="expression" dxfId="8" priority="8">
      <formula>#REF!="Enable"</formula>
    </cfRule>
  </conditionalFormatting>
  <conditionalFormatting sqref="C57">
    <cfRule type="expression" dxfId="7" priority="5">
      <formula>#REF!="External"</formula>
    </cfRule>
    <cfRule type="expression" dxfId="6" priority="6">
      <formula>#REF!="Internal"</formula>
    </cfRule>
  </conditionalFormatting>
  <conditionalFormatting sqref="C56">
    <cfRule type="expression" dxfId="5" priority="3">
      <formula>#REF!="External"</formula>
    </cfRule>
    <cfRule type="expression" dxfId="4" priority="4">
      <formula>#REF!="Internal"</formula>
    </cfRule>
  </conditionalFormatting>
  <conditionalFormatting sqref="C21">
    <cfRule type="expression" dxfId="3" priority="26" stopIfTrue="1">
      <formula>#REF!="External"</formula>
    </cfRule>
    <cfRule type="expression" dxfId="2" priority="27" stopIfTrue="1">
      <formula>#REF!="Internal"</formula>
    </cfRule>
  </conditionalFormatting>
  <conditionalFormatting sqref="C22">
    <cfRule type="expression" dxfId="1" priority="28">
      <formula>#REF!="External"</formula>
    </cfRule>
    <cfRule type="expression" dxfId="0" priority="29">
      <formula>#REF!="Internal"</formula>
    </cfRule>
  </conditionalFormatting>
  <dataValidations count="12">
    <dataValidation type="list" allowBlank="1" showInputMessage="1" showErrorMessage="1" sqref="C18" xr:uid="{00000000-0002-0000-0000-000000000000}">
      <formula1>"Internal, External"</formula1>
    </dataValidation>
    <dataValidation type="list" allowBlank="1" showInputMessage="1" showErrorMessage="1" sqref="C19" xr:uid="{00000000-0002-0000-0000-000001000000}">
      <formula1>"FPWM, APFM"</formula1>
    </dataValidation>
    <dataValidation type="list" allowBlank="1" showInputMessage="1" showErrorMessage="1" sqref="C60:C62" xr:uid="{00000000-0002-0000-0000-000002000000}">
      <formula1>"Enable, Disable"</formula1>
    </dataValidation>
    <dataValidation type="list" allowBlank="1" showInputMessage="1" showErrorMessage="1" sqref="C58" xr:uid="{00000000-0002-0000-0000-000003000000}">
      <formula1>"0.1, 3, 6, 12"</formula1>
    </dataValidation>
    <dataValidation type="list" allowBlank="1" showInputMessage="1" showErrorMessage="1" sqref="C59" xr:uid="{00000000-0002-0000-0000-000004000000}">
      <formula1>"1.25, 2.5, 5, 10"</formula1>
    </dataValidation>
    <dataValidation type="list" allowBlank="1" showInputMessage="1" showErrorMessage="1" sqref="M47" xr:uid="{00000000-0002-0000-0000-000005000000}">
      <formula1>"74H -0,75H -1"</formula1>
    </dataValidation>
    <dataValidation type="list" allowBlank="1" showInputMessage="1" showErrorMessage="1" sqref="O47" xr:uid="{00000000-0002-0000-0000-000006000000}">
      <formula1>"EXT -0,INT -1"</formula1>
    </dataValidation>
    <dataValidation type="list" allowBlank="1" showInputMessage="1" showErrorMessage="1" sqref="H47" xr:uid="{00000000-0002-0000-0000-000007000000}">
      <formula1>"OFF -0,ON -1"</formula1>
    </dataValidation>
    <dataValidation type="list" allowBlank="1" showInputMessage="1" showErrorMessage="1" sqref="I47:K47" xr:uid="{00000000-0002-0000-0000-000008000000}">
      <formula1>"DIS -0,ENA -1"</formula1>
    </dataValidation>
    <dataValidation type="list" allowBlank="1" showInputMessage="1" showErrorMessage="1" sqref="L47" xr:uid="{00000000-0002-0000-0000-000009000000}">
      <formula1>"INT -0,EXT -1"</formula1>
    </dataValidation>
    <dataValidation type="list" allowBlank="1" showInputMessage="1" showErrorMessage="1" sqref="N47" xr:uid="{00000000-0002-0000-0000-00000A000000}">
      <formula1>"PFM -0,PWM -1"</formula1>
    </dataValidation>
    <dataValidation type="custom" allowBlank="1" showInputMessage="1" showErrorMessage="1" sqref="S16" xr:uid="{00000000-0002-0000-0000-00000B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10" r:id="rId5">
          <objectPr defaultSize="0" autoPict="0" r:id="rId6">
            <anchor moveWithCells="1" sizeWithCells="1">
              <from>
                <xdr:col>5</xdr:col>
                <xdr:colOff>247650</xdr:colOff>
                <xdr:row>13</xdr:row>
                <xdr:rowOff>104775</xdr:rowOff>
              </from>
              <to>
                <xdr:col>15</xdr:col>
                <xdr:colOff>428625</xdr:colOff>
                <xdr:row>28</xdr:row>
                <xdr:rowOff>123825</xdr:rowOff>
              </to>
            </anchor>
          </objectPr>
        </oleObject>
      </mc:Choice>
      <mc:Fallback>
        <oleObject progId="Visio.Drawing.11" shapeId="1210"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zoomScale="70" zoomScaleNormal="70" workbookViewId="0">
      <selection activeCell="Y3" sqref="Y3"/>
    </sheetView>
  </sheetViews>
  <sheetFormatPr defaultRowHeight="12.75"/>
  <cols>
    <col min="1" max="1" width="4" bestFit="1" customWidth="1"/>
    <col min="2" max="2" width="9.5703125" customWidth="1"/>
    <col min="3" max="3" width="10.5703125" bestFit="1" customWidth="1"/>
    <col min="5" max="5" width="8" customWidth="1"/>
    <col min="7" max="7" width="7.85546875" customWidth="1"/>
    <col min="8" max="8" width="8.42578125" customWidth="1"/>
    <col min="9" max="9" width="8.140625" customWidth="1"/>
    <col min="10" max="10" width="9.42578125" customWidth="1"/>
    <col min="11" max="11" width="9.5703125" customWidth="1"/>
    <col min="13" max="14" width="8.42578125" customWidth="1"/>
    <col min="15" max="16" width="9.5703125" customWidth="1"/>
    <col min="17" max="17" width="10" customWidth="1"/>
    <col min="18" max="18" width="10.85546875" customWidth="1"/>
    <col min="19" max="20" width="9.42578125" customWidth="1"/>
    <col min="21" max="23" width="10" customWidth="1"/>
    <col min="24" max="24" width="10.140625" customWidth="1"/>
    <col min="25" max="26" width="10" customWidth="1"/>
    <col min="27" max="29" width="10.42578125" customWidth="1"/>
    <col min="30" max="30" width="10.140625" customWidth="1"/>
    <col min="32" max="32" width="15.85546875" customWidth="1"/>
    <col min="33" max="33" width="12.42578125" bestFit="1" customWidth="1"/>
    <col min="34" max="34" width="5.5703125" customWidth="1"/>
  </cols>
  <sheetData>
    <row r="1" spans="1:34" ht="14.25" thickTop="1" thickBot="1">
      <c r="A1" s="167" t="s">
        <v>143</v>
      </c>
      <c r="B1" s="169"/>
      <c r="C1" s="167" t="s">
        <v>133</v>
      </c>
      <c r="D1" s="168"/>
      <c r="E1" s="168"/>
      <c r="F1" s="168"/>
      <c r="G1" s="168"/>
      <c r="H1" s="168"/>
      <c r="I1" s="168"/>
      <c r="J1" s="169"/>
      <c r="K1" s="167" t="s">
        <v>161</v>
      </c>
      <c r="L1" s="168"/>
      <c r="M1" s="168"/>
      <c r="N1" s="168"/>
      <c r="O1" s="168"/>
      <c r="P1" s="168"/>
      <c r="Q1" s="167" t="s">
        <v>160</v>
      </c>
      <c r="R1" s="169"/>
      <c r="S1" s="167" t="s">
        <v>134</v>
      </c>
      <c r="T1" s="168"/>
      <c r="U1" s="168"/>
      <c r="V1" s="168"/>
      <c r="W1" s="168"/>
      <c r="X1" s="169"/>
      <c r="Y1" s="167" t="s">
        <v>159</v>
      </c>
      <c r="Z1" s="169"/>
      <c r="AA1" s="168" t="s">
        <v>137</v>
      </c>
      <c r="AB1" s="168"/>
      <c r="AC1" s="168"/>
      <c r="AD1" s="169"/>
    </row>
    <row r="2" spans="1:34" ht="26.25" thickTop="1">
      <c r="A2" s="1"/>
      <c r="B2" s="2" t="s">
        <v>138</v>
      </c>
      <c r="C2" s="13" t="s">
        <v>104</v>
      </c>
      <c r="D2" s="2" t="s">
        <v>105</v>
      </c>
      <c r="E2" s="2" t="s">
        <v>106</v>
      </c>
      <c r="F2" s="2" t="s">
        <v>107</v>
      </c>
      <c r="G2" s="2" t="s">
        <v>108</v>
      </c>
      <c r="H2" s="2" t="s">
        <v>109</v>
      </c>
      <c r="I2" s="2" t="s">
        <v>116</v>
      </c>
      <c r="J2" s="16" t="s">
        <v>117</v>
      </c>
      <c r="K2" s="13" t="s">
        <v>110</v>
      </c>
      <c r="L2" s="2" t="s">
        <v>111</v>
      </c>
      <c r="M2" s="2" t="s">
        <v>102</v>
      </c>
      <c r="N2" s="2" t="s">
        <v>103</v>
      </c>
      <c r="O2" s="2" t="s">
        <v>112</v>
      </c>
      <c r="P2" s="16" t="s">
        <v>113</v>
      </c>
      <c r="Q2" s="2" t="s">
        <v>157</v>
      </c>
      <c r="R2" s="2" t="s">
        <v>158</v>
      </c>
      <c r="S2" s="13" t="s">
        <v>135</v>
      </c>
      <c r="T2" s="2" t="s">
        <v>136</v>
      </c>
      <c r="U2" s="2" t="s">
        <v>127</v>
      </c>
      <c r="V2" s="16" t="s">
        <v>126</v>
      </c>
      <c r="W2" s="13" t="s">
        <v>190</v>
      </c>
      <c r="X2" s="16" t="s">
        <v>189</v>
      </c>
      <c r="Y2" s="13" t="s">
        <v>155</v>
      </c>
      <c r="Z2" s="16" t="s">
        <v>156</v>
      </c>
      <c r="AA2" s="2" t="s">
        <v>140</v>
      </c>
      <c r="AB2" s="2" t="s">
        <v>141</v>
      </c>
      <c r="AC2" s="2" t="s">
        <v>139</v>
      </c>
      <c r="AD2" s="3" t="s">
        <v>142</v>
      </c>
      <c r="AF2" s="11" t="s">
        <v>148</v>
      </c>
      <c r="AG2" s="24" t="s">
        <v>24</v>
      </c>
      <c r="AH2" s="24" t="s">
        <v>192</v>
      </c>
    </row>
    <row r="3" spans="1:34">
      <c r="A3" s="4">
        <v>1</v>
      </c>
      <c r="B3" s="20">
        <f>10*10^A3</f>
        <v>100</v>
      </c>
      <c r="C3" s="14">
        <f t="shared" ref="C3:C43" si="0">20*LOG(SQRT((B3/fzRHP)^2+1))</f>
        <v>1.2352496755317751E-5</v>
      </c>
      <c r="D3" s="5">
        <f t="shared" ref="D3:D43" si="1">-180/PI()*ATAN(B3/fzRHP)</f>
        <v>-9.66290585059459E-2</v>
      </c>
      <c r="E3" s="5">
        <f t="shared" ref="E3:E43" si="2">20*LOG(1/SQRT((B3/fp)^2+1))</f>
        <v>-5.6116228393036337E-2</v>
      </c>
      <c r="F3" s="5">
        <f t="shared" ref="F3:F43" si="3">-180/PI()*ATAN(B3/fp)</f>
        <v>-6.5058939270919689</v>
      </c>
      <c r="G3" s="5">
        <f t="shared" ref="G3:G43" si="4">20*LOG(SQRT((B3/fz_ESR)^2+1))</f>
        <v>1.3611082004017622E-4</v>
      </c>
      <c r="H3" s="5">
        <f t="shared" ref="H3:H43" si="5">180/PI()*ATAN(B3/fz_ESR)</f>
        <v>0.32075664906558216</v>
      </c>
      <c r="I3" s="5">
        <f t="shared" ref="I3:I43" si="6">20*LOG(1/SQRT((B3/(1/2/PI()/ESR/(Cout_c*Cout_e/(Cout_c+Cout_e))))^2+1))</f>
        <v>-8.5070512282759396E-6</v>
      </c>
      <c r="J3" s="17">
        <f t="shared" ref="J3:J43" si="7">-180/PI()*ATAN(B3/(1/2/PI()/(ESR)/(Cout_c*Cout_e/(Cout_c+Cout_e))))</f>
        <v>-8.0189947640726664E-2</v>
      </c>
      <c r="K3" s="14">
        <f t="shared" ref="K3:K43" si="8">20*LOG(1/SQRT((B3/(1/2/PI()/10000000/(Ccomp+Cp+0.000000000003)))^2+1))</f>
        <v>-29.598615177174089</v>
      </c>
      <c r="L3" s="5">
        <f t="shared" ref="L3:L43" si="9">-180/PI()*ATAN(B3/(1/2/PI()/10000000/(Ccomp+Cp+0.000000000003)))</f>
        <v>-88.102108867957142</v>
      </c>
      <c r="M3" s="5">
        <f t="shared" ref="M3:M43" si="10">20*LOG(SQRT((B3/fz_comp)^2+1))</f>
        <v>3.8610707074957847E-2</v>
      </c>
      <c r="N3" s="5">
        <f t="shared" ref="N3:N43" si="11">180/PI()*ATAN(B3/fz_comp)</f>
        <v>5.3983687980956816</v>
      </c>
      <c r="O3" s="5">
        <f t="shared" ref="O3:O43" si="12">20*LOG(1/SQRT((B3/fp_comp2)^2+1))</f>
        <v>-1.7835615649350592E-5</v>
      </c>
      <c r="P3" s="17">
        <f t="shared" ref="P3:P43" si="13">-180/PI()*ATAN(B3/fp_comp2)</f>
        <v>-0.11611127140719742</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-5.0249362388585861E-5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-0.225359277328854</v>
      </c>
      <c r="W3" s="14">
        <v>0</v>
      </c>
      <c r="X3" s="17">
        <f t="shared" ref="X3:X43" si="18">IF(B3&lt;fsw, -180*B3*1/2/fsw, -90)</f>
        <v>-2.2499999999999999E-2</v>
      </c>
      <c r="Y3" s="14">
        <f>20*LOG(1/SQRT((B3/(1/2/PI()/30000/0.000000000005))^2+1))</f>
        <v>-3.8576832623748043E-8</v>
      </c>
      <c r="Z3" s="17">
        <f>-180/PI()*ATAN(B3/(1/2/PI()/30000/0.000000000005))</f>
        <v>-5.3999999840112396E-3</v>
      </c>
      <c r="AA3" s="5">
        <f t="shared" ref="AA3:AA43" si="19">IF(Op_mode="Boost", C3+E3+G3+I3+K3+M3+20*LOG(Vout_LP/Ioutmax/2*gm_PS*eff*Vin_LP/Vout_LP*gm_EA*10000000*1.2/Vout)+Q3+S3+U3+Y3, E3+G3+I3+K3+M3+20*LOG(Vout_LP/Ioutmax*gm_PS*gm_EA*10000000*1.2/Vout)+Q3+S3+U3+Y3)</f>
        <v>43.179500458311971</v>
      </c>
      <c r="AB3" s="5">
        <f t="shared" ref="AB3:AB43" si="20">IF(Op_mode="Boost", D3+F3+H3+J3+180+L3+N3+R3+T3+V3+X3+Z3, F3+H3+J3+180+L3+N3+R3+T3+V3+Z3)</f>
        <v>90.827203256952501</v>
      </c>
      <c r="AC3" s="5">
        <f>AA3+O3</f>
        <v>43.17948262269632</v>
      </c>
      <c r="AD3" s="6">
        <f>AB3+P3</f>
        <v>90.711091985545309</v>
      </c>
      <c r="AF3" t="s">
        <v>146</v>
      </c>
      <c r="AG3">
        <v>3.0000000000000001E-5</v>
      </c>
      <c r="AH3" t="s">
        <v>128</v>
      </c>
    </row>
    <row r="4" spans="1:34">
      <c r="A4" s="4">
        <v>1.1000000000000001</v>
      </c>
      <c r="B4" s="21">
        <f t="shared" ref="B4:B43" si="21">10*10^A4</f>
        <v>125.8925411794168</v>
      </c>
      <c r="C4" s="14">
        <f t="shared" si="0"/>
        <v>1.957737173189496E-5</v>
      </c>
      <c r="D4" s="5">
        <f t="shared" si="1"/>
        <v>-0.12164870981301279</v>
      </c>
      <c r="E4" s="5">
        <f t="shared" si="2"/>
        <v>-8.8605261467436108E-2</v>
      </c>
      <c r="F4" s="5">
        <f t="shared" si="3"/>
        <v>-8.169991516087574</v>
      </c>
      <c r="G4" s="5">
        <f t="shared" si="4"/>
        <v>2.1571913496192332E-4</v>
      </c>
      <c r="H4" s="5">
        <f t="shared" si="5"/>
        <v>0.40380622916746817</v>
      </c>
      <c r="I4" s="5">
        <f t="shared" si="6"/>
        <v>-1.348275985701881E-5</v>
      </c>
      <c r="J4" s="17">
        <f t="shared" si="7"/>
        <v>-0.10095312430136123</v>
      </c>
      <c r="K4" s="14">
        <f t="shared" si="8"/>
        <v>-31.596856900271305</v>
      </c>
      <c r="L4" s="5">
        <f t="shared" si="9"/>
        <v>-88.492248001574382</v>
      </c>
      <c r="M4" s="5">
        <f t="shared" si="10"/>
        <v>6.1035760240901349E-2</v>
      </c>
      <c r="N4" s="5">
        <f t="shared" si="11"/>
        <v>6.7844384358760754</v>
      </c>
      <c r="O4" s="5">
        <f t="shared" si="12"/>
        <v>-2.8267511874758897E-5</v>
      </c>
      <c r="P4" s="17">
        <f t="shared" si="13"/>
        <v>-0.14617531313081825</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-7.9639618207734219E-5</v>
      </c>
      <c r="V4" s="17">
        <f t="shared" si="17"/>
        <v>-0.28370998888908477</v>
      </c>
      <c r="W4" s="14">
        <v>0</v>
      </c>
      <c r="X4" s="17">
        <f t="shared" si="18"/>
        <v>-2.8325821765368776E-2</v>
      </c>
      <c r="Y4" s="14">
        <f t="shared" ref="Y4:Y43" si="24">20*LOG(1/SQRT((B4/(1/2/PI()/30000/0.000000000005))^2+1))</f>
        <v>-6.1140159101059486E-8</v>
      </c>
      <c r="Z4" s="17">
        <f t="shared" ref="Z4:Z43" si="25">-180/PI()*ATAN(B4/(1/2/PI()/30000/0.000000000005))</f>
        <v>-6.7981971917867381E-3</v>
      </c>
      <c r="AA4" s="5">
        <f t="shared" si="19"/>
        <v>41.171281643466763</v>
      </c>
      <c r="AB4" s="5">
        <f t="shared" si="20"/>
        <v>90.168571625487942</v>
      </c>
      <c r="AC4" s="5">
        <f t="shared" ref="AC4:AC43" si="26">AA4+O4</f>
        <v>41.17125337595489</v>
      </c>
      <c r="AD4" s="6">
        <f t="shared" ref="AD4:AD43" si="27">AB4+P4</f>
        <v>90.022396312357131</v>
      </c>
      <c r="AF4" t="s">
        <v>144</v>
      </c>
      <c r="AG4">
        <v>100000</v>
      </c>
      <c r="AH4" s="12" t="s">
        <v>51</v>
      </c>
    </row>
    <row r="5" spans="1:34">
      <c r="A5" s="4">
        <v>1.2</v>
      </c>
      <c r="B5" s="21">
        <f t="shared" si="21"/>
        <v>158.48931924611136</v>
      </c>
      <c r="C5" s="14">
        <f t="shared" si="0"/>
        <v>3.1028002280974727E-5</v>
      </c>
      <c r="D5" s="5">
        <f t="shared" si="1"/>
        <v>-0.15314651749978173</v>
      </c>
      <c r="E5" s="5">
        <f t="shared" si="2"/>
        <v>-0.13960417291998523</v>
      </c>
      <c r="F5" s="5">
        <f t="shared" si="3"/>
        <v>-10.245087937781092</v>
      </c>
      <c r="G5" s="5">
        <f t="shared" si="4"/>
        <v>3.4188682228514049E-4</v>
      </c>
      <c r="H5" s="5">
        <f t="shared" si="5"/>
        <v>0.50835700048287891</v>
      </c>
      <c r="I5" s="5">
        <f t="shared" si="6"/>
        <v>-2.1368714911909467E-5</v>
      </c>
      <c r="J5" s="17">
        <f t="shared" si="7"/>
        <v>-0.12709237665780554</v>
      </c>
      <c r="K5" s="14">
        <f t="shared" si="8"/>
        <v>-33.595747136162764</v>
      </c>
      <c r="L5" s="5">
        <f t="shared" si="9"/>
        <v>-88.80224799177789</v>
      </c>
      <c r="M5" s="5">
        <f t="shared" si="10"/>
        <v>9.6341573889216978E-2</v>
      </c>
      <c r="N5" s="5">
        <f t="shared" si="11"/>
        <v>8.5179326844625489</v>
      </c>
      <c r="O5" s="5">
        <f t="shared" si="12"/>
        <v>-4.4800901861945527E-5</v>
      </c>
      <c r="P5" s="17">
        <f t="shared" si="13"/>
        <v>-0.18402358275385811</v>
      </c>
      <c r="Q5" s="5">
        <f t="shared" si="22"/>
        <v>-2.0844350508270566E-5</v>
      </c>
      <c r="R5" s="5">
        <f t="shared" si="23"/>
        <v>-0.12552334002254481</v>
      </c>
      <c r="S5" s="14">
        <f t="shared" si="14"/>
        <v>1.6876573537434375E-4</v>
      </c>
      <c r="T5" s="5">
        <f t="shared" si="15"/>
        <v>0.35716690333929518</v>
      </c>
      <c r="U5" s="5">
        <f t="shared" si="16"/>
        <v>-1.2621965032110215E-4</v>
      </c>
      <c r="V5" s="17">
        <f t="shared" si="17"/>
        <v>-0.35716865287654931</v>
      </c>
      <c r="W5" s="14">
        <v>0</v>
      </c>
      <c r="X5" s="17">
        <f t="shared" si="18"/>
        <v>-3.5660096830375056E-2</v>
      </c>
      <c r="Y5" s="14">
        <f t="shared" si="24"/>
        <v>-9.6900620560394827E-8</v>
      </c>
      <c r="Z5" s="17">
        <f t="shared" si="25"/>
        <v>-8.5584231756376181E-3</v>
      </c>
      <c r="AA5" s="5">
        <f t="shared" si="19"/>
        <v>39.156836014890104</v>
      </c>
      <c r="AB5" s="5">
        <f t="shared" si="20"/>
        <v>89.528971251663037</v>
      </c>
      <c r="AC5" s="5">
        <f t="shared" si="26"/>
        <v>39.156791213988242</v>
      </c>
      <c r="AD5" s="6">
        <f t="shared" si="27"/>
        <v>89.344947668909185</v>
      </c>
      <c r="AF5" t="s">
        <v>145</v>
      </c>
      <c r="AG5">
        <v>6.2599999999999996E-11</v>
      </c>
      <c r="AH5" t="s">
        <v>9</v>
      </c>
    </row>
    <row r="6" spans="1:34">
      <c r="A6" s="4">
        <v>1.3</v>
      </c>
      <c r="B6" s="21">
        <f t="shared" si="21"/>
        <v>199.52623149688804</v>
      </c>
      <c r="C6" s="14">
        <f t="shared" si="0"/>
        <v>4.9175966844162805E-5</v>
      </c>
      <c r="D6" s="5">
        <f t="shared" si="1"/>
        <v>-0.19279977405543716</v>
      </c>
      <c r="E6" s="5">
        <f t="shared" si="2"/>
        <v>-0.21922493605975521</v>
      </c>
      <c r="F6" s="5">
        <f t="shared" si="3"/>
        <v>-12.818790833406622</v>
      </c>
      <c r="G6" s="5">
        <f t="shared" si="4"/>
        <v>5.418416233336907E-4</v>
      </c>
      <c r="H6" s="5">
        <f t="shared" si="5"/>
        <v>0.63997372422319554</v>
      </c>
      <c r="I6" s="5">
        <f t="shared" si="6"/>
        <v>-3.3867082061215217E-5</v>
      </c>
      <c r="J6" s="17">
        <f t="shared" si="7"/>
        <v>-0.15999966913432018</v>
      </c>
      <c r="K6" s="14">
        <f t="shared" si="8"/>
        <v>-35.595046776408182</v>
      </c>
      <c r="L6" s="5">
        <f t="shared" si="9"/>
        <v>-89.048540615299331</v>
      </c>
      <c r="M6" s="5">
        <f t="shared" si="10"/>
        <v>0.15171615562206517</v>
      </c>
      <c r="N6" s="5">
        <f t="shared" si="11"/>
        <v>10.677789638074399</v>
      </c>
      <c r="O6" s="5">
        <f t="shared" si="12"/>
        <v>-7.1004430167886256E-5</v>
      </c>
      <c r="P6" s="17">
        <f t="shared" si="13"/>
        <v>-0.23167149876035378</v>
      </c>
      <c r="Q6" s="5">
        <f t="shared" si="22"/>
        <v>-3.30360228520592E-5</v>
      </c>
      <c r="R6" s="5">
        <f t="shared" si="23"/>
        <v>-0.15802437465688313</v>
      </c>
      <c r="S6" s="14">
        <f t="shared" si="14"/>
        <v>2.6747262549834858E-4</v>
      </c>
      <c r="T6" s="5">
        <f t="shared" si="15"/>
        <v>0.44964308431875261</v>
      </c>
      <c r="U6" s="5">
        <f t="shared" si="16"/>
        <v>-2.0004306091732409E-4</v>
      </c>
      <c r="V6" s="17">
        <f t="shared" si="17"/>
        <v>-0.44964657503516664</v>
      </c>
      <c r="W6" s="14">
        <v>0</v>
      </c>
      <c r="X6" s="17">
        <f t="shared" si="18"/>
        <v>-4.4893402086799809E-2</v>
      </c>
      <c r="Y6" s="14">
        <f t="shared" si="24"/>
        <v>-1.535771340734222E-7</v>
      </c>
      <c r="Z6" s="17">
        <f t="shared" si="25"/>
        <v>-1.0774416373828727E-2</v>
      </c>
      <c r="AA6" s="5">
        <f t="shared" si="19"/>
        <v>37.133508432766902</v>
      </c>
      <c r="AB6" s="5">
        <f t="shared" si="20"/>
        <v>88.883936786567958</v>
      </c>
      <c r="AC6" s="5">
        <f t="shared" si="26"/>
        <v>37.133437428336734</v>
      </c>
      <c r="AD6" s="6">
        <f t="shared" si="27"/>
        <v>88.652265287807609</v>
      </c>
      <c r="AF6" t="s">
        <v>147</v>
      </c>
      <c r="AG6">
        <f>0.1*MIN(Vin, Vout)</f>
        <v>0.27999999999999997</v>
      </c>
      <c r="AH6" t="s">
        <v>3</v>
      </c>
    </row>
    <row r="7" spans="1:34">
      <c r="A7" s="4">
        <v>1.4</v>
      </c>
      <c r="B7" s="21">
        <f t="shared" si="21"/>
        <v>251.188643150958</v>
      </c>
      <c r="C7" s="14">
        <f t="shared" si="0"/>
        <v>7.7938396999263838E-5</v>
      </c>
      <c r="D7" s="5">
        <f t="shared" si="1"/>
        <v>-0.24271999911671835</v>
      </c>
      <c r="E7" s="5">
        <f t="shared" si="2"/>
        <v>-0.34249938720314121</v>
      </c>
      <c r="F7" s="5">
        <f t="shared" si="3"/>
        <v>-15.984628181129503</v>
      </c>
      <c r="G7" s="5">
        <f t="shared" si="4"/>
        <v>8.5872976968029825E-4</v>
      </c>
      <c r="H7" s="5">
        <f t="shared" si="5"/>
        <v>0.80565958834141116</v>
      </c>
      <c r="I7" s="5">
        <f t="shared" si="6"/>
        <v>-5.36755853998629E-5</v>
      </c>
      <c r="J7" s="17">
        <f t="shared" si="7"/>
        <v>-0.2014273431093731</v>
      </c>
      <c r="K7" s="14">
        <f t="shared" si="8"/>
        <v>-37.594604821157532</v>
      </c>
      <c r="L7" s="5">
        <f t="shared" si="9"/>
        <v>-89.244203308584247</v>
      </c>
      <c r="M7" s="5">
        <f t="shared" si="10"/>
        <v>0.23805782393660174</v>
      </c>
      <c r="N7" s="5">
        <f t="shared" si="11"/>
        <v>13.353223073585553</v>
      </c>
      <c r="O7" s="5">
        <f t="shared" si="12"/>
        <v>-1.1253389995201816E-4</v>
      </c>
      <c r="P7" s="17">
        <f t="shared" si="13"/>
        <v>-0.29165620731824643</v>
      </c>
      <c r="Q7" s="5">
        <f t="shared" si="22"/>
        <v>-5.2358451248504887E-5</v>
      </c>
      <c r="R7" s="5">
        <f t="shared" si="23"/>
        <v>-0.19894060589872517</v>
      </c>
      <c r="S7" s="14">
        <f t="shared" si="14"/>
        <v>4.2390790845322254E-4</v>
      </c>
      <c r="T7" s="5">
        <f t="shared" si="15"/>
        <v>0.56606030837128074</v>
      </c>
      <c r="U7" s="5">
        <f t="shared" si="16"/>
        <v>-3.1704285742296826E-4</v>
      </c>
      <c r="V7" s="17">
        <f t="shared" si="17"/>
        <v>-0.56606727304693971</v>
      </c>
      <c r="W7" s="14">
        <v>0</v>
      </c>
      <c r="X7" s="17">
        <f t="shared" si="18"/>
        <v>-5.6517444708965553E-2</v>
      </c>
      <c r="Y7" s="14">
        <f t="shared" si="24"/>
        <v>-2.4340335245430343E-7</v>
      </c>
      <c r="Z7" s="17">
        <f t="shared" si="25"/>
        <v>-1.3564186476746985E-2</v>
      </c>
      <c r="AA7" s="5">
        <f t="shared" si="19"/>
        <v>35.097363470493697</v>
      </c>
      <c r="AB7" s="5">
        <f t="shared" si="20"/>
        <v>88.216874628227046</v>
      </c>
      <c r="AC7" s="5">
        <f t="shared" si="26"/>
        <v>35.097250936593746</v>
      </c>
      <c r="AD7" s="6">
        <f t="shared" si="27"/>
        <v>87.925218420908806</v>
      </c>
    </row>
    <row r="8" spans="1:34">
      <c r="A8" s="4">
        <v>1.5</v>
      </c>
      <c r="B8" s="21">
        <f t="shared" si="21"/>
        <v>316.22776601683802</v>
      </c>
      <c r="C8" s="14">
        <f t="shared" si="0"/>
        <v>1.2352338655927361E-4</v>
      </c>
      <c r="D8" s="5">
        <f t="shared" si="1"/>
        <v>-0.30556530572857871</v>
      </c>
      <c r="E8" s="5">
        <f t="shared" si="2"/>
        <v>-0.53097963325983755</v>
      </c>
      <c r="F8" s="5">
        <f t="shared" si="3"/>
        <v>-19.83059949469326</v>
      </c>
      <c r="G8" s="5">
        <f t="shared" si="4"/>
        <v>1.3609162772804724E-3</v>
      </c>
      <c r="H8" s="5">
        <f t="shared" si="5"/>
        <v>1.0142262343549342</v>
      </c>
      <c r="I8" s="5">
        <f t="shared" si="6"/>
        <v>-8.5069762421644896E-5</v>
      </c>
      <c r="J8" s="17">
        <f t="shared" si="7"/>
        <v>-0.25358138984081274</v>
      </c>
      <c r="K8" s="14">
        <f t="shared" si="8"/>
        <v>-39.594325943103279</v>
      </c>
      <c r="L8" s="5">
        <f t="shared" si="9"/>
        <v>-89.399636497602003</v>
      </c>
      <c r="M8" s="5">
        <f t="shared" si="10"/>
        <v>0.37147827479740336</v>
      </c>
      <c r="N8" s="5">
        <f t="shared" si="11"/>
        <v>16.637850500208245</v>
      </c>
      <c r="O8" s="5">
        <f t="shared" si="12"/>
        <v>-1.7835286044123275E-4</v>
      </c>
      <c r="P8" s="17">
        <f t="shared" si="13"/>
        <v>-0.36717155601318502</v>
      </c>
      <c r="Q8" s="5">
        <f t="shared" si="22"/>
        <v>-8.298226038036435E-5</v>
      </c>
      <c r="R8" s="5">
        <f t="shared" si="23"/>
        <v>-0.2504507955260869</v>
      </c>
      <c r="S8" s="14">
        <f t="shared" si="14"/>
        <v>6.7182958160482906E-4</v>
      </c>
      <c r="T8" s="5">
        <f t="shared" si="15"/>
        <v>0.7126141463447041</v>
      </c>
      <c r="U8" s="5">
        <f t="shared" si="16"/>
        <v>-5.0246894896396486E-4</v>
      </c>
      <c r="V8" s="17">
        <f t="shared" si="17"/>
        <v>-0.71262804200629659</v>
      </c>
      <c r="W8" s="14">
        <v>0</v>
      </c>
      <c r="X8" s="17">
        <f t="shared" si="18"/>
        <v>-7.1151247353788555E-2</v>
      </c>
      <c r="Y8" s="14">
        <f t="shared" si="24"/>
        <v>-3.8576830887491155E-7</v>
      </c>
      <c r="Z8" s="17">
        <f t="shared" si="25"/>
        <v>-1.7076298859300319E-2</v>
      </c>
      <c r="AA8" s="5">
        <f t="shared" si="19"/>
        <v>33.043130660079711</v>
      </c>
      <c r="AB8" s="5">
        <f t="shared" si="20"/>
        <v>87.524001809297758</v>
      </c>
      <c r="AC8" s="5">
        <f t="shared" si="26"/>
        <v>33.042952307219274</v>
      </c>
      <c r="AD8" s="6">
        <f t="shared" si="27"/>
        <v>87.156830253284568</v>
      </c>
    </row>
    <row r="9" spans="1:34">
      <c r="A9" s="4">
        <v>1.6</v>
      </c>
      <c r="B9" s="21">
        <f t="shared" si="21"/>
        <v>398.10717055349755</v>
      </c>
      <c r="C9" s="14">
        <f t="shared" si="0"/>
        <v>1.9576974610278848E-4</v>
      </c>
      <c r="D9" s="5">
        <f t="shared" si="1"/>
        <v>-0.3846817952239624</v>
      </c>
      <c r="E9" s="5">
        <f t="shared" si="2"/>
        <v>-0.81389299138569793</v>
      </c>
      <c r="F9" s="5">
        <f t="shared" si="3"/>
        <v>-24.418080651461178</v>
      </c>
      <c r="G9" s="5">
        <f t="shared" si="4"/>
        <v>2.1567093252992816E-3</v>
      </c>
      <c r="H9" s="5">
        <f t="shared" si="5"/>
        <v>1.2767571896155137</v>
      </c>
      <c r="I9" s="5">
        <f t="shared" si="6"/>
        <v>-1.348257150138023E-4</v>
      </c>
      <c r="J9" s="17">
        <f t="shared" si="7"/>
        <v>-0.31923883647769774</v>
      </c>
      <c r="K9" s="14">
        <f t="shared" si="8"/>
        <v>-41.594149973732115</v>
      </c>
      <c r="L9" s="5">
        <f t="shared" si="9"/>
        <v>-89.523107877938159</v>
      </c>
      <c r="M9" s="5">
        <f t="shared" si="10"/>
        <v>0.57488185264193103</v>
      </c>
      <c r="N9" s="5">
        <f t="shared" si="11"/>
        <v>20.616687266441911</v>
      </c>
      <c r="O9" s="5">
        <f t="shared" si="12"/>
        <v>-2.8266683960500948E-4</v>
      </c>
      <c r="P9" s="17">
        <f t="shared" si="13"/>
        <v>-0.46223790145333887</v>
      </c>
      <c r="Q9" s="5">
        <f t="shared" si="22"/>
        <v>-1.3151728467446024E-4</v>
      </c>
      <c r="R9" s="5">
        <f t="shared" si="23"/>
        <v>-0.31529769633857607</v>
      </c>
      <c r="S9" s="14">
        <f t="shared" si="14"/>
        <v>1.0647299653402055E-3</v>
      </c>
      <c r="T9" s="5">
        <f t="shared" si="15"/>
        <v>0.89710100333404108</v>
      </c>
      <c r="U9" s="5">
        <f t="shared" si="16"/>
        <v>-7.963342044797002E-4</v>
      </c>
      <c r="V9" s="17">
        <f t="shared" si="17"/>
        <v>-0.89712872663187893</v>
      </c>
      <c r="W9" s="14">
        <v>0</v>
      </c>
      <c r="X9" s="17">
        <f t="shared" si="18"/>
        <v>-8.9574113374536954E-2</v>
      </c>
      <c r="Y9" s="14">
        <f t="shared" si="24"/>
        <v>-6.1140154962446974E-7</v>
      </c>
      <c r="Z9" s="17">
        <f t="shared" si="25"/>
        <v>-2.149778620106645E-2</v>
      </c>
      <c r="AA9" s="5">
        <f t="shared" si="19"/>
        <v>30.964665407095193</v>
      </c>
      <c r="AB9" s="5">
        <f t="shared" si="20"/>
        <v>86.821937975744405</v>
      </c>
      <c r="AC9" s="5">
        <f t="shared" si="26"/>
        <v>30.964382740255587</v>
      </c>
      <c r="AD9" s="6">
        <f t="shared" si="27"/>
        <v>86.359700074291069</v>
      </c>
    </row>
    <row r="10" spans="1:34">
      <c r="A10" s="4">
        <v>1.7</v>
      </c>
      <c r="B10" s="21">
        <f t="shared" si="21"/>
        <v>501.18723362727235</v>
      </c>
      <c r="C10" s="14">
        <f t="shared" si="0"/>
        <v>3.1027004773934971E-4</v>
      </c>
      <c r="D10" s="5">
        <f t="shared" si="1"/>
        <v>-0.48428143143710728</v>
      </c>
      <c r="E10" s="5">
        <f t="shared" si="2"/>
        <v>-1.2276383018184867</v>
      </c>
      <c r="F10" s="5">
        <f t="shared" si="3"/>
        <v>-29.750254732771058</v>
      </c>
      <c r="G10" s="5">
        <f t="shared" si="4"/>
        <v>3.4176576903329928E-3</v>
      </c>
      <c r="H10" s="5">
        <f t="shared" si="5"/>
        <v>1.6071865041581366</v>
      </c>
      <c r="I10" s="5">
        <f t="shared" si="6"/>
        <v>-2.1368241790885707E-4</v>
      </c>
      <c r="J10" s="17">
        <f t="shared" si="7"/>
        <v>-0.40189545119058201</v>
      </c>
      <c r="K10" s="14">
        <f t="shared" si="8"/>
        <v>-43.594038940896233</v>
      </c>
      <c r="L10" s="5">
        <f t="shared" si="9"/>
        <v>-89.621187894249147</v>
      </c>
      <c r="M10" s="5">
        <f t="shared" si="10"/>
        <v>0.87892637836592502</v>
      </c>
      <c r="N10" s="5">
        <f t="shared" si="11"/>
        <v>25.343052224960712</v>
      </c>
      <c r="O10" s="5">
        <f t="shared" si="12"/>
        <v>-4.4798822291690598E-4</v>
      </c>
      <c r="P10" s="17">
        <f t="shared" si="13"/>
        <v>-0.58191565644345333</v>
      </c>
      <c r="Q10" s="5">
        <f t="shared" si="22"/>
        <v>-2.0843900322962698E-4</v>
      </c>
      <c r="R10" s="5">
        <f t="shared" si="23"/>
        <v>-0.39693393869951704</v>
      </c>
      <c r="S10" s="14">
        <f t="shared" si="14"/>
        <v>1.687362307627383E-3</v>
      </c>
      <c r="T10" s="5">
        <f t="shared" si="15"/>
        <v>1.1293292771845249</v>
      </c>
      <c r="U10" s="5">
        <f t="shared" si="16"/>
        <v>-1.2620408343761253E-3</v>
      </c>
      <c r="V10" s="17">
        <f t="shared" si="17"/>
        <v>-1.1293845855053994</v>
      </c>
      <c r="W10" s="14">
        <v>0</v>
      </c>
      <c r="X10" s="17">
        <f t="shared" si="18"/>
        <v>-0.11276712756613627</v>
      </c>
      <c r="Y10" s="14">
        <f t="shared" si="24"/>
        <v>-9.6900611538725013E-7</v>
      </c>
      <c r="Z10" s="17">
        <f t="shared" si="25"/>
        <v>-2.7064108603007456E-2</v>
      </c>
      <c r="AA10" s="5">
        <f t="shared" si="19"/>
        <v>28.856451893575326</v>
      </c>
      <c r="AB10" s="5">
        <f t="shared" si="20"/>
        <v>86.155798736281412</v>
      </c>
      <c r="AC10" s="5">
        <f t="shared" si="26"/>
        <v>28.856003905352409</v>
      </c>
      <c r="AD10" s="6">
        <f t="shared" si="27"/>
        <v>85.573883079837955</v>
      </c>
    </row>
    <row r="11" spans="1:34">
      <c r="A11" s="4">
        <v>1.8</v>
      </c>
      <c r="B11" s="21">
        <f t="shared" si="21"/>
        <v>630.95734448019368</v>
      </c>
      <c r="C11" s="14">
        <f t="shared" si="0"/>
        <v>4.9173461295889107E-4</v>
      </c>
      <c r="D11" s="5">
        <f t="shared" si="1"/>
        <v>-0.60966570895727734</v>
      </c>
      <c r="E11" s="5">
        <f t="shared" si="2"/>
        <v>-1.8119781540596736</v>
      </c>
      <c r="F11" s="5">
        <f t="shared" si="3"/>
        <v>-35.736622998529896</v>
      </c>
      <c r="G11" s="5">
        <f t="shared" si="4"/>
        <v>5.4153765388745201E-3</v>
      </c>
      <c r="H11" s="5">
        <f t="shared" si="5"/>
        <v>2.0230176752407392</v>
      </c>
      <c r="I11" s="5">
        <f t="shared" si="6"/>
        <v>-3.3865893662651429E-4</v>
      </c>
      <c r="J11" s="17">
        <f t="shared" si="7"/>
        <v>-0.50595154308372969</v>
      </c>
      <c r="K11" s="14">
        <f t="shared" si="8"/>
        <v>-45.59396888245233</v>
      </c>
      <c r="L11" s="5">
        <f t="shared" si="9"/>
        <v>-89.699097230733756</v>
      </c>
      <c r="M11" s="5">
        <f t="shared" si="10"/>
        <v>1.3210366684818939</v>
      </c>
      <c r="N11" s="5">
        <f t="shared" si="11"/>
        <v>30.805470550703049</v>
      </c>
      <c r="O11" s="5">
        <f t="shared" si="12"/>
        <v>-7.0999206758476027E-4</v>
      </c>
      <c r="P11" s="17">
        <f t="shared" si="13"/>
        <v>-0.73257367528921957</v>
      </c>
      <c r="Q11" s="5">
        <f t="shared" si="22"/>
        <v>-3.3034892060042185E-4</v>
      </c>
      <c r="R11" s="5">
        <f t="shared" si="23"/>
        <v>-0.49970554646103144</v>
      </c>
      <c r="S11" s="14">
        <f t="shared" si="14"/>
        <v>2.6739852561500342E-3</v>
      </c>
      <c r="T11" s="5">
        <f t="shared" si="15"/>
        <v>1.4216336592600793</v>
      </c>
      <c r="U11" s="5">
        <f t="shared" si="16"/>
        <v>-2.0000396340133066E-3</v>
      </c>
      <c r="V11" s="17">
        <f t="shared" si="17"/>
        <v>-1.4217439919592052</v>
      </c>
      <c r="W11" s="14">
        <v>0</v>
      </c>
      <c r="X11" s="17">
        <f t="shared" si="18"/>
        <v>-0.14196540250804357</v>
      </c>
      <c r="Y11" s="14">
        <f t="shared" si="24"/>
        <v>-1.5357710945554844E-6</v>
      </c>
      <c r="Z11" s="17">
        <f t="shared" si="25"/>
        <v>-3.4071692585736599E-2</v>
      </c>
      <c r="AA11" s="5">
        <f t="shared" si="19"/>
        <v>26.716472744255597</v>
      </c>
      <c r="AB11" s="5">
        <f t="shared" si="20"/>
        <v>85.601297770385187</v>
      </c>
      <c r="AC11" s="5">
        <f t="shared" si="26"/>
        <v>26.715762752188013</v>
      </c>
      <c r="AD11" s="6">
        <f t="shared" si="27"/>
        <v>84.86872409509597</v>
      </c>
    </row>
    <row r="12" spans="1:34">
      <c r="A12" s="4">
        <v>1.9</v>
      </c>
      <c r="B12" s="21">
        <f t="shared" si="21"/>
        <v>794.32823472428197</v>
      </c>
      <c r="C12" s="14">
        <f t="shared" si="0"/>
        <v>7.7932103650565573E-4</v>
      </c>
      <c r="D12" s="5">
        <f t="shared" si="1"/>
        <v>-0.76750671195605669</v>
      </c>
      <c r="E12" s="5">
        <f t="shared" si="2"/>
        <v>-2.6020619223890558</v>
      </c>
      <c r="F12" s="5">
        <f t="shared" si="3"/>
        <v>-42.171870968291707</v>
      </c>
      <c r="G12" s="5">
        <f t="shared" si="4"/>
        <v>8.5796664095239648E-3</v>
      </c>
      <c r="H12" s="5">
        <f t="shared" si="5"/>
        <v>2.5462097584524144</v>
      </c>
      <c r="I12" s="5">
        <f t="shared" si="6"/>
        <v>-5.3672600374885947E-4</v>
      </c>
      <c r="J12" s="17">
        <f t="shared" si="7"/>
        <v>-0.6369455715410276</v>
      </c>
      <c r="K12" s="14">
        <f t="shared" si="8"/>
        <v>-47.593924677981107</v>
      </c>
      <c r="L12" s="5">
        <f t="shared" si="9"/>
        <v>-89.760983623524837</v>
      </c>
      <c r="M12" s="5">
        <f t="shared" si="10"/>
        <v>1.9408400619279718</v>
      </c>
      <c r="N12" s="5">
        <f t="shared" si="11"/>
        <v>36.893105508014195</v>
      </c>
      <c r="O12" s="5">
        <f t="shared" si="12"/>
        <v>-1.1252078025910577E-3</v>
      </c>
      <c r="P12" s="17">
        <f t="shared" si="13"/>
        <v>-0.92222622412266508</v>
      </c>
      <c r="Q12" s="5">
        <f t="shared" si="22"/>
        <v>-5.2355610920028282E-4</v>
      </c>
      <c r="R12" s="5">
        <f t="shared" si="23"/>
        <v>-0.62908268187008598</v>
      </c>
      <c r="S12" s="14">
        <f t="shared" si="14"/>
        <v>4.2372182709462768E-3</v>
      </c>
      <c r="T12" s="5">
        <f t="shared" si="15"/>
        <v>1.7895159935178246</v>
      </c>
      <c r="U12" s="5">
        <f t="shared" si="16"/>
        <v>-3.1694466771172657E-3</v>
      </c>
      <c r="V12" s="17">
        <f t="shared" si="17"/>
        <v>-1.789736066947007</v>
      </c>
      <c r="W12" s="14">
        <v>0</v>
      </c>
      <c r="X12" s="17">
        <f t="shared" si="18"/>
        <v>-0.17872385281296346</v>
      </c>
      <c r="Y12" s="14">
        <f t="shared" si="24"/>
        <v>-2.4340329028339434E-6</v>
      </c>
      <c r="Z12" s="17">
        <f t="shared" si="25"/>
        <v>-4.2893716661751957E-2</v>
      </c>
      <c r="AA12" s="5">
        <f t="shared" si="19"/>
        <v>24.549690103591868</v>
      </c>
      <c r="AB12" s="5">
        <f t="shared" si="20"/>
        <v>85.251088066378983</v>
      </c>
      <c r="AC12" s="5">
        <f t="shared" si="26"/>
        <v>24.548564895789276</v>
      </c>
      <c r="AD12" s="6">
        <f t="shared" si="27"/>
        <v>84.328861842256316</v>
      </c>
    </row>
    <row r="13" spans="1:34">
      <c r="A13" s="4">
        <v>2</v>
      </c>
      <c r="B13" s="20">
        <f t="shared" si="21"/>
        <v>1000</v>
      </c>
      <c r="C13" s="14">
        <f t="shared" si="0"/>
        <v>1.2350757959950036E-3</v>
      </c>
      <c r="D13" s="5">
        <f t="shared" si="1"/>
        <v>-0.96619990364054553</v>
      </c>
      <c r="E13" s="5">
        <f t="shared" si="2"/>
        <v>-3.6182372942049694</v>
      </c>
      <c r="F13" s="5">
        <f t="shared" si="3"/>
        <v>-48.752906043761186</v>
      </c>
      <c r="G13" s="5">
        <f t="shared" si="4"/>
        <v>1.3590010065518181E-2</v>
      </c>
      <c r="H13" s="5">
        <f t="shared" si="5"/>
        <v>3.2042552899465742</v>
      </c>
      <c r="I13" s="5">
        <f t="shared" si="6"/>
        <v>-8.5062264779981974E-4</v>
      </c>
      <c r="J13" s="17">
        <f t="shared" si="7"/>
        <v>-0.8018476468180411</v>
      </c>
      <c r="K13" s="14">
        <f t="shared" si="8"/>
        <v>-49.593896786613811</v>
      </c>
      <c r="L13" s="5">
        <f t="shared" si="9"/>
        <v>-89.810142137167347</v>
      </c>
      <c r="M13" s="5">
        <f t="shared" si="10"/>
        <v>2.7715247749318941</v>
      </c>
      <c r="N13" s="5">
        <f t="shared" si="11"/>
        <v>43.37997222520292</v>
      </c>
      <c r="O13" s="5">
        <f t="shared" si="12"/>
        <v>-1.7831990892278079E-3</v>
      </c>
      <c r="P13" s="17">
        <f t="shared" si="13"/>
        <v>-1.1609553934935473</v>
      </c>
      <c r="Q13" s="5">
        <f t="shared" si="22"/>
        <v>-8.2975126166051334E-4</v>
      </c>
      <c r="R13" s="5">
        <f t="shared" si="23"/>
        <v>-0.79194956183949483</v>
      </c>
      <c r="S13" s="14">
        <f t="shared" si="14"/>
        <v>6.71362361830117E-3</v>
      </c>
      <c r="T13" s="5">
        <f t="shared" si="15"/>
        <v>2.2524389227607688</v>
      </c>
      <c r="U13" s="5">
        <f t="shared" si="16"/>
        <v>-5.0222238240248728E-3</v>
      </c>
      <c r="V13" s="17">
        <f t="shared" si="17"/>
        <v>-2.2528778081787046</v>
      </c>
      <c r="W13" s="14">
        <v>0</v>
      </c>
      <c r="X13" s="17">
        <f t="shared" si="18"/>
        <v>-0.22500000000000001</v>
      </c>
      <c r="Y13" s="14">
        <f t="shared" si="24"/>
        <v>-3.8576815424639383E-6</v>
      </c>
      <c r="Z13" s="17">
        <f t="shared" si="25"/>
        <v>-5.3999984011249391E-2</v>
      </c>
      <c r="AA13" s="5">
        <f t="shared" si="19"/>
        <v>22.36969554731796</v>
      </c>
      <c r="AB13" s="5">
        <f t="shared" si="20"/>
        <v>85.181743352493697</v>
      </c>
      <c r="AC13" s="5">
        <f t="shared" si="26"/>
        <v>22.367912348228732</v>
      </c>
      <c r="AD13" s="6">
        <f t="shared" si="27"/>
        <v>84.020787959000145</v>
      </c>
    </row>
    <row r="14" spans="1:34">
      <c r="A14" s="4">
        <v>2.1</v>
      </c>
      <c r="B14" s="21">
        <f t="shared" si="21"/>
        <v>1258.9254117941678</v>
      </c>
      <c r="C14" s="14">
        <f t="shared" si="0"/>
        <v>1.9573004565692164E-3</v>
      </c>
      <c r="D14" s="5">
        <f t="shared" si="1"/>
        <v>-1.2163061831464443</v>
      </c>
      <c r="E14" s="5">
        <f t="shared" si="2"/>
        <v>-4.8588689821442079</v>
      </c>
      <c r="F14" s="5">
        <f t="shared" si="3"/>
        <v>-55.141403799836716</v>
      </c>
      <c r="G14" s="5">
        <f t="shared" si="4"/>
        <v>2.1519048253626809E-2</v>
      </c>
      <c r="H14" s="5">
        <f t="shared" si="5"/>
        <v>4.0314628884846266</v>
      </c>
      <c r="I14" s="5">
        <f t="shared" si="6"/>
        <v>-1.3480688336596166E-3</v>
      </c>
      <c r="J14" s="17">
        <f t="shared" si="7"/>
        <v>-1.0094278365656473</v>
      </c>
      <c r="K14" s="14">
        <f t="shared" si="8"/>
        <v>-51.593879188258612</v>
      </c>
      <c r="L14" s="5">
        <f t="shared" si="9"/>
        <v>-89.84919033526532</v>
      </c>
      <c r="M14" s="5">
        <f t="shared" si="10"/>
        <v>3.8297512608620412</v>
      </c>
      <c r="N14" s="5">
        <f t="shared" si="11"/>
        <v>49.950701597332291</v>
      </c>
      <c r="O14" s="5">
        <f t="shared" si="12"/>
        <v>-2.8258408370686284E-3</v>
      </c>
      <c r="P14" s="17">
        <f t="shared" si="13"/>
        <v>-1.4614392811553321</v>
      </c>
      <c r="Q14" s="5">
        <f t="shared" si="22"/>
        <v>-1.3149936580596211E-3</v>
      </c>
      <c r="R14" s="5">
        <f t="shared" si="23"/>
        <v>-0.99696829552674737</v>
      </c>
      <c r="S14" s="14">
        <f t="shared" si="14"/>
        <v>1.0635571396248425E-2</v>
      </c>
      <c r="T14" s="5">
        <f t="shared" si="15"/>
        <v>2.8347989096976138</v>
      </c>
      <c r="U14" s="5">
        <f t="shared" si="16"/>
        <v>-7.9571515498353777E-3</v>
      </c>
      <c r="V14" s="17">
        <f t="shared" si="17"/>
        <v>-2.8356739102109145</v>
      </c>
      <c r="W14" s="14">
        <v>0</v>
      </c>
      <c r="X14" s="17">
        <f t="shared" si="18"/>
        <v>-0.28325821765368775</v>
      </c>
      <c r="Y14" s="14">
        <f t="shared" si="24"/>
        <v>-6.1140116286050641E-6</v>
      </c>
      <c r="Z14" s="17">
        <f t="shared" si="25"/>
        <v>-6.7981940335143445E-2</v>
      </c>
      <c r="AA14" s="5">
        <f t="shared" si="19"/>
        <v>20.195961281652533</v>
      </c>
      <c r="AB14" s="5">
        <f t="shared" si="20"/>
        <v>85.416752876973916</v>
      </c>
      <c r="AC14" s="5">
        <f t="shared" si="26"/>
        <v>20.193135440815464</v>
      </c>
      <c r="AD14" s="6">
        <f t="shared" si="27"/>
        <v>83.955313595818581</v>
      </c>
    </row>
    <row r="15" spans="1:34">
      <c r="A15" s="4">
        <v>2.2000000000000002</v>
      </c>
      <c r="B15" s="21">
        <f t="shared" si="21"/>
        <v>1584.8931924611154</v>
      </c>
      <c r="C15" s="14">
        <f t="shared" si="0"/>
        <v>3.1017034399686335E-3</v>
      </c>
      <c r="D15" s="5">
        <f t="shared" si="1"/>
        <v>-1.5311042597923818</v>
      </c>
      <c r="E15" s="5">
        <f t="shared" si="2"/>
        <v>-6.3009497353412662</v>
      </c>
      <c r="F15" s="5">
        <f t="shared" si="3"/>
        <v>-61.045204046746775</v>
      </c>
      <c r="G15" s="5">
        <f t="shared" si="4"/>
        <v>3.4056148892940064E-2</v>
      </c>
      <c r="H15" s="5">
        <f t="shared" si="5"/>
        <v>5.070425505389939</v>
      </c>
      <c r="I15" s="5">
        <f t="shared" si="6"/>
        <v>-2.1363512124819729E-3</v>
      </c>
      <c r="J15" s="17">
        <f t="shared" si="7"/>
        <v>-1.2707174662840237</v>
      </c>
      <c r="K15" s="14">
        <f t="shared" si="8"/>
        <v>-53.593868084410452</v>
      </c>
      <c r="L15" s="5">
        <f t="shared" si="9"/>
        <v>-89.880207523138552</v>
      </c>
      <c r="M15" s="5">
        <f t="shared" si="10"/>
        <v>5.1096502539038005</v>
      </c>
      <c r="N15" s="5">
        <f t="shared" si="11"/>
        <v>56.269516760657268</v>
      </c>
      <c r="O15" s="5">
        <f t="shared" si="12"/>
        <v>-4.4778040748811093E-3</v>
      </c>
      <c r="P15" s="17">
        <f t="shared" si="13"/>
        <v>-1.8396097585090205</v>
      </c>
      <c r="Q15" s="5">
        <f t="shared" si="22"/>
        <v>-2.0839399890951221E-3</v>
      </c>
      <c r="R15" s="5">
        <f t="shared" si="23"/>
        <v>-1.2550346452872989</v>
      </c>
      <c r="S15" s="14">
        <f t="shared" si="14"/>
        <v>1.6844193916419007E-2</v>
      </c>
      <c r="T15" s="5">
        <f t="shared" si="15"/>
        <v>3.5670994346331484</v>
      </c>
      <c r="U15" s="5">
        <f t="shared" si="16"/>
        <v>-1.2604870360007864E-2</v>
      </c>
      <c r="V15" s="17">
        <f t="shared" si="17"/>
        <v>-3.5688431094319686</v>
      </c>
      <c r="W15" s="14">
        <v>0</v>
      </c>
      <c r="X15" s="17">
        <f t="shared" si="18"/>
        <v>-0.35660096830375099</v>
      </c>
      <c r="Y15" s="14">
        <f t="shared" si="24"/>
        <v>-9.6900514205164675E-6</v>
      </c>
      <c r="Z15" s="17">
        <f t="shared" si="25"/>
        <v>-8.5584168740588856E-2</v>
      </c>
      <c r="AA15" s="5">
        <f t="shared" si="19"/>
        <v>18.047472227928463</v>
      </c>
      <c r="AB15" s="5">
        <f t="shared" si="20"/>
        <v>85.913745512955018</v>
      </c>
      <c r="AC15" s="5">
        <f t="shared" si="26"/>
        <v>18.042994423853582</v>
      </c>
      <c r="AD15" s="6">
        <f t="shared" si="27"/>
        <v>84.07413575444599</v>
      </c>
    </row>
    <row r="16" spans="1:34">
      <c r="A16" s="7">
        <v>2.2999999999999998</v>
      </c>
      <c r="B16" s="22">
        <f t="shared" si="21"/>
        <v>1995.2623149688802</v>
      </c>
      <c r="C16" s="14">
        <f t="shared" si="0"/>
        <v>4.9148424516314805E-3</v>
      </c>
      <c r="D16" s="8">
        <f t="shared" si="1"/>
        <v>-1.9272778022428465</v>
      </c>
      <c r="E16" s="5">
        <f t="shared" si="2"/>
        <v>-7.9080679326880503</v>
      </c>
      <c r="F16" s="8">
        <f t="shared" si="3"/>
        <v>-66.275258433426217</v>
      </c>
      <c r="G16" s="5">
        <f t="shared" si="4"/>
        <v>5.3852275629874928E-2</v>
      </c>
      <c r="H16" s="5">
        <f t="shared" si="5"/>
        <v>6.3735829932224748</v>
      </c>
      <c r="I16" s="5">
        <f t="shared" si="6"/>
        <v>-3.3854015784515815E-3</v>
      </c>
      <c r="J16" s="17">
        <f t="shared" si="7"/>
        <v>-1.5995851398838961</v>
      </c>
      <c r="K16" s="14">
        <f t="shared" si="8"/>
        <v>-55.593861078341291</v>
      </c>
      <c r="L16" s="5">
        <f t="shared" si="9"/>
        <v>-89.904845402153356</v>
      </c>
      <c r="M16" s="5">
        <f t="shared" si="10"/>
        <v>6.5850071589062908</v>
      </c>
      <c r="N16" s="8">
        <f t="shared" si="11"/>
        <v>62.060225827940116</v>
      </c>
      <c r="O16" s="5">
        <f t="shared" si="12"/>
        <v>-7.0947028951213022E-3</v>
      </c>
      <c r="P16" s="17">
        <f t="shared" si="13"/>
        <v>-2.3154662718259891</v>
      </c>
      <c r="Q16" s="5">
        <f t="shared" si="22"/>
        <v>-3.302358981219515E-3</v>
      </c>
      <c r="R16" s="5">
        <f t="shared" si="23"/>
        <v>-1.5798472457547021</v>
      </c>
      <c r="S16" s="14">
        <f t="shared" si="14"/>
        <v>2.6666052486810102E-2</v>
      </c>
      <c r="T16" s="5">
        <f t="shared" si="15"/>
        <v>4.4873257931958337</v>
      </c>
      <c r="U16" s="5">
        <f t="shared" si="16"/>
        <v>-1.9961413716193342E-2</v>
      </c>
      <c r="V16" s="17">
        <f t="shared" si="17"/>
        <v>-4.4907980078917893</v>
      </c>
      <c r="W16" s="14">
        <v>0</v>
      </c>
      <c r="X16" s="17">
        <f t="shared" si="18"/>
        <v>-0.44893402086799805</v>
      </c>
      <c r="Y16" s="14">
        <f t="shared" si="24"/>
        <v>-1.5357686507960409E-5</v>
      </c>
      <c r="Z16" s="17">
        <f t="shared" si="25"/>
        <v>-0.10774403800536084</v>
      </c>
      <c r="AA16" s="5">
        <f t="shared" si="19"/>
        <v>15.937319385622947</v>
      </c>
      <c r="AB16" s="5">
        <f t="shared" si="20"/>
        <v>86.58684452413226</v>
      </c>
      <c r="AC16" s="5">
        <f t="shared" si="26"/>
        <v>15.930224682727825</v>
      </c>
      <c r="AD16" s="6">
        <f t="shared" si="27"/>
        <v>84.271378252306278</v>
      </c>
    </row>
    <row r="17" spans="1:30">
      <c r="A17" s="4">
        <v>2.4</v>
      </c>
      <c r="B17" s="21">
        <f t="shared" si="21"/>
        <v>2511.8864315095807</v>
      </c>
      <c r="C17" s="14">
        <f t="shared" si="0"/>
        <v>7.7869244605174963E-3</v>
      </c>
      <c r="D17" s="5">
        <f t="shared" si="1"/>
        <v>-2.4257641010980091</v>
      </c>
      <c r="E17" s="5">
        <f t="shared" si="2"/>
        <v>-9.6405446484989277</v>
      </c>
      <c r="F17" s="5">
        <f t="shared" si="3"/>
        <v>-70.756165919147605</v>
      </c>
      <c r="G17" s="5">
        <f t="shared" si="4"/>
        <v>8.5043348130799126E-2</v>
      </c>
      <c r="H17" s="5">
        <f t="shared" si="5"/>
        <v>8.0046385664912538</v>
      </c>
      <c r="I17" s="5">
        <f t="shared" si="6"/>
        <v>-5.3642774464042345E-3</v>
      </c>
      <c r="J17" s="17">
        <f t="shared" si="7"/>
        <v>-2.0134525047269878</v>
      </c>
      <c r="K17" s="14">
        <f t="shared" si="8"/>
        <v>-57.593856657804693</v>
      </c>
      <c r="L17" s="5">
        <f t="shared" si="9"/>
        <v>-89.924415990621782</v>
      </c>
      <c r="M17" s="5">
        <f t="shared" si="10"/>
        <v>8.2180822050772377</v>
      </c>
      <c r="N17" s="5">
        <f t="shared" si="11"/>
        <v>67.155212608290839</v>
      </c>
      <c r="O17" s="5">
        <f t="shared" si="12"/>
        <v>-1.1238980726075605E-2</v>
      </c>
      <c r="P17" s="17">
        <f t="shared" si="13"/>
        <v>-2.9140719985620525</v>
      </c>
      <c r="Q17" s="5">
        <f t="shared" si="22"/>
        <v>-5.2327230211146047E-3</v>
      </c>
      <c r="R17" s="5">
        <f t="shared" si="23"/>
        <v>-1.9886151489575756</v>
      </c>
      <c r="S17" s="14">
        <f t="shared" si="14"/>
        <v>4.2187291359481863E-2</v>
      </c>
      <c r="T17" s="5">
        <f t="shared" si="15"/>
        <v>5.6424754788682518</v>
      </c>
      <c r="U17" s="5">
        <f t="shared" si="16"/>
        <v>-3.1596733462752692E-2</v>
      </c>
      <c r="V17" s="17">
        <f t="shared" si="17"/>
        <v>-5.6493818314124349</v>
      </c>
      <c r="W17" s="14">
        <v>0</v>
      </c>
      <c r="X17" s="17">
        <f t="shared" si="18"/>
        <v>-0.5651744470896557</v>
      </c>
      <c r="Y17" s="14">
        <f t="shared" si="24"/>
        <v>-2.4340267629658012E-5</v>
      </c>
      <c r="Z17" s="17">
        <f t="shared" si="25"/>
        <v>-0.13564161389761448</v>
      </c>
      <c r="AA17" s="5">
        <f t="shared" si="19"/>
        <v>13.87195298766658</v>
      </c>
      <c r="AB17" s="5">
        <f t="shared" si="20"/>
        <v>87.343715096698659</v>
      </c>
      <c r="AC17" s="5">
        <f t="shared" si="26"/>
        <v>13.860714006940505</v>
      </c>
      <c r="AD17" s="6">
        <f t="shared" si="27"/>
        <v>84.429643098136609</v>
      </c>
    </row>
    <row r="18" spans="1:30">
      <c r="A18" s="4">
        <v>2.5</v>
      </c>
      <c r="B18" s="21">
        <f t="shared" si="21"/>
        <v>3162.2776601683827</v>
      </c>
      <c r="C18" s="14">
        <f t="shared" si="0"/>
        <v>1.2334980608960221E-2</v>
      </c>
      <c r="D18" s="5">
        <f t="shared" si="1"/>
        <v>-3.0527898982852948</v>
      </c>
      <c r="E18" s="5">
        <f t="shared" si="2"/>
        <v>-11.462855636611163</v>
      </c>
      <c r="F18" s="5">
        <f t="shared" si="3"/>
        <v>-74.501522154193069</v>
      </c>
      <c r="G18" s="5">
        <f t="shared" si="4"/>
        <v>0.13402352818211677</v>
      </c>
      <c r="H18" s="5">
        <f t="shared" si="5"/>
        <v>10.039303123774298</v>
      </c>
      <c r="I18" s="5">
        <f t="shared" si="6"/>
        <v>-8.4987385135337819E-3</v>
      </c>
      <c r="J18" s="17">
        <f t="shared" si="7"/>
        <v>-2.5341766514108848</v>
      </c>
      <c r="K18" s="14">
        <f t="shared" si="8"/>
        <v>-59.593853868632337</v>
      </c>
      <c r="L18" s="5">
        <f t="shared" si="9"/>
        <v>-89.939961474404356</v>
      </c>
      <c r="M18" s="5">
        <f t="shared" si="10"/>
        <v>9.9695280101731605</v>
      </c>
      <c r="N18" s="5">
        <f t="shared" si="11"/>
        <v>71.497918367204207</v>
      </c>
      <c r="O18" s="5">
        <f t="shared" si="12"/>
        <v>-1.7799128411977859E-2</v>
      </c>
      <c r="P18" s="17">
        <f t="shared" si="13"/>
        <v>-3.6667517566279511</v>
      </c>
      <c r="Q18" s="5">
        <f t="shared" si="22"/>
        <v>-8.2903873858568566E-3</v>
      </c>
      <c r="R18" s="5">
        <f t="shared" si="23"/>
        <v>-2.5029305556209982</v>
      </c>
      <c r="S18" s="14">
        <f t="shared" si="14"/>
        <v>6.6673731674115236E-2</v>
      </c>
      <c r="T18" s="5">
        <f t="shared" si="15"/>
        <v>7.0900957812013239</v>
      </c>
      <c r="U18" s="5">
        <f t="shared" si="16"/>
        <v>-4.997748243409917E-2</v>
      </c>
      <c r="V18" s="17">
        <f t="shared" si="17"/>
        <v>-7.1038079258945368</v>
      </c>
      <c r="W18" s="14">
        <v>0</v>
      </c>
      <c r="X18" s="17">
        <f t="shared" si="18"/>
        <v>-0.71151247353788616</v>
      </c>
      <c r="Y18" s="14">
        <f t="shared" si="24"/>
        <v>-3.8576661238921431E-5</v>
      </c>
      <c r="Z18" s="17">
        <f t="shared" si="25"/>
        <v>-0.1707624880428292</v>
      </c>
      <c r="AA18" s="5">
        <f t="shared" si="19"/>
        <v>11.854518159540177</v>
      </c>
      <c r="AB18" s="5">
        <f t="shared" si="20"/>
        <v>88.109853650789987</v>
      </c>
      <c r="AC18" s="5">
        <f t="shared" si="26"/>
        <v>11.836719031128199</v>
      </c>
      <c r="AD18" s="6">
        <f t="shared" si="27"/>
        <v>84.443101894162041</v>
      </c>
    </row>
    <row r="19" spans="1:30">
      <c r="A19" s="4">
        <v>2.6</v>
      </c>
      <c r="B19" s="21">
        <f t="shared" si="21"/>
        <v>3981.071705534976</v>
      </c>
      <c r="C19" s="14">
        <f t="shared" si="0"/>
        <v>1.9533421832779539E-2</v>
      </c>
      <c r="D19" s="5">
        <f t="shared" si="1"/>
        <v>-3.8411109379866821</v>
      </c>
      <c r="E19" s="5">
        <f t="shared" si="2"/>
        <v>-13.346881508358797</v>
      </c>
      <c r="F19" s="5">
        <f t="shared" si="3"/>
        <v>-77.578155031075426</v>
      </c>
      <c r="G19" s="5">
        <f t="shared" si="4"/>
        <v>0.21053778080816699</v>
      </c>
      <c r="H19" s="5">
        <f t="shared" si="5"/>
        <v>12.564338132131832</v>
      </c>
      <c r="I19" s="5">
        <f t="shared" si="6"/>
        <v>-1.3461895185418078E-2</v>
      </c>
      <c r="J19" s="17">
        <f t="shared" si="7"/>
        <v>-3.1891238901269405</v>
      </c>
      <c r="K19" s="14">
        <f t="shared" si="8"/>
        <v>-61.593852108782635</v>
      </c>
      <c r="L19" s="5">
        <f t="shared" si="9"/>
        <v>-89.952309697506465</v>
      </c>
      <c r="M19" s="5">
        <f t="shared" si="10"/>
        <v>11.805050702691641</v>
      </c>
      <c r="N19" s="5">
        <f t="shared" si="11"/>
        <v>75.114385227372637</v>
      </c>
      <c r="O19" s="5">
        <f t="shared" si="12"/>
        <v>-2.8176006232282023E-2</v>
      </c>
      <c r="P19" s="17">
        <f t="shared" si="13"/>
        <v>-4.6124892681992247</v>
      </c>
      <c r="Q19" s="5">
        <f t="shared" si="22"/>
        <v>-1.3132053444384607E-2</v>
      </c>
      <c r="R19" s="5">
        <f t="shared" si="23"/>
        <v>-3.1498317638413829</v>
      </c>
      <c r="S19" s="14">
        <f t="shared" si="14"/>
        <v>0.10520152134001419</v>
      </c>
      <c r="T19" s="5">
        <f t="shared" si="15"/>
        <v>8.8994764017017314</v>
      </c>
      <c r="U19" s="5">
        <f t="shared" si="16"/>
        <v>-7.8959635872176429E-2</v>
      </c>
      <c r="V19" s="17">
        <f t="shared" si="17"/>
        <v>-8.9266239054843055</v>
      </c>
      <c r="W19" s="14">
        <v>0</v>
      </c>
      <c r="X19" s="17">
        <f t="shared" si="18"/>
        <v>-0.89574113374536957</v>
      </c>
      <c r="Y19" s="14">
        <f t="shared" si="24"/>
        <v>-6.1139728964450081E-5</v>
      </c>
      <c r="Z19" s="17">
        <f t="shared" si="25"/>
        <v>-0.21497686328490972</v>
      </c>
      <c r="AA19" s="5">
        <f t="shared" si="19"/>
        <v>9.8894476844402845</v>
      </c>
      <c r="AB19" s="5">
        <f t="shared" si="20"/>
        <v>88.830326538154736</v>
      </c>
      <c r="AC19" s="5">
        <f t="shared" si="26"/>
        <v>9.8612716782080021</v>
      </c>
      <c r="AD19" s="6">
        <f t="shared" si="27"/>
        <v>84.21783726995551</v>
      </c>
    </row>
    <row r="20" spans="1:30">
      <c r="A20" s="4">
        <v>2.7</v>
      </c>
      <c r="B20" s="21">
        <f t="shared" si="21"/>
        <v>5011.8723362727269</v>
      </c>
      <c r="C20" s="14">
        <f t="shared" si="0"/>
        <v>3.0917798261403815E-2</v>
      </c>
      <c r="D20" s="5">
        <f t="shared" si="1"/>
        <v>-4.8314454168047387</v>
      </c>
      <c r="E20" s="5">
        <f t="shared" si="2"/>
        <v>-15.272080507462942</v>
      </c>
      <c r="F20" s="5">
        <f t="shared" si="3"/>
        <v>-80.075872251228603</v>
      </c>
      <c r="G20" s="5">
        <f t="shared" si="4"/>
        <v>0.32910924504907213</v>
      </c>
      <c r="H20" s="5">
        <f t="shared" si="5"/>
        <v>15.673086985440124</v>
      </c>
      <c r="I20" s="5">
        <f t="shared" si="6"/>
        <v>-2.1316368485448687E-2</v>
      </c>
      <c r="J20" s="17">
        <f t="shared" si="7"/>
        <v>-4.0124481685025488</v>
      </c>
      <c r="K20" s="14">
        <f t="shared" si="8"/>
        <v>-63.59385099839217</v>
      </c>
      <c r="L20" s="5">
        <f t="shared" si="9"/>
        <v>-89.962118242978349</v>
      </c>
      <c r="M20" s="5">
        <f t="shared" si="10"/>
        <v>13.697973087958186</v>
      </c>
      <c r="N20" s="5">
        <f t="shared" si="11"/>
        <v>78.077629462045778</v>
      </c>
      <c r="O20" s="5">
        <f t="shared" si="12"/>
        <v>-4.4571629233351437E-2</v>
      </c>
      <c r="P20" s="17">
        <f t="shared" si="13"/>
        <v>-5.7994690856920368</v>
      </c>
      <c r="Q20" s="5">
        <f t="shared" si="22"/>
        <v>-2.0794537616627883E-2</v>
      </c>
      <c r="R20" s="5">
        <f t="shared" si="23"/>
        <v>-3.9630705996733835</v>
      </c>
      <c r="S20" s="14">
        <f t="shared" si="14"/>
        <v>0.1655723436146086</v>
      </c>
      <c r="T20" s="5">
        <f t="shared" si="15"/>
        <v>11.151768288446663</v>
      </c>
      <c r="U20" s="5">
        <f t="shared" si="16"/>
        <v>-0.12452320699116298</v>
      </c>
      <c r="V20" s="17">
        <f t="shared" si="17"/>
        <v>-11.205278076345039</v>
      </c>
      <c r="W20" s="14">
        <v>0</v>
      </c>
      <c r="X20" s="17">
        <f t="shared" si="18"/>
        <v>-1.1276712756613636</v>
      </c>
      <c r="Y20" s="14">
        <f t="shared" si="24"/>
        <v>-9.6899541286150974E-5</v>
      </c>
      <c r="Z20" s="17">
        <f t="shared" si="25"/>
        <v>-0.27063909332015651</v>
      </c>
      <c r="AA20" s="5">
        <f t="shared" si="19"/>
        <v>7.9863825555336838</v>
      </c>
      <c r="AB20" s="5">
        <f t="shared" si="20"/>
        <v>89.453941611418372</v>
      </c>
      <c r="AC20" s="5">
        <f t="shared" si="26"/>
        <v>7.9418109263003327</v>
      </c>
      <c r="AD20" s="6">
        <f t="shared" si="27"/>
        <v>83.654472525726334</v>
      </c>
    </row>
    <row r="21" spans="1:30">
      <c r="A21" s="4">
        <v>2.8</v>
      </c>
      <c r="B21" s="21">
        <f t="shared" si="21"/>
        <v>6309.5734448019321</v>
      </c>
      <c r="C21" s="14">
        <f t="shared" si="0"/>
        <v>4.889991186500442E-2</v>
      </c>
      <c r="D21" s="5">
        <f t="shared" si="1"/>
        <v>-6.0740300955570659</v>
      </c>
      <c r="E21" s="5">
        <f t="shared" si="2"/>
        <v>-17.224212646385453</v>
      </c>
      <c r="F21" s="5">
        <f t="shared" si="3"/>
        <v>-82.087874256448586</v>
      </c>
      <c r="G21" s="5">
        <f t="shared" si="4"/>
        <v>0.51064275564817607</v>
      </c>
      <c r="H21" s="5">
        <f t="shared" si="5"/>
        <v>19.454748443484661</v>
      </c>
      <c r="I21" s="5">
        <f t="shared" si="6"/>
        <v>-3.3735844739716671E-2</v>
      </c>
      <c r="J21" s="17">
        <f t="shared" si="7"/>
        <v>-5.0465560719965126</v>
      </c>
      <c r="K21" s="14">
        <f t="shared" si="8"/>
        <v>-65.593850297783007</v>
      </c>
      <c r="L21" s="5">
        <f t="shared" si="9"/>
        <v>-89.969909449198653</v>
      </c>
      <c r="M21" s="5">
        <f t="shared" si="10"/>
        <v>15.629027530648186</v>
      </c>
      <c r="N21" s="5">
        <f t="shared" si="11"/>
        <v>80.479237681922228</v>
      </c>
      <c r="O21" s="5">
        <f t="shared" si="12"/>
        <v>-7.0430812240361337E-2</v>
      </c>
      <c r="P21" s="17">
        <f t="shared" si="13"/>
        <v>-7.2865968848636307</v>
      </c>
      <c r="Q21" s="5">
        <f t="shared" si="22"/>
        <v>-3.2911131508391096E-2</v>
      </c>
      <c r="R21" s="5">
        <f t="shared" si="23"/>
        <v>-4.9845687419598743</v>
      </c>
      <c r="S21" s="14">
        <f t="shared" si="14"/>
        <v>0.25956714409122583</v>
      </c>
      <c r="T21" s="5">
        <f t="shared" si="15"/>
        <v>13.937669267292851</v>
      </c>
      <c r="U21" s="5">
        <f t="shared" si="16"/>
        <v>-0.19582705115670129</v>
      </c>
      <c r="V21" s="17">
        <f t="shared" si="17"/>
        <v>-14.042422751296472</v>
      </c>
      <c r="W21" s="14">
        <v>0</v>
      </c>
      <c r="X21" s="17">
        <f t="shared" si="18"/>
        <v>-1.4196540250804348</v>
      </c>
      <c r="Y21" s="14">
        <f t="shared" si="24"/>
        <v>-1.5357442126543266E-4</v>
      </c>
      <c r="Z21" s="17">
        <f t="shared" si="25"/>
        <v>-0.34071294990980416</v>
      </c>
      <c r="AA21" s="5">
        <f t="shared" si="19"/>
        <v>6.1629193953981112</v>
      </c>
      <c r="AB21" s="5">
        <f t="shared" si="20"/>
        <v>89.905927051252348</v>
      </c>
      <c r="AC21" s="5">
        <f t="shared" si="26"/>
        <v>6.09248858315775</v>
      </c>
      <c r="AD21" s="6">
        <f t="shared" si="27"/>
        <v>82.619330166388721</v>
      </c>
    </row>
    <row r="22" spans="1:30">
      <c r="A22" s="4">
        <v>2.9</v>
      </c>
      <c r="B22" s="21">
        <f t="shared" si="21"/>
        <v>7943.2823472428208</v>
      </c>
      <c r="C22" s="14">
        <f t="shared" si="0"/>
        <v>7.7247999470125214E-2</v>
      </c>
      <c r="D22" s="5">
        <f t="shared" si="1"/>
        <v>-7.6300990189269271</v>
      </c>
      <c r="E22" s="5">
        <f t="shared" si="2"/>
        <v>-19.193736325454335</v>
      </c>
      <c r="F22" s="5">
        <f t="shared" si="3"/>
        <v>-83.70042612587028</v>
      </c>
      <c r="G22" s="5">
        <f t="shared" si="4"/>
        <v>0.78365957076417814</v>
      </c>
      <c r="H22" s="5">
        <f t="shared" si="5"/>
        <v>23.974246732332173</v>
      </c>
      <c r="I22" s="5">
        <f t="shared" si="6"/>
        <v>-5.3346925700379841E-2</v>
      </c>
      <c r="J22" s="17">
        <f t="shared" si="7"/>
        <v>-6.3436691814407169</v>
      </c>
      <c r="K22" s="14">
        <f t="shared" si="8"/>
        <v>-67.59384985572845</v>
      </c>
      <c r="L22" s="5">
        <f t="shared" si="9"/>
        <v>-89.976098225089132</v>
      </c>
      <c r="M22" s="5">
        <f t="shared" si="10"/>
        <v>17.584955826228725</v>
      </c>
      <c r="N22" s="5">
        <f t="shared" si="11"/>
        <v>82.411687329531702</v>
      </c>
      <c r="O22" s="5">
        <f t="shared" si="12"/>
        <v>-0.11110204474178986</v>
      </c>
      <c r="P22" s="17">
        <f t="shared" si="13"/>
        <v>-9.1446115105574535</v>
      </c>
      <c r="Q22" s="5">
        <f t="shared" si="22"/>
        <v>-5.2045660904162988E-2</v>
      </c>
      <c r="R22" s="5">
        <f t="shared" si="23"/>
        <v>-6.2659790782400488</v>
      </c>
      <c r="S22" s="14">
        <f t="shared" si="14"/>
        <v>0.40449308178000021</v>
      </c>
      <c r="T22" s="5">
        <f t="shared" si="15"/>
        <v>17.350425989038623</v>
      </c>
      <c r="U22" s="5">
        <f t="shared" si="16"/>
        <v>-0.30662747873578355</v>
      </c>
      <c r="V22" s="17">
        <f t="shared" si="17"/>
        <v>-17.553373076965851</v>
      </c>
      <c r="W22" s="14">
        <v>0</v>
      </c>
      <c r="X22" s="17">
        <f t="shared" si="18"/>
        <v>-1.7872385281296348</v>
      </c>
      <c r="Y22" s="14">
        <f t="shared" si="24"/>
        <v>-2.4339653776593397E-4</v>
      </c>
      <c r="Z22" s="17">
        <f t="shared" si="25"/>
        <v>-0.4289292336586128</v>
      </c>
      <c r="AA22" s="5">
        <f t="shared" si="19"/>
        <v>4.4459794343221981</v>
      </c>
      <c r="AB22" s="5">
        <f t="shared" si="20"/>
        <v>90.050547582581302</v>
      </c>
      <c r="AC22" s="5">
        <f t="shared" si="26"/>
        <v>4.3348773895804085</v>
      </c>
      <c r="AD22" s="6">
        <f t="shared" si="27"/>
        <v>80.905936072023849</v>
      </c>
    </row>
    <row r="23" spans="1:30">
      <c r="A23" s="4">
        <v>3</v>
      </c>
      <c r="B23" s="20">
        <f t="shared" si="21"/>
        <v>10000</v>
      </c>
      <c r="C23" s="14">
        <f t="shared" si="0"/>
        <v>0.12180106332217422</v>
      </c>
      <c r="D23" s="5">
        <f t="shared" si="1"/>
        <v>-9.5728341916895872</v>
      </c>
      <c r="E23" s="5">
        <f t="shared" si="2"/>
        <v>-21.174396440744736</v>
      </c>
      <c r="F23" s="5">
        <f t="shared" si="3"/>
        <v>-84.988627498172804</v>
      </c>
      <c r="G23" s="5">
        <f t="shared" si="4"/>
        <v>1.184008663101169</v>
      </c>
      <c r="H23" s="5">
        <f t="shared" si="5"/>
        <v>29.241489842737749</v>
      </c>
      <c r="I23" s="5">
        <f t="shared" si="6"/>
        <v>-8.4248127579258952E-2</v>
      </c>
      <c r="J23" s="17">
        <f t="shared" si="7"/>
        <v>-7.9672475601322006</v>
      </c>
      <c r="K23" s="14">
        <f t="shared" si="8"/>
        <v>-69.593849576810854</v>
      </c>
      <c r="L23" s="5">
        <f t="shared" si="9"/>
        <v>-89.981014144921829</v>
      </c>
      <c r="M23" s="5">
        <f t="shared" si="10"/>
        <v>19.556916569058011</v>
      </c>
      <c r="N23" s="5">
        <f t="shared" si="11"/>
        <v>83.959378158134925</v>
      </c>
      <c r="O23" s="5">
        <f t="shared" si="12"/>
        <v>-0.17479142139423048</v>
      </c>
      <c r="P23" s="17">
        <f t="shared" si="13"/>
        <v>-11.455999118472409</v>
      </c>
      <c r="Q23" s="5">
        <f t="shared" si="22"/>
        <v>-8.2200208034019451E-2</v>
      </c>
      <c r="R23" s="5">
        <f t="shared" si="23"/>
        <v>-7.8701265958336517</v>
      </c>
      <c r="S23" s="14">
        <f t="shared" si="14"/>
        <v>0.62471589375774927</v>
      </c>
      <c r="T23" s="5">
        <f t="shared" si="15"/>
        <v>21.471073927769854</v>
      </c>
      <c r="U23" s="5">
        <f t="shared" si="16"/>
        <v>-0.47697022485930918</v>
      </c>
      <c r="V23" s="17">
        <f t="shared" si="17"/>
        <v>-21.85820403019985</v>
      </c>
      <c r="W23" s="14">
        <v>0</v>
      </c>
      <c r="X23" s="17">
        <f t="shared" si="18"/>
        <v>-2.25</v>
      </c>
      <c r="Y23" s="14">
        <f t="shared" si="24"/>
        <v>-3.8575119349709068E-4</v>
      </c>
      <c r="Z23" s="17">
        <f t="shared" si="25"/>
        <v>-0.53998401209295088</v>
      </c>
      <c r="AA23" s="5">
        <f t="shared" si="19"/>
        <v>2.8708644591574748</v>
      </c>
      <c r="AB23" s="5">
        <f t="shared" si="20"/>
        <v>89.643903895599649</v>
      </c>
      <c r="AC23" s="5">
        <f t="shared" si="26"/>
        <v>2.6960730377632443</v>
      </c>
      <c r="AD23" s="6">
        <f t="shared" si="27"/>
        <v>78.187904777127244</v>
      </c>
    </row>
    <row r="24" spans="1:30">
      <c r="A24" s="4">
        <v>3.1</v>
      </c>
      <c r="B24" s="21">
        <f t="shared" si="21"/>
        <v>12589.25411794168</v>
      </c>
      <c r="C24" s="14">
        <f t="shared" si="0"/>
        <v>0.19148982205430767</v>
      </c>
      <c r="D24" s="5">
        <f t="shared" si="1"/>
        <v>-11.98688714515057</v>
      </c>
      <c r="E24" s="5">
        <f t="shared" si="2"/>
        <v>-23.162149335632535</v>
      </c>
      <c r="F24" s="5">
        <f t="shared" si="3"/>
        <v>-86.01557861285076</v>
      </c>
      <c r="G24" s="5">
        <f t="shared" si="4"/>
        <v>1.7514172285728495</v>
      </c>
      <c r="H24" s="5">
        <f t="shared" si="5"/>
        <v>35.175664227292394</v>
      </c>
      <c r="I24" s="5">
        <f t="shared" si="6"/>
        <v>-0.13277725821637346</v>
      </c>
      <c r="J24" s="17">
        <f t="shared" si="7"/>
        <v>-9.9927561227008681</v>
      </c>
      <c r="K24" s="14">
        <f t="shared" si="8"/>
        <v>-71.593849400825761</v>
      </c>
      <c r="L24" s="5">
        <f t="shared" si="9"/>
        <v>-89.984918999047323</v>
      </c>
      <c r="M24" s="5">
        <f t="shared" si="10"/>
        <v>21.53913139268397</v>
      </c>
      <c r="N24" s="5">
        <f t="shared" si="11"/>
        <v>85.195201203307221</v>
      </c>
      <c r="O24" s="5">
        <f t="shared" si="12"/>
        <v>-0.27385721339570046</v>
      </c>
      <c r="P24" s="17">
        <f t="shared" si="13"/>
        <v>-14.312255011940183</v>
      </c>
      <c r="Q24" s="5">
        <f t="shared" si="22"/>
        <v>-0.12956716177017313</v>
      </c>
      <c r="R24" s="5">
        <f t="shared" si="23"/>
        <v>-9.8718305101423525</v>
      </c>
      <c r="S24" s="14">
        <f t="shared" si="14"/>
        <v>0.95236736694601143</v>
      </c>
      <c r="T24" s="5">
        <f t="shared" si="15"/>
        <v>26.343226364159168</v>
      </c>
      <c r="U24" s="5">
        <f t="shared" si="16"/>
        <v>-0.73474140367632279</v>
      </c>
      <c r="V24" s="17">
        <f t="shared" si="17"/>
        <v>-27.065320806162241</v>
      </c>
      <c r="W24" s="14">
        <v>0</v>
      </c>
      <c r="X24" s="17">
        <f t="shared" si="18"/>
        <v>-2.8325821765368779</v>
      </c>
      <c r="Y24" s="14">
        <f t="shared" si="24"/>
        <v>-6.1135856061658679E-4</v>
      </c>
      <c r="Z24" s="17">
        <f t="shared" si="25"/>
        <v>-0.67978782329471155</v>
      </c>
      <c r="AA24" s="5">
        <f t="shared" si="19"/>
        <v>1.4761824907154202</v>
      </c>
      <c r="AB24" s="5">
        <f t="shared" si="20"/>
        <v>88.284429598873047</v>
      </c>
      <c r="AC24" s="5">
        <f t="shared" si="26"/>
        <v>1.2023252773197197</v>
      </c>
      <c r="AD24" s="6">
        <f t="shared" si="27"/>
        <v>73.972174586932866</v>
      </c>
    </row>
    <row r="25" spans="1:30">
      <c r="A25" s="4">
        <v>3.2</v>
      </c>
      <c r="B25" s="21">
        <f t="shared" si="21"/>
        <v>15848.931924611155</v>
      </c>
      <c r="C25" s="14">
        <f t="shared" si="0"/>
        <v>0.29969830113122853</v>
      </c>
      <c r="D25" s="5">
        <f t="shared" si="1"/>
        <v>-14.964847984738622</v>
      </c>
      <c r="E25" s="5">
        <f t="shared" si="2"/>
        <v>-25.154404126527972</v>
      </c>
      <c r="F25" s="5">
        <f t="shared" si="3"/>
        <v>-86.833178592165396</v>
      </c>
      <c r="G25" s="5">
        <f t="shared" si="4"/>
        <v>2.5218639614287803</v>
      </c>
      <c r="H25" s="5">
        <f t="shared" si="5"/>
        <v>41.581798764671234</v>
      </c>
      <c r="I25" s="5">
        <f t="shared" si="6"/>
        <v>-0.20859691534808023</v>
      </c>
      <c r="J25" s="17">
        <f t="shared" si="7"/>
        <v>-12.506757684685619</v>
      </c>
      <c r="K25" s="14">
        <f t="shared" si="8"/>
        <v>-73.593849289786661</v>
      </c>
      <c r="L25" s="5">
        <f t="shared" si="9"/>
        <v>-89.988020735033288</v>
      </c>
      <c r="M25" s="5">
        <f t="shared" si="10"/>
        <v>23.527872113680676</v>
      </c>
      <c r="N25" s="5">
        <f t="shared" si="11"/>
        <v>86.180110475503469</v>
      </c>
      <c r="O25" s="5">
        <f t="shared" si="12"/>
        <v>-0.42637884483110561</v>
      </c>
      <c r="P25" s="17">
        <f t="shared" si="13"/>
        <v>-17.806127377934605</v>
      </c>
      <c r="Q25" s="5">
        <f t="shared" si="22"/>
        <v>-0.20359627491361529</v>
      </c>
      <c r="R25" s="5">
        <f t="shared" si="23"/>
        <v>-12.357125151353884</v>
      </c>
      <c r="S25" s="14">
        <f t="shared" si="14"/>
        <v>1.4257873001250014</v>
      </c>
      <c r="T25" s="5">
        <f t="shared" si="15"/>
        <v>31.938667423320322</v>
      </c>
      <c r="U25" s="5">
        <f t="shared" si="16"/>
        <v>-1.1161027277069708</v>
      </c>
      <c r="V25" s="17">
        <f t="shared" si="17"/>
        <v>-33.244480579650997</v>
      </c>
      <c r="W25" s="14">
        <v>0</v>
      </c>
      <c r="X25" s="17">
        <f t="shared" si="18"/>
        <v>-3.5660096830375099</v>
      </c>
      <c r="Y25" s="14">
        <f t="shared" si="24"/>
        <v>-9.6889813583300581E-4</v>
      </c>
      <c r="Z25" s="17">
        <f t="shared" si="25"/>
        <v>-0.85577868005241375</v>
      </c>
      <c r="AA25" s="5">
        <f t="shared" si="19"/>
        <v>0.29317604308661005</v>
      </c>
      <c r="AB25" s="5">
        <f t="shared" si="20"/>
        <v>85.384377572777296</v>
      </c>
      <c r="AC25" s="5">
        <f t="shared" si="26"/>
        <v>-0.13320280174449556</v>
      </c>
      <c r="AD25" s="6">
        <f t="shared" si="27"/>
        <v>67.578250194842695</v>
      </c>
    </row>
    <row r="26" spans="1:30">
      <c r="A26" s="7">
        <v>3.3</v>
      </c>
      <c r="B26" s="22">
        <f t="shared" si="21"/>
        <v>19952.623149688803</v>
      </c>
      <c r="C26" s="14">
        <f t="shared" si="0"/>
        <v>0.46585872565742947</v>
      </c>
      <c r="D26" s="8">
        <f t="shared" si="1"/>
        <v>-18.598104670503854</v>
      </c>
      <c r="E26" s="5">
        <f t="shared" si="2"/>
        <v>-27.149510113253463</v>
      </c>
      <c r="F26" s="8">
        <f t="shared" si="3"/>
        <v>-87.483558955626862</v>
      </c>
      <c r="G26" s="5">
        <f t="shared" si="4"/>
        <v>3.5174110427506537</v>
      </c>
      <c r="H26" s="5">
        <f t="shared" si="5"/>
        <v>48.163629690928317</v>
      </c>
      <c r="I26" s="5">
        <f t="shared" si="6"/>
        <v>-0.3261156647250304</v>
      </c>
      <c r="J26" s="17">
        <f t="shared" si="7"/>
        <v>-15.602541283142541</v>
      </c>
      <c r="K26" s="14">
        <f t="shared" si="8"/>
        <v>-75.593849219725712</v>
      </c>
      <c r="L26" s="5">
        <f t="shared" si="9"/>
        <v>-89.990484531554529</v>
      </c>
      <c r="M26" s="5">
        <f t="shared" si="10"/>
        <v>25.520752940189311</v>
      </c>
      <c r="N26" s="8">
        <f t="shared" si="11"/>
        <v>86.964094678699666</v>
      </c>
      <c r="O26" s="5">
        <f t="shared" si="12"/>
        <v>-0.65764550764210594</v>
      </c>
      <c r="P26" s="17">
        <f t="shared" si="13"/>
        <v>-22.015711803436648</v>
      </c>
      <c r="Q26" s="5">
        <f t="shared" si="22"/>
        <v>-0.31839935762967708</v>
      </c>
      <c r="R26" s="5">
        <f t="shared" si="23"/>
        <v>-15.419136699584552</v>
      </c>
      <c r="S26" s="14">
        <f t="shared" si="14"/>
        <v>2.0841379451638131</v>
      </c>
      <c r="T26" s="5">
        <f t="shared" si="15"/>
        <v>38.124515819904452</v>
      </c>
      <c r="U26" s="5">
        <f t="shared" si="16"/>
        <v>-1.6632751339086138</v>
      </c>
      <c r="V26" s="17">
        <f t="shared" si="17"/>
        <v>-40.392712609811994</v>
      </c>
      <c r="W26" s="14">
        <v>0</v>
      </c>
      <c r="X26" s="17">
        <f t="shared" si="18"/>
        <v>-4.4893402086799803</v>
      </c>
      <c r="Y26" s="14">
        <f t="shared" si="24"/>
        <v>-1.5354998871882511E-3</v>
      </c>
      <c r="Z26" s="17">
        <f t="shared" si="25"/>
        <v>-1.0773146737951071</v>
      </c>
      <c r="AA26" s="5">
        <f t="shared" si="19"/>
        <v>-0.6690517362284264</v>
      </c>
      <c r="AB26" s="5">
        <f t="shared" si="20"/>
        <v>80.199046556833025</v>
      </c>
      <c r="AC26" s="5">
        <f t="shared" si="26"/>
        <v>-1.3266972438705324</v>
      </c>
      <c r="AD26" s="6">
        <f t="shared" si="27"/>
        <v>58.18333475339638</v>
      </c>
    </row>
    <row r="27" spans="1:30">
      <c r="A27" s="4">
        <v>3.4</v>
      </c>
      <c r="B27" s="21">
        <f t="shared" si="21"/>
        <v>25118.864315095812</v>
      </c>
      <c r="C27" s="14">
        <f t="shared" si="0"/>
        <v>0.71683732900923658</v>
      </c>
      <c r="D27" s="5">
        <f t="shared" si="1"/>
        <v>-22.958917146671006</v>
      </c>
      <c r="E27" s="5">
        <f t="shared" si="2"/>
        <v>-29.146419359572398</v>
      </c>
      <c r="F27" s="5">
        <f t="shared" si="3"/>
        <v>-88.000645489093571</v>
      </c>
      <c r="G27" s="5">
        <f t="shared" si="4"/>
        <v>4.7385087529602883</v>
      </c>
      <c r="H27" s="5">
        <f t="shared" si="5"/>
        <v>54.582635484882864</v>
      </c>
      <c r="I27" s="5">
        <f t="shared" si="6"/>
        <v>-0.50609166559736618</v>
      </c>
      <c r="J27" s="17">
        <f t="shared" si="7"/>
        <v>-19.369557164963382</v>
      </c>
      <c r="K27" s="14">
        <f t="shared" si="8"/>
        <v>-77.593849175520248</v>
      </c>
      <c r="L27" s="5">
        <f t="shared" si="9"/>
        <v>-89.992441594721498</v>
      </c>
      <c r="M27" s="5">
        <f t="shared" si="10"/>
        <v>27.516255033310667</v>
      </c>
      <c r="N27" s="5">
        <f t="shared" si="11"/>
        <v>87.587661770223178</v>
      </c>
      <c r="O27" s="5">
        <f t="shared" si="12"/>
        <v>-1.0006789417279911</v>
      </c>
      <c r="P27" s="17">
        <f t="shared" si="13"/>
        <v>-26.977937235502413</v>
      </c>
      <c r="Q27" s="5">
        <f t="shared" si="22"/>
        <v>-0.49435315656678225</v>
      </c>
      <c r="R27" s="5">
        <f t="shared" si="23"/>
        <v>-19.147934569609838</v>
      </c>
      <c r="S27" s="14">
        <f t="shared" si="14"/>
        <v>2.9581587819233728</v>
      </c>
      <c r="T27" s="5">
        <f t="shared" si="15"/>
        <v>44.653973496748613</v>
      </c>
      <c r="U27" s="5">
        <f t="shared" si="16"/>
        <v>-2.4184101436848722</v>
      </c>
      <c r="V27" s="17">
        <f t="shared" si="17"/>
        <v>-48.407332976483488</v>
      </c>
      <c r="W27" s="14">
        <v>0</v>
      </c>
      <c r="X27" s="17">
        <f t="shared" si="18"/>
        <v>-5.6517444708965581</v>
      </c>
      <c r="Y27" s="14">
        <f t="shared" si="24"/>
        <v>-2.4333517528940802E-3</v>
      </c>
      <c r="Z27" s="17">
        <f t="shared" si="25"/>
        <v>-1.3561653534395415</v>
      </c>
      <c r="AA27" s="5">
        <f t="shared" si="19"/>
        <v>-1.4363243563509327</v>
      </c>
      <c r="AB27" s="5">
        <f t="shared" si="20"/>
        <v>71.939531985975776</v>
      </c>
      <c r="AC27" s="5">
        <f t="shared" si="26"/>
        <v>-2.437003298078924</v>
      </c>
      <c r="AD27" s="6">
        <f t="shared" si="27"/>
        <v>44.961594750473367</v>
      </c>
    </row>
    <row r="28" spans="1:30">
      <c r="A28" s="4">
        <v>3.5</v>
      </c>
      <c r="B28" s="21">
        <f t="shared" si="21"/>
        <v>31622.776601683803</v>
      </c>
      <c r="C28" s="14">
        <f t="shared" si="0"/>
        <v>1.0870947818044674</v>
      </c>
      <c r="D28" s="5">
        <f t="shared" si="1"/>
        <v>-28.071763817253178</v>
      </c>
      <c r="E28" s="5">
        <f t="shared" si="2"/>
        <v>-31.144468093462567</v>
      </c>
      <c r="F28" s="5">
        <f t="shared" si="3"/>
        <v>-88.411618362769616</v>
      </c>
      <c r="G28" s="5">
        <f t="shared" si="4"/>
        <v>6.1638271773298161</v>
      </c>
      <c r="H28" s="5">
        <f t="shared" si="5"/>
        <v>60.53954175789481</v>
      </c>
      <c r="I28" s="5">
        <f t="shared" si="6"/>
        <v>-0.77688432691150788</v>
      </c>
      <c r="J28" s="17">
        <f t="shared" si="7"/>
        <v>-23.873506087604966</v>
      </c>
      <c r="K28" s="14">
        <f t="shared" si="8"/>
        <v>-79.593849147628475</v>
      </c>
      <c r="L28" s="5">
        <f t="shared" si="9"/>
        <v>-89.993996145264944</v>
      </c>
      <c r="M28" s="5">
        <f t="shared" si="10"/>
        <v>29.513414647161447</v>
      </c>
      <c r="N28" s="5">
        <f t="shared" si="11"/>
        <v>88.083393762471474</v>
      </c>
      <c r="O28" s="5">
        <f t="shared" si="12"/>
        <v>-1.494288387041385</v>
      </c>
      <c r="P28" s="17">
        <f t="shared" si="13"/>
        <v>-32.653537063433816</v>
      </c>
      <c r="Q28" s="5">
        <f t="shared" si="22"/>
        <v>-0.75939306477023416</v>
      </c>
      <c r="R28" s="5">
        <f t="shared" si="23"/>
        <v>-23.611191258808496</v>
      </c>
      <c r="S28" s="14">
        <f t="shared" si="14"/>
        <v>4.0603993223843915</v>
      </c>
      <c r="T28" s="5">
        <f t="shared" si="15"/>
        <v>51.201378736991217</v>
      </c>
      <c r="U28" s="5">
        <f t="shared" si="16"/>
        <v>-3.4144842999686769</v>
      </c>
      <c r="V28" s="17">
        <f t="shared" si="17"/>
        <v>-57.08925132963693</v>
      </c>
      <c r="W28" s="14">
        <v>0</v>
      </c>
      <c r="X28" s="17">
        <f t="shared" si="18"/>
        <v>-7.1151247353788563</v>
      </c>
      <c r="Y28" s="14">
        <f t="shared" si="24"/>
        <v>-3.8559709495343516E-3</v>
      </c>
      <c r="Z28" s="17">
        <f t="shared" si="25"/>
        <v>-1.7071245968306352</v>
      </c>
      <c r="AA28" s="5">
        <f t="shared" si="19"/>
        <v>-2.072726375870809</v>
      </c>
      <c r="AB28" s="5">
        <f t="shared" si="20"/>
        <v>59.950737923809854</v>
      </c>
      <c r="AC28" s="5">
        <f t="shared" si="26"/>
        <v>-3.5670147629121942</v>
      </c>
      <c r="AD28" s="6">
        <f t="shared" si="27"/>
        <v>27.297200860376037</v>
      </c>
    </row>
    <row r="29" spans="1:30">
      <c r="A29" s="4">
        <v>3.6</v>
      </c>
      <c r="B29" s="21">
        <f t="shared" si="21"/>
        <v>39810.717055349771</v>
      </c>
      <c r="C29" s="14">
        <f t="shared" si="0"/>
        <v>1.6160355333323417</v>
      </c>
      <c r="D29" s="5">
        <f t="shared" si="1"/>
        <v>-33.877667293942991</v>
      </c>
      <c r="E29" s="5">
        <f t="shared" si="2"/>
        <v>-33.143236476538654</v>
      </c>
      <c r="F29" s="5">
        <f t="shared" si="3"/>
        <v>-88.7381843341484</v>
      </c>
      <c r="G29" s="5">
        <f t="shared" si="4"/>
        <v>7.7577350590134211</v>
      </c>
      <c r="H29" s="5">
        <f t="shared" si="5"/>
        <v>65.834898395902982</v>
      </c>
      <c r="I29" s="5">
        <f t="shared" si="6"/>
        <v>-1.174212838447219</v>
      </c>
      <c r="J29" s="17">
        <f t="shared" si="7"/>
        <v>-29.125793157302276</v>
      </c>
      <c r="K29" s="14">
        <f t="shared" si="8"/>
        <v>-81.593849130029966</v>
      </c>
      <c r="L29" s="5">
        <f t="shared" si="9"/>
        <v>-89.995230968660309</v>
      </c>
      <c r="M29" s="5">
        <f t="shared" si="10"/>
        <v>31.511621528352556</v>
      </c>
      <c r="N29" s="5">
        <f t="shared" si="11"/>
        <v>88.477375985497247</v>
      </c>
      <c r="O29" s="5">
        <f t="shared" si="12"/>
        <v>-2.1771698801410619</v>
      </c>
      <c r="P29" s="17">
        <f t="shared" si="13"/>
        <v>-38.895715946535283</v>
      </c>
      <c r="Q29" s="5">
        <f t="shared" si="22"/>
        <v>-1.1488919197553591</v>
      </c>
      <c r="R29" s="5">
        <f t="shared" si="23"/>
        <v>-28.824157997824511</v>
      </c>
      <c r="S29" s="14">
        <f t="shared" si="14"/>
        <v>5.3806221878008467</v>
      </c>
      <c r="T29" s="5">
        <f t="shared" si="15"/>
        <v>57.436688240465173</v>
      </c>
      <c r="U29" s="5">
        <f t="shared" si="16"/>
        <v>-4.6676562674600452</v>
      </c>
      <c r="V29" s="17">
        <f t="shared" si="17"/>
        <v>-66.19086014205007</v>
      </c>
      <c r="W29" s="14">
        <v>0</v>
      </c>
      <c r="X29" s="17">
        <f t="shared" si="18"/>
        <v>-8.9574113374536992</v>
      </c>
      <c r="Y29" s="14">
        <f t="shared" si="24"/>
        <v>-6.1097162988863829E-3</v>
      </c>
      <c r="Z29" s="17">
        <f t="shared" si="25"/>
        <v>-2.1487707497674631</v>
      </c>
      <c r="AA29" s="5">
        <f t="shared" si="19"/>
        <v>-2.6724694408909206</v>
      </c>
      <c r="AB29" s="5">
        <f t="shared" si="20"/>
        <v>43.890886640715685</v>
      </c>
      <c r="AC29" s="5">
        <f t="shared" si="26"/>
        <v>-4.849639321031983</v>
      </c>
      <c r="AD29" s="6">
        <f t="shared" si="27"/>
        <v>4.9951706941804019</v>
      </c>
    </row>
    <row r="30" spans="1:30">
      <c r="A30" s="4">
        <v>3.7</v>
      </c>
      <c r="B30" s="21">
        <f t="shared" si="21"/>
        <v>50118.723362727324</v>
      </c>
      <c r="C30" s="14">
        <f t="shared" si="0"/>
        <v>2.3412449648254481</v>
      </c>
      <c r="D30" s="5">
        <f t="shared" si="1"/>
        <v>-40.20618841811774</v>
      </c>
      <c r="E30" s="5">
        <f t="shared" si="2"/>
        <v>-35.142459199043451</v>
      </c>
      <c r="F30" s="5">
        <f t="shared" si="3"/>
        <v>-88.997644389442684</v>
      </c>
      <c r="G30" s="5">
        <f t="shared" si="4"/>
        <v>9.4804820449566094</v>
      </c>
      <c r="H30" s="5">
        <f t="shared" si="5"/>
        <v>70.383735198320466</v>
      </c>
      <c r="I30" s="5">
        <f t="shared" si="6"/>
        <v>-1.7377873570464899</v>
      </c>
      <c r="J30" s="17">
        <f t="shared" si="7"/>
        <v>-35.047793295960886</v>
      </c>
      <c r="K30" s="14">
        <f t="shared" si="8"/>
        <v>-83.593849118926073</v>
      </c>
      <c r="L30" s="5">
        <f t="shared" si="9"/>
        <v>-89.996211823751381</v>
      </c>
      <c r="M30" s="5">
        <f t="shared" si="10"/>
        <v>33.510489765820843</v>
      </c>
      <c r="N30" s="5">
        <f t="shared" si="11"/>
        <v>88.790431680563103</v>
      </c>
      <c r="O30" s="5">
        <f t="shared" si="12"/>
        <v>-3.078348284131494</v>
      </c>
      <c r="P30" s="17">
        <f t="shared" si="13"/>
        <v>-45.445394965073888</v>
      </c>
      <c r="Q30" s="5">
        <f t="shared" si="22"/>
        <v>-1.7024999496285151</v>
      </c>
      <c r="R30" s="5">
        <f t="shared" si="23"/>
        <v>-34.713888015181389</v>
      </c>
      <c r="S30" s="14">
        <f t="shared" si="14"/>
        <v>6.8895792197809245</v>
      </c>
      <c r="T30" s="5">
        <f t="shared" si="15"/>
        <v>63.102334182848118</v>
      </c>
      <c r="U30" s="5">
        <f t="shared" si="16"/>
        <v>-6.1766129743112046</v>
      </c>
      <c r="V30" s="17">
        <f t="shared" si="17"/>
        <v>-75.490801101628705</v>
      </c>
      <c r="W30" s="14">
        <v>0</v>
      </c>
      <c r="X30" s="17">
        <f t="shared" si="18"/>
        <v>-11.276712756613646</v>
      </c>
      <c r="Y30" s="14">
        <f t="shared" si="24"/>
        <v>-9.6792679566549498E-3</v>
      </c>
      <c r="Z30" s="17">
        <f t="shared" si="25"/>
        <v>-2.7044008864695801</v>
      </c>
      <c r="AA30" s="5">
        <f t="shared" si="19"/>
        <v>-3.3456192723885096</v>
      </c>
      <c r="AB30" s="5">
        <f t="shared" si="20"/>
        <v>23.842860374565682</v>
      </c>
      <c r="AC30" s="5">
        <f t="shared" si="26"/>
        <v>-6.4239675565200036</v>
      </c>
      <c r="AD30" s="6">
        <f t="shared" si="27"/>
        <v>-21.602534590508206</v>
      </c>
    </row>
    <row r="31" spans="1:30">
      <c r="A31" s="4">
        <v>3.8</v>
      </c>
      <c r="B31" s="21">
        <f t="shared" si="21"/>
        <v>63095.734448019386</v>
      </c>
      <c r="C31" s="14">
        <f t="shared" si="0"/>
        <v>3.288533768730761</v>
      </c>
      <c r="D31" s="5">
        <f t="shared" si="1"/>
        <v>-46.778934473011198</v>
      </c>
      <c r="E31" s="5">
        <f t="shared" si="2"/>
        <v>-37.141968698511327</v>
      </c>
      <c r="F31" s="5">
        <f t="shared" si="3"/>
        <v>-89.203770660976261</v>
      </c>
      <c r="G31" s="5">
        <f t="shared" si="4"/>
        <v>11.295978293206979</v>
      </c>
      <c r="H31" s="5">
        <f t="shared" si="5"/>
        <v>74.193093886273118</v>
      </c>
      <c r="I31" s="5">
        <f t="shared" si="6"/>
        <v>-2.5037643003622057</v>
      </c>
      <c r="J31" s="17">
        <f t="shared" si="7"/>
        <v>-41.446917793246321</v>
      </c>
      <c r="K31" s="14">
        <f t="shared" si="8"/>
        <v>-85.593849111919965</v>
      </c>
      <c r="L31" s="5">
        <f t="shared" si="9"/>
        <v>-89.996990944645987</v>
      </c>
      <c r="M31" s="5">
        <f t="shared" si="10"/>
        <v>35.509775520155841</v>
      </c>
      <c r="N31" s="5">
        <f t="shared" si="11"/>
        <v>89.039153056939256</v>
      </c>
      <c r="O31" s="5">
        <f t="shared" si="12"/>
        <v>-4.2077250873131202</v>
      </c>
      <c r="P31" s="17">
        <f t="shared" si="13"/>
        <v>-51.971973835731653</v>
      </c>
      <c r="Q31" s="5">
        <f t="shared" si="22"/>
        <v>-2.4568177055581373</v>
      </c>
      <c r="R31" s="5">
        <f t="shared" si="23"/>
        <v>-41.094052585212204</v>
      </c>
      <c r="S31" s="14">
        <f t="shared" si="14"/>
        <v>8.5485081303002488</v>
      </c>
      <c r="T31" s="5">
        <f t="shared" si="15"/>
        <v>68.053275016491853</v>
      </c>
      <c r="U31" s="5">
        <f t="shared" si="16"/>
        <v>-7.9302102623911965</v>
      </c>
      <c r="V31" s="17">
        <f t="shared" si="17"/>
        <v>-84.850637150490059</v>
      </c>
      <c r="W31" s="14">
        <v>0</v>
      </c>
      <c r="X31" s="17">
        <f t="shared" si="18"/>
        <v>-14.196540250804361</v>
      </c>
      <c r="Y31" s="14">
        <f t="shared" si="24"/>
        <v>-1.5330623196755964E-2</v>
      </c>
      <c r="Z31" s="17">
        <f t="shared" si="25"/>
        <v>-3.4031619653639114</v>
      </c>
      <c r="AA31" s="5">
        <f t="shared" si="19"/>
        <v>-4.2036723904057069</v>
      </c>
      <c r="AB31" s="5">
        <f t="shared" si="20"/>
        <v>0.31451613595394701</v>
      </c>
      <c r="AC31" s="5">
        <f t="shared" si="26"/>
        <v>-8.4113974777188272</v>
      </c>
      <c r="AD31" s="6">
        <f t="shared" si="27"/>
        <v>-51.657457699777709</v>
      </c>
    </row>
    <row r="32" spans="1:30">
      <c r="A32" s="4">
        <v>3.9</v>
      </c>
      <c r="B32" s="21">
        <f t="shared" si="21"/>
        <v>79432.82347242815</v>
      </c>
      <c r="C32" s="14">
        <f t="shared" si="0"/>
        <v>4.4632183256034077</v>
      </c>
      <c r="D32" s="5">
        <f t="shared" si="1"/>
        <v>-53.259630758086132</v>
      </c>
      <c r="E32" s="5">
        <f t="shared" si="2"/>
        <v>-39.141659185091584</v>
      </c>
      <c r="F32" s="5">
        <f t="shared" si="3"/>
        <v>-89.367517529286189</v>
      </c>
      <c r="G32" s="5">
        <f t="shared" si="4"/>
        <v>13.175397499323335</v>
      </c>
      <c r="H32" s="5">
        <f t="shared" si="5"/>
        <v>77.326398224513611</v>
      </c>
      <c r="I32" s="5">
        <f t="shared" si="6"/>
        <v>-3.4945891499836961</v>
      </c>
      <c r="J32" s="17">
        <f t="shared" si="7"/>
        <v>-48.028536926185396</v>
      </c>
      <c r="K32" s="14">
        <f t="shared" si="8"/>
        <v>-87.593849107499423</v>
      </c>
      <c r="L32" s="5">
        <f t="shared" si="9"/>
        <v>-89.997609822371643</v>
      </c>
      <c r="M32" s="5">
        <f t="shared" si="10"/>
        <v>37.509324801160382</v>
      </c>
      <c r="N32" s="5">
        <f t="shared" si="11"/>
        <v>89.236745739539245</v>
      </c>
      <c r="O32" s="5">
        <f t="shared" si="12"/>
        <v>-5.55242298435798</v>
      </c>
      <c r="P32" s="17">
        <f t="shared" si="13"/>
        <v>-58.150491202016866</v>
      </c>
      <c r="Q32" s="5">
        <f t="shared" si="22"/>
        <v>-3.4352776927370501</v>
      </c>
      <c r="R32" s="5">
        <f t="shared" si="23"/>
        <v>-47.674421686569886</v>
      </c>
      <c r="S32" s="14">
        <f t="shared" si="14"/>
        <v>10.318654123875486</v>
      </c>
      <c r="T32" s="5">
        <f t="shared" si="15"/>
        <v>72.251658554835927</v>
      </c>
      <c r="U32" s="5">
        <f t="shared" si="16"/>
        <v>-9.9186464642434569</v>
      </c>
      <c r="V32" s="17">
        <f t="shared" si="17"/>
        <v>-94.218365151411675</v>
      </c>
      <c r="W32" s="14">
        <v>0</v>
      </c>
      <c r="X32" s="17">
        <f t="shared" si="18"/>
        <v>-17.872385281296332</v>
      </c>
      <c r="Y32" s="14">
        <f t="shared" si="24"/>
        <v>-2.4272381071907167E-2</v>
      </c>
      <c r="Z32" s="17">
        <f t="shared" si="25"/>
        <v>-4.281385945012568</v>
      </c>
      <c r="AA32" s="5">
        <f t="shared" si="19"/>
        <v>-5.3462266315244555</v>
      </c>
      <c r="AB32" s="5">
        <f t="shared" si="20"/>
        <v>-25.885050581331051</v>
      </c>
      <c r="AC32" s="5">
        <f t="shared" si="26"/>
        <v>-10.898649615882436</v>
      </c>
      <c r="AD32" s="6">
        <f t="shared" si="27"/>
        <v>-84.035541783347924</v>
      </c>
    </row>
    <row r="33" spans="1:30">
      <c r="A33" s="4">
        <v>4</v>
      </c>
      <c r="B33" s="20">
        <f t="shared" si="21"/>
        <v>100000</v>
      </c>
      <c r="C33" s="14">
        <f t="shared" si="0"/>
        <v>5.848140557703938</v>
      </c>
      <c r="D33" s="5">
        <f t="shared" si="1"/>
        <v>-59.33438707279462</v>
      </c>
      <c r="E33" s="5">
        <f t="shared" si="2"/>
        <v>-41.141463883975803</v>
      </c>
      <c r="F33" s="5">
        <f t="shared" si="3"/>
        <v>-89.497593784474233</v>
      </c>
      <c r="G33" s="5">
        <f t="shared" si="4"/>
        <v>15.097556687730497</v>
      </c>
      <c r="H33" s="5">
        <f t="shared" si="5"/>
        <v>79.872349564346067</v>
      </c>
      <c r="I33" s="5">
        <f t="shared" si="6"/>
        <v>-4.7111896437746221</v>
      </c>
      <c r="J33" s="17">
        <f t="shared" si="7"/>
        <v>-54.454181630254816</v>
      </c>
      <c r="K33" s="14">
        <f t="shared" si="8"/>
        <v>-89.59384910471023</v>
      </c>
      <c r="L33" s="5">
        <f t="shared" si="9"/>
        <v>-89.998101414423388</v>
      </c>
      <c r="M33" s="5">
        <f t="shared" si="10"/>
        <v>39.50904039263002</v>
      </c>
      <c r="N33" s="5">
        <f t="shared" si="11"/>
        <v>89.393712355780664</v>
      </c>
      <c r="O33" s="5">
        <f t="shared" si="12"/>
        <v>-7.0814976005333552</v>
      </c>
      <c r="P33" s="17">
        <f t="shared" si="13"/>
        <v>-63.73572880927675</v>
      </c>
      <c r="Q33" s="5">
        <f t="shared" si="22"/>
        <v>-4.6400571362863383</v>
      </c>
      <c r="R33" s="5">
        <f t="shared" si="23"/>
        <v>-54.116835785734267</v>
      </c>
      <c r="S33" s="14">
        <f t="shared" si="14"/>
        <v>12.167105903024449</v>
      </c>
      <c r="T33" s="5">
        <f t="shared" si="15"/>
        <v>75.735281312304636</v>
      </c>
      <c r="U33" s="5">
        <f t="shared" si="16"/>
        <v>-12.141380881692239</v>
      </c>
      <c r="V33" s="17">
        <f t="shared" si="17"/>
        <v>-103.58017980248228</v>
      </c>
      <c r="W33" s="14">
        <v>0</v>
      </c>
      <c r="X33" s="17">
        <f t="shared" si="18"/>
        <v>-22.5</v>
      </c>
      <c r="Y33" s="14">
        <f t="shared" si="24"/>
        <v>-3.8406508311962344E-2</v>
      </c>
      <c r="Z33" s="17">
        <f t="shared" si="25"/>
        <v>-5.3840959173935685</v>
      </c>
      <c r="AA33" s="5">
        <f t="shared" si="19"/>
        <v>-6.8490310185222274</v>
      </c>
      <c r="AB33" s="5">
        <f t="shared" si="20"/>
        <v>-53.8640321751258</v>
      </c>
      <c r="AC33" s="5">
        <f t="shared" si="26"/>
        <v>-13.930528619055583</v>
      </c>
      <c r="AD33" s="6">
        <f t="shared" si="27"/>
        <v>-117.59976098440255</v>
      </c>
    </row>
    <row r="34" spans="1:30">
      <c r="A34" s="4">
        <v>4.0999999999999996</v>
      </c>
      <c r="B34" s="21">
        <f t="shared" si="21"/>
        <v>125892.54117941672</v>
      </c>
      <c r="C34" s="14">
        <f t="shared" si="0"/>
        <v>7.4098341248108355</v>
      </c>
      <c r="D34" s="5">
        <f t="shared" si="1"/>
        <v>-64.779891645838674</v>
      </c>
      <c r="E34" s="5">
        <f t="shared" si="2"/>
        <v>-43.141340652783313</v>
      </c>
      <c r="F34" s="5">
        <f t="shared" si="3"/>
        <v>-89.600920783064879</v>
      </c>
      <c r="G34" s="5">
        <f t="shared" si="4"/>
        <v>17.04771474948901</v>
      </c>
      <c r="H34" s="5">
        <f t="shared" si="5"/>
        <v>81.924381696680044</v>
      </c>
      <c r="I34" s="5">
        <f t="shared" si="6"/>
        <v>-6.1326290573294662</v>
      </c>
      <c r="J34" s="17">
        <f t="shared" si="7"/>
        <v>-60.423019421336484</v>
      </c>
      <c r="K34" s="14">
        <f t="shared" si="8"/>
        <v>-91.593849102950387</v>
      </c>
      <c r="L34" s="5">
        <f t="shared" si="9"/>
        <v>-89.998491899870245</v>
      </c>
      <c r="M34" s="5">
        <f t="shared" si="10"/>
        <v>41.508860933395219</v>
      </c>
      <c r="N34" s="5">
        <f t="shared" si="11"/>
        <v>89.518401972263248</v>
      </c>
      <c r="O34" s="5">
        <f t="shared" si="12"/>
        <v>-8.7557379478375985</v>
      </c>
      <c r="P34" s="17">
        <f t="shared" si="13"/>
        <v>-68.596542326963842</v>
      </c>
      <c r="Q34" s="5">
        <f t="shared" si="22"/>
        <v>-6.0512646860105228</v>
      </c>
      <c r="R34" s="5">
        <f t="shared" si="23"/>
        <v>-60.116510881720551</v>
      </c>
      <c r="S34" s="14">
        <f t="shared" si="14"/>
        <v>14.068690800228401</v>
      </c>
      <c r="T34" s="5">
        <f t="shared" si="15"/>
        <v>78.582628650439531</v>
      </c>
      <c r="U34" s="5">
        <f t="shared" si="16"/>
        <v>-14.607546394515591</v>
      </c>
      <c r="V34" s="17">
        <f t="shared" si="17"/>
        <v>-112.8906804731286</v>
      </c>
      <c r="W34" s="14">
        <v>0</v>
      </c>
      <c r="X34" s="17">
        <f t="shared" si="18"/>
        <v>-28.325821765368762</v>
      </c>
      <c r="Y34" s="14">
        <f t="shared" si="24"/>
        <v>-6.071378943837262E-2</v>
      </c>
      <c r="Z34" s="17">
        <f t="shared" si="25"/>
        <v>-6.7665622434197772</v>
      </c>
      <c r="AA34" s="5">
        <f t="shared" si="19"/>
        <v>-8.7567704759641245</v>
      </c>
      <c r="AB34" s="5">
        <f t="shared" si="20"/>
        <v>-82.876486794365121</v>
      </c>
      <c r="AC34" s="5">
        <f t="shared" si="26"/>
        <v>-17.512508423801723</v>
      </c>
      <c r="AD34" s="6">
        <f t="shared" si="27"/>
        <v>-151.47302912132898</v>
      </c>
    </row>
    <row r="35" spans="1:30">
      <c r="A35" s="4">
        <v>4.2</v>
      </c>
      <c r="B35" s="21">
        <f t="shared" si="21"/>
        <v>158489.31924611147</v>
      </c>
      <c r="C35" s="14">
        <f t="shared" si="0"/>
        <v>9.1086373835284977</v>
      </c>
      <c r="D35" s="5">
        <f t="shared" si="1"/>
        <v>-69.48801807907337</v>
      </c>
      <c r="E35" s="5">
        <f t="shared" si="2"/>
        <v>-45.141262897358146</v>
      </c>
      <c r="F35" s="5">
        <f t="shared" si="3"/>
        <v>-89.682998218241835</v>
      </c>
      <c r="G35" s="5">
        <f t="shared" si="4"/>
        <v>19.015969723462302</v>
      </c>
      <c r="H35" s="5">
        <f t="shared" si="5"/>
        <v>83.569625793138684</v>
      </c>
      <c r="I35" s="5">
        <f t="shared" si="6"/>
        <v>-7.7234668863992537</v>
      </c>
      <c r="J35" s="17">
        <f t="shared" si="7"/>
        <v>-65.733233310995018</v>
      </c>
      <c r="K35" s="14">
        <f t="shared" si="8"/>
        <v>-93.593849101839993</v>
      </c>
      <c r="L35" s="5">
        <f t="shared" si="9"/>
        <v>-89.998802073486047</v>
      </c>
      <c r="M35" s="5">
        <f t="shared" si="10"/>
        <v>43.508747698457299</v>
      </c>
      <c r="N35" s="5">
        <f t="shared" si="11"/>
        <v>89.617449763986698</v>
      </c>
      <c r="O35" s="5">
        <f t="shared" si="12"/>
        <v>-10.536868781791622</v>
      </c>
      <c r="P35" s="17">
        <f t="shared" si="13"/>
        <v>-72.706068447307828</v>
      </c>
      <c r="Q35" s="5">
        <f t="shared" si="22"/>
        <v>-7.6339808562719016</v>
      </c>
      <c r="R35" s="5">
        <f t="shared" si="23"/>
        <v>-65.465461788190765</v>
      </c>
      <c r="S35" s="14">
        <f t="shared" si="14"/>
        <v>16.005427605745226</v>
      </c>
      <c r="T35" s="5">
        <f t="shared" si="15"/>
        <v>80.886523372699529</v>
      </c>
      <c r="U35" s="5">
        <f t="shared" si="16"/>
        <v>-17.32865017934693</v>
      </c>
      <c r="V35" s="17">
        <f t="shared" si="17"/>
        <v>-122.02084924141282</v>
      </c>
      <c r="W35" s="14">
        <v>0</v>
      </c>
      <c r="X35" s="17">
        <f t="shared" si="18"/>
        <v>-35.660096830375075</v>
      </c>
      <c r="Y35" s="14">
        <f t="shared" si="24"/>
        <v>-9.5835405384645175E-2</v>
      </c>
      <c r="Z35" s="17">
        <f t="shared" si="25"/>
        <v>-8.4956096281859264</v>
      </c>
      <c r="AA35" s="5">
        <f t="shared" si="19"/>
        <v>-11.082790316267493</v>
      </c>
      <c r="AB35" s="5">
        <f t="shared" si="20"/>
        <v>-112.47147024013596</v>
      </c>
      <c r="AC35" s="5">
        <f t="shared" si="26"/>
        <v>-21.619659098059117</v>
      </c>
      <c r="AD35" s="6">
        <f t="shared" si="27"/>
        <v>-185.17753868744379</v>
      </c>
    </row>
    <row r="36" spans="1:30">
      <c r="A36" s="4">
        <v>4.3</v>
      </c>
      <c r="B36" s="21">
        <f t="shared" si="21"/>
        <v>199526.23149688792</v>
      </c>
      <c r="C36" s="14">
        <f t="shared" si="0"/>
        <v>10.907252212098415</v>
      </c>
      <c r="D36" s="5">
        <f t="shared" si="1"/>
        <v>-73.449287626129347</v>
      </c>
      <c r="E36" s="5">
        <f t="shared" si="2"/>
        <v>-47.14121383628526</v>
      </c>
      <c r="F36" s="5">
        <f t="shared" si="3"/>
        <v>-89.748195586101417</v>
      </c>
      <c r="G36" s="5">
        <f t="shared" si="4"/>
        <v>20.995819911080808</v>
      </c>
      <c r="H36" s="5">
        <f t="shared" si="5"/>
        <v>84.884255692602665</v>
      </c>
      <c r="I36" s="5">
        <f t="shared" si="6"/>
        <v>-9.4439453280372021</v>
      </c>
      <c r="J36" s="17">
        <f t="shared" si="7"/>
        <v>-70.297633743048692</v>
      </c>
      <c r="K36" s="14">
        <f t="shared" si="8"/>
        <v>-95.593849101139369</v>
      </c>
      <c r="L36" s="5">
        <f t="shared" si="9"/>
        <v>-89.999048453146798</v>
      </c>
      <c r="M36" s="5">
        <f t="shared" si="10"/>
        <v>45.508676250522413</v>
      </c>
      <c r="N36" s="5">
        <f t="shared" si="11"/>
        <v>89.696127879947142</v>
      </c>
      <c r="O36" s="5">
        <f t="shared" si="12"/>
        <v>-12.39287160909608</v>
      </c>
      <c r="P36" s="17">
        <f t="shared" si="13"/>
        <v>-76.108723663862818</v>
      </c>
      <c r="Q36" s="5">
        <f t="shared" si="22"/>
        <v>-9.3484445148987092</v>
      </c>
      <c r="R36" s="5">
        <f t="shared" si="23"/>
        <v>-70.070638456918203</v>
      </c>
      <c r="S36" s="14">
        <f t="shared" si="14"/>
        <v>17.96503179374006</v>
      </c>
      <c r="T36" s="5">
        <f t="shared" si="15"/>
        <v>82.73836633410501</v>
      </c>
      <c r="U36" s="5">
        <f t="shared" si="16"/>
        <v>-20.307435289983097</v>
      </c>
      <c r="V36" s="17">
        <f t="shared" si="17"/>
        <v>-130.75573428613964</v>
      </c>
      <c r="W36" s="14">
        <v>0</v>
      </c>
      <c r="X36" s="17">
        <f t="shared" si="18"/>
        <v>-44.893402086799775</v>
      </c>
      <c r="Y36" s="14">
        <f t="shared" si="24"/>
        <v>-0.15092407031784399</v>
      </c>
      <c r="Z36" s="17">
        <f t="shared" si="25"/>
        <v>-10.65004171398151</v>
      </c>
      <c r="AA36" s="5">
        <f t="shared" si="19"/>
        <v>-13.813559374079725</v>
      </c>
      <c r="AB36" s="5">
        <f t="shared" si="20"/>
        <v>-142.54523204561059</v>
      </c>
      <c r="AC36" s="5">
        <f t="shared" si="26"/>
        <v>-26.206430983175807</v>
      </c>
      <c r="AD36" s="6">
        <f t="shared" si="27"/>
        <v>-218.65395570947339</v>
      </c>
    </row>
    <row r="37" spans="1:30">
      <c r="A37" s="4">
        <v>4.4000000000000004</v>
      </c>
      <c r="B37" s="21">
        <f t="shared" si="21"/>
        <v>251188.64315095858</v>
      </c>
      <c r="C37" s="14">
        <f t="shared" si="0"/>
        <v>12.775207453573286</v>
      </c>
      <c r="D37" s="5">
        <f t="shared" si="1"/>
        <v>-76.718141294200947</v>
      </c>
      <c r="E37" s="5">
        <f t="shared" si="2"/>
        <v>-49.141182880555839</v>
      </c>
      <c r="F37" s="5">
        <f t="shared" si="3"/>
        <v>-89.799984169186104</v>
      </c>
      <c r="G37" s="5">
        <f t="shared" si="4"/>
        <v>22.983057967280551</v>
      </c>
      <c r="H37" s="5">
        <f t="shared" si="5"/>
        <v>85.93243410609692</v>
      </c>
      <c r="I37" s="5">
        <f t="shared" si="6"/>
        <v>-11.257848942211922</v>
      </c>
      <c r="J37" s="17">
        <f t="shared" si="7"/>
        <v>-74.121719818710545</v>
      </c>
      <c r="K37" s="14">
        <f t="shared" si="8"/>
        <v>-97.593849100697341</v>
      </c>
      <c r="L37" s="5">
        <f t="shared" si="9"/>
        <v>-89.999244159467807</v>
      </c>
      <c r="M37" s="5">
        <f t="shared" si="10"/>
        <v>47.508631169318377</v>
      </c>
      <c r="N37" s="5">
        <f t="shared" si="11"/>
        <v>89.758624960111121</v>
      </c>
      <c r="O37" s="5">
        <f t="shared" si="12"/>
        <v>-14.299495851198376</v>
      </c>
      <c r="P37" s="17">
        <f t="shared" si="13"/>
        <v>-78.885886509739436</v>
      </c>
      <c r="Q37" s="5">
        <f t="shared" si="22"/>
        <v>-11.158118580733529</v>
      </c>
      <c r="R37" s="5">
        <f t="shared" si="23"/>
        <v>-73.933425333650433</v>
      </c>
      <c r="S37" s="14">
        <f t="shared" si="14"/>
        <v>19.93934906278151</v>
      </c>
      <c r="T37" s="5">
        <f t="shared" si="15"/>
        <v>84.220477918408861</v>
      </c>
      <c r="U37" s="5">
        <f t="shared" si="16"/>
        <v>-23.529597975125675</v>
      </c>
      <c r="V37" s="17">
        <f t="shared" si="17"/>
        <v>-138.84689956553342</v>
      </c>
      <c r="W37" s="14">
        <v>0</v>
      </c>
      <c r="X37" s="17">
        <f t="shared" si="18"/>
        <v>-56.517444708965684</v>
      </c>
      <c r="Y37" s="14">
        <f t="shared" si="24"/>
        <v>-0.23682710262829465</v>
      </c>
      <c r="Z37" s="17">
        <f t="shared" si="25"/>
        <v>-13.318976409682179</v>
      </c>
      <c r="AA37" s="5">
        <f t="shared" si="19"/>
        <v>-16.915706329858818</v>
      </c>
      <c r="AB37" s="5">
        <f t="shared" si="20"/>
        <v>-173.3442984747802</v>
      </c>
      <c r="AC37" s="5">
        <f t="shared" si="26"/>
        <v>-31.215202181057194</v>
      </c>
      <c r="AD37" s="6">
        <f t="shared" si="27"/>
        <v>-252.23018498451964</v>
      </c>
    </row>
    <row r="38" spans="1:30">
      <c r="A38" s="4">
        <v>4.5</v>
      </c>
      <c r="B38" s="21">
        <f t="shared" si="21"/>
        <v>316227.76601683837</v>
      </c>
      <c r="C38" s="14">
        <f t="shared" si="0"/>
        <v>14.689778600967385</v>
      </c>
      <c r="D38" s="5">
        <f t="shared" si="1"/>
        <v>-79.380029273271205</v>
      </c>
      <c r="E38" s="5">
        <f t="shared" si="2"/>
        <v>-51.141163348697461</v>
      </c>
      <c r="F38" s="5">
        <f t="shared" si="3"/>
        <v>-89.841121540013802</v>
      </c>
      <c r="G38" s="5">
        <f t="shared" si="4"/>
        <v>24.974986386495953</v>
      </c>
      <c r="H38" s="5">
        <f t="shared" si="5"/>
        <v>86.767014197297613</v>
      </c>
      <c r="I38" s="5">
        <f t="shared" si="6"/>
        <v>-13.13618980263435</v>
      </c>
      <c r="J38" s="17">
        <f t="shared" si="7"/>
        <v>-77.268100392171505</v>
      </c>
      <c r="K38" s="14">
        <f t="shared" si="8"/>
        <v>-99.593849100418424</v>
      </c>
      <c r="L38" s="5">
        <f t="shared" si="9"/>
        <v>-89.999399614524322</v>
      </c>
      <c r="M38" s="5">
        <f t="shared" si="10"/>
        <v>49.508602724760777</v>
      </c>
      <c r="N38" s="5">
        <f t="shared" si="11"/>
        <v>89.808268572070062</v>
      </c>
      <c r="O38" s="5">
        <f t="shared" si="12"/>
        <v>-16.239529703479182</v>
      </c>
      <c r="P38" s="17">
        <f t="shared" si="13"/>
        <v>-81.130851136735302</v>
      </c>
      <c r="Q38" s="5">
        <f t="shared" si="22"/>
        <v>-13.033592463019355</v>
      </c>
      <c r="R38" s="5">
        <f t="shared" si="23"/>
        <v>-77.114232996407623</v>
      </c>
      <c r="S38" s="14">
        <f t="shared" si="14"/>
        <v>21.923065858268874</v>
      </c>
      <c r="T38" s="5">
        <f t="shared" si="15"/>
        <v>85.403414923988436</v>
      </c>
      <c r="U38" s="5">
        <f t="shared" si="16"/>
        <v>-26.963567985832839</v>
      </c>
      <c r="V38" s="17">
        <f t="shared" si="17"/>
        <v>-146.08758296974827</v>
      </c>
      <c r="W38" s="14">
        <v>0</v>
      </c>
      <c r="X38" s="17">
        <f t="shared" si="18"/>
        <v>-71.151247353788634</v>
      </c>
      <c r="Y38" s="14">
        <f t="shared" si="24"/>
        <v>-0.36958658151584989</v>
      </c>
      <c r="Z38" s="17">
        <f t="shared" si="25"/>
        <v>-16.596037696673623</v>
      </c>
      <c r="AA38" s="5">
        <f t="shared" si="19"/>
        <v>-20.346043112485244</v>
      </c>
      <c r="AB38" s="5">
        <f t="shared" si="20"/>
        <v>-205.45905414324287</v>
      </c>
      <c r="AC38" s="5">
        <f t="shared" si="26"/>
        <v>-36.585572815964426</v>
      </c>
      <c r="AD38" s="6">
        <f t="shared" si="27"/>
        <v>-286.58990527997815</v>
      </c>
    </row>
    <row r="39" spans="1:30">
      <c r="A39" s="4">
        <v>4.5999999999999996</v>
      </c>
      <c r="B39" s="21">
        <f t="shared" si="21"/>
        <v>398107.17055349739</v>
      </c>
      <c r="C39" s="14">
        <f t="shared" si="0"/>
        <v>16.634998967691509</v>
      </c>
      <c r="D39" s="5">
        <f t="shared" si="1"/>
        <v>-81.528580662904702</v>
      </c>
      <c r="E39" s="5">
        <f t="shared" si="2"/>
        <v>-53.141151024882767</v>
      </c>
      <c r="F39" s="5">
        <f t="shared" si="3"/>
        <v>-89.873798233970717</v>
      </c>
      <c r="G39" s="5">
        <f t="shared" si="4"/>
        <v>26.969885833762547</v>
      </c>
      <c r="H39" s="5">
        <f t="shared" si="5"/>
        <v>87.430942203406545</v>
      </c>
      <c r="I39" s="5">
        <f t="shared" si="6"/>
        <v>-15.057636647150654</v>
      </c>
      <c r="J39" s="17">
        <f t="shared" si="7"/>
        <v>-79.82520060850112</v>
      </c>
      <c r="K39" s="14">
        <f t="shared" si="8"/>
        <v>-101.59384910024244</v>
      </c>
      <c r="L39" s="5">
        <f t="shared" si="9"/>
        <v>-89.999523096864948</v>
      </c>
      <c r="M39" s="5">
        <f t="shared" si="10"/>
        <v>51.508584777362394</v>
      </c>
      <c r="N39" s="5">
        <f t="shared" si="11"/>
        <v>89.847702103518685</v>
      </c>
      <c r="O39" s="5">
        <f t="shared" si="12"/>
        <v>-18.201263107374107</v>
      </c>
      <c r="P39" s="17">
        <f t="shared" si="13"/>
        <v>-82.934208169403163</v>
      </c>
      <c r="Q39" s="5">
        <f t="shared" si="22"/>
        <v>-14.953143982365336</v>
      </c>
      <c r="R39" s="5">
        <f t="shared" si="23"/>
        <v>-79.700721489836283</v>
      </c>
      <c r="S39" s="14">
        <f t="shared" si="14"/>
        <v>23.91276034882257</v>
      </c>
      <c r="T39" s="5">
        <f t="shared" si="15"/>
        <v>86.345911509455334</v>
      </c>
      <c r="U39" s="5">
        <f t="shared" si="16"/>
        <v>-30.567676699569866</v>
      </c>
      <c r="V39" s="17">
        <f t="shared" si="17"/>
        <v>-152.36467556309879</v>
      </c>
      <c r="W39" s="14">
        <v>0</v>
      </c>
      <c r="X39" s="17">
        <f t="shared" si="18"/>
        <v>-89.574113374536907</v>
      </c>
      <c r="Y39" s="14">
        <f t="shared" si="24"/>
        <v>-0.57202058266375577</v>
      </c>
      <c r="Z39" s="17">
        <f t="shared" si="25"/>
        <v>-20.566450991810179</v>
      </c>
      <c r="AA39" s="5">
        <f t="shared" si="19"/>
        <v>-24.063775510095756</v>
      </c>
      <c r="AB39" s="5">
        <f t="shared" si="20"/>
        <v>-239.80850820514306</v>
      </c>
      <c r="AC39" s="5">
        <f t="shared" si="26"/>
        <v>-42.265038617469862</v>
      </c>
      <c r="AD39" s="6">
        <f t="shared" si="27"/>
        <v>-322.74271637454621</v>
      </c>
    </row>
    <row r="40" spans="1:30">
      <c r="A40" s="4">
        <v>4.7</v>
      </c>
      <c r="B40" s="21">
        <f t="shared" si="21"/>
        <v>501187.23362727294</v>
      </c>
      <c r="C40" s="14">
        <f t="shared" si="0"/>
        <v>18.600076418434785</v>
      </c>
      <c r="D40" s="5">
        <f t="shared" si="1"/>
        <v>-83.252808366613408</v>
      </c>
      <c r="E40" s="5">
        <f t="shared" si="2"/>
        <v>-55.14114324906339</v>
      </c>
      <c r="F40" s="5">
        <f t="shared" si="3"/>
        <v>-89.899754314142598</v>
      </c>
      <c r="G40" s="5">
        <f t="shared" si="4"/>
        <v>28.966664517608727</v>
      </c>
      <c r="H40" s="5">
        <f t="shared" si="5"/>
        <v>87.958820135742116</v>
      </c>
      <c r="I40" s="5">
        <f t="shared" si="6"/>
        <v>-17.007331777398587</v>
      </c>
      <c r="J40" s="17">
        <f t="shared" si="7"/>
        <v>-81.886495640199158</v>
      </c>
      <c r="K40" s="14">
        <f t="shared" si="8"/>
        <v>-103.59384910013141</v>
      </c>
      <c r="L40" s="5">
        <f t="shared" si="9"/>
        <v>-89.999621182374597</v>
      </c>
      <c r="M40" s="5">
        <f t="shared" si="10"/>
        <v>53.508573453281429</v>
      </c>
      <c r="N40" s="5">
        <f t="shared" si="11"/>
        <v>89.879025375590004</v>
      </c>
      <c r="O40" s="5">
        <f t="shared" si="12"/>
        <v>-20.176943869445012</v>
      </c>
      <c r="P40" s="17">
        <f t="shared" si="13"/>
        <v>-84.376938616248253</v>
      </c>
      <c r="Q40" s="5">
        <f t="shared" si="22"/>
        <v>-16.901606785745479</v>
      </c>
      <c r="R40" s="5">
        <f t="shared" si="23"/>
        <v>-81.786452230016096</v>
      </c>
      <c r="S40" s="14">
        <f t="shared" si="14"/>
        <v>25.906245406886388</v>
      </c>
      <c r="T40" s="5">
        <f t="shared" si="15"/>
        <v>87.096001944354953</v>
      </c>
      <c r="U40" s="5">
        <f t="shared" si="16"/>
        <v>-34.299368669973674</v>
      </c>
      <c r="V40" s="17">
        <f t="shared" si="17"/>
        <v>-157.66619965255245</v>
      </c>
      <c r="W40" s="14">
        <v>0</v>
      </c>
      <c r="X40" s="17">
        <f t="shared" si="18"/>
        <v>-90</v>
      </c>
      <c r="Y40" s="14">
        <f t="shared" si="24"/>
        <v>-0.87469752374367771</v>
      </c>
      <c r="Z40" s="17">
        <f t="shared" si="25"/>
        <v>-25.284075402004209</v>
      </c>
      <c r="AA40" s="5">
        <f t="shared" si="19"/>
        <v>-28.040964710704831</v>
      </c>
      <c r="AB40" s="5">
        <f t="shared" si="20"/>
        <v>-254.84155933221544</v>
      </c>
      <c r="AC40" s="5">
        <f t="shared" si="26"/>
        <v>-48.217908580149839</v>
      </c>
      <c r="AD40" s="6">
        <f t="shared" si="27"/>
        <v>-339.21849794846366</v>
      </c>
    </row>
    <row r="41" spans="1:30">
      <c r="A41" s="4">
        <v>4.8</v>
      </c>
      <c r="B41" s="21">
        <f t="shared" si="21"/>
        <v>630957.34448019345</v>
      </c>
      <c r="C41" s="14">
        <f t="shared" si="0"/>
        <v>20.577896407051369</v>
      </c>
      <c r="D41" s="5">
        <f t="shared" si="1"/>
        <v>-84.631369714165388</v>
      </c>
      <c r="E41" s="5">
        <f t="shared" si="2"/>
        <v>-57.141138342845863</v>
      </c>
      <c r="F41" s="5">
        <f t="shared" si="3"/>
        <v>-89.920371991328949</v>
      </c>
      <c r="G41" s="5">
        <f t="shared" si="4"/>
        <v>30.964630774429565</v>
      </c>
      <c r="H41" s="5">
        <f t="shared" si="5"/>
        <v>88.378380058820412</v>
      </c>
      <c r="I41" s="5">
        <f t="shared" si="6"/>
        <v>-18.975289096175302</v>
      </c>
      <c r="J41" s="17">
        <f t="shared" si="7"/>
        <v>-83.539310011072146</v>
      </c>
      <c r="K41" s="14">
        <f t="shared" si="8"/>
        <v>-105.59384910006132</v>
      </c>
      <c r="L41" s="5">
        <f t="shared" si="9"/>
        <v>-89.999699094464319</v>
      </c>
      <c r="M41" s="5">
        <f t="shared" si="10"/>
        <v>55.50856630825416</v>
      </c>
      <c r="N41" s="5">
        <f t="shared" si="11"/>
        <v>89.903906387448131</v>
      </c>
      <c r="O41" s="5">
        <f t="shared" si="12"/>
        <v>-22.161529101136097</v>
      </c>
      <c r="P41" s="17">
        <f t="shared" si="13"/>
        <v>-85.528150393151662</v>
      </c>
      <c r="Q41" s="5">
        <f t="shared" si="22"/>
        <v>-18.868771490191396</v>
      </c>
      <c r="R41" s="5">
        <f t="shared" si="23"/>
        <v>-83.459246928609076</v>
      </c>
      <c r="S41" s="14">
        <f t="shared" si="14"/>
        <v>27.902129722101808</v>
      </c>
      <c r="T41" s="5">
        <f t="shared" si="15"/>
        <v>87.692543358697279</v>
      </c>
      <c r="U41" s="5">
        <f t="shared" si="16"/>
        <v>-38.121722866204976</v>
      </c>
      <c r="V41" s="17">
        <f t="shared" si="17"/>
        <v>-162.0562450904813</v>
      </c>
      <c r="W41" s="14">
        <v>0</v>
      </c>
      <c r="X41" s="17">
        <f t="shared" si="18"/>
        <v>-90</v>
      </c>
      <c r="Y41" s="14">
        <f t="shared" si="24"/>
        <v>-1.3149818237897504</v>
      </c>
      <c r="Z41" s="17">
        <f t="shared" si="25"/>
        <v>-30.738395398521529</v>
      </c>
      <c r="AA41" s="5">
        <f t="shared" si="19"/>
        <v>-32.267056908291664</v>
      </c>
      <c r="AB41" s="5">
        <f t="shared" si="20"/>
        <v>-268.36980842367689</v>
      </c>
      <c r="AC41" s="5">
        <f t="shared" si="26"/>
        <v>-54.428586009427761</v>
      </c>
      <c r="AD41" s="6">
        <f t="shared" si="27"/>
        <v>-353.89795881682858</v>
      </c>
    </row>
    <row r="42" spans="1:30">
      <c r="A42" s="4">
        <v>4.9000000000000004</v>
      </c>
      <c r="B42" s="21">
        <f t="shared" si="21"/>
        <v>794328.2347242824</v>
      </c>
      <c r="C42" s="14">
        <f t="shared" si="0"/>
        <v>22.563843256291577</v>
      </c>
      <c r="D42" s="5">
        <f t="shared" si="1"/>
        <v>-85.730938773856209</v>
      </c>
      <c r="E42" s="5">
        <f t="shared" si="2"/>
        <v>-59.141135247229059</v>
      </c>
      <c r="F42" s="5">
        <f t="shared" si="3"/>
        <v>-89.936749209409498</v>
      </c>
      <c r="G42" s="5">
        <f t="shared" si="4"/>
        <v>32.963347079033248</v>
      </c>
      <c r="H42" s="5">
        <f t="shared" si="5"/>
        <v>88.711774564600034</v>
      </c>
      <c r="I42" s="5">
        <f t="shared" si="6"/>
        <v>-20.954949207769555</v>
      </c>
      <c r="J42" s="17">
        <f t="shared" si="7"/>
        <v>-84.860062496036065</v>
      </c>
      <c r="K42" s="14">
        <f t="shared" si="8"/>
        <v>-107.59384910001714</v>
      </c>
      <c r="L42" s="5">
        <f t="shared" si="9"/>
        <v>-89.999760982237035</v>
      </c>
      <c r="M42" s="5">
        <f t="shared" si="10"/>
        <v>57.508561800040695</v>
      </c>
      <c r="N42" s="5">
        <f t="shared" si="11"/>
        <v>89.923670103961868</v>
      </c>
      <c r="O42" s="5">
        <f t="shared" si="12"/>
        <v>-24.151774812759015</v>
      </c>
      <c r="P42" s="17">
        <f t="shared" si="13"/>
        <v>-86.44522147453236</v>
      </c>
      <c r="Q42" s="5">
        <f t="shared" si="22"/>
        <v>-20.847925351687017</v>
      </c>
      <c r="R42" s="5">
        <f t="shared" si="23"/>
        <v>-84.796163864600402</v>
      </c>
      <c r="S42" s="14">
        <f t="shared" si="14"/>
        <v>29.89953089228554</v>
      </c>
      <c r="T42" s="5">
        <f t="shared" si="15"/>
        <v>88.166756338743042</v>
      </c>
      <c r="U42" s="5">
        <f t="shared" si="16"/>
        <v>-42.006019893343762</v>
      </c>
      <c r="V42" s="17">
        <f t="shared" si="17"/>
        <v>-165.64075446757752</v>
      </c>
      <c r="W42" s="14">
        <v>0</v>
      </c>
      <c r="X42" s="17">
        <f t="shared" si="18"/>
        <v>-90</v>
      </c>
      <c r="Y42" s="14">
        <f t="shared" si="24"/>
        <v>-1.9325179030433333</v>
      </c>
      <c r="Z42" s="17">
        <f t="shared" si="25"/>
        <v>-36.819874550601085</v>
      </c>
      <c r="AA42" s="5">
        <f t="shared" si="19"/>
        <v>-36.745641076298746</v>
      </c>
      <c r="AB42" s="5">
        <f t="shared" si="20"/>
        <v>-280.98210333701286</v>
      </c>
      <c r="AC42" s="5">
        <f t="shared" si="26"/>
        <v>-60.897415889057761</v>
      </c>
      <c r="AD42" s="6">
        <f t="shared" si="27"/>
        <v>-367.42732481154519</v>
      </c>
    </row>
    <row r="43" spans="1:30" ht="13.5" thickBot="1">
      <c r="A43" s="9">
        <v>5</v>
      </c>
      <c r="B43" s="23">
        <f t="shared" si="21"/>
        <v>1000000</v>
      </c>
      <c r="C43" s="15">
        <f t="shared" si="0"/>
        <v>24.554952862538215</v>
      </c>
      <c r="D43" s="10">
        <f t="shared" si="1"/>
        <v>-86.606648026066622</v>
      </c>
      <c r="E43" s="10">
        <f t="shared" si="2"/>
        <v>-61.141133294025735</v>
      </c>
      <c r="F43" s="10">
        <f t="shared" si="3"/>
        <v>-89.949758103633371</v>
      </c>
      <c r="G43" s="10">
        <f t="shared" si="4"/>
        <v>34.962536926718769</v>
      </c>
      <c r="H43" s="10">
        <f t="shared" si="5"/>
        <v>88.976662529805694</v>
      </c>
      <c r="I43" s="10">
        <f t="shared" si="6"/>
        <v>-22.94206641747358</v>
      </c>
      <c r="J43" s="18">
        <f t="shared" si="7"/>
        <v>-85.913159944935458</v>
      </c>
      <c r="K43" s="15">
        <f t="shared" si="8"/>
        <v>-109.59384909998923</v>
      </c>
      <c r="L43" s="10">
        <f t="shared" si="9"/>
        <v>-89.999810141442268</v>
      </c>
      <c r="M43" s="10">
        <f t="shared" si="10"/>
        <v>59.508558955547876</v>
      </c>
      <c r="N43" s="10">
        <f t="shared" si="11"/>
        <v>89.9393689951862</v>
      </c>
      <c r="O43" s="10">
        <f t="shared" si="12"/>
        <v>-26.145608981264022</v>
      </c>
      <c r="P43" s="18">
        <f t="shared" si="13"/>
        <v>-87.175001889183363</v>
      </c>
      <c r="Q43" s="10">
        <f t="shared" si="22"/>
        <v>-22.834720655594815</v>
      </c>
      <c r="R43" s="10">
        <f t="shared" si="23"/>
        <v>-85.862250788822308</v>
      </c>
      <c r="S43" s="15">
        <f t="shared" si="14"/>
        <v>31.897890340991559</v>
      </c>
      <c r="T43" s="10">
        <f t="shared" si="15"/>
        <v>88.543619406840008</v>
      </c>
      <c r="U43" s="10">
        <f t="shared" si="16"/>
        <v>-45.931495655747618</v>
      </c>
      <c r="V43" s="18">
        <f t="shared" si="17"/>
        <v>-168.53954457189897</v>
      </c>
      <c r="W43" s="15">
        <v>0</v>
      </c>
      <c r="X43" s="18">
        <f t="shared" si="18"/>
        <v>-90</v>
      </c>
      <c r="Y43" s="15">
        <f t="shared" si="24"/>
        <v>-2.7606280443612299</v>
      </c>
      <c r="Z43" s="18">
        <f t="shared" si="25"/>
        <v>-43.303807307170665</v>
      </c>
      <c r="AA43" s="5">
        <f t="shared" si="19"/>
        <v>-41.484481482255731</v>
      </c>
      <c r="AB43" s="10">
        <f t="shared" si="20"/>
        <v>-292.71532795213778</v>
      </c>
      <c r="AC43" s="10">
        <f t="shared" si="26"/>
        <v>-67.63009046351975</v>
      </c>
      <c r="AD43" s="19">
        <f t="shared" si="27"/>
        <v>-379.89032984132115</v>
      </c>
    </row>
    <row r="44" spans="1:30" ht="13.5" thickTop="1"/>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13" sqref="A13"/>
    </sheetView>
  </sheetViews>
  <sheetFormatPr defaultRowHeight="12.75"/>
  <cols>
    <col min="1" max="1" width="128" customWidth="1"/>
    <col min="2" max="2" width="13.5703125" customWidth="1"/>
    <col min="257" max="257" width="128" customWidth="1"/>
    <col min="258" max="258" width="13.5703125" customWidth="1"/>
    <col min="513" max="513" width="128" customWidth="1"/>
    <col min="514" max="514" width="13.5703125" customWidth="1"/>
    <col min="769" max="769" width="128" customWidth="1"/>
    <col min="770" max="770" width="13.5703125" customWidth="1"/>
    <col min="1025" max="1025" width="128" customWidth="1"/>
    <col min="1026" max="1026" width="13.5703125" customWidth="1"/>
    <col min="1281" max="1281" width="128" customWidth="1"/>
    <col min="1282" max="1282" width="13.5703125" customWidth="1"/>
    <col min="1537" max="1537" width="128" customWidth="1"/>
    <col min="1538" max="1538" width="13.5703125" customWidth="1"/>
    <col min="1793" max="1793" width="128" customWidth="1"/>
    <col min="1794" max="1794" width="13.5703125" customWidth="1"/>
    <col min="2049" max="2049" width="128" customWidth="1"/>
    <col min="2050" max="2050" width="13.5703125" customWidth="1"/>
    <col min="2305" max="2305" width="128" customWidth="1"/>
    <col min="2306" max="2306" width="13.5703125" customWidth="1"/>
    <col min="2561" max="2561" width="128" customWidth="1"/>
    <col min="2562" max="2562" width="13.5703125" customWidth="1"/>
    <col min="2817" max="2817" width="128" customWidth="1"/>
    <col min="2818" max="2818" width="13.5703125" customWidth="1"/>
    <col min="3073" max="3073" width="128" customWidth="1"/>
    <col min="3074" max="3074" width="13.5703125" customWidth="1"/>
    <col min="3329" max="3329" width="128" customWidth="1"/>
    <col min="3330" max="3330" width="13.5703125" customWidth="1"/>
    <col min="3585" max="3585" width="128" customWidth="1"/>
    <col min="3586" max="3586" width="13.5703125" customWidth="1"/>
    <col min="3841" max="3841" width="128" customWidth="1"/>
    <col min="3842" max="3842" width="13.5703125" customWidth="1"/>
    <col min="4097" max="4097" width="128" customWidth="1"/>
    <col min="4098" max="4098" width="13.5703125" customWidth="1"/>
    <col min="4353" max="4353" width="128" customWidth="1"/>
    <col min="4354" max="4354" width="13.5703125" customWidth="1"/>
    <col min="4609" max="4609" width="128" customWidth="1"/>
    <col min="4610" max="4610" width="13.5703125" customWidth="1"/>
    <col min="4865" max="4865" width="128" customWidth="1"/>
    <col min="4866" max="4866" width="13.5703125" customWidth="1"/>
    <col min="5121" max="5121" width="128" customWidth="1"/>
    <col min="5122" max="5122" width="13.5703125" customWidth="1"/>
    <col min="5377" max="5377" width="128" customWidth="1"/>
    <col min="5378" max="5378" width="13.5703125" customWidth="1"/>
    <col min="5633" max="5633" width="128" customWidth="1"/>
    <col min="5634" max="5634" width="13.5703125" customWidth="1"/>
    <col min="5889" max="5889" width="128" customWidth="1"/>
    <col min="5890" max="5890" width="13.5703125" customWidth="1"/>
    <col min="6145" max="6145" width="128" customWidth="1"/>
    <col min="6146" max="6146" width="13.5703125" customWidth="1"/>
    <col min="6401" max="6401" width="128" customWidth="1"/>
    <col min="6402" max="6402" width="13.5703125" customWidth="1"/>
    <col min="6657" max="6657" width="128" customWidth="1"/>
    <col min="6658" max="6658" width="13.5703125" customWidth="1"/>
    <col min="6913" max="6913" width="128" customWidth="1"/>
    <col min="6914" max="6914" width="13.5703125" customWidth="1"/>
    <col min="7169" max="7169" width="128" customWidth="1"/>
    <col min="7170" max="7170" width="13.5703125" customWidth="1"/>
    <col min="7425" max="7425" width="128" customWidth="1"/>
    <col min="7426" max="7426" width="13.5703125" customWidth="1"/>
    <col min="7681" max="7681" width="128" customWidth="1"/>
    <col min="7682" max="7682" width="13.5703125" customWidth="1"/>
    <col min="7937" max="7937" width="128" customWidth="1"/>
    <col min="7938" max="7938" width="13.5703125" customWidth="1"/>
    <col min="8193" max="8193" width="128" customWidth="1"/>
    <col min="8194" max="8194" width="13.5703125" customWidth="1"/>
    <col min="8449" max="8449" width="128" customWidth="1"/>
    <col min="8450" max="8450" width="13.5703125" customWidth="1"/>
    <col min="8705" max="8705" width="128" customWidth="1"/>
    <col min="8706" max="8706" width="13.5703125" customWidth="1"/>
    <col min="8961" max="8961" width="128" customWidth="1"/>
    <col min="8962" max="8962" width="13.5703125" customWidth="1"/>
    <col min="9217" max="9217" width="128" customWidth="1"/>
    <col min="9218" max="9218" width="13.5703125" customWidth="1"/>
    <col min="9473" max="9473" width="128" customWidth="1"/>
    <col min="9474" max="9474" width="13.5703125" customWidth="1"/>
    <col min="9729" max="9729" width="128" customWidth="1"/>
    <col min="9730" max="9730" width="13.5703125" customWidth="1"/>
    <col min="9985" max="9985" width="128" customWidth="1"/>
    <col min="9986" max="9986" width="13.5703125" customWidth="1"/>
    <col min="10241" max="10241" width="128" customWidth="1"/>
    <col min="10242" max="10242" width="13.5703125" customWidth="1"/>
    <col min="10497" max="10497" width="128" customWidth="1"/>
    <col min="10498" max="10498" width="13.5703125" customWidth="1"/>
    <col min="10753" max="10753" width="128" customWidth="1"/>
    <col min="10754" max="10754" width="13.5703125" customWidth="1"/>
    <col min="11009" max="11009" width="128" customWidth="1"/>
    <col min="11010" max="11010" width="13.5703125" customWidth="1"/>
    <col min="11265" max="11265" width="128" customWidth="1"/>
    <col min="11266" max="11266" width="13.5703125" customWidth="1"/>
    <col min="11521" max="11521" width="128" customWidth="1"/>
    <col min="11522" max="11522" width="13.5703125" customWidth="1"/>
    <col min="11777" max="11777" width="128" customWidth="1"/>
    <col min="11778" max="11778" width="13.5703125" customWidth="1"/>
    <col min="12033" max="12033" width="128" customWidth="1"/>
    <col min="12034" max="12034" width="13.5703125" customWidth="1"/>
    <col min="12289" max="12289" width="128" customWidth="1"/>
    <col min="12290" max="12290" width="13.5703125" customWidth="1"/>
    <col min="12545" max="12545" width="128" customWidth="1"/>
    <col min="12546" max="12546" width="13.5703125" customWidth="1"/>
    <col min="12801" max="12801" width="128" customWidth="1"/>
    <col min="12802" max="12802" width="13.5703125" customWidth="1"/>
    <col min="13057" max="13057" width="128" customWidth="1"/>
    <col min="13058" max="13058" width="13.5703125" customWidth="1"/>
    <col min="13313" max="13313" width="128" customWidth="1"/>
    <col min="13314" max="13314" width="13.5703125" customWidth="1"/>
    <col min="13569" max="13569" width="128" customWidth="1"/>
    <col min="13570" max="13570" width="13.5703125" customWidth="1"/>
    <col min="13825" max="13825" width="128" customWidth="1"/>
    <col min="13826" max="13826" width="13.5703125" customWidth="1"/>
    <col min="14081" max="14081" width="128" customWidth="1"/>
    <col min="14082" max="14082" width="13.5703125" customWidth="1"/>
    <col min="14337" max="14337" width="128" customWidth="1"/>
    <col min="14338" max="14338" width="13.5703125" customWidth="1"/>
    <col min="14593" max="14593" width="128" customWidth="1"/>
    <col min="14594" max="14594" width="13.5703125" customWidth="1"/>
    <col min="14849" max="14849" width="128" customWidth="1"/>
    <col min="14850" max="14850" width="13.5703125" customWidth="1"/>
    <col min="15105" max="15105" width="128" customWidth="1"/>
    <col min="15106" max="15106" width="13.5703125" customWidth="1"/>
    <col min="15361" max="15361" width="128" customWidth="1"/>
    <col min="15362" max="15362" width="13.5703125" customWidth="1"/>
    <col min="15617" max="15617" width="128" customWidth="1"/>
    <col min="15618" max="15618" width="13.5703125" customWidth="1"/>
    <col min="15873" max="15873" width="128" customWidth="1"/>
    <col min="15874" max="15874" width="13.5703125" customWidth="1"/>
    <col min="16129" max="16129" width="128" customWidth="1"/>
    <col min="16130" max="16130" width="13.5703125" customWidth="1"/>
  </cols>
  <sheetData>
    <row r="1" spans="1:1" ht="63.75">
      <c r="A1" s="27" t="s">
        <v>193</v>
      </c>
    </row>
    <row r="2" spans="1:1">
      <c r="A2" s="28"/>
    </row>
    <row r="3" spans="1:1" ht="76.5">
      <c r="A3" s="27" t="s">
        <v>194</v>
      </c>
    </row>
    <row r="4" spans="1:1">
      <c r="A4" s="28"/>
    </row>
    <row r="5" spans="1:1" ht="51">
      <c r="A5" s="27" t="s">
        <v>195</v>
      </c>
    </row>
    <row r="6" spans="1:1">
      <c r="A6" s="28"/>
    </row>
    <row r="7" spans="1:1" ht="76.5">
      <c r="A7" s="27" t="s">
        <v>196</v>
      </c>
    </row>
    <row r="8" spans="1:1">
      <c r="A8" s="28"/>
    </row>
    <row r="9" spans="1:1">
      <c r="A9" s="27" t="s">
        <v>250</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65</vt:i4>
      </vt:variant>
    </vt:vector>
  </HeadingPairs>
  <TitlesOfParts>
    <vt:vector size="68"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Liu, Zack</cp:lastModifiedBy>
  <dcterms:created xsi:type="dcterms:W3CDTF">2011-04-19T20:45:42Z</dcterms:created>
  <dcterms:modified xsi:type="dcterms:W3CDTF">2021-11-16T03:17:58Z</dcterms:modified>
</cp:coreProperties>
</file>