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xr:revisionPtr revIDLastSave="0" documentId="8_{502E6F90-BDF6-4A45-9557-2C52F652AE8B}" xr6:coauthVersionLast="47" xr6:coauthVersionMax="47" xr10:uidLastSave="{00000000-0000-0000-0000-000000000000}"/>
  <workbookProtection workbookPassword="D12D" lockStructure="1"/>
  <bookViews>
    <workbookView xWindow="2700" yWindow="2710" windowWidth="9720" windowHeight="7800" xr2:uid="{00000000-000D-0000-FFFF-FFFF00000000}"/>
  </bookViews>
  <sheets>
    <sheet name="Design Calculation" sheetId="1" r:id="rId1"/>
    <sheet name="Frequency Response Calculation" sheetId="2" state="hidden" r:id="rId2"/>
    <sheet name="LegalDisclaimer" sheetId="3" r:id="rId3"/>
  </sheets>
  <definedNames>
    <definedName name="BST_HS_dead_time">'Design Calculation'!$C$101</definedName>
    <definedName name="BST_HS_Rdson">'Design Calculation'!$C$100</definedName>
    <definedName name="BST_HS_Vd">'Design Calculation'!$C$102</definedName>
    <definedName name="BST_LS_fall_time">'Design Calculation'!$C$98</definedName>
    <definedName name="BST_LS_Rdson">'Design Calculation'!$C$97</definedName>
    <definedName name="BST_LS_rise_time">'Design Calculation'!$C$99</definedName>
    <definedName name="BUCK_HS_Coss">'Design Calculation'!$C$89</definedName>
    <definedName name="BUCK_HS_fall_time">'Design Calculation'!$C$91</definedName>
    <definedName name="BUCK_HS_Qg">'Design Calculation'!$C$88</definedName>
    <definedName name="BUCK_HS_Rdson">'Design Calculation'!$C$87</definedName>
    <definedName name="BUCK_HS_rise_time">'Design Calculation'!$C$90</definedName>
    <definedName name="BUCK_LS_dead_time">'Design Calculation'!$C$95</definedName>
    <definedName name="BUCK_LS_deadtime">'Design Calculation'!$C$95</definedName>
    <definedName name="BUCK_LS_Qg">'Design Calculation'!$C$93</definedName>
    <definedName name="BUCK_LS_Qrr">'Design Calculation'!$C$94</definedName>
    <definedName name="BUCK_LS_Rdson">'Design Calculation'!$C$92</definedName>
    <definedName name="BUCK_LS_Vd">'Design Calculation'!$C$96</definedName>
    <definedName name="C_bst_snubber">'Design Calculation'!$C$104</definedName>
    <definedName name="C_buck_snubber">'Design Calculation'!$C$103</definedName>
    <definedName name="C_ca">'Frequency Response Calculation'!$AG$5</definedName>
    <definedName name="Ccomp">'Design Calculation'!$C$76</definedName>
    <definedName name="Cout_c">'Design Calculation'!$C$33</definedName>
    <definedName name="Cout_e">'Design Calculation'!$C$35</definedName>
    <definedName name="Cp">'Design Calculation'!$C$79</definedName>
    <definedName name="DCR">'Design Calculation'!$C$86</definedName>
    <definedName name="dVinpkpk">'Design Calculation'!$C$39</definedName>
    <definedName name="dVoutpkpk">'Design Calculation'!$C$31</definedName>
    <definedName name="eff">'Design Calculation'!$C$45</definedName>
    <definedName name="ESR">'Design Calculation'!$C$37</definedName>
    <definedName name="fco">'Design Calculation'!$C$71</definedName>
    <definedName name="fp">'Design Calculation'!$C$68</definedName>
    <definedName name="fp_comp2">'Design Calculation'!$C$80</definedName>
    <definedName name="fsw">'Design Calculation'!$C$27</definedName>
    <definedName name="fz_comp">'Design Calculation'!$C$77</definedName>
    <definedName name="fz_ESR">'Design Calculation'!$C$70</definedName>
    <definedName name="fzRHP">'Design Calculation'!$C$69</definedName>
    <definedName name="gm_ca">'Frequency Response Calculation'!$AG$3</definedName>
    <definedName name="gm_EA">'Design Calculation'!$C$72</definedName>
    <definedName name="gm_PS">'Design Calculation'!$C$67</definedName>
    <definedName name="Iavg_limit">'Design Calculation'!$C$54</definedName>
    <definedName name="ILpeak">'Design Calculation'!$C$84</definedName>
    <definedName name="ILpeak_max">'Design Calculation'!$C$52</definedName>
    <definedName name="ILrms">'Design Calculation'!$C$83</definedName>
    <definedName name="ILrms_max">'Design Calculation'!$C$51</definedName>
    <definedName name="ILvalley">'Design Calculation'!$C$85</definedName>
    <definedName name="ILvalley_max">'Design Calculation'!$C$53</definedName>
    <definedName name="Iout_limit">'Design Calculation'!$C$23</definedName>
    <definedName name="Ioutmax">'Design Calculation'!$C$17</definedName>
    <definedName name="K">'Design Calculation'!$C$47</definedName>
    <definedName name="L">'Design Calculation'!$C$50</definedName>
    <definedName name="Op_mode">'Design Calculation'!$C$66</definedName>
    <definedName name="R_1">'Design Calculation'!$C$24</definedName>
    <definedName name="R_7">'Design Calculation'!$C$21</definedName>
    <definedName name="R_ca">'Frequency Response Calculation'!$AG$4</definedName>
    <definedName name="Rcomp">'Design Calculation'!$C$74</definedName>
    <definedName name="Reg_Ilimit">'Design Calculation'!#REF!</definedName>
    <definedName name="Reg_Vref">'Design Calculation'!#REF!</definedName>
    <definedName name="Rpcb">'Design Calculation'!$C$105</definedName>
    <definedName name="tou">'Design Calculation'!$F$115</definedName>
    <definedName name="V_m">'Frequency Response Calculation'!$AG$6</definedName>
    <definedName name="Vin">'Design Calculation'!$C$64</definedName>
    <definedName name="Vin_eff">'Design Calculation'!$C$82</definedName>
    <definedName name="Vin_LP">'Design Calculation'!$C$64</definedName>
    <definedName name="Vin_max">'Design Calculation'!$C$15</definedName>
    <definedName name="Vin_min">'Design Calculation'!$C$14</definedName>
    <definedName name="Vout">'Design Calculation'!$C$16</definedName>
    <definedName name="Vout_LP">'Design Calculation'!$C$65</definedName>
    <definedName name="Vout_max">'Design Calculation'!#REF!</definedName>
  </definedNames>
  <calcPr calcId="191028"/>
  <customWorkbookViews>
    <customWorkbookView name="TI User - Personal View" guid="{0F8159A6-236F-4F54-A569-A835A6AD5DA8}" mergeInterval="0" personalView="1" maximized="1" windowWidth="1920" windowHeight="80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20" i="1"/>
  <c r="C22" i="1"/>
  <c r="C75" i="1" l="1"/>
  <c r="C80" i="1" l="1"/>
  <c r="C85" i="1" l="1"/>
  <c r="C83" i="1"/>
  <c r="C55" i="1"/>
  <c r="C53" i="1"/>
  <c r="C52" i="1"/>
  <c r="C67" i="1" l="1"/>
  <c r="C41" i="1" l="1"/>
  <c r="C84" i="1"/>
  <c r="C112" i="1" l="1"/>
  <c r="C113" i="1"/>
  <c r="C109" i="1"/>
  <c r="C111" i="1"/>
  <c r="C49" i="1"/>
  <c r="C51" i="1"/>
  <c r="C28" i="1"/>
  <c r="C30" i="1" s="1"/>
  <c r="C66" i="1"/>
  <c r="C73" i="1" s="1"/>
  <c r="AG6" i="2"/>
  <c r="C70" i="1"/>
  <c r="C77" i="1"/>
  <c r="C26" i="1"/>
  <c r="C25" i="1"/>
  <c r="B43" i="2"/>
  <c r="B42" i="2"/>
  <c r="B41" i="2"/>
  <c r="P41" i="2"/>
  <c r="B40" i="2"/>
  <c r="B39" i="2"/>
  <c r="B38" i="2"/>
  <c r="O38" i="2"/>
  <c r="B37" i="2"/>
  <c r="O37" i="2"/>
  <c r="B36" i="2"/>
  <c r="O36" i="2"/>
  <c r="B35" i="2"/>
  <c r="B34" i="2"/>
  <c r="B33" i="2"/>
  <c r="B32" i="2"/>
  <c r="B31" i="2"/>
  <c r="B30" i="2"/>
  <c r="P30" i="2"/>
  <c r="B29" i="2"/>
  <c r="P29" i="2"/>
  <c r="B28" i="2"/>
  <c r="P28" i="2"/>
  <c r="B27" i="2"/>
  <c r="B26" i="2"/>
  <c r="B25" i="2"/>
  <c r="P25" i="2"/>
  <c r="B24" i="2"/>
  <c r="B23" i="2"/>
  <c r="B22" i="2"/>
  <c r="O22" i="2"/>
  <c r="B21" i="2"/>
  <c r="O21" i="2"/>
  <c r="B20" i="2"/>
  <c r="O20" i="2"/>
  <c r="B19" i="2"/>
  <c r="B18" i="2"/>
  <c r="B17" i="2"/>
  <c r="B16" i="2"/>
  <c r="B15" i="2"/>
  <c r="B14" i="2"/>
  <c r="B13" i="2"/>
  <c r="P13" i="2"/>
  <c r="B12" i="2"/>
  <c r="P12" i="2"/>
  <c r="B11" i="2"/>
  <c r="B10" i="2"/>
  <c r="B9" i="2"/>
  <c r="P9" i="2"/>
  <c r="B8" i="2"/>
  <c r="B7" i="2"/>
  <c r="B6" i="2"/>
  <c r="O6" i="2"/>
  <c r="B5" i="2"/>
  <c r="O5" i="2"/>
  <c r="B4" i="2"/>
  <c r="O4" i="2"/>
  <c r="B3" i="2"/>
  <c r="P3" i="2"/>
  <c r="O35" i="2"/>
  <c r="O19" i="2"/>
  <c r="P31" i="2"/>
  <c r="P15" i="2"/>
  <c r="O41" i="2"/>
  <c r="O25" i="2"/>
  <c r="O9" i="2"/>
  <c r="P34" i="2"/>
  <c r="P18" i="2"/>
  <c r="O32" i="2"/>
  <c r="O16" i="2"/>
  <c r="O31" i="2"/>
  <c r="O15" i="2"/>
  <c r="P40" i="2"/>
  <c r="P24" i="2"/>
  <c r="P8" i="2"/>
  <c r="O34" i="2"/>
  <c r="O18" i="2"/>
  <c r="P43" i="2"/>
  <c r="P27" i="2"/>
  <c r="P11" i="2"/>
  <c r="P14" i="2"/>
  <c r="O3" i="2"/>
  <c r="O28" i="2"/>
  <c r="O12" i="2"/>
  <c r="P37" i="2"/>
  <c r="P21" i="2"/>
  <c r="P5" i="2"/>
  <c r="O27" i="2"/>
  <c r="O11" i="2"/>
  <c r="P36" i="2"/>
  <c r="P20" i="2"/>
  <c r="P4" i="2"/>
  <c r="O30" i="2"/>
  <c r="O14" i="2"/>
  <c r="P39" i="2"/>
  <c r="P23" i="2"/>
  <c r="P7" i="2"/>
  <c r="O33" i="2"/>
  <c r="O17" i="2"/>
  <c r="P26" i="2"/>
  <c r="P10" i="2"/>
  <c r="O40" i="2"/>
  <c r="O24" i="2"/>
  <c r="O8" i="2"/>
  <c r="P33" i="2"/>
  <c r="P17" i="2"/>
  <c r="O39" i="2"/>
  <c r="O23" i="2"/>
  <c r="O7" i="2"/>
  <c r="P32" i="2"/>
  <c r="P16" i="2"/>
  <c r="O42" i="2"/>
  <c r="O26" i="2"/>
  <c r="O10" i="2"/>
  <c r="P35" i="2"/>
  <c r="P19" i="2"/>
  <c r="O43" i="2"/>
  <c r="O29" i="2"/>
  <c r="O13" i="2"/>
  <c r="P38" i="2"/>
  <c r="P22" i="2"/>
  <c r="P6" i="2"/>
  <c r="H38" i="2"/>
  <c r="H11" i="2"/>
  <c r="H18" i="2"/>
  <c r="H31" i="2"/>
  <c r="H22" i="2"/>
  <c r="H20" i="2"/>
  <c r="H3" i="2"/>
  <c r="H17" i="2"/>
  <c r="H41" i="2"/>
  <c r="H33" i="2"/>
  <c r="H25" i="2"/>
  <c r="H28" i="2"/>
  <c r="N6" i="2"/>
  <c r="N14" i="2"/>
  <c r="N26" i="2"/>
  <c r="N39" i="2"/>
  <c r="C57" i="1"/>
  <c r="L3" i="2" l="1"/>
  <c r="K3" i="2"/>
  <c r="I3" i="2"/>
  <c r="J3" i="2"/>
  <c r="R3" i="2"/>
  <c r="Q3" i="2"/>
  <c r="X3" i="2"/>
  <c r="Y3" i="2"/>
  <c r="Z3" i="2"/>
  <c r="T3" i="2"/>
  <c r="S3" i="2"/>
  <c r="L4" i="2"/>
  <c r="K4" i="2"/>
  <c r="I4" i="2"/>
  <c r="J4" i="2"/>
  <c r="R4" i="2"/>
  <c r="Q4" i="2"/>
  <c r="X4" i="2"/>
  <c r="Y4" i="2"/>
  <c r="Z4" i="2"/>
  <c r="T4" i="2"/>
  <c r="S4" i="2"/>
  <c r="L5" i="2"/>
  <c r="K5" i="2"/>
  <c r="I5" i="2"/>
  <c r="J5" i="2"/>
  <c r="R5" i="2"/>
  <c r="Q5" i="2"/>
  <c r="X5" i="2"/>
  <c r="Y5" i="2"/>
  <c r="Z5" i="2"/>
  <c r="T5" i="2"/>
  <c r="S5" i="2"/>
  <c r="L6" i="2"/>
  <c r="K6" i="2"/>
  <c r="I6" i="2"/>
  <c r="J6" i="2"/>
  <c r="R6" i="2"/>
  <c r="Q6" i="2"/>
  <c r="X6" i="2"/>
  <c r="Y6" i="2"/>
  <c r="Z6" i="2"/>
  <c r="T6" i="2"/>
  <c r="S6" i="2"/>
  <c r="L7" i="2"/>
  <c r="K7" i="2"/>
  <c r="I7" i="2"/>
  <c r="J7" i="2"/>
  <c r="R7" i="2"/>
  <c r="Q7" i="2"/>
  <c r="X7" i="2"/>
  <c r="Y7" i="2"/>
  <c r="Z7" i="2"/>
  <c r="T7" i="2"/>
  <c r="S7" i="2"/>
  <c r="L8" i="2"/>
  <c r="K8" i="2"/>
  <c r="I8" i="2"/>
  <c r="J8" i="2"/>
  <c r="R8" i="2"/>
  <c r="Q8" i="2"/>
  <c r="X8" i="2"/>
  <c r="Y8" i="2"/>
  <c r="Z8" i="2"/>
  <c r="T8" i="2"/>
  <c r="S8" i="2"/>
  <c r="L9" i="2"/>
  <c r="K9" i="2"/>
  <c r="I9" i="2"/>
  <c r="J9" i="2"/>
  <c r="R9" i="2"/>
  <c r="Q9" i="2"/>
  <c r="X9" i="2"/>
  <c r="Y9" i="2"/>
  <c r="Z9" i="2"/>
  <c r="T9" i="2"/>
  <c r="S9" i="2"/>
  <c r="L10" i="2"/>
  <c r="K10" i="2"/>
  <c r="I10" i="2"/>
  <c r="J10" i="2"/>
  <c r="R10" i="2"/>
  <c r="Q10" i="2"/>
  <c r="X10" i="2"/>
  <c r="Y10" i="2"/>
  <c r="Z10" i="2"/>
  <c r="T10" i="2"/>
  <c r="S10" i="2"/>
  <c r="L11" i="2"/>
  <c r="K11" i="2"/>
  <c r="I11" i="2"/>
  <c r="J11" i="2"/>
  <c r="R11" i="2"/>
  <c r="Q11" i="2"/>
  <c r="X11" i="2"/>
  <c r="Y11" i="2"/>
  <c r="Z11" i="2"/>
  <c r="T11" i="2"/>
  <c r="S11" i="2"/>
  <c r="L12" i="2"/>
  <c r="K12" i="2"/>
  <c r="I12" i="2"/>
  <c r="J12" i="2"/>
  <c r="R12" i="2"/>
  <c r="Q12" i="2"/>
  <c r="X12" i="2"/>
  <c r="Y12" i="2"/>
  <c r="Z12" i="2"/>
  <c r="T12" i="2"/>
  <c r="S12" i="2"/>
  <c r="L13" i="2"/>
  <c r="K13" i="2"/>
  <c r="I13" i="2"/>
  <c r="J13" i="2"/>
  <c r="R13" i="2"/>
  <c r="Q13" i="2"/>
  <c r="X13" i="2"/>
  <c r="Y13" i="2"/>
  <c r="Z13" i="2"/>
  <c r="T13" i="2"/>
  <c r="S13" i="2"/>
  <c r="L14" i="2"/>
  <c r="K14" i="2"/>
  <c r="I14" i="2"/>
  <c r="J14" i="2"/>
  <c r="R14" i="2"/>
  <c r="Q14" i="2"/>
  <c r="X14" i="2"/>
  <c r="Y14" i="2"/>
  <c r="Z14" i="2"/>
  <c r="T14" i="2"/>
  <c r="S14" i="2"/>
  <c r="L15" i="2"/>
  <c r="K15" i="2"/>
  <c r="I15" i="2"/>
  <c r="J15" i="2"/>
  <c r="R15" i="2"/>
  <c r="Q15" i="2"/>
  <c r="X15" i="2"/>
  <c r="Y15" i="2"/>
  <c r="Z15" i="2"/>
  <c r="T15" i="2"/>
  <c r="S15" i="2"/>
  <c r="L16" i="2"/>
  <c r="K16" i="2"/>
  <c r="I16" i="2"/>
  <c r="J16" i="2"/>
  <c r="R16" i="2"/>
  <c r="Q16" i="2"/>
  <c r="X16" i="2"/>
  <c r="Y16" i="2"/>
  <c r="Z16" i="2"/>
  <c r="T16" i="2"/>
  <c r="S16" i="2"/>
  <c r="L17" i="2"/>
  <c r="K17" i="2"/>
  <c r="I17" i="2"/>
  <c r="J17" i="2"/>
  <c r="R17" i="2"/>
  <c r="Q17" i="2"/>
  <c r="X17" i="2"/>
  <c r="Y17" i="2"/>
  <c r="Z17" i="2"/>
  <c r="T17" i="2"/>
  <c r="S17" i="2"/>
  <c r="L18" i="2"/>
  <c r="K18" i="2"/>
  <c r="I18" i="2"/>
  <c r="J18" i="2"/>
  <c r="R18" i="2"/>
  <c r="Q18" i="2"/>
  <c r="X18" i="2"/>
  <c r="Y18" i="2"/>
  <c r="Z18" i="2"/>
  <c r="T18" i="2"/>
  <c r="S18" i="2"/>
  <c r="L19" i="2"/>
  <c r="K19" i="2"/>
  <c r="I19" i="2"/>
  <c r="J19" i="2"/>
  <c r="R19" i="2"/>
  <c r="Q19" i="2"/>
  <c r="X19" i="2"/>
  <c r="Y19" i="2"/>
  <c r="Z19" i="2"/>
  <c r="T19" i="2"/>
  <c r="S19" i="2"/>
  <c r="L20" i="2"/>
  <c r="K20" i="2"/>
  <c r="I20" i="2"/>
  <c r="J20" i="2"/>
  <c r="R20" i="2"/>
  <c r="Q20" i="2"/>
  <c r="X20" i="2"/>
  <c r="Y20" i="2"/>
  <c r="Z20" i="2"/>
  <c r="T20" i="2"/>
  <c r="S20" i="2"/>
  <c r="L21" i="2"/>
  <c r="K21" i="2"/>
  <c r="I21" i="2"/>
  <c r="J21" i="2"/>
  <c r="R21" i="2"/>
  <c r="Q21" i="2"/>
  <c r="X21" i="2"/>
  <c r="Y21" i="2"/>
  <c r="Z21" i="2"/>
  <c r="T21" i="2"/>
  <c r="S21" i="2"/>
  <c r="L22" i="2"/>
  <c r="K22" i="2"/>
  <c r="I22" i="2"/>
  <c r="J22" i="2"/>
  <c r="R22" i="2"/>
  <c r="Q22" i="2"/>
  <c r="X22" i="2"/>
  <c r="Y22" i="2"/>
  <c r="Z22" i="2"/>
  <c r="T22" i="2"/>
  <c r="S22" i="2"/>
  <c r="L23" i="2"/>
  <c r="K23" i="2"/>
  <c r="I23" i="2"/>
  <c r="J23" i="2"/>
  <c r="R23" i="2"/>
  <c r="Q23" i="2"/>
  <c r="X23" i="2"/>
  <c r="Y23" i="2"/>
  <c r="Z23" i="2"/>
  <c r="T23" i="2"/>
  <c r="S23" i="2"/>
  <c r="L24" i="2"/>
  <c r="K24" i="2"/>
  <c r="I24" i="2"/>
  <c r="J24" i="2"/>
  <c r="R24" i="2"/>
  <c r="Q24" i="2"/>
  <c r="X24" i="2"/>
  <c r="Y24" i="2"/>
  <c r="Z24" i="2"/>
  <c r="T24" i="2"/>
  <c r="S24" i="2"/>
  <c r="L25" i="2"/>
  <c r="K25" i="2"/>
  <c r="I25" i="2"/>
  <c r="J25" i="2"/>
  <c r="R25" i="2"/>
  <c r="Q25" i="2"/>
  <c r="X25" i="2"/>
  <c r="Y25" i="2"/>
  <c r="Z25" i="2"/>
  <c r="T25" i="2"/>
  <c r="S25" i="2"/>
  <c r="L26" i="2"/>
  <c r="K26" i="2"/>
  <c r="I26" i="2"/>
  <c r="J26" i="2"/>
  <c r="R26" i="2"/>
  <c r="Q26" i="2"/>
  <c r="X26" i="2"/>
  <c r="Y26" i="2"/>
  <c r="Z26" i="2"/>
  <c r="T26" i="2"/>
  <c r="S26" i="2"/>
  <c r="L27" i="2"/>
  <c r="K27" i="2"/>
  <c r="I27" i="2"/>
  <c r="J27" i="2"/>
  <c r="R27" i="2"/>
  <c r="Q27" i="2"/>
  <c r="X27" i="2"/>
  <c r="Y27" i="2"/>
  <c r="Z27" i="2"/>
  <c r="T27" i="2"/>
  <c r="S27" i="2"/>
  <c r="L28" i="2"/>
  <c r="K28" i="2"/>
  <c r="I28" i="2"/>
  <c r="J28" i="2"/>
  <c r="R28" i="2"/>
  <c r="Q28" i="2"/>
  <c r="X28" i="2"/>
  <c r="Y28" i="2"/>
  <c r="Z28" i="2"/>
  <c r="T28" i="2"/>
  <c r="S28" i="2"/>
  <c r="L29" i="2"/>
  <c r="K29" i="2"/>
  <c r="I29" i="2"/>
  <c r="J29" i="2"/>
  <c r="R29" i="2"/>
  <c r="Q29" i="2"/>
  <c r="X29" i="2"/>
  <c r="Y29" i="2"/>
  <c r="Z29" i="2"/>
  <c r="T29" i="2"/>
  <c r="S29" i="2"/>
  <c r="L30" i="2"/>
  <c r="K30" i="2"/>
  <c r="I30" i="2"/>
  <c r="J30" i="2"/>
  <c r="R30" i="2"/>
  <c r="Q30" i="2"/>
  <c r="X30" i="2"/>
  <c r="Y30" i="2"/>
  <c r="Z30" i="2"/>
  <c r="T30" i="2"/>
  <c r="S30" i="2"/>
  <c r="L31" i="2"/>
  <c r="K31" i="2"/>
  <c r="I31" i="2"/>
  <c r="J31" i="2"/>
  <c r="R31" i="2"/>
  <c r="Q31" i="2"/>
  <c r="X31" i="2"/>
  <c r="Y31" i="2"/>
  <c r="Z31" i="2"/>
  <c r="T31" i="2"/>
  <c r="S31" i="2"/>
  <c r="L32" i="2"/>
  <c r="K32" i="2"/>
  <c r="I32" i="2"/>
  <c r="J32" i="2"/>
  <c r="R32" i="2"/>
  <c r="Q32" i="2"/>
  <c r="X32" i="2"/>
  <c r="Y32" i="2"/>
  <c r="Z32" i="2"/>
  <c r="T32" i="2"/>
  <c r="S32" i="2"/>
  <c r="L33" i="2"/>
  <c r="K33" i="2"/>
  <c r="I33" i="2"/>
  <c r="J33" i="2"/>
  <c r="R33" i="2"/>
  <c r="Q33" i="2"/>
  <c r="X33" i="2"/>
  <c r="Y33" i="2"/>
  <c r="Z33" i="2"/>
  <c r="T33" i="2"/>
  <c r="S33" i="2"/>
  <c r="L34" i="2"/>
  <c r="K34" i="2"/>
  <c r="I34" i="2"/>
  <c r="J34" i="2"/>
  <c r="R34" i="2"/>
  <c r="Q34" i="2"/>
  <c r="X34" i="2"/>
  <c r="Y34" i="2"/>
  <c r="Z34" i="2"/>
  <c r="T34" i="2"/>
  <c r="S34" i="2"/>
  <c r="L35" i="2"/>
  <c r="K35" i="2"/>
  <c r="I35" i="2"/>
  <c r="J35" i="2"/>
  <c r="R35" i="2"/>
  <c r="Q35" i="2"/>
  <c r="X35" i="2"/>
  <c r="Y35" i="2"/>
  <c r="Z35" i="2"/>
  <c r="T35" i="2"/>
  <c r="S35" i="2"/>
  <c r="L36" i="2"/>
  <c r="K36" i="2"/>
  <c r="I36" i="2"/>
  <c r="J36" i="2"/>
  <c r="R36" i="2"/>
  <c r="Q36" i="2"/>
  <c r="X36" i="2"/>
  <c r="Y36" i="2"/>
  <c r="Z36" i="2"/>
  <c r="T36" i="2"/>
  <c r="S36" i="2"/>
  <c r="L37" i="2"/>
  <c r="K37" i="2"/>
  <c r="I37" i="2"/>
  <c r="J37" i="2"/>
  <c r="R37" i="2"/>
  <c r="Q37" i="2"/>
  <c r="X37" i="2"/>
  <c r="Y37" i="2"/>
  <c r="Z37" i="2"/>
  <c r="T37" i="2"/>
  <c r="S37" i="2"/>
  <c r="L38" i="2"/>
  <c r="K38" i="2"/>
  <c r="I38" i="2"/>
  <c r="J38" i="2"/>
  <c r="R38" i="2"/>
  <c r="Q38" i="2"/>
  <c r="X38" i="2"/>
  <c r="Y38" i="2"/>
  <c r="Z38" i="2"/>
  <c r="T38" i="2"/>
  <c r="S38" i="2"/>
  <c r="L39" i="2"/>
  <c r="K39" i="2"/>
  <c r="I39" i="2"/>
  <c r="J39" i="2"/>
  <c r="R39" i="2"/>
  <c r="Q39" i="2"/>
  <c r="X39" i="2"/>
  <c r="Y39" i="2"/>
  <c r="Z39" i="2"/>
  <c r="T39" i="2"/>
  <c r="S39" i="2"/>
  <c r="L40" i="2"/>
  <c r="K40" i="2"/>
  <c r="I40" i="2"/>
  <c r="J40" i="2"/>
  <c r="R40" i="2"/>
  <c r="Q40" i="2"/>
  <c r="X40" i="2"/>
  <c r="Y40" i="2"/>
  <c r="Z40" i="2"/>
  <c r="T40" i="2"/>
  <c r="S40" i="2"/>
  <c r="L41" i="2"/>
  <c r="K41" i="2"/>
  <c r="I41" i="2"/>
  <c r="J41" i="2"/>
  <c r="R41" i="2"/>
  <c r="Q41" i="2"/>
  <c r="X41" i="2"/>
  <c r="Y41" i="2"/>
  <c r="Z41" i="2"/>
  <c r="T41" i="2"/>
  <c r="S41" i="2"/>
  <c r="L42" i="2"/>
  <c r="K42" i="2"/>
  <c r="I42" i="2"/>
  <c r="P42" i="2"/>
  <c r="J42" i="2"/>
  <c r="R42" i="2"/>
  <c r="Q42" i="2"/>
  <c r="X42" i="2"/>
  <c r="Y42" i="2"/>
  <c r="Z42" i="2"/>
  <c r="T42" i="2"/>
  <c r="S42" i="2"/>
  <c r="L43" i="2"/>
  <c r="K43" i="2"/>
  <c r="I43" i="2"/>
  <c r="J43" i="2"/>
  <c r="R43" i="2"/>
  <c r="Q43" i="2"/>
  <c r="X43" i="2"/>
  <c r="Y43" i="2"/>
  <c r="Z43" i="2"/>
  <c r="T43" i="2"/>
  <c r="S43" i="2"/>
  <c r="M6" i="2"/>
  <c r="G6" i="2"/>
  <c r="H7" i="2"/>
  <c r="H6" i="2"/>
  <c r="H9" i="2"/>
  <c r="H39" i="2"/>
  <c r="N27" i="2"/>
  <c r="H36" i="2"/>
  <c r="H4" i="2"/>
  <c r="H19" i="2"/>
  <c r="N3" i="2"/>
  <c r="H30" i="2"/>
  <c r="H8" i="2"/>
  <c r="H32" i="2"/>
  <c r="H40" i="2"/>
  <c r="H37" i="2"/>
  <c r="H5" i="2"/>
  <c r="H21" i="2"/>
  <c r="H12" i="2"/>
  <c r="H14" i="2"/>
  <c r="H16" i="2"/>
  <c r="H43" i="2"/>
  <c r="H15" i="2"/>
  <c r="G4" i="2"/>
  <c r="G43" i="2"/>
  <c r="G41" i="2"/>
  <c r="G39" i="2"/>
  <c r="G37" i="2"/>
  <c r="G35" i="2"/>
  <c r="G33" i="2"/>
  <c r="G31" i="2"/>
  <c r="G29" i="2"/>
  <c r="G27" i="2"/>
  <c r="G25" i="2"/>
  <c r="G23" i="2"/>
  <c r="G21" i="2"/>
  <c r="G19" i="2"/>
  <c r="G17" i="2"/>
  <c r="G15" i="2"/>
  <c r="G13" i="2"/>
  <c r="G11" i="2"/>
  <c r="G9" i="2"/>
  <c r="G7" i="2"/>
  <c r="H23" i="2"/>
  <c r="H24" i="2"/>
  <c r="H26" i="2"/>
  <c r="H13" i="2"/>
  <c r="H42" i="2"/>
  <c r="H27" i="2"/>
  <c r="H29" i="2"/>
  <c r="H10" i="2"/>
  <c r="H35" i="2"/>
  <c r="H34" i="2"/>
  <c r="G3" i="2"/>
  <c r="G5" i="2"/>
  <c r="G42" i="2"/>
  <c r="G40" i="2"/>
  <c r="G38" i="2"/>
  <c r="G36" i="2"/>
  <c r="G34" i="2"/>
  <c r="G32" i="2"/>
  <c r="G30" i="2"/>
  <c r="G28" i="2"/>
  <c r="G26" i="2"/>
  <c r="G24" i="2"/>
  <c r="G22" i="2"/>
  <c r="G20" i="2"/>
  <c r="G18" i="2"/>
  <c r="G16" i="2"/>
  <c r="G14" i="2"/>
  <c r="G12" i="2"/>
  <c r="G10" i="2"/>
  <c r="G8" i="2"/>
  <c r="C114" i="1"/>
  <c r="C69" i="1"/>
  <c r="C78" i="1" s="1"/>
  <c r="N43" i="2"/>
  <c r="N38" i="2"/>
  <c r="N35" i="2"/>
  <c r="N23" i="2"/>
  <c r="N8" i="2"/>
  <c r="N11" i="2"/>
  <c r="N5" i="2"/>
  <c r="N41" i="2"/>
  <c r="N42" i="2"/>
  <c r="N19" i="2"/>
  <c r="N25" i="2"/>
  <c r="N24" i="2"/>
  <c r="N28" i="2"/>
  <c r="N32" i="2"/>
  <c r="N10" i="2"/>
  <c r="N30" i="2"/>
  <c r="N31" i="2"/>
  <c r="N37" i="2"/>
  <c r="N36" i="2"/>
  <c r="N18" i="2"/>
  <c r="N7" i="2"/>
  <c r="N29" i="2"/>
  <c r="N17" i="2"/>
  <c r="N21" i="2"/>
  <c r="N20" i="2"/>
  <c r="N34" i="2"/>
  <c r="N22" i="2"/>
  <c r="N33" i="2"/>
  <c r="N40" i="2"/>
  <c r="N15" i="2"/>
  <c r="N4" i="2"/>
  <c r="N16" i="2"/>
  <c r="N12" i="2"/>
  <c r="N9" i="2"/>
  <c r="N13" i="2"/>
  <c r="M3" i="2"/>
  <c r="M4" i="2"/>
  <c r="M5"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C32" i="1"/>
  <c r="C68" i="1"/>
  <c r="F34" i="2" s="1"/>
  <c r="V19" i="2"/>
  <c r="V6" i="2"/>
  <c r="V35" i="2"/>
  <c r="C117" i="1"/>
  <c r="C107" i="1"/>
  <c r="C106" i="1"/>
  <c r="V8" i="2"/>
  <c r="V12" i="2"/>
  <c r="V16" i="2"/>
  <c r="V20" i="2"/>
  <c r="V24" i="2"/>
  <c r="V28" i="2"/>
  <c r="V32" i="2"/>
  <c r="V36" i="2"/>
  <c r="V40" i="2"/>
  <c r="V7" i="2"/>
  <c r="V3"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5" i="2"/>
  <c r="U4" i="2"/>
  <c r="U3" i="2"/>
  <c r="V9" i="2"/>
  <c r="V13" i="2"/>
  <c r="V17" i="2"/>
  <c r="V21" i="2"/>
  <c r="V25" i="2"/>
  <c r="V29" i="2"/>
  <c r="V33" i="2"/>
  <c r="V37" i="2"/>
  <c r="V41" i="2"/>
  <c r="U6" i="2"/>
  <c r="V10" i="2"/>
  <c r="V14" i="2"/>
  <c r="V18" i="2"/>
  <c r="V22" i="2"/>
  <c r="V26" i="2"/>
  <c r="V30" i="2"/>
  <c r="V34" i="2"/>
  <c r="V38" i="2"/>
  <c r="V42" i="2"/>
  <c r="V5" i="2"/>
  <c r="V4" i="2"/>
  <c r="V31" i="2"/>
  <c r="V15" i="2"/>
  <c r="V43" i="2"/>
  <c r="V27" i="2"/>
  <c r="V11" i="2"/>
  <c r="C6" i="2"/>
  <c r="D18" i="2"/>
  <c r="D28" i="2"/>
  <c r="D14" i="2"/>
  <c r="D35" i="2"/>
  <c r="D4" i="2"/>
  <c r="D12" i="2"/>
  <c r="D24" i="2"/>
  <c r="D30" i="2"/>
  <c r="D38" i="2"/>
  <c r="D36" i="2"/>
  <c r="D6" i="2"/>
  <c r="D16" i="2"/>
  <c r="D13" i="2"/>
  <c r="D8" i="2"/>
  <c r="D20" i="2"/>
  <c r="C7" i="2"/>
  <c r="C9" i="2"/>
  <c r="C10" i="2"/>
  <c r="C11" i="2"/>
  <c r="C13" i="2"/>
  <c r="C14" i="2"/>
  <c r="C15" i="2"/>
  <c r="C17" i="2"/>
  <c r="C18" i="2"/>
  <c r="C19" i="2"/>
  <c r="C21" i="2"/>
  <c r="C22" i="2"/>
  <c r="C23" i="2"/>
  <c r="C25" i="2"/>
  <c r="C26" i="2"/>
  <c r="C27" i="2"/>
  <c r="C29" i="2"/>
  <c r="C30" i="2"/>
  <c r="C31" i="2"/>
  <c r="C33" i="2"/>
  <c r="C34" i="2"/>
  <c r="C35" i="2"/>
  <c r="C37" i="2"/>
  <c r="C38" i="2"/>
  <c r="C39" i="2"/>
  <c r="C41" i="2"/>
  <c r="C42" i="2"/>
  <c r="C43" i="2"/>
  <c r="C4" i="2"/>
  <c r="C3" i="2"/>
  <c r="D34" i="2"/>
  <c r="D31" i="2"/>
  <c r="D23" i="2"/>
  <c r="D10" i="2"/>
  <c r="D27" i="2"/>
  <c r="D5" i="2"/>
  <c r="D15" i="2"/>
  <c r="D7" i="2"/>
  <c r="D21" i="2"/>
  <c r="D32" i="2"/>
  <c r="D3" i="2"/>
  <c r="D11" i="2"/>
  <c r="D22" i="2"/>
  <c r="D42" i="2"/>
  <c r="D9" i="2"/>
  <c r="D43" i="2"/>
  <c r="V39" i="2"/>
  <c r="V23" i="2"/>
  <c r="D25" i="2" l="1"/>
  <c r="D17" i="2"/>
  <c r="D39" i="2"/>
  <c r="C40" i="2"/>
  <c r="C32" i="2"/>
  <c r="C24" i="2"/>
  <c r="C16" i="2"/>
  <c r="C8" i="2"/>
  <c r="D19" i="2"/>
  <c r="D33" i="2"/>
  <c r="D40" i="2"/>
  <c r="D26" i="2"/>
  <c r="C5" i="2"/>
  <c r="C36" i="2"/>
  <c r="C28" i="2"/>
  <c r="C20" i="2"/>
  <c r="C12" i="2"/>
  <c r="D29" i="2"/>
  <c r="D41" i="2"/>
  <c r="D37" i="2"/>
  <c r="F27" i="2"/>
  <c r="AB27" i="2" s="1"/>
  <c r="AD27" i="2" s="1"/>
  <c r="F17" i="2"/>
  <c r="E36" i="2"/>
  <c r="AA36" i="2" s="1"/>
  <c r="E3" i="2"/>
  <c r="F38" i="2"/>
  <c r="AB38" i="2" s="1"/>
  <c r="AD38" i="2" s="1"/>
  <c r="E23" i="2"/>
  <c r="F14" i="2"/>
  <c r="AB14" i="2" s="1"/>
  <c r="AD14" i="2" s="1"/>
  <c r="F6" i="2"/>
  <c r="AB6" i="2" s="1"/>
  <c r="AD6" i="2" s="1"/>
  <c r="E31" i="2"/>
  <c r="AA31" i="2" s="1"/>
  <c r="F24" i="2"/>
  <c r="AB24" i="2" s="1"/>
  <c r="AD24" i="2" s="1"/>
  <c r="E41" i="2"/>
  <c r="AA41" i="2" s="1"/>
  <c r="E7" i="2"/>
  <c r="AA7" i="2" s="1"/>
  <c r="F23" i="2"/>
  <c r="AB23" i="2" s="1"/>
  <c r="AD23" i="2" s="1"/>
  <c r="F39" i="2"/>
  <c r="F32" i="2"/>
  <c r="AB32" i="2" s="1"/>
  <c r="AD32" i="2" s="1"/>
  <c r="F37" i="2"/>
  <c r="AB37" i="2" s="1"/>
  <c r="AD37" i="2" s="1"/>
  <c r="F7" i="2"/>
  <c r="AB7" i="2" s="1"/>
  <c r="AD7" i="2" s="1"/>
  <c r="F20" i="2"/>
  <c r="AB20" i="2" s="1"/>
  <c r="AD20" i="2" s="1"/>
  <c r="E4" i="2"/>
  <c r="AA4" i="2" s="1"/>
  <c r="E40" i="2"/>
  <c r="E35" i="2"/>
  <c r="E28" i="2"/>
  <c r="E21" i="2"/>
  <c r="AA21" i="2" s="1"/>
  <c r="E6" i="2"/>
  <c r="AA6" i="2" s="1"/>
  <c r="F12" i="2"/>
  <c r="AB12" i="2" s="1"/>
  <c r="AD12" i="2" s="1"/>
  <c r="F40" i="2"/>
  <c r="E33" i="2"/>
  <c r="AA33" i="2" s="1"/>
  <c r="F15" i="2"/>
  <c r="AB15" i="2" s="1"/>
  <c r="AD15" i="2" s="1"/>
  <c r="F26" i="2"/>
  <c r="AB26" i="2" s="1"/>
  <c r="AD26" i="2" s="1"/>
  <c r="F4" i="2"/>
  <c r="AB4" i="2" s="1"/>
  <c r="AD4" i="2" s="1"/>
  <c r="F35" i="2"/>
  <c r="AB35" i="2" s="1"/>
  <c r="AD35" i="2" s="1"/>
  <c r="E5" i="2"/>
  <c r="E39" i="2"/>
  <c r="AA39" i="2" s="1"/>
  <c r="E27" i="2"/>
  <c r="E18" i="2"/>
  <c r="F13" i="2"/>
  <c r="AB13" i="2" s="1"/>
  <c r="AD13" i="2" s="1"/>
  <c r="F11" i="2"/>
  <c r="AB11" i="2" s="1"/>
  <c r="AD11" i="2" s="1"/>
  <c r="F42" i="2"/>
  <c r="AB42" i="2" s="1"/>
  <c r="AD42" i="2" s="1"/>
  <c r="F33" i="2"/>
  <c r="AB33" i="2" s="1"/>
  <c r="AD33" i="2" s="1"/>
  <c r="F19" i="2"/>
  <c r="AB19" i="2" s="1"/>
  <c r="AD19" i="2" s="1"/>
  <c r="F10" i="2"/>
  <c r="AB10" i="2" s="1"/>
  <c r="AD10" i="2" s="1"/>
  <c r="F21" i="2"/>
  <c r="AB21" i="2" s="1"/>
  <c r="AD21" i="2" s="1"/>
  <c r="E43" i="2"/>
  <c r="AA43" i="2" s="1"/>
  <c r="E37" i="2"/>
  <c r="AA37" i="2" s="1"/>
  <c r="E32" i="2"/>
  <c r="E25" i="2"/>
  <c r="AA25" i="2" s="1"/>
  <c r="E9" i="2"/>
  <c r="F22" i="2"/>
  <c r="AB22" i="2" s="1"/>
  <c r="AD22" i="2" s="1"/>
  <c r="F8" i="2"/>
  <c r="AB8" i="2" s="1"/>
  <c r="AD8" i="2" s="1"/>
  <c r="E42" i="2"/>
  <c r="AA42" i="2" s="1"/>
  <c r="E38" i="2"/>
  <c r="E34" i="2"/>
  <c r="E29" i="2"/>
  <c r="E24" i="2"/>
  <c r="E16" i="2"/>
  <c r="E14" i="2"/>
  <c r="AA14" i="2" s="1"/>
  <c r="E20" i="2"/>
  <c r="E13" i="2"/>
  <c r="E30" i="2"/>
  <c r="E26" i="2"/>
  <c r="AA26" i="2" s="1"/>
  <c r="E22" i="2"/>
  <c r="AA22" i="2" s="1"/>
  <c r="E17" i="2"/>
  <c r="AA17" i="2" s="1"/>
  <c r="E11" i="2"/>
  <c r="AA11" i="2" s="1"/>
  <c r="E19" i="2"/>
  <c r="AA19" i="2" s="1"/>
  <c r="E15" i="2"/>
  <c r="AA15" i="2" s="1"/>
  <c r="E10" i="2"/>
  <c r="AA10" i="2" s="1"/>
  <c r="F31" i="2"/>
  <c r="AB31" i="2" s="1"/>
  <c r="AD31" i="2" s="1"/>
  <c r="F30" i="2"/>
  <c r="AB30" i="2" s="1"/>
  <c r="AD30" i="2" s="1"/>
  <c r="F41" i="2"/>
  <c r="E12" i="2"/>
  <c r="E8" i="2"/>
  <c r="F9" i="2"/>
  <c r="AB9" i="2" s="1"/>
  <c r="AD9" i="2" s="1"/>
  <c r="F36" i="2"/>
  <c r="AB36" i="2" s="1"/>
  <c r="AD36" i="2" s="1"/>
  <c r="F5" i="2"/>
  <c r="AB5" i="2" s="1"/>
  <c r="AD5" i="2" s="1"/>
  <c r="F18" i="2"/>
  <c r="AB18" i="2" s="1"/>
  <c r="AD18" i="2" s="1"/>
  <c r="F16" i="2"/>
  <c r="AB16" i="2" s="1"/>
  <c r="AD16" i="2" s="1"/>
  <c r="F29" i="2"/>
  <c r="F28" i="2"/>
  <c r="AB28" i="2" s="1"/>
  <c r="AD28" i="2" s="1"/>
  <c r="F43" i="2"/>
  <c r="AB43" i="2" s="1"/>
  <c r="AD43" i="2" s="1"/>
  <c r="F25" i="2"/>
  <c r="AB25" i="2" s="1"/>
  <c r="AD25" i="2" s="1"/>
  <c r="F3" i="2"/>
  <c r="AB3" i="2" s="1"/>
  <c r="AD3" i="2" s="1"/>
  <c r="AB34" i="2"/>
  <c r="AD34" i="2" s="1"/>
  <c r="AA28" i="2" l="1"/>
  <c r="AC28" i="2" s="1"/>
  <c r="AB39" i="2"/>
  <c r="AD39" i="2" s="1"/>
  <c r="AB29" i="2"/>
  <c r="AD29" i="2" s="1"/>
  <c r="AB41" i="2"/>
  <c r="AD41" i="2" s="1"/>
  <c r="AB40" i="2"/>
  <c r="AD40" i="2" s="1"/>
  <c r="AB17" i="2"/>
  <c r="AD17" i="2" s="1"/>
  <c r="AA23" i="2"/>
  <c r="AC23" i="2" s="1"/>
  <c r="AA12" i="2"/>
  <c r="AC12" i="2" s="1"/>
  <c r="AC7" i="2"/>
  <c r="AA30" i="2"/>
  <c r="AC30" i="2" s="1"/>
  <c r="AC43" i="2"/>
  <c r="AC33" i="2"/>
  <c r="AC4" i="2"/>
  <c r="AC41" i="2"/>
  <c r="AC36" i="2"/>
  <c r="AA18" i="2"/>
  <c r="AC18" i="2" s="1"/>
  <c r="AA40" i="2"/>
  <c r="AC40" i="2" s="1"/>
  <c r="AA29" i="2"/>
  <c r="AC29" i="2" s="1"/>
  <c r="AA13" i="2"/>
  <c r="AC13" i="2" s="1"/>
  <c r="AC15" i="2"/>
  <c r="AA20" i="2"/>
  <c r="AC20" i="2" s="1"/>
  <c r="AC39" i="2"/>
  <c r="AC31" i="2"/>
  <c r="AC10" i="2"/>
  <c r="AC42" i="2"/>
  <c r="AC19" i="2"/>
  <c r="AC14" i="2"/>
  <c r="AC6" i="2"/>
  <c r="AA9" i="2"/>
  <c r="AC9" i="2" s="1"/>
  <c r="AA38" i="2"/>
  <c r="AC38" i="2" s="1"/>
  <c r="AA34" i="2"/>
  <c r="AC34" i="2" s="1"/>
  <c r="AA3" i="2"/>
  <c r="AC3" i="2" s="1"/>
  <c r="AC21" i="2"/>
  <c r="AA27" i="2"/>
  <c r="AC27" i="2" s="1"/>
  <c r="AC11" i="2"/>
  <c r="AC17" i="2"/>
  <c r="AA35" i="2"/>
  <c r="AC35" i="2" s="1"/>
  <c r="AA16" i="2"/>
  <c r="AC16" i="2" s="1"/>
  <c r="AC25" i="2"/>
  <c r="AC22" i="2"/>
  <c r="AA8" i="2"/>
  <c r="AC8" i="2" s="1"/>
  <c r="AC26" i="2"/>
  <c r="AC37" i="2"/>
  <c r="AA24" i="2"/>
  <c r="AC24" i="2" s="1"/>
  <c r="AA5" i="2"/>
  <c r="AC5" i="2" s="1"/>
  <c r="AA32" i="2"/>
  <c r="AC32" i="2" s="1"/>
  <c r="C110" i="1"/>
  <c r="C115" i="1" s="1"/>
</calcChain>
</file>

<file path=xl/sharedStrings.xml><?xml version="1.0" encoding="utf-8"?>
<sst xmlns="http://schemas.openxmlformats.org/spreadsheetml/2006/main" count="337" uniqueCount="258">
  <si>
    <t>Design Tool for TPS552882</t>
  </si>
  <si>
    <t>V1.0 (12/1/2020)</t>
  </si>
  <si>
    <t>This tool is designed to aid the user in designing the TPS552882 buck-boost converter. Refer to TPS552882 datasheet for detail design precedure and all equations.</t>
  </si>
  <si>
    <t>User input value</t>
  </si>
  <si>
    <t>Calculated value</t>
  </si>
  <si>
    <t>No use or internal value</t>
  </si>
  <si>
    <t>Description</t>
  </si>
  <si>
    <t>Value</t>
  </si>
  <si>
    <t>Units</t>
  </si>
  <si>
    <t>Instructions/Comments</t>
  </si>
  <si>
    <t>Schematic</t>
  </si>
  <si>
    <t>Component Value</t>
  </si>
  <si>
    <t>Vin(min)</t>
  </si>
  <si>
    <t>V</t>
  </si>
  <si>
    <t>&gt;=2.7V</t>
  </si>
  <si>
    <t>Vin(max)</t>
  </si>
  <si>
    <t>&lt;=36V</t>
  </si>
  <si>
    <t>Vout</t>
  </si>
  <si>
    <t>Must be lower than or equal to the 1.063x Vout(max)</t>
  </si>
  <si>
    <t>Iout(max)</t>
  </si>
  <si>
    <t>A</t>
  </si>
  <si>
    <t>Maximum output current</t>
  </si>
  <si>
    <t>VCC</t>
  </si>
  <si>
    <t>Internal</t>
  </si>
  <si>
    <t>Select internal VCC or use external VCC power supply</t>
  </si>
  <si>
    <t>Switching Mode at light load</t>
  </si>
  <si>
    <t>APFM</t>
  </si>
  <si>
    <t>Select Forced PWM or Auto PFM mode at light load</t>
  </si>
  <si>
    <t>R6</t>
  </si>
  <si>
    <t>Ω</t>
  </si>
  <si>
    <t>Mode setting resistor</t>
  </si>
  <si>
    <t>R7</t>
  </si>
  <si>
    <t>Ω</t>
  </si>
  <si>
    <r>
      <t>Up resistor value of the extenral feedback resistor value. It is recommended to 100k</t>
    </r>
    <r>
      <rPr>
        <sz val="10"/>
        <rFont val="Arial"/>
        <family val="2"/>
      </rPr>
      <t>Ω</t>
    </r>
  </si>
  <si>
    <t>R8 recommended</t>
  </si>
  <si>
    <t>Bottom resistor value of the external feedback resistor divider</t>
  </si>
  <si>
    <t>Iout(limit)</t>
  </si>
  <si>
    <t>Output current limit setting</t>
  </si>
  <si>
    <t>R1 recommended</t>
  </si>
  <si>
    <r>
      <t>m</t>
    </r>
    <r>
      <rPr>
        <sz val="10"/>
        <rFont val="Arial"/>
        <family val="2"/>
      </rPr>
      <t>Ω</t>
    </r>
  </si>
  <si>
    <t>Output current sensing resistor</t>
  </si>
  <si>
    <r>
      <rPr>
        <sz val="10"/>
        <rFont val="Calibri"/>
        <family val="2"/>
      </rPr>
      <t>Δ</t>
    </r>
    <r>
      <rPr>
        <sz val="10"/>
        <rFont val="Arial"/>
        <family val="2"/>
      </rPr>
      <t>Iout(Cout_rms)</t>
    </r>
  </si>
  <si>
    <t>Arms</t>
  </si>
  <si>
    <t>The equivalent output capacitor current ripple spec must be higher than this value.</t>
  </si>
  <si>
    <r>
      <rPr>
        <sz val="10"/>
        <rFont val="Arial"/>
        <family val="2"/>
      </rPr>
      <t>ΔIin(Cin_rms)</t>
    </r>
  </si>
  <si>
    <t>The equivalent input capacitor current ripple spec must be higher than this value</t>
  </si>
  <si>
    <t>f(sw)</t>
  </si>
  <si>
    <t>Hz</t>
  </si>
  <si>
    <t>Typical switching frequency</t>
  </si>
  <si>
    <t>R2 recommended</t>
  </si>
  <si>
    <t>Switching frequency setting resistor</t>
  </si>
  <si>
    <t>Frequency dithering f(mod)</t>
  </si>
  <si>
    <t>Modulation frequency for spread spectrum</t>
  </si>
  <si>
    <t>C8 recommended</t>
  </si>
  <si>
    <t>F</t>
  </si>
  <si>
    <r>
      <rPr>
        <sz val="10"/>
        <rFont val="Calibri"/>
        <family val="2"/>
      </rPr>
      <t>Δ</t>
    </r>
    <r>
      <rPr>
        <sz val="10"/>
        <rFont val="Arial"/>
        <family val="2"/>
      </rPr>
      <t>Vout(pk-pk)</t>
    </r>
  </si>
  <si>
    <t>Vpp</t>
  </si>
  <si>
    <t>Maximum desired output ripple solely due to output capacitance (ignores ESR)</t>
  </si>
  <si>
    <t>Cout(min) recommended</t>
  </si>
  <si>
    <t>Minimum output capacitance needed for Vout ripple requirement</t>
  </si>
  <si>
    <t>C2 actual</t>
  </si>
  <si>
    <t>Effective ceramic capacitance at VOUT. Need to consider the derating with DC bias voltage</t>
  </si>
  <si>
    <t>C3 actual</t>
  </si>
  <si>
    <t>Effective electrolytic capacitance. Need to consider the derating with DC bias voltage</t>
  </si>
  <si>
    <t>ESR of C3</t>
  </si>
  <si>
    <t>Equivalent ESR if multiple high ESR electrolytic capacitors in parallel</t>
  </si>
  <si>
    <r>
      <rPr>
        <sz val="10"/>
        <rFont val="Arial"/>
        <family val="2"/>
      </rPr>
      <t>ΔVin(pk-pk)</t>
    </r>
  </si>
  <si>
    <t>Maximum desired input ripple due to solely to input capacitance at buck mode</t>
  </si>
  <si>
    <t>Cin(min) recommended</t>
  </si>
  <si>
    <t>Minimum input capacitance needed for Vin ripple requirement</t>
  </si>
  <si>
    <t>Cin actual</t>
  </si>
  <si>
    <t>effective output capacitance. Need to consider the derating with DC bias voltage when using ceramic cap</t>
  </si>
  <si>
    <r>
      <rPr>
        <sz val="10"/>
        <rFont val="Calibri"/>
        <family val="2"/>
      </rPr>
      <t>η</t>
    </r>
    <r>
      <rPr>
        <sz val="10"/>
        <rFont val="Arial"/>
        <family val="2"/>
      </rPr>
      <t xml:space="preserve"> estimate</t>
    </r>
  </si>
  <si>
    <t>Efficiency estimate. Correct it after getting the calculated efficiency</t>
  </si>
  <si>
    <t>K</t>
  </si>
  <si>
    <t>Fraction of maximum average inductor current that is ripple current (0.2-0.6 typically)</t>
  </si>
  <si>
    <t>L1 recommended min</t>
  </si>
  <si>
    <t>H</t>
  </si>
  <si>
    <t>L1's minimum recommended inductance value to meet inductor current ripple ratio at boost mode with Vin_min</t>
  </si>
  <si>
    <t>L1 actual</t>
  </si>
  <si>
    <t>I(Lrms) max</t>
  </si>
  <si>
    <t>Inductor maximum RMS current</t>
  </si>
  <si>
    <t>I(Lpeak) max</t>
  </si>
  <si>
    <t>The inductor (L1) is recommended to have saturation current rating 30% higher than this value.</t>
  </si>
  <si>
    <t>I(Lvalley) max</t>
  </si>
  <si>
    <t>Average Inductor Limit</t>
  </si>
  <si>
    <r>
      <t xml:space="preserve">Desired typical average inductor current limit. </t>
    </r>
    <r>
      <rPr>
        <sz val="10"/>
        <rFont val="Calibri"/>
        <family val="2"/>
      </rPr>
      <t>±2.5A tolerance</t>
    </r>
  </si>
  <si>
    <t>R5 recommended</t>
  </si>
  <si>
    <t>External CDC voltage ratio</t>
  </si>
  <si>
    <t>mV/mV</t>
  </si>
  <si>
    <t>ΔVout / (VISP-VISN)</t>
  </si>
  <si>
    <t>R4 recommend</t>
  </si>
  <si>
    <t>Recommended R4 for external CDC setting</t>
  </si>
  <si>
    <t>OCP delay time</t>
  </si>
  <si>
    <t>ms</t>
  </si>
  <si>
    <t>Set the output current limit response time</t>
  </si>
  <si>
    <t>VOUT change slew rate</t>
  </si>
  <si>
    <t>V/ms</t>
  </si>
  <si>
    <t>Set the output voltage change slew rate during vPPS</t>
  </si>
  <si>
    <t>Enable SCP indication</t>
  </si>
  <si>
    <t>Enable</t>
  </si>
  <si>
    <t>Enable or disable the output short circuit indication</t>
  </si>
  <si>
    <t>Enable OCP indication</t>
  </si>
  <si>
    <t>Enable or disable the output over current indication</t>
  </si>
  <si>
    <t>Enable OVP indication</t>
  </si>
  <si>
    <t>Enable or disable the output over voltage indication</t>
  </si>
  <si>
    <t>Loop Compensation Calculation in FPWM CCM mode</t>
  </si>
  <si>
    <t>Vin</t>
  </si>
  <si>
    <t>Check both buck and boost mode by changing Vin and Vout. The loop must have enough phase margin and gain margin</t>
  </si>
  <si>
    <t>Bode Plot</t>
  </si>
  <si>
    <t>Buck or Boost?</t>
  </si>
  <si>
    <t>Calculate open loop compensate at buck mode or boost mode</t>
  </si>
  <si>
    <t>gm_PS</t>
  </si>
  <si>
    <t>S</t>
  </si>
  <si>
    <t>Power stage gm of IL/Vcomp</t>
  </si>
  <si>
    <t>fp_PS</t>
  </si>
  <si>
    <t>Power stage pole of Rload and Cout</t>
  </si>
  <si>
    <t>fz_RHP</t>
  </si>
  <si>
    <t>Right half plane zero in boost mode</t>
  </si>
  <si>
    <t>fz_ESR</t>
  </si>
  <si>
    <t>ESR zero of the output cap</t>
  </si>
  <si>
    <t>f(BW) desired</t>
  </si>
  <si>
    <t>Should be less than 1/5*fzRPH and 1/10*fsw</t>
  </si>
  <si>
    <t>gm_EA</t>
  </si>
  <si>
    <t>Error amplifier gm</t>
  </si>
  <si>
    <t>R3 recommended</t>
  </si>
  <si>
    <t>R3 actual</t>
  </si>
  <si>
    <t>COMP pin has internal 2k resistor in seriese with R3</t>
  </si>
  <si>
    <t>C7 recommended</t>
  </si>
  <si>
    <t>Set the compensation fz = fco/10</t>
  </si>
  <si>
    <t>C7 actual</t>
  </si>
  <si>
    <t>fz_COMP</t>
  </si>
  <si>
    <t>Loop compensation zero frequency</t>
  </si>
  <si>
    <t>C6 recommended</t>
  </si>
  <si>
    <t>The lower zero of the Cout's ESR zero and boost right half plane zero should be cancelled by the R3*(C6*C7/(C6+C7)) pole.</t>
  </si>
  <si>
    <t>C6 actual</t>
  </si>
  <si>
    <t>fp2_COMP</t>
  </si>
  <si>
    <t>Have internal 3pF cap between COMP and GND</t>
  </si>
  <si>
    <t>Efficiency in buck CCM mode or boost CCM mode with maximum Iout</t>
  </si>
  <si>
    <t>Vin for efficiency estimation at desired Vout and Iout(max)</t>
  </si>
  <si>
    <t>I(Lrms)</t>
  </si>
  <si>
    <t>Inductor RMS current</t>
  </si>
  <si>
    <t>I(Lpeak)</t>
  </si>
  <si>
    <t>Inductor peak current</t>
  </si>
  <si>
    <t>I(Lvalley)</t>
  </si>
  <si>
    <t>Inductor valley current</t>
  </si>
  <si>
    <t>DCR of L1</t>
  </si>
  <si>
    <t>Inductor series resistance per inductor datasheet</t>
  </si>
  <si>
    <t>Buck HSFET Rdson</t>
  </si>
  <si>
    <t>HSFET on-resistance</t>
  </si>
  <si>
    <t>Buck HSFET Qg</t>
  </si>
  <si>
    <t>C</t>
  </si>
  <si>
    <t>Total Qg at Vgs=5V</t>
  </si>
  <si>
    <t>Buck HSFET Coss</t>
  </si>
  <si>
    <t>HSFET output capacitance when VDS=VIN</t>
  </si>
  <si>
    <t>Buck HSFET rise time</t>
  </si>
  <si>
    <t>s</t>
  </si>
  <si>
    <t>Estimate of SW1 node 10-90% rise time from measurement</t>
  </si>
  <si>
    <t>Buck HSFET fall time</t>
  </si>
  <si>
    <t>Estimate of SW1 node 10-90% fall time from measurement</t>
  </si>
  <si>
    <t>Buck LSFET Rdson</t>
  </si>
  <si>
    <t>Buck LSFET Qg</t>
  </si>
  <si>
    <t>Buck LSFET Qrr</t>
  </si>
  <si>
    <t>Reverse recovery charge of the low side FET</t>
  </si>
  <si>
    <t>Buck LSFET dead time</t>
  </si>
  <si>
    <t>Dead time during the switching</t>
  </si>
  <si>
    <t>Buck LSFET diode voltage</t>
  </si>
  <si>
    <t>Estimate of body diode voltage of the HSFET</t>
  </si>
  <si>
    <t>Boost LSFET Rdson</t>
  </si>
  <si>
    <t>LSFET on-resistance in TPS55288 is 7.1mΩ at 25°C. Temperature coefficient is 0.4%/°C. Correct it when at high Tj</t>
  </si>
  <si>
    <t>Boost LSFET fall time</t>
  </si>
  <si>
    <t>Estimate of SW node 10-90% fall time from measurement</t>
  </si>
  <si>
    <t>Boost LSFET rise time</t>
  </si>
  <si>
    <t>Estimate of SW node 10-90% rise time from measurement</t>
  </si>
  <si>
    <t>Boost HSFET Rdson</t>
  </si>
  <si>
    <r>
      <t>HSFET on-resistance in TPS55288 is 7.6m</t>
    </r>
    <r>
      <rPr>
        <sz val="10"/>
        <rFont val="Arial"/>
        <family val="2"/>
      </rPr>
      <t>Ω at 25°C. Temperature coefficient is 0.4%/°C. Correct it when at high Tj</t>
    </r>
  </si>
  <si>
    <t>Boost HSFET dead time</t>
  </si>
  <si>
    <t>Boost HSFET diode voltage</t>
  </si>
  <si>
    <t>Buck snubber Csnubber</t>
  </si>
  <si>
    <t>Capacitance of snubber at buck side</t>
  </si>
  <si>
    <t>Boost snubber Csnubber</t>
  </si>
  <si>
    <t>Capacitance of snubber at boost side</t>
  </si>
  <si>
    <t>Rpcb on power path</t>
  </si>
  <si>
    <t>PCB trace resistance on power path from Vin to Vout cap</t>
  </si>
  <si>
    <t>Rpcb Pd</t>
  </si>
  <si>
    <t>mW</t>
  </si>
  <si>
    <t>Power losses on PCB trace</t>
  </si>
  <si>
    <t>Inductor DCR Pd</t>
  </si>
  <si>
    <t>Includes losses from DC resistance drop only</t>
  </si>
  <si>
    <t>Inductor core &amp; AC Pd</t>
  </si>
  <si>
    <t>Core and AC loss of inductor. Use inductor vendor's formula to estimate. 344mW is the power loss of XAL1010-472 running at 400kHz with Ilrms=5.21A and Ilripple=2.55A at 400kHz.</t>
  </si>
  <si>
    <t>TPS552882 Pd</t>
  </si>
  <si>
    <t>Power loss on TPS55288</t>
  </si>
  <si>
    <t>Rsense Pd</t>
  </si>
  <si>
    <t>Power loss on output current sense resistor</t>
  </si>
  <si>
    <t>Snubber Pd</t>
  </si>
  <si>
    <t>Power loss on snubber</t>
  </si>
  <si>
    <t>Buck HSFET Pd</t>
  </si>
  <si>
    <t>Power loss on buck high side FET</t>
  </si>
  <si>
    <t>Buck LSFET Pd</t>
  </si>
  <si>
    <t>Power loss on buck low side FET</t>
  </si>
  <si>
    <t>Cout Pd</t>
  </si>
  <si>
    <t>Power loss on ESR of the output capacitor in boost mode</t>
  </si>
  <si>
    <r>
      <rPr>
        <sz val="10"/>
        <rFont val="Calibri"/>
        <family val="2"/>
      </rPr>
      <t>η</t>
    </r>
    <r>
      <rPr>
        <sz val="10"/>
        <rFont val="Arial"/>
        <family val="2"/>
      </rPr>
      <t xml:space="preserve"> - calculated</t>
    </r>
  </si>
  <si>
    <t>Efficiency at Iout_max</t>
  </si>
  <si>
    <r>
      <rPr>
        <sz val="10"/>
        <rFont val="Arial"/>
        <family val="2"/>
      </rPr>
      <t>ΘJA</t>
    </r>
  </si>
  <si>
    <t>°C/W</t>
  </si>
  <si>
    <r>
      <t>TPS55288 junction to ambient thermal resistance on EVM. The actual ΘJA depends on the PCB d</t>
    </r>
    <r>
      <rPr>
        <sz val="10"/>
        <rFont val="Arial"/>
        <family val="2"/>
      </rPr>
      <t xml:space="preserve">esign. </t>
    </r>
  </si>
  <si>
    <t>TPS552882 temperature rise</t>
  </si>
  <si>
    <t>°C</t>
  </si>
  <si>
    <r>
      <t xml:space="preserve">The top case temperature of IC is very close to the Junction temperature because </t>
    </r>
    <r>
      <rPr>
        <sz val="10"/>
        <rFont val="Arial"/>
        <family val="2"/>
      </rPr>
      <t>ΨJT=0.6°C/W</t>
    </r>
  </si>
  <si>
    <t>Frequency</t>
  </si>
  <si>
    <t>Power Stage</t>
  </si>
  <si>
    <t>Voltage Loop Compensation (COMP)</t>
  </si>
  <si>
    <t>COMP Output Buffer</t>
  </si>
  <si>
    <t>Current Close Loop</t>
  </si>
  <si>
    <t>FB Input Filter</t>
  </si>
  <si>
    <t>Voltage Open Loop</t>
  </si>
  <si>
    <t>signal frequency</t>
  </si>
  <si>
    <t>fzRHP gain</t>
  </si>
  <si>
    <t>fzRHP phase</t>
  </si>
  <si>
    <t>fp1 gain</t>
  </si>
  <si>
    <t>fp1 phase</t>
  </si>
  <si>
    <t>fz_ESR gain</t>
  </si>
  <si>
    <t>fz_ESR phase</t>
  </si>
  <si>
    <t>fp2 gain</t>
  </si>
  <si>
    <t>fp2 phase</t>
  </si>
  <si>
    <t>fp_comp1 gain</t>
  </si>
  <si>
    <t>fp_comp1 phase</t>
  </si>
  <si>
    <t>fz_comp gain</t>
  </si>
  <si>
    <t>fz_comp phase</t>
  </si>
  <si>
    <t>fp_comp2 gain</t>
  </si>
  <si>
    <t>fp_comp2 phase</t>
  </si>
  <si>
    <t>fp_comp3 gain</t>
  </si>
  <si>
    <t>fp_comp3 phase</t>
  </si>
  <si>
    <t>fz_current gain</t>
  </si>
  <si>
    <t>fz_current phase</t>
  </si>
  <si>
    <t>fp_current gain</t>
  </si>
  <si>
    <t>fp_current phase</t>
  </si>
  <si>
    <t>Current S/H gain</t>
  </si>
  <si>
    <t>Current S/H phase</t>
  </si>
  <si>
    <t>fp_filter gain</t>
  </si>
  <si>
    <t>fp_filter phase</t>
  </si>
  <si>
    <t>loop gain (no comp2)</t>
  </si>
  <si>
    <t>loop phase (no comp2)</t>
  </si>
  <si>
    <t>loop gain (w/ comp2)</t>
  </si>
  <si>
    <t>loop phase (w/ comp2)</t>
  </si>
  <si>
    <t>Inner current loop specifications</t>
  </si>
  <si>
    <t>Unit</t>
  </si>
  <si>
    <t>gm_ca</t>
  </si>
  <si>
    <t>Rca</t>
  </si>
  <si>
    <t>Cca</t>
  </si>
  <si>
    <t>Vm</t>
  </si>
  <si>
    <t>THIS PROGRAM IS PROVIDED "AS IS". TI MAKES NO WARRANTIES OR REPRESENTATIONS, EITHER EXPRESS, IMPLIED OR STATUTORY, INCLUDING ANY IMPLIED WARRANTIES OF MERCHANTABILITY, FITNESS FOR A PARTICULAR PURPOSE, LACK OF VIRUSES, ACCURACY OR COMPLETENESS OF RESPONSES, RESULTS AND LACK OF NEGLIGENCE. TI DISCLAIMS ANY WARRANTY OF TITLE, QUIET ENJOYMENT, QUIET POSSESSION, AND NON-INFRINGEMENT OF ANY THIRD PARTY INTELLECTUAL PROPERTY RIGHTS WITH REGARD TO THE PROGRAM OR YOUR USE OF THE PROGRAM.</t>
  </si>
  <si>
    <t>IN NO EVENT SHALL TI BE LIABLE FOR ANY SPECIAL, INCIDENTAL, CONSEQUENTIAL OR INDIRECT DAMAGES, HOWEVER CAUSED, ON ANY THEORY OF LIABILITY AND WHETHER OR NOT TI HAS BEEN ADVISED OF THE POSSIBILITY OF SUCH DAMAGES, ARISING IN ANY WAY OUT OF THIS AGREEMENT, THE PROGRAM, OR YOUR USE OF THE PROGRAM.  EXCLUDED DAMAGES INCLUDE, BUT ARE NOT LIMITED TO, COST OF REMOVAL OR REINSTALLATION, COMPUTER TIME, LABOR COSTS, LOSS OF GOODWILL, LOSS OF PROFITS, LOSS OF SAVINGS, OR LOSS OF USE OR INTERRUPTION OF BUSINESS. IN NO EVENT WILL TI'S AGGREGATE LIABILITY UNDER THIS AGREEMENT OR ARISING OUT OF YOUR USE OF THE PROGRAM EXCEED FIVE HUNDRED DOLLARS (U.S.$500).</t>
  </si>
  <si>
    <t>Unless otherwise stated, the Program written and copyrighted by Texas Instruments is distributed as "freeware".  You may, only under TI's copyright in the Program, use and modify the Program without any charge or restriction.  You may distribute to third parties, provided that you transfer a copy of this license to the third party and the third party agrees to these terms by its first use of the Program. You must reproduce the copyright notice and any other legend of ownership on each copy or partial copy, of the Program.</t>
  </si>
  <si>
    <t>You acknowledge and agree that the Program contains copyrighted material, trade secrets and other TI proprietary information and is protected by copyright laws, international copyright treaties, and trade secret laws, as well as other intellectual property laws.  To protect TI's rights in the Program, you agree not to decompile, reverse engineer, disassemble or otherwise translate any object code versions of the Program to a human-readable form.  You agree that in no event will you alter, remove or destroy any copyright notice included in the Program.  TI reserves all rights not specifically granted under this license. Except as specifically provided herein, nothing in this agreement shall be construed as conferring by implication, estoppel, or otherwise, upon you, any license or other right under any TI patents, copyrights or trade secrets.</t>
  </si>
  <si>
    <t>TI Information - Selective Disclosure. You may not use the Program in non-TI devices.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</si>
</sst>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E+00"/>
    <numFmt numFmtId="167" formatCode="0.0000"/>
    <numFmt numFmtId="168" formatCode="#,##0.000"/>
  </numFmts>
  <fonts count="12">
    <font>
      <sz val="10"/>
      <name val="Arial"/>
      <family val="2"/>
    </font>
    <font>
      <sz val="10"/>
      <name val="Arial"/>
      <family val="2"/>
    </font>
    <font>
      <sz val="8"/>
      <name val="Arial"/>
      <family val="2"/>
    </font>
    <font>
      <sz val="10"/>
      <name val="Symbol"/>
      <family val="1"/>
      <charset val="2"/>
    </font>
    <font>
      <sz val="10"/>
      <color indexed="10"/>
      <name val="Arial"/>
      <family val="2"/>
    </font>
    <font>
      <b/>
      <sz val="10"/>
      <name val="Arial"/>
      <family val="2"/>
    </font>
    <font>
      <sz val="10"/>
      <color indexed="53"/>
      <name val="Arial"/>
      <family val="2"/>
    </font>
    <font>
      <b/>
      <sz val="12"/>
      <name val="Arial"/>
      <family val="2"/>
    </font>
    <font>
      <b/>
      <sz val="11"/>
      <name val="Arial"/>
      <family val="2"/>
    </font>
    <font>
      <b/>
      <i/>
      <sz val="10"/>
      <color indexed="53"/>
      <name val="Arial"/>
      <family val="2"/>
    </font>
    <font>
      <sz val="10"/>
      <name val="Calibri"/>
      <family val="2"/>
    </font>
    <font>
      <sz val="10"/>
      <name val="Arial Unicode MS"/>
      <family val="2"/>
    </font>
  </fonts>
  <fills count="11">
    <fill>
      <patternFill patternType="none"/>
    </fill>
    <fill>
      <patternFill patternType="gray125"/>
    </fill>
    <fill>
      <patternFill patternType="solid">
        <fgColor indexed="10"/>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right/>
      <top/>
      <bottom style="thick">
        <color auto="1"/>
      </bottom>
      <diagonal/>
    </border>
    <border>
      <left/>
      <right style="thick">
        <color auto="1"/>
      </right>
      <top/>
      <bottom style="thick">
        <color auto="1"/>
      </bottom>
      <diagonal/>
    </border>
    <border>
      <left style="thin">
        <color indexed="64"/>
      </left>
      <right/>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auto="1"/>
      </left>
      <right style="thin">
        <color indexed="64"/>
      </right>
      <top/>
      <bottom style="thick">
        <color auto="1"/>
      </bottom>
      <diagonal/>
    </border>
    <border>
      <left style="thin">
        <color indexed="64"/>
      </left>
      <right style="thin">
        <color indexed="64"/>
      </right>
      <top/>
      <bottom style="thick">
        <color auto="1"/>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style="thick">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152">
    <xf numFmtId="0" fontId="0" fillId="0" borderId="0" xfId="0"/>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xf numFmtId="167" fontId="0" fillId="0" borderId="0" xfId="0" applyNumberFormat="1"/>
    <xf numFmtId="167" fontId="0" fillId="0" borderId="8" xfId="0" applyNumberFormat="1" applyBorder="1"/>
    <xf numFmtId="0" fontId="0" fillId="0" borderId="20" xfId="0" applyBorder="1"/>
    <xf numFmtId="167" fontId="0" fillId="0" borderId="11" xfId="0" applyNumberFormat="1" applyBorder="1"/>
    <xf numFmtId="0" fontId="0" fillId="0" borderId="0" xfId="0" applyAlignment="1">
      <alignment wrapText="1"/>
    </xf>
    <xf numFmtId="0" fontId="10" fillId="0" borderId="0" xfId="0" applyFont="1"/>
    <xf numFmtId="0" fontId="0" fillId="0" borderId="24" xfId="0" applyBorder="1" applyAlignment="1">
      <alignment wrapText="1"/>
    </xf>
    <xf numFmtId="167" fontId="0" fillId="0" borderId="13" xfId="0" applyNumberFormat="1" applyBorder="1"/>
    <xf numFmtId="167" fontId="0" fillId="0" borderId="25" xfId="0" applyNumberFormat="1" applyBorder="1"/>
    <xf numFmtId="0" fontId="0" fillId="0" borderId="26" xfId="0" applyBorder="1" applyAlignment="1">
      <alignment wrapText="1"/>
    </xf>
    <xf numFmtId="167" fontId="0" fillId="0" borderId="27" xfId="0" applyNumberFormat="1" applyBorder="1"/>
    <xf numFmtId="167" fontId="0" fillId="0" borderId="28" xfId="0" applyNumberFormat="1" applyBorder="1"/>
    <xf numFmtId="167" fontId="0" fillId="0" borderId="12" xfId="0" applyNumberFormat="1" applyBorder="1"/>
    <xf numFmtId="3" fontId="0" fillId="9" borderId="0" xfId="0" applyNumberFormat="1" applyFill="1"/>
    <xf numFmtId="3" fontId="0" fillId="0" borderId="0" xfId="0" applyNumberFormat="1"/>
    <xf numFmtId="3" fontId="0" fillId="9" borderId="11" xfId="0" applyNumberFormat="1" applyFill="1" applyBorder="1"/>
    <xf numFmtId="0" fontId="0" fillId="0" borderId="0" xfId="0" applyAlignment="1">
      <alignment horizontal="center" wrapText="1"/>
    </xf>
    <xf numFmtId="1" fontId="0" fillId="4" borderId="1" xfId="0" applyNumberFormat="1" applyFill="1" applyBorder="1" applyProtection="1">
      <protection locked="0"/>
    </xf>
    <xf numFmtId="164" fontId="0" fillId="4" borderId="1" xfId="0" applyNumberFormat="1" applyFill="1" applyBorder="1" applyProtection="1">
      <protection locked="0"/>
    </xf>
    <xf numFmtId="0" fontId="11" fillId="0" borderId="0" xfId="0" applyFont="1" applyAlignment="1">
      <alignment wrapText="1"/>
    </xf>
    <xf numFmtId="1" fontId="0" fillId="10" borderId="1" xfId="0" applyNumberFormat="1" applyFill="1" applyBorder="1" applyProtection="1">
      <protection hidden="1"/>
    </xf>
    <xf numFmtId="1" fontId="0" fillId="10" borderId="15" xfId="0" applyNumberFormat="1" applyFill="1" applyBorder="1" applyProtection="1">
      <protection hidden="1"/>
    </xf>
    <xf numFmtId="165" fontId="0" fillId="10" borderId="15" xfId="0" applyNumberFormat="1" applyFill="1" applyBorder="1" applyProtection="1">
      <protection hidden="1"/>
    </xf>
    <xf numFmtId="164" fontId="0" fillId="10" borderId="19" xfId="0" applyNumberFormat="1" applyFill="1" applyBorder="1" applyProtection="1">
      <protection hidden="1"/>
    </xf>
    <xf numFmtId="0" fontId="0" fillId="4" borderId="1" xfId="0" applyFill="1" applyBorder="1" applyProtection="1">
      <protection locked="0"/>
    </xf>
    <xf numFmtId="164" fontId="0" fillId="4" borderId="1" xfId="0" applyNumberFormat="1" applyFill="1" applyBorder="1" applyAlignment="1" applyProtection="1">
      <alignment horizontal="right"/>
      <protection locked="0"/>
    </xf>
    <xf numFmtId="1" fontId="0" fillId="10" borderId="1" xfId="0" applyNumberFormat="1" applyFill="1" applyBorder="1" applyAlignment="1" applyProtection="1">
      <alignment horizontal="right"/>
      <protection hidden="1"/>
    </xf>
    <xf numFmtId="164" fontId="0" fillId="6" borderId="1" xfId="0" applyNumberFormat="1" applyFill="1" applyBorder="1" applyProtection="1">
      <protection locked="0"/>
    </xf>
    <xf numFmtId="164" fontId="0" fillId="6" borderId="1" xfId="0" applyNumberFormat="1" applyFill="1" applyBorder="1" applyProtection="1">
      <protection hidden="1"/>
    </xf>
    <xf numFmtId="2" fontId="0" fillId="10" borderId="1" xfId="0" applyNumberFormat="1" applyFill="1" applyBorder="1" applyProtection="1">
      <protection hidden="1"/>
    </xf>
    <xf numFmtId="3" fontId="0" fillId="4" borderId="1" xfId="0" applyNumberFormat="1" applyFill="1" applyBorder="1" applyProtection="1">
      <protection locked="0"/>
    </xf>
    <xf numFmtId="3" fontId="0" fillId="10" borderId="1" xfId="0" applyNumberFormat="1" applyFill="1" applyBorder="1" applyProtection="1">
      <protection hidden="1"/>
    </xf>
    <xf numFmtId="166" fontId="0" fillId="10" borderId="1" xfId="0" applyNumberFormat="1" applyFill="1" applyBorder="1" applyProtection="1">
      <protection hidden="1"/>
    </xf>
    <xf numFmtId="4" fontId="0" fillId="4" borderId="1" xfId="0" applyNumberFormat="1" applyFill="1" applyBorder="1" applyProtection="1">
      <protection locked="0"/>
    </xf>
    <xf numFmtId="11" fontId="0" fillId="10" borderId="1" xfId="0" applyNumberFormat="1" applyFill="1" applyBorder="1" applyProtection="1">
      <protection hidden="1"/>
    </xf>
    <xf numFmtId="11" fontId="0" fillId="4" borderId="1" xfId="0" applyNumberFormat="1" applyFill="1" applyBorder="1" applyProtection="1">
      <protection locked="0"/>
    </xf>
    <xf numFmtId="1" fontId="0" fillId="4" borderId="1" xfId="0" applyNumberFormat="1" applyFill="1" applyBorder="1" applyAlignment="1" applyProtection="1">
      <alignment horizontal="right"/>
      <protection locked="0"/>
    </xf>
    <xf numFmtId="1" fontId="0" fillId="4" borderId="1" xfId="0" applyNumberFormat="1" applyFill="1" applyBorder="1" applyAlignment="1" applyProtection="1">
      <alignment horizontal="right"/>
      <protection hidden="1"/>
    </xf>
    <xf numFmtId="2" fontId="0" fillId="4" borderId="1" xfId="0" applyNumberFormat="1" applyFill="1" applyBorder="1" applyAlignment="1" applyProtection="1">
      <alignment horizontal="right"/>
      <protection locked="0"/>
    </xf>
    <xf numFmtId="1" fontId="0" fillId="6" borderId="1" xfId="0" applyNumberFormat="1" applyFill="1" applyBorder="1" applyAlignment="1" applyProtection="1">
      <alignment horizontal="right"/>
      <protection hidden="1"/>
    </xf>
    <xf numFmtId="11" fontId="0" fillId="10" borderId="1" xfId="0" applyNumberFormat="1" applyFill="1" applyBorder="1" applyAlignment="1" applyProtection="1">
      <alignment horizontal="right"/>
      <protection hidden="1"/>
    </xf>
    <xf numFmtId="11" fontId="0" fillId="4" borderId="15" xfId="0" applyNumberFormat="1" applyFill="1" applyBorder="1" applyProtection="1">
      <protection locked="0"/>
    </xf>
    <xf numFmtId="2" fontId="0" fillId="10" borderId="15" xfId="0" applyNumberFormat="1" applyFill="1" applyBorder="1" applyProtection="1">
      <protection hidden="1"/>
    </xf>
    <xf numFmtId="166" fontId="0" fillId="4" borderId="1" xfId="0" applyNumberFormat="1" applyFill="1" applyBorder="1" applyProtection="1">
      <protection locked="0"/>
    </xf>
    <xf numFmtId="0" fontId="6" fillId="2" borderId="0" xfId="0" applyFont="1" applyFill="1" applyProtection="1">
      <protection hidden="1"/>
    </xf>
    <xf numFmtId="0" fontId="0" fillId="2" borderId="0" xfId="0" applyFill="1" applyProtection="1">
      <protection hidden="1"/>
    </xf>
    <xf numFmtId="0" fontId="0" fillId="5" borderId="0" xfId="0" applyFill="1" applyProtection="1">
      <protection hidden="1"/>
    </xf>
    <xf numFmtId="0" fontId="0" fillId="0" borderId="0" xfId="0" applyProtection="1">
      <protection hidden="1"/>
    </xf>
    <xf numFmtId="0" fontId="0" fillId="3" borderId="7" xfId="0" applyFill="1" applyBorder="1" applyAlignment="1" applyProtection="1">
      <alignment horizontal="center"/>
      <protection hidden="1"/>
    </xf>
    <xf numFmtId="0" fontId="0" fillId="3" borderId="0" xfId="0" applyFill="1" applyAlignment="1" applyProtection="1">
      <alignment horizontal="center"/>
      <protection hidden="1"/>
    </xf>
    <xf numFmtId="0" fontId="0" fillId="3" borderId="0" xfId="0" applyFill="1" applyProtection="1">
      <protection hidden="1"/>
    </xf>
    <xf numFmtId="0" fontId="0" fillId="3" borderId="8" xfId="0" applyFill="1" applyBorder="1" applyProtection="1">
      <protection hidden="1"/>
    </xf>
    <xf numFmtId="0" fontId="0" fillId="3" borderId="7" xfId="0" applyFill="1" applyBorder="1" applyProtection="1">
      <protection hidden="1"/>
    </xf>
    <xf numFmtId="0" fontId="0" fillId="4" borderId="0" xfId="0" applyFill="1" applyProtection="1">
      <protection hidden="1"/>
    </xf>
    <xf numFmtId="0" fontId="8" fillId="3" borderId="0" xfId="0" applyFont="1" applyFill="1" applyProtection="1">
      <protection hidden="1"/>
    </xf>
    <xf numFmtId="0" fontId="7" fillId="3" borderId="0" xfId="0" applyFont="1" applyFill="1" applyProtection="1">
      <protection hidden="1"/>
    </xf>
    <xf numFmtId="0" fontId="0" fillId="10" borderId="0" xfId="0" applyFill="1" applyProtection="1">
      <protection hidden="1"/>
    </xf>
    <xf numFmtId="0" fontId="0" fillId="6" borderId="0" xfId="0" applyFill="1" applyProtection="1">
      <protection hidden="1"/>
    </xf>
    <xf numFmtId="0" fontId="5" fillId="7" borderId="9" xfId="0" applyFont="1" applyFill="1" applyBorder="1" applyProtection="1">
      <protection hidden="1"/>
    </xf>
    <xf numFmtId="0" fontId="5" fillId="7" borderId="1" xfId="0" applyFont="1" applyFill="1" applyBorder="1" applyProtection="1">
      <protection hidden="1"/>
    </xf>
    <xf numFmtId="0" fontId="5" fillId="3" borderId="13" xfId="0" applyFont="1" applyFill="1" applyBorder="1" applyAlignment="1" applyProtection="1">
      <alignment vertical="center"/>
      <protection hidden="1"/>
    </xf>
    <xf numFmtId="0" fontId="5" fillId="3" borderId="0" xfId="0" applyFont="1" applyFill="1" applyAlignment="1" applyProtection="1">
      <alignment vertical="center"/>
      <protection hidden="1"/>
    </xf>
    <xf numFmtId="0" fontId="5" fillId="3" borderId="8" xfId="0" applyFont="1" applyFill="1" applyBorder="1" applyAlignment="1" applyProtection="1">
      <alignment vertical="center"/>
      <protection hidden="1"/>
    </xf>
    <xf numFmtId="0" fontId="0" fillId="3" borderId="9" xfId="0" applyFill="1" applyBorder="1" applyProtection="1">
      <protection hidden="1"/>
    </xf>
    <xf numFmtId="0" fontId="0" fillId="3" borderId="1" xfId="0" applyFill="1" applyBorder="1" applyProtection="1">
      <protection hidden="1"/>
    </xf>
    <xf numFmtId="0" fontId="0" fillId="3" borderId="1" xfId="0" applyFill="1" applyBorder="1" applyAlignment="1" applyProtection="1">
      <alignment wrapText="1"/>
      <protection hidden="1"/>
    </xf>
    <xf numFmtId="0" fontId="9" fillId="3" borderId="9" xfId="0" applyFont="1" applyFill="1" applyBorder="1" applyProtection="1">
      <protection hidden="1"/>
    </xf>
    <xf numFmtId="0" fontId="0" fillId="3" borderId="0" xfId="0" applyFill="1" applyAlignment="1" applyProtection="1">
      <alignment wrapText="1"/>
      <protection hidden="1"/>
    </xf>
    <xf numFmtId="0" fontId="4" fillId="3" borderId="0" xfId="0" applyFont="1" applyFill="1" applyProtection="1">
      <protection hidden="1"/>
    </xf>
    <xf numFmtId="1" fontId="4" fillId="3" borderId="0" xfId="0" applyNumberFormat="1" applyFont="1" applyFill="1" applyProtection="1">
      <protection hidden="1"/>
    </xf>
    <xf numFmtId="0" fontId="0" fillId="3" borderId="9" xfId="0" applyFill="1" applyBorder="1" applyAlignment="1" applyProtection="1">
      <alignment wrapText="1"/>
      <protection hidden="1"/>
    </xf>
    <xf numFmtId="0" fontId="6" fillId="5" borderId="0" xfId="0" applyFont="1" applyFill="1" applyProtection="1">
      <protection hidden="1"/>
    </xf>
    <xf numFmtId="11" fontId="0" fillId="6" borderId="1" xfId="0" applyNumberFormat="1" applyFill="1" applyBorder="1" applyProtection="1">
      <protection hidden="1"/>
    </xf>
    <xf numFmtId="0" fontId="0" fillId="3" borderId="14" xfId="0" applyFill="1" applyBorder="1" applyProtection="1">
      <protection hidden="1"/>
    </xf>
    <xf numFmtId="0" fontId="0" fillId="3" borderId="15" xfId="0" applyFill="1" applyBorder="1" applyProtection="1">
      <protection hidden="1"/>
    </xf>
    <xf numFmtId="0" fontId="0" fillId="0" borderId="1" xfId="0" applyBorder="1" applyAlignment="1" applyProtection="1">
      <alignment horizontal="left" vertical="center"/>
      <protection hidden="1"/>
    </xf>
    <xf numFmtId="0" fontId="3" fillId="3" borderId="0" xfId="0" applyFont="1" applyFill="1" applyProtection="1">
      <protection hidden="1"/>
    </xf>
    <xf numFmtId="0" fontId="0" fillId="3" borderId="14" xfId="0" applyFill="1" applyBorder="1" applyAlignment="1" applyProtection="1">
      <alignment wrapText="1"/>
      <protection hidden="1"/>
    </xf>
    <xf numFmtId="0" fontId="0" fillId="3" borderId="15" xfId="0" applyFill="1" applyBorder="1" applyAlignment="1" applyProtection="1">
      <alignment wrapText="1"/>
      <protection hidden="1"/>
    </xf>
    <xf numFmtId="0" fontId="0" fillId="3" borderId="18" xfId="0" applyFill="1" applyBorder="1" applyProtection="1">
      <protection hidden="1"/>
    </xf>
    <xf numFmtId="0" fontId="0" fillId="3" borderId="19" xfId="0" applyFill="1" applyBorder="1" applyProtection="1">
      <protection hidden="1"/>
    </xf>
    <xf numFmtId="0" fontId="0" fillId="3" borderId="19" xfId="0" applyFill="1" applyBorder="1" applyAlignment="1" applyProtection="1">
      <alignment wrapText="1"/>
      <protection hidden="1"/>
    </xf>
    <xf numFmtId="0" fontId="0" fillId="3" borderId="11" xfId="0" applyFill="1" applyBorder="1" applyProtection="1">
      <protection hidden="1"/>
    </xf>
    <xf numFmtId="0" fontId="0" fillId="3" borderId="12" xfId="0" applyFill="1" applyBorder="1" applyProtection="1">
      <protection hidden="1"/>
    </xf>
    <xf numFmtId="165" fontId="0" fillId="5" borderId="0" xfId="0" applyNumberFormat="1" applyFill="1" applyProtection="1">
      <protection hidden="1"/>
    </xf>
    <xf numFmtId="0" fontId="0" fillId="5" borderId="0" xfId="0" applyFill="1" applyAlignment="1" applyProtection="1">
      <alignment wrapText="1"/>
      <protection hidden="1"/>
    </xf>
    <xf numFmtId="0" fontId="6" fillId="0" borderId="0" xfId="0" applyFont="1" applyProtection="1">
      <protection hidden="1"/>
    </xf>
    <xf numFmtId="167" fontId="0" fillId="0" borderId="0" xfId="0" applyNumberFormat="1" applyProtection="1">
      <protection hidden="1"/>
    </xf>
    <xf numFmtId="2" fontId="0" fillId="0" borderId="0" xfId="0" applyNumberFormat="1" applyProtection="1">
      <protection hidden="1"/>
    </xf>
    <xf numFmtId="2" fontId="0" fillId="4" borderId="1" xfId="0" applyNumberFormat="1" applyFill="1" applyBorder="1" applyProtection="1">
      <protection locked="0"/>
    </xf>
    <xf numFmtId="0" fontId="5" fillId="3" borderId="0" xfId="0" applyFont="1" applyFill="1" applyAlignment="1" applyProtection="1">
      <alignment horizontal="center" vertical="center" wrapText="1"/>
      <protection hidden="1"/>
    </xf>
    <xf numFmtId="0" fontId="5" fillId="3" borderId="0" xfId="0" applyFont="1" applyFill="1" applyAlignment="1" applyProtection="1">
      <alignment horizontal="center" vertical="center"/>
      <protection hidden="1"/>
    </xf>
    <xf numFmtId="1" fontId="5" fillId="3" borderId="0" xfId="0" applyNumberFormat="1" applyFont="1" applyFill="1" applyAlignment="1" applyProtection="1">
      <alignment horizontal="center" vertical="center"/>
      <protection hidden="1"/>
    </xf>
    <xf numFmtId="0" fontId="0" fillId="3" borderId="0" xfId="0" applyFill="1" applyAlignment="1" applyProtection="1">
      <alignment horizontal="center" vertical="center" wrapText="1"/>
      <protection hidden="1"/>
    </xf>
    <xf numFmtId="1" fontId="0" fillId="3" borderId="0" xfId="0" applyNumberFormat="1" applyFill="1" applyAlignment="1" applyProtection="1">
      <alignment horizontal="center" vertical="center"/>
      <protection hidden="1"/>
    </xf>
    <xf numFmtId="0" fontId="0" fillId="3" borderId="0" xfId="0" applyFill="1" applyAlignment="1" applyProtection="1">
      <alignment horizontal="center" vertical="center"/>
      <protection hidden="1"/>
    </xf>
    <xf numFmtId="0" fontId="3" fillId="3" borderId="0" xfId="0" applyFont="1" applyFill="1" applyAlignment="1" applyProtection="1">
      <alignment horizontal="center" vertical="center"/>
      <protection hidden="1"/>
    </xf>
    <xf numFmtId="165" fontId="0" fillId="3" borderId="0" xfId="0" applyNumberFormat="1" applyFill="1" applyAlignment="1" applyProtection="1">
      <alignment horizontal="center" vertical="center"/>
      <protection hidden="1"/>
    </xf>
    <xf numFmtId="0" fontId="0" fillId="3" borderId="0" xfId="0" applyFill="1" applyAlignment="1" applyProtection="1">
      <alignment horizontal="center" vertical="center" wrapText="1"/>
      <protection locked="0"/>
    </xf>
    <xf numFmtId="0" fontId="0" fillId="10" borderId="1" xfId="0" applyFill="1" applyBorder="1" applyProtection="1">
      <protection hidden="1"/>
    </xf>
    <xf numFmtId="164" fontId="0" fillId="4" borderId="1" xfId="0" applyNumberFormat="1" applyFill="1" applyBorder="1" applyAlignment="1" applyProtection="1">
      <alignment wrapText="1"/>
      <protection locked="0"/>
    </xf>
    <xf numFmtId="0" fontId="0" fillId="3" borderId="15" xfId="0" applyFill="1" applyBorder="1" applyAlignment="1" applyProtection="1">
      <alignment horizontal="left" wrapText="1"/>
      <protection hidden="1"/>
    </xf>
    <xf numFmtId="0" fontId="0" fillId="3" borderId="30" xfId="0" applyFill="1" applyBorder="1" applyAlignment="1" applyProtection="1">
      <alignment horizontal="left" wrapText="1"/>
      <protection hidden="1"/>
    </xf>
    <xf numFmtId="0" fontId="5" fillId="7" borderId="1"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9" xfId="0" applyFont="1" applyFill="1" applyBorder="1" applyAlignment="1" applyProtection="1">
      <alignment horizontal="center" vertical="center"/>
      <protection hidden="1"/>
    </xf>
    <xf numFmtId="0" fontId="5" fillId="7" borderId="3" xfId="0" applyFont="1"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5" fillId="7" borderId="17" xfId="0" applyFont="1" applyFill="1" applyBorder="1" applyAlignment="1" applyProtection="1">
      <alignment horizontal="center" vertical="center"/>
      <protection hidden="1"/>
    </xf>
    <xf numFmtId="0" fontId="5" fillId="7" borderId="10" xfId="0" applyFont="1" applyFill="1" applyBorder="1" applyAlignment="1" applyProtection="1">
      <alignment horizontal="center" vertical="center"/>
      <protection hidden="1"/>
    </xf>
    <xf numFmtId="0" fontId="5" fillId="7" borderId="31" xfId="0" applyFont="1" applyFill="1" applyBorder="1" applyAlignment="1" applyProtection="1">
      <alignment horizontal="center" vertical="center"/>
      <protection hidden="1"/>
    </xf>
    <xf numFmtId="0" fontId="0" fillId="3" borderId="14" xfId="0" applyFill="1" applyBorder="1" applyAlignment="1" applyProtection="1">
      <alignment horizontal="left"/>
      <protection hidden="1"/>
    </xf>
    <xf numFmtId="0" fontId="0" fillId="3" borderId="29" xfId="0" applyFill="1" applyBorder="1" applyAlignment="1" applyProtection="1">
      <alignment horizontal="left"/>
      <protection hidden="1"/>
    </xf>
    <xf numFmtId="165" fontId="0" fillId="4" borderId="15" xfId="1" applyNumberFormat="1" applyFont="1" applyFill="1" applyBorder="1" applyAlignment="1" applyProtection="1">
      <alignment horizontal="right"/>
      <protection locked="0"/>
    </xf>
    <xf numFmtId="165" fontId="0" fillId="4" borderId="30" xfId="1" applyNumberFormat="1" applyFont="1" applyFill="1" applyBorder="1" applyAlignment="1" applyProtection="1">
      <alignment horizontal="right"/>
      <protection locked="0"/>
    </xf>
    <xf numFmtId="0" fontId="0" fillId="3" borderId="15" xfId="0" applyFill="1" applyBorder="1" applyAlignment="1" applyProtection="1">
      <alignment horizontal="center"/>
      <protection hidden="1"/>
    </xf>
    <xf numFmtId="0" fontId="0" fillId="3" borderId="30" xfId="0" applyFill="1" applyBorder="1" applyAlignment="1" applyProtection="1">
      <alignment horizontal="center"/>
      <protection hidden="1"/>
    </xf>
    <xf numFmtId="0" fontId="0" fillId="3" borderId="0" xfId="0" applyFill="1" applyAlignment="1" applyProtection="1">
      <alignment horizontal="center" vertical="center"/>
      <protection hidden="1"/>
    </xf>
    <xf numFmtId="11" fontId="0" fillId="4" borderId="15" xfId="0" applyNumberFormat="1" applyFill="1" applyBorder="1" applyAlignment="1" applyProtection="1">
      <alignment horizontal="right"/>
      <protection locked="0"/>
    </xf>
    <xf numFmtId="11" fontId="0" fillId="4" borderId="30" xfId="0" applyNumberFormat="1" applyFill="1" applyBorder="1" applyAlignment="1" applyProtection="1">
      <alignment horizontal="right"/>
      <protection locked="0"/>
    </xf>
    <xf numFmtId="0" fontId="0" fillId="3" borderId="15" xfId="0" applyFill="1" applyBorder="1" applyAlignment="1" applyProtection="1">
      <alignment horizontal="left"/>
      <protection hidden="1"/>
    </xf>
    <xf numFmtId="0" fontId="0" fillId="3" borderId="30" xfId="0" applyFill="1" applyBorder="1" applyAlignment="1" applyProtection="1">
      <alignment horizontal="left"/>
      <protection hidden="1"/>
    </xf>
    <xf numFmtId="0" fontId="7" fillId="3" borderId="4" xfId="0" applyFont="1" applyFill="1" applyBorder="1" applyAlignment="1" applyProtection="1">
      <alignment horizontal="center"/>
      <protection hidden="1"/>
    </xf>
    <xf numFmtId="0" fontId="7" fillId="3" borderId="5" xfId="0" applyFont="1" applyFill="1" applyBorder="1" applyAlignment="1" applyProtection="1">
      <alignment horizontal="center"/>
      <protection hidden="1"/>
    </xf>
    <xf numFmtId="0" fontId="7" fillId="3" borderId="6" xfId="0" applyFont="1" applyFill="1" applyBorder="1" applyAlignment="1" applyProtection="1">
      <alignment horizontal="center"/>
      <protection hidden="1"/>
    </xf>
    <xf numFmtId="0" fontId="0" fillId="3" borderId="7" xfId="0" applyFill="1" applyBorder="1" applyAlignment="1" applyProtection="1">
      <alignment horizontal="center"/>
      <protection hidden="1"/>
    </xf>
    <xf numFmtId="0" fontId="0" fillId="3" borderId="0" xfId="0" applyFill="1" applyAlignment="1" applyProtection="1">
      <alignment horizontal="center"/>
      <protection hidden="1"/>
    </xf>
    <xf numFmtId="0" fontId="0" fillId="3" borderId="8" xfId="0" applyFill="1" applyBorder="1" applyAlignment="1" applyProtection="1">
      <alignment horizontal="center"/>
      <protection hidden="1"/>
    </xf>
    <xf numFmtId="0" fontId="0" fillId="3" borderId="7" xfId="0" applyFill="1" applyBorder="1" applyAlignment="1" applyProtection="1">
      <alignment horizontal="left" wrapText="1"/>
      <protection hidden="1"/>
    </xf>
    <xf numFmtId="0" fontId="0" fillId="3" borderId="0" xfId="0" applyFill="1" applyAlignment="1" applyProtection="1">
      <alignment horizontal="left" wrapText="1"/>
      <protection hidden="1"/>
    </xf>
    <xf numFmtId="0" fontId="0" fillId="3" borderId="8" xfId="0" applyFill="1" applyBorder="1" applyAlignment="1" applyProtection="1">
      <alignment horizontal="left" wrapText="1"/>
      <protection hidden="1"/>
    </xf>
    <xf numFmtId="0" fontId="0" fillId="3" borderId="0" xfId="0" applyFill="1" applyAlignment="1" applyProtection="1">
      <alignment horizontal="center" vertical="center" wrapText="1"/>
      <protection hidden="1"/>
    </xf>
    <xf numFmtId="4" fontId="0" fillId="4" borderId="15" xfId="0" applyNumberFormat="1" applyFill="1" applyBorder="1" applyAlignment="1" applyProtection="1">
      <alignment horizontal="right"/>
      <protection locked="0"/>
    </xf>
    <xf numFmtId="4" fontId="0" fillId="4" borderId="30" xfId="0" applyNumberFormat="1" applyFill="1" applyBorder="1" applyAlignment="1" applyProtection="1">
      <alignment horizontal="right"/>
      <protection locked="0"/>
    </xf>
    <xf numFmtId="168" fontId="0" fillId="4" borderId="15" xfId="0" applyNumberFormat="1" applyFill="1" applyBorder="1" applyAlignment="1" applyProtection="1">
      <alignment horizontal="right"/>
      <protection locked="0"/>
    </xf>
    <xf numFmtId="168" fontId="0" fillId="4" borderId="30" xfId="0" applyNumberFormat="1" applyFill="1" applyBorder="1" applyAlignment="1" applyProtection="1">
      <alignment horizontal="right"/>
      <protection locked="0"/>
    </xf>
    <xf numFmtId="0" fontId="9" fillId="3" borderId="14" xfId="0" applyFont="1" applyFill="1" applyBorder="1" applyAlignment="1" applyProtection="1">
      <alignment horizontal="left"/>
      <protection hidden="1"/>
    </xf>
    <xf numFmtId="0" fontId="9" fillId="3" borderId="29" xfId="0" applyFont="1" applyFill="1" applyBorder="1" applyAlignment="1" applyProtection="1">
      <alignment horizontal="left"/>
      <protection hidden="1"/>
    </xf>
    <xf numFmtId="11" fontId="0" fillId="10" borderId="15" xfId="0" applyNumberFormat="1" applyFill="1" applyBorder="1" applyAlignment="1" applyProtection="1">
      <alignment horizontal="right"/>
      <protection hidden="1"/>
    </xf>
    <xf numFmtId="11" fontId="0" fillId="10" borderId="30" xfId="0" applyNumberFormat="1" applyFill="1" applyBorder="1" applyAlignment="1" applyProtection="1">
      <alignment horizontal="right"/>
      <protection hidden="1"/>
    </xf>
    <xf numFmtId="0" fontId="0" fillId="4" borderId="15" xfId="0" applyFill="1" applyBorder="1" applyAlignment="1" applyProtection="1">
      <alignment horizontal="right"/>
      <protection locked="0"/>
    </xf>
    <xf numFmtId="0" fontId="0" fillId="4" borderId="30" xfId="0" applyFill="1" applyBorder="1" applyAlignment="1" applyProtection="1">
      <alignment horizontal="right"/>
      <protection locked="0"/>
    </xf>
    <xf numFmtId="0" fontId="5" fillId="8" borderId="21" xfId="0" applyFont="1" applyFill="1" applyBorder="1" applyAlignment="1">
      <alignment horizontal="center"/>
    </xf>
    <xf numFmtId="0" fontId="5" fillId="8" borderId="22" xfId="0" applyFont="1" applyFill="1" applyBorder="1" applyAlignment="1">
      <alignment horizontal="center"/>
    </xf>
    <xf numFmtId="0" fontId="5" fillId="8" borderId="23" xfId="0" applyFont="1" applyFill="1" applyBorder="1" applyAlignment="1">
      <alignment horizontal="center"/>
    </xf>
    <xf numFmtId="0" fontId="0" fillId="3" borderId="7" xfId="0" applyFill="1" applyBorder="1" applyAlignment="1" applyProtection="1">
      <protection hidden="1"/>
    </xf>
    <xf numFmtId="0" fontId="0" fillId="3" borderId="0" xfId="0" applyFill="1" applyAlignment="1" applyProtection="1">
      <protection hidden="1"/>
    </xf>
  </cellXfs>
  <cellStyles count="2">
    <cellStyle name="Normal" xfId="0" builtinId="0"/>
    <cellStyle name="Pourcentage" xfId="1" builtinId="5"/>
  </cellStyles>
  <dxfs count="12">
    <dxf>
      <fill>
        <patternFill>
          <bgColor theme="0" tint="-0.24994659260841701"/>
        </patternFill>
      </fill>
    </dxf>
    <dxf>
      <fill>
        <patternFill>
          <bgColor theme="9" tint="0.39994506668294322"/>
        </patternFill>
      </fill>
    </dxf>
    <dxf>
      <fill>
        <patternFill>
          <bgColor theme="0" tint="-0.14996795556505021"/>
        </patternFill>
      </fill>
    </dxf>
    <dxf>
      <fill>
        <patternFill>
          <bgColor rgb="FF00FF00"/>
        </patternFill>
      </fill>
    </dxf>
    <dxf>
      <fill>
        <patternFill>
          <bgColor theme="0" tint="-0.24994659260841701"/>
        </patternFill>
      </fill>
    </dxf>
    <dxf>
      <fill>
        <patternFill>
          <bgColor rgb="FF00FF00"/>
        </patternFill>
      </fill>
    </dxf>
    <dxf>
      <fill>
        <patternFill>
          <bgColor theme="0" tint="-0.24994659260841701"/>
        </patternFill>
      </fill>
    </dxf>
    <dxf>
      <fill>
        <patternFill>
          <bgColor theme="9" tint="0.39994506668294322"/>
        </patternFill>
      </fill>
    </dxf>
    <dxf>
      <fill>
        <patternFill>
          <bgColor rgb="FF00FF00"/>
        </patternFill>
      </fill>
    </dxf>
    <dxf>
      <fill>
        <patternFill>
          <bgColor theme="0" tint="-0.24994659260841701"/>
        </patternFill>
      </fill>
    </dxf>
    <dxf>
      <fill>
        <patternFill>
          <bgColor theme="0" tint="-0.24994659260841701"/>
        </patternFill>
      </fill>
    </dxf>
    <dxf>
      <fill>
        <patternFill>
          <bgColor theme="9" tint="0.39994506668294322"/>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Open Loop Bode Plot</a:t>
            </a:r>
          </a:p>
        </c:rich>
      </c:tx>
      <c:layout>
        <c:manualLayout>
          <c:xMode val="edge"/>
          <c:yMode val="edge"/>
          <c:x val="0.33683336621269838"/>
          <c:y val="2.5442171813234427E-2"/>
        </c:manualLayout>
      </c:layout>
      <c:overlay val="0"/>
    </c:title>
    <c:autoTitleDeleted val="0"/>
    <c:plotArea>
      <c:layout>
        <c:manualLayout>
          <c:layoutTarget val="inner"/>
          <c:xMode val="edge"/>
          <c:yMode val="edge"/>
          <c:x val="0.10351211695000362"/>
          <c:y val="0.13133721433927467"/>
          <c:w val="0.77930176740855439"/>
          <c:h val="0.71510376866900049"/>
        </c:manualLayout>
      </c:layout>
      <c:scatterChart>
        <c:scatterStyle val="smoothMarker"/>
        <c:varyColors val="0"/>
        <c:ser>
          <c:idx val="0"/>
          <c:order val="0"/>
          <c:tx>
            <c:v>gain</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Calculation'!$AC$3:$AC$43</c:f>
              <c:numCache>
                <c:formatCode>0.0000</c:formatCode>
                <c:ptCount val="41"/>
                <c:pt idx="0">
                  <c:v>32.770759269710652</c:v>
                </c:pt>
                <c:pt idx="1">
                  <c:v>30.871291123922024</c:v>
                </c:pt>
                <c:pt idx="2">
                  <c:v>29.022575644811052</c:v>
                </c:pt>
                <c:pt idx="3">
                  <c:v>27.244780287334823</c:v>
                </c:pt>
                <c:pt idx="4">
                  <c:v>25.559602725367135</c:v>
                </c:pt>
                <c:pt idx="5">
                  <c:v>23.984030282173684</c:v>
                </c:pt>
                <c:pt idx="6">
                  <c:v>22.520632695888715</c:v>
                </c:pt>
                <c:pt idx="7">
                  <c:v>21.148425267451447</c:v>
                </c:pt>
                <c:pt idx="8">
                  <c:v>19.821508484673949</c:v>
                </c:pt>
                <c:pt idx="9">
                  <c:v>18.480048436129298</c:v>
                </c:pt>
                <c:pt idx="10">
                  <c:v>17.069391282217989</c:v>
                </c:pt>
                <c:pt idx="11">
                  <c:v>15.556264535923614</c:v>
                </c:pt>
                <c:pt idx="12">
                  <c:v>13.933587854984689</c:v>
                </c:pt>
                <c:pt idx="13">
                  <c:v>12.214534457876614</c:v>
                </c:pt>
                <c:pt idx="14">
                  <c:v>10.422742708934489</c:v>
                </c:pt>
                <c:pt idx="15">
                  <c:v>8.584768177012176</c:v>
                </c:pt>
                <c:pt idx="16">
                  <c:v>6.7267933361393863</c:v>
                </c:pt>
                <c:pt idx="17">
                  <c:v>4.8748106436573799</c:v>
                </c:pt>
                <c:pt idx="18">
                  <c:v>3.0567996734979808</c:v>
                </c:pt>
                <c:pt idx="19">
                  <c:v>1.3055776470305349</c:v>
                </c:pt>
                <c:pt idx="20">
                  <c:v>-0.33916941210098134</c:v>
                </c:pt>
                <c:pt idx="21">
                  <c:v>-1.8323313449941931</c:v>
                </c:pt>
                <c:pt idx="22">
                  <c:v>-3.1332611255681391</c:v>
                </c:pt>
                <c:pt idx="23">
                  <c:v>-4.2311772278242943</c:v>
                </c:pt>
                <c:pt idx="24">
                  <c:v>-5.1887390269228417</c:v>
                </c:pt>
                <c:pt idx="25">
                  <c:v>-6.1797921652023584</c:v>
                </c:pt>
                <c:pt idx="26">
                  <c:v>-7.4480466166411556</c:v>
                </c:pt>
                <c:pt idx="27">
                  <c:v>-9.154896813997464</c:v>
                </c:pt>
                <c:pt idx="28">
                  <c:v>-11.290809930110168</c:v>
                </c:pt>
                <c:pt idx="29">
                  <c:v>-13.776922376982659</c:v>
                </c:pt>
                <c:pt idx="30">
                  <c:v>-16.579640205514472</c:v>
                </c:pt>
                <c:pt idx="31">
                  <c:v>-19.7210207500362</c:v>
                </c:pt>
                <c:pt idx="32">
                  <c:v>-23.242768124426597</c:v>
                </c:pt>
                <c:pt idx="33">
                  <c:v>-27.178656291379717</c:v>
                </c:pt>
                <c:pt idx="34">
                  <c:v>-31.54423845704444</c:v>
                </c:pt>
                <c:pt idx="35">
                  <c:v>-36.336348976892111</c:v>
                </c:pt>
                <c:pt idx="36">
                  <c:v>-41.536967224859886</c:v>
                </c:pt>
                <c:pt idx="37">
                  <c:v>-47.120461084964745</c:v>
                </c:pt>
                <c:pt idx="38">
                  <c:v>-53.062276769740237</c:v>
                </c:pt>
                <c:pt idx="39">
                  <c:v>-59.34395211960797</c:v>
                </c:pt>
                <c:pt idx="40">
                  <c:v>-65.950510304112967</c:v>
                </c:pt>
              </c:numCache>
            </c:numRef>
          </c:yVal>
          <c:smooth val="1"/>
          <c:extLst>
            <c:ext xmlns:c16="http://schemas.microsoft.com/office/drawing/2014/chart" uri="{C3380CC4-5D6E-409C-BE32-E72D297353CC}">
              <c16:uniqueId val="{00000000-174B-412B-AF11-0B4DC8659D30}"/>
            </c:ext>
          </c:extLst>
        </c:ser>
        <c:dLbls>
          <c:showLegendKey val="0"/>
          <c:showVal val="0"/>
          <c:showCatName val="0"/>
          <c:showSerName val="0"/>
          <c:showPercent val="0"/>
          <c:showBubbleSize val="0"/>
        </c:dLbls>
        <c:axId val="152415616"/>
        <c:axId val="152417792"/>
      </c:scatterChart>
      <c:scatterChart>
        <c:scatterStyle val="smoothMarker"/>
        <c:varyColors val="0"/>
        <c:ser>
          <c:idx val="1"/>
          <c:order val="1"/>
          <c:tx>
            <c:v>phase</c:v>
          </c:tx>
          <c:marker>
            <c:symbol val="none"/>
          </c:marker>
          <c:xVal>
            <c:numRef>
              <c:f>'Frequency Response Calculation'!$B$3:$B$43</c:f>
              <c:numCache>
                <c:formatCode>#,##0</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'Frequency Response Calculation'!$AD$3:$AD$43</c:f>
              <c:numCache>
                <c:formatCode>0.0000</c:formatCode>
                <c:ptCount val="41"/>
                <c:pt idx="0">
                  <c:v>97.335915413779119</c:v>
                </c:pt>
                <c:pt idx="1">
                  <c:v>98.659339884068686</c:v>
                </c:pt>
                <c:pt idx="2">
                  <c:v>100.27572573771347</c:v>
                </c:pt>
                <c:pt idx="3">
                  <c:v>102.13569910602435</c:v>
                </c:pt>
                <c:pt idx="4">
                  <c:v>104.11992404415815</c:v>
                </c:pt>
                <c:pt idx="5">
                  <c:v>106.01680802419645</c:v>
                </c:pt>
                <c:pt idx="6">
                  <c:v>107.52962050397969</c:v>
                </c:pt>
                <c:pt idx="7">
                  <c:v>108.33562654707745</c:v>
                </c:pt>
                <c:pt idx="8">
                  <c:v>108.18984175716747</c:v>
                </c:pt>
                <c:pt idx="9">
                  <c:v>107.02052964124559</c:v>
                </c:pt>
                <c:pt idx="10">
                  <c:v>104.95165181603322</c:v>
                </c:pt>
                <c:pt idx="11">
                  <c:v>102.23494185614265</c:v>
                </c:pt>
                <c:pt idx="12">
                  <c:v>99.138929871331328</c:v>
                </c:pt>
                <c:pt idx="13">
                  <c:v>95.860790122704614</c:v>
                </c:pt>
                <c:pt idx="14">
                  <c:v>92.491499216093018</c:v>
                </c:pt>
                <c:pt idx="15">
                  <c:v>89.022374320930695</c:v>
                </c:pt>
                <c:pt idx="16">
                  <c:v>85.366523136492305</c:v>
                </c:pt>
                <c:pt idx="17">
                  <c:v>81.37641772242236</c:v>
                </c:pt>
                <c:pt idx="18">
                  <c:v>76.849972311149259</c:v>
                </c:pt>
                <c:pt idx="19">
                  <c:v>71.523520857562559</c:v>
                </c:pt>
                <c:pt idx="20">
                  <c:v>65.051840642463773</c:v>
                </c:pt>
                <c:pt idx="21">
                  <c:v>56.977137987792332</c:v>
                </c:pt>
                <c:pt idx="22">
                  <c:v>46.697212831229045</c:v>
                </c:pt>
                <c:pt idx="23">
                  <c:v>33.469455982557584</c:v>
                </c:pt>
                <c:pt idx="24">
                  <c:v>16.546197583774816</c:v>
                </c:pt>
                <c:pt idx="25">
                  <c:v>-4.4128689225474078</c:v>
                </c:pt>
                <c:pt idx="26">
                  <c:v>-28.744323925659856</c:v>
                </c:pt>
                <c:pt idx="27">
                  <c:v>-54.806346770699072</c:v>
                </c:pt>
                <c:pt idx="28">
                  <c:v>-81.111145460967307</c:v>
                </c:pt>
                <c:pt idx="29">
                  <c:v>-107.20042917718875</c:v>
                </c:pt>
                <c:pt idx="30">
                  <c:v>-133.37391609907863</c:v>
                </c:pt>
                <c:pt idx="31">
                  <c:v>-160.11774995751142</c:v>
                </c:pt>
                <c:pt idx="32">
                  <c:v>-187.84960636285135</c:v>
                </c:pt>
                <c:pt idx="33">
                  <c:v>-216.92009984521707</c:v>
                </c:pt>
                <c:pt idx="34">
                  <c:v>-247.69669344217795</c:v>
                </c:pt>
                <c:pt idx="35">
                  <c:v>-280.65171566084626</c:v>
                </c:pt>
                <c:pt idx="36">
                  <c:v>-316.44444034760329</c:v>
                </c:pt>
                <c:pt idx="37">
                  <c:v>-333.22634075151541</c:v>
                </c:pt>
                <c:pt idx="38">
                  <c:v>-348.55790484695387</c:v>
                </c:pt>
                <c:pt idx="39">
                  <c:v>-362.86152994535354</c:v>
                </c:pt>
                <c:pt idx="40">
                  <c:v>-376.08901159908373</c:v>
                </c:pt>
              </c:numCache>
            </c:numRef>
          </c:yVal>
          <c:smooth val="1"/>
          <c:extLst>
            <c:ext xmlns:c16="http://schemas.microsoft.com/office/drawing/2014/chart" uri="{C3380CC4-5D6E-409C-BE32-E72D297353CC}">
              <c16:uniqueId val="{00000001-174B-412B-AF11-0B4DC8659D30}"/>
            </c:ext>
          </c:extLst>
        </c:ser>
        <c:dLbls>
          <c:showLegendKey val="0"/>
          <c:showVal val="0"/>
          <c:showCatName val="0"/>
          <c:showSerName val="0"/>
          <c:showPercent val="0"/>
          <c:showBubbleSize val="0"/>
        </c:dLbls>
        <c:axId val="153159168"/>
        <c:axId val="152419712"/>
      </c:scatterChart>
      <c:valAx>
        <c:axId val="152415616"/>
        <c:scaling>
          <c:logBase val="10"/>
          <c:orientation val="minMax"/>
          <c:min val="100"/>
        </c:scaling>
        <c:delete val="0"/>
        <c:axPos val="b"/>
        <c:minorGridlines/>
        <c:title>
          <c:tx>
            <c:rich>
              <a:bodyPr/>
              <a:lstStyle/>
              <a:p>
                <a:pPr>
                  <a:defRPr/>
                </a:pPr>
                <a:r>
                  <a:rPr lang="en-US" sz="1600"/>
                  <a:t>Frequency</a:t>
                </a:r>
              </a:p>
            </c:rich>
          </c:tx>
          <c:overlay val="0"/>
        </c:title>
        <c:numFmt formatCode="#,##0" sourceLinked="0"/>
        <c:majorTickMark val="out"/>
        <c:minorTickMark val="out"/>
        <c:tickLblPos val="nextTo"/>
        <c:crossAx val="152417792"/>
        <c:crossesAt val="-40"/>
        <c:crossBetween val="midCat"/>
      </c:valAx>
      <c:valAx>
        <c:axId val="152417792"/>
        <c:scaling>
          <c:orientation val="minMax"/>
          <c:max val="50"/>
          <c:min val="-40"/>
        </c:scaling>
        <c:delete val="0"/>
        <c:axPos val="l"/>
        <c:majorGridlines/>
        <c:title>
          <c:tx>
            <c:rich>
              <a:bodyPr rot="-5400000" vert="horz"/>
              <a:lstStyle/>
              <a:p>
                <a:pPr>
                  <a:defRPr/>
                </a:pPr>
                <a:r>
                  <a:rPr lang="en-US" sz="1600"/>
                  <a:t>Gain (dB)</a:t>
                </a:r>
              </a:p>
            </c:rich>
          </c:tx>
          <c:layout>
            <c:manualLayout>
              <c:xMode val="edge"/>
              <c:yMode val="edge"/>
              <c:x val="1.2668055197675866E-2"/>
              <c:y val="0.39258165896075209"/>
            </c:manualLayout>
          </c:layout>
          <c:overlay val="0"/>
        </c:title>
        <c:numFmt formatCode="0" sourceLinked="0"/>
        <c:majorTickMark val="out"/>
        <c:minorTickMark val="none"/>
        <c:tickLblPos val="nextTo"/>
        <c:crossAx val="152415616"/>
        <c:crossesAt val="100"/>
        <c:crossBetween val="midCat"/>
        <c:majorUnit val="5"/>
      </c:valAx>
      <c:valAx>
        <c:axId val="152419712"/>
        <c:scaling>
          <c:orientation val="minMax"/>
          <c:max val="150"/>
          <c:min val="-120"/>
        </c:scaling>
        <c:delete val="0"/>
        <c:axPos val="r"/>
        <c:title>
          <c:tx>
            <c:rich>
              <a:bodyPr rot="-5400000" vert="horz"/>
              <a:lstStyle/>
              <a:p>
                <a:pPr>
                  <a:defRPr/>
                </a:pPr>
                <a:r>
                  <a:rPr lang="en-US" sz="1600"/>
                  <a:t>Phase Margin (degree)</a:t>
                </a:r>
              </a:p>
            </c:rich>
          </c:tx>
          <c:layout>
            <c:manualLayout>
              <c:xMode val="edge"/>
              <c:yMode val="edge"/>
              <c:x val="0.93752764446601256"/>
              <c:y val="0.25869218199036648"/>
            </c:manualLayout>
          </c:layout>
          <c:overlay val="0"/>
        </c:title>
        <c:numFmt formatCode="0" sourceLinked="0"/>
        <c:majorTickMark val="out"/>
        <c:minorTickMark val="none"/>
        <c:tickLblPos val="nextTo"/>
        <c:crossAx val="153159168"/>
        <c:crosses val="max"/>
        <c:crossBetween val="midCat"/>
        <c:majorUnit val="15"/>
      </c:valAx>
      <c:valAx>
        <c:axId val="153159168"/>
        <c:scaling>
          <c:logBase val="10"/>
          <c:orientation val="minMax"/>
        </c:scaling>
        <c:delete val="1"/>
        <c:axPos val="b"/>
        <c:numFmt formatCode="#,##0" sourceLinked="1"/>
        <c:majorTickMark val="out"/>
        <c:minorTickMark val="none"/>
        <c:tickLblPos val="nextTo"/>
        <c:crossAx val="152419712"/>
        <c:crosses val="autoZero"/>
        <c:crossBetween val="midCat"/>
      </c:valAx>
    </c:plotArea>
    <c:legend>
      <c:legendPos val="r"/>
      <c:layout>
        <c:manualLayout>
          <c:xMode val="edge"/>
          <c:yMode val="edge"/>
          <c:x val="0.74957898417776148"/>
          <c:y val="0.14001761111979444"/>
          <c:w val="9.5922648668389551E-2"/>
          <c:h val="0.10223746427689809"/>
        </c:manualLayout>
      </c:layout>
      <c:overlay val="0"/>
      <c:spPr>
        <a:solidFill>
          <a:schemeClr val="bg1"/>
        </a:solidFill>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34834</xdr:colOff>
      <xdr:row>64</xdr:row>
      <xdr:rowOff>35924</xdr:rowOff>
    </xdr:from>
    <xdr:to>
      <xdr:col>15</xdr:col>
      <xdr:colOff>524691</xdr:colOff>
      <xdr:row>95</xdr:row>
      <xdr:rowOff>15240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730909" y="11484974"/>
          <a:ext cx="6719207" cy="4970416"/>
          <a:chOff x="6669810" y="12666539"/>
          <a:chExt cx="6585857" cy="4008623"/>
        </a:xfrm>
      </xdr:grpSpPr>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6669810" y="12666539"/>
          <a:ext cx="6585857" cy="400862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a:off x="7345534" y="14784867"/>
            <a:ext cx="51435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xdr:from>
          <xdr:col>5</xdr:col>
          <xdr:colOff>247650</xdr:colOff>
          <xdr:row>13</xdr:row>
          <xdr:rowOff>101600</xdr:rowOff>
        </xdr:from>
        <xdr:to>
          <xdr:col>15</xdr:col>
          <xdr:colOff>431800</xdr:colOff>
          <xdr:row>28</xdr:row>
          <xdr:rowOff>120650</xdr:rowOff>
        </xdr:to>
        <xdr:sp macro="" textlink="">
          <xdr:nvSpPr>
            <xdr:cNvPr id="1210" name="Object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2"/>
  <sheetViews>
    <sheetView tabSelected="1" topLeftCell="A62" zoomScale="85" zoomScaleNormal="85" workbookViewId="0">
      <selection activeCell="C65" sqref="C65"/>
    </sheetView>
  </sheetViews>
  <sheetFormatPr defaultColWidth="8.85546875" defaultRowHeight="12.6"/>
  <cols>
    <col min="1" max="1" width="2.5703125" style="91" customWidth="1"/>
    <col min="2" max="2" width="24" style="52" customWidth="1"/>
    <col min="3" max="3" width="13.42578125" style="52" customWidth="1"/>
    <col min="4" max="4" width="6.5703125" style="52" customWidth="1"/>
    <col min="5" max="5" width="53.85546875" style="52" customWidth="1"/>
    <col min="6" max="6" width="9.42578125" style="52" customWidth="1"/>
    <col min="7" max="11" width="8.85546875" style="52" customWidth="1"/>
    <col min="12" max="13" width="8.85546875" style="52"/>
    <col min="14" max="14" width="13.140625" style="52" bestFit="1" customWidth="1"/>
    <col min="15" max="16" width="8.85546875" style="52"/>
    <col min="17" max="17" width="2.5703125" style="52" customWidth="1"/>
    <col min="18" max="19" width="8.85546875" style="52"/>
    <col min="20" max="20" width="8.85546875" style="52" customWidth="1"/>
    <col min="21" max="16384" width="8.85546875" style="52"/>
  </cols>
  <sheetData>
    <row r="1" spans="1:17" ht="12.95" thickBot="1">
      <c r="A1" s="49"/>
      <c r="B1" s="50"/>
      <c r="C1" s="50"/>
      <c r="D1" s="50"/>
      <c r="E1" s="50"/>
      <c r="F1" s="50"/>
      <c r="G1" s="50"/>
      <c r="H1" s="50"/>
      <c r="I1" s="50"/>
      <c r="J1" s="51"/>
      <c r="K1" s="51"/>
      <c r="L1" s="51"/>
      <c r="M1" s="51"/>
      <c r="N1" s="51"/>
      <c r="O1" s="51"/>
      <c r="P1" s="51"/>
      <c r="Q1" s="51"/>
    </row>
    <row r="2" spans="1:17" ht="15.95" thickTop="1">
      <c r="A2" s="49"/>
      <c r="B2" s="127" t="s">
        <v>0</v>
      </c>
      <c r="C2" s="128"/>
      <c r="D2" s="128"/>
      <c r="E2" s="128"/>
      <c r="F2" s="128"/>
      <c r="G2" s="128"/>
      <c r="H2" s="128"/>
      <c r="I2" s="128"/>
      <c r="J2" s="128"/>
      <c r="K2" s="128"/>
      <c r="L2" s="128"/>
      <c r="M2" s="128"/>
      <c r="N2" s="128"/>
      <c r="O2" s="128"/>
      <c r="P2" s="129"/>
      <c r="Q2" s="51"/>
    </row>
    <row r="3" spans="1:17">
      <c r="A3" s="49"/>
      <c r="B3" s="130" t="s">
        <v>1</v>
      </c>
      <c r="C3" s="131"/>
      <c r="D3" s="131"/>
      <c r="E3" s="131"/>
      <c r="F3" s="131"/>
      <c r="G3" s="131"/>
      <c r="H3" s="131"/>
      <c r="I3" s="131"/>
      <c r="J3" s="131"/>
      <c r="K3" s="131"/>
      <c r="L3" s="131"/>
      <c r="M3" s="131"/>
      <c r="N3" s="131"/>
      <c r="O3" s="131"/>
      <c r="P3" s="132"/>
      <c r="Q3" s="51"/>
    </row>
    <row r="4" spans="1:17">
      <c r="A4" s="49"/>
      <c r="B4" s="130"/>
      <c r="C4" s="131"/>
      <c r="D4" s="131"/>
      <c r="E4" s="131"/>
      <c r="F4" s="131"/>
      <c r="G4" s="131"/>
      <c r="H4" s="131"/>
      <c r="I4" s="131"/>
      <c r="J4" s="131"/>
      <c r="K4" s="131"/>
      <c r="L4" s="131"/>
      <c r="M4" s="131"/>
      <c r="N4" s="131"/>
      <c r="O4" s="131"/>
      <c r="P4" s="132"/>
      <c r="Q4" s="51"/>
    </row>
    <row r="5" spans="1:17">
      <c r="A5" s="49"/>
      <c r="B5" s="53"/>
      <c r="C5" s="54"/>
      <c r="D5" s="54"/>
      <c r="E5" s="54"/>
      <c r="F5" s="54"/>
      <c r="G5" s="54"/>
      <c r="H5" s="54"/>
      <c r="I5" s="54"/>
      <c r="J5" s="54"/>
      <c r="K5" s="55"/>
      <c r="L5" s="55"/>
      <c r="M5" s="55"/>
      <c r="N5" s="55"/>
      <c r="O5" s="55"/>
      <c r="P5" s="56"/>
      <c r="Q5" s="51"/>
    </row>
    <row r="6" spans="1:17" ht="13.35" customHeight="1">
      <c r="A6" s="49"/>
      <c r="B6" s="133" t="s">
        <v>2</v>
      </c>
      <c r="C6" s="134"/>
      <c r="D6" s="134"/>
      <c r="E6" s="134"/>
      <c r="F6" s="134"/>
      <c r="G6" s="134"/>
      <c r="H6" s="134"/>
      <c r="I6" s="134"/>
      <c r="J6" s="134"/>
      <c r="K6" s="134"/>
      <c r="L6" s="134"/>
      <c r="M6" s="134"/>
      <c r="N6" s="134"/>
      <c r="O6" s="134"/>
      <c r="P6" s="135"/>
      <c r="Q6" s="51"/>
    </row>
    <row r="7" spans="1:17">
      <c r="A7" s="49"/>
      <c r="B7" s="150"/>
      <c r="C7" s="151"/>
      <c r="D7" s="151"/>
      <c r="E7" s="151"/>
      <c r="F7" s="151"/>
      <c r="G7" s="151"/>
      <c r="H7" s="151"/>
      <c r="I7" s="151"/>
      <c r="J7" s="151"/>
      <c r="K7" s="55"/>
      <c r="L7" s="55"/>
      <c r="M7" s="55"/>
      <c r="N7" s="55"/>
      <c r="O7" s="55"/>
      <c r="P7" s="56"/>
      <c r="Q7" s="51"/>
    </row>
    <row r="8" spans="1:17" ht="15.6">
      <c r="A8" s="49"/>
      <c r="B8" s="57"/>
      <c r="C8" s="58"/>
      <c r="D8" s="59" t="s">
        <v>3</v>
      </c>
      <c r="E8" s="60"/>
      <c r="F8" s="55"/>
      <c r="G8" s="55"/>
      <c r="H8" s="55"/>
      <c r="I8" s="55"/>
      <c r="J8" s="55"/>
      <c r="K8" s="55"/>
      <c r="L8" s="55"/>
      <c r="M8" s="55"/>
      <c r="N8" s="55"/>
      <c r="O8" s="55"/>
      <c r="P8" s="56"/>
      <c r="Q8" s="51"/>
    </row>
    <row r="9" spans="1:17" ht="15.6">
      <c r="A9" s="49"/>
      <c r="B9" s="57"/>
      <c r="C9" s="61"/>
      <c r="D9" s="59" t="s">
        <v>4</v>
      </c>
      <c r="E9" s="60"/>
      <c r="F9" s="55"/>
      <c r="G9" s="55"/>
      <c r="H9" s="55"/>
      <c r="I9" s="55"/>
      <c r="J9" s="55"/>
      <c r="K9" s="55"/>
      <c r="L9" s="55"/>
      <c r="M9" s="55"/>
      <c r="N9" s="55"/>
      <c r="O9" s="55"/>
      <c r="P9" s="56"/>
      <c r="Q9" s="51"/>
    </row>
    <row r="10" spans="1:17" ht="14.1">
      <c r="A10" s="49"/>
      <c r="B10" s="57"/>
      <c r="C10" s="62"/>
      <c r="D10" s="59" t="s">
        <v>5</v>
      </c>
      <c r="E10" s="55"/>
      <c r="F10" s="55"/>
      <c r="G10" s="55"/>
      <c r="H10" s="55"/>
      <c r="I10" s="55"/>
      <c r="J10" s="55"/>
      <c r="K10" s="55"/>
      <c r="L10" s="55"/>
      <c r="M10" s="55"/>
      <c r="N10" s="55"/>
      <c r="O10" s="55"/>
      <c r="P10" s="56"/>
      <c r="Q10" s="51"/>
    </row>
    <row r="11" spans="1:17" ht="14.1">
      <c r="A11" s="49"/>
      <c r="B11" s="57"/>
      <c r="C11" s="55"/>
      <c r="D11" s="59"/>
      <c r="E11" s="55"/>
      <c r="F11" s="55"/>
      <c r="G11" s="55"/>
      <c r="H11" s="55"/>
      <c r="I11" s="55"/>
      <c r="J11" s="55"/>
      <c r="K11" s="55"/>
      <c r="L11" s="55"/>
      <c r="M11" s="55"/>
      <c r="N11" s="55"/>
      <c r="O11" s="55"/>
      <c r="P11" s="56"/>
      <c r="Q11" s="51"/>
    </row>
    <row r="12" spans="1:17" ht="12.95">
      <c r="A12" s="49"/>
      <c r="B12" s="63" t="s">
        <v>6</v>
      </c>
      <c r="C12" s="64" t="s">
        <v>7</v>
      </c>
      <c r="D12" s="64" t="s">
        <v>8</v>
      </c>
      <c r="E12" s="64" t="s">
        <v>9</v>
      </c>
      <c r="F12" s="108" t="s">
        <v>10</v>
      </c>
      <c r="G12" s="108"/>
      <c r="H12" s="108"/>
      <c r="I12" s="108"/>
      <c r="J12" s="108"/>
      <c r="K12" s="108"/>
      <c r="L12" s="108"/>
      <c r="M12" s="108"/>
      <c r="N12" s="108"/>
      <c r="O12" s="108"/>
      <c r="P12" s="109"/>
      <c r="Q12" s="51"/>
    </row>
    <row r="13" spans="1:17" ht="12.95">
      <c r="A13" s="49"/>
      <c r="B13" s="110" t="s">
        <v>11</v>
      </c>
      <c r="C13" s="108"/>
      <c r="D13" s="108"/>
      <c r="E13" s="108"/>
      <c r="F13" s="65"/>
      <c r="G13" s="66"/>
      <c r="H13" s="66"/>
      <c r="I13" s="66"/>
      <c r="J13" s="66"/>
      <c r="K13" s="66"/>
      <c r="L13" s="66"/>
      <c r="M13" s="66"/>
      <c r="N13" s="66"/>
      <c r="O13" s="66"/>
      <c r="P13" s="67"/>
      <c r="Q13" s="51"/>
    </row>
    <row r="14" spans="1:17">
      <c r="A14" s="49"/>
      <c r="B14" s="68" t="s">
        <v>12</v>
      </c>
      <c r="C14" s="29">
        <v>9</v>
      </c>
      <c r="D14" s="69" t="s">
        <v>13</v>
      </c>
      <c r="E14" s="70" t="s">
        <v>14</v>
      </c>
      <c r="F14" s="55"/>
      <c r="G14" s="55"/>
      <c r="H14" s="55"/>
      <c r="I14" s="55"/>
      <c r="J14" s="55"/>
      <c r="K14" s="55"/>
      <c r="L14" s="55"/>
      <c r="M14" s="55"/>
      <c r="N14" s="55"/>
      <c r="O14" s="55"/>
      <c r="P14" s="56"/>
      <c r="Q14" s="51"/>
    </row>
    <row r="15" spans="1:17">
      <c r="A15" s="49"/>
      <c r="B15" s="68" t="s">
        <v>15</v>
      </c>
      <c r="C15" s="29">
        <v>24</v>
      </c>
      <c r="D15" s="69" t="s">
        <v>13</v>
      </c>
      <c r="E15" s="70" t="s">
        <v>16</v>
      </c>
      <c r="F15" s="55"/>
      <c r="G15" s="55"/>
      <c r="H15" s="55"/>
      <c r="I15" s="55"/>
      <c r="J15" s="55"/>
      <c r="K15" s="55"/>
      <c r="L15" s="55"/>
      <c r="M15" s="55"/>
      <c r="N15" s="55"/>
      <c r="O15" s="55"/>
      <c r="P15" s="56"/>
      <c r="Q15" s="51"/>
    </row>
    <row r="16" spans="1:17">
      <c r="A16" s="49"/>
      <c r="B16" s="68" t="s">
        <v>17</v>
      </c>
      <c r="C16" s="94">
        <v>12</v>
      </c>
      <c r="D16" s="69" t="s">
        <v>13</v>
      </c>
      <c r="E16" s="70" t="s">
        <v>18</v>
      </c>
      <c r="F16" s="55"/>
      <c r="G16" s="55"/>
      <c r="H16" s="55"/>
      <c r="I16" s="55"/>
      <c r="J16" s="55"/>
      <c r="K16" s="55"/>
      <c r="L16" s="55"/>
      <c r="M16" s="55"/>
      <c r="N16" s="55"/>
      <c r="O16" s="55"/>
      <c r="P16" s="56"/>
      <c r="Q16" s="51"/>
    </row>
    <row r="17" spans="1:17">
      <c r="A17" s="49"/>
      <c r="B17" s="68" t="s">
        <v>19</v>
      </c>
      <c r="C17" s="29">
        <v>6</v>
      </c>
      <c r="D17" s="69" t="s">
        <v>20</v>
      </c>
      <c r="E17" s="70" t="s">
        <v>21</v>
      </c>
      <c r="F17" s="55"/>
      <c r="G17" s="55"/>
      <c r="H17" s="55"/>
      <c r="I17" s="55"/>
      <c r="J17" s="55"/>
      <c r="K17" s="55"/>
      <c r="L17" s="55"/>
      <c r="M17" s="55"/>
      <c r="N17" s="55"/>
      <c r="O17" s="55"/>
      <c r="P17" s="56"/>
      <c r="Q17" s="51"/>
    </row>
    <row r="18" spans="1:17">
      <c r="A18" s="49"/>
      <c r="B18" s="68" t="s">
        <v>22</v>
      </c>
      <c r="C18" s="30" t="s">
        <v>23</v>
      </c>
      <c r="D18" s="69"/>
      <c r="E18" s="70" t="s">
        <v>24</v>
      </c>
      <c r="F18" s="55"/>
      <c r="G18" s="55"/>
      <c r="H18" s="55"/>
      <c r="I18" s="55"/>
      <c r="J18" s="55"/>
      <c r="K18" s="55"/>
      <c r="L18" s="55"/>
      <c r="M18" s="55"/>
      <c r="N18" s="55"/>
      <c r="O18" s="55"/>
      <c r="P18" s="56"/>
      <c r="Q18" s="51"/>
    </row>
    <row r="19" spans="1:17">
      <c r="A19" s="49"/>
      <c r="B19" s="68" t="s">
        <v>25</v>
      </c>
      <c r="C19" s="30" t="s">
        <v>26</v>
      </c>
      <c r="D19" s="69"/>
      <c r="E19" s="70" t="s">
        <v>27</v>
      </c>
      <c r="F19" s="55"/>
      <c r="G19" s="55"/>
      <c r="H19" s="55"/>
      <c r="I19" s="55"/>
      <c r="J19" s="55"/>
      <c r="K19" s="55"/>
      <c r="L19" s="55"/>
      <c r="M19" s="55"/>
      <c r="N19" s="55"/>
      <c r="O19" s="55"/>
      <c r="P19" s="56"/>
      <c r="Q19" s="51"/>
    </row>
    <row r="20" spans="1:17" ht="12.95">
      <c r="A20" s="49"/>
      <c r="B20" s="71" t="s">
        <v>28</v>
      </c>
      <c r="C20" s="31">
        <f>IF((C18="Internal")*(C19="FPWM"),0,IF((C18="Internal")*(C19="APFM"),24900,IF((C18="External")*(C19="FPWM"),51100,IF((C18="external")*(C19="FPWM"),10500,"floating"))))</f>
        <v>24900</v>
      </c>
      <c r="D20" s="69" t="s">
        <v>29</v>
      </c>
      <c r="E20" s="70" t="s">
        <v>30</v>
      </c>
      <c r="F20" s="55"/>
      <c r="G20" s="55"/>
      <c r="H20" s="55"/>
      <c r="I20" s="55"/>
      <c r="J20" s="55"/>
      <c r="K20" s="55"/>
      <c r="L20" s="55"/>
      <c r="M20" s="55"/>
      <c r="N20" s="55"/>
      <c r="O20" s="55"/>
      <c r="P20" s="56"/>
      <c r="Q20" s="51"/>
    </row>
    <row r="21" spans="1:17" ht="24.95">
      <c r="A21" s="49"/>
      <c r="B21" s="68" t="s">
        <v>31</v>
      </c>
      <c r="C21" s="32">
        <v>100000</v>
      </c>
      <c r="D21" s="69" t="s">
        <v>32</v>
      </c>
      <c r="E21" s="70" t="s">
        <v>33</v>
      </c>
      <c r="F21" s="55"/>
      <c r="G21" s="55"/>
      <c r="H21" s="55"/>
      <c r="I21" s="55"/>
      <c r="J21" s="55"/>
      <c r="K21" s="55"/>
      <c r="L21" s="55"/>
      <c r="M21" s="55"/>
      <c r="N21" s="55"/>
      <c r="O21" s="55"/>
      <c r="P21" s="56"/>
      <c r="Q21" s="51"/>
    </row>
    <row r="22" spans="1:17" ht="12.95">
      <c r="A22" s="49"/>
      <c r="B22" s="71" t="s">
        <v>34</v>
      </c>
      <c r="C22" s="33">
        <f>R_7/(Vout/1.2-1)</f>
        <v>11111.111111111111</v>
      </c>
      <c r="D22" s="69" t="s">
        <v>32</v>
      </c>
      <c r="E22" s="70" t="s">
        <v>35</v>
      </c>
      <c r="F22" s="55"/>
      <c r="G22" s="55"/>
      <c r="H22" s="55"/>
      <c r="I22" s="55"/>
      <c r="J22" s="55"/>
      <c r="K22" s="55"/>
      <c r="L22" s="55"/>
      <c r="M22" s="55"/>
      <c r="N22" s="55"/>
      <c r="O22" s="55"/>
      <c r="P22" s="56"/>
      <c r="Q22" s="51"/>
    </row>
    <row r="23" spans="1:17">
      <c r="A23" s="49"/>
      <c r="B23" s="68" t="s">
        <v>36</v>
      </c>
      <c r="C23" s="29">
        <v>20</v>
      </c>
      <c r="D23" s="69" t="s">
        <v>20</v>
      </c>
      <c r="E23" s="70" t="s">
        <v>37</v>
      </c>
      <c r="F23" s="55"/>
      <c r="G23" s="55"/>
      <c r="H23" s="55"/>
      <c r="I23" s="55"/>
      <c r="J23" s="55"/>
      <c r="K23" s="55"/>
      <c r="L23" s="55"/>
      <c r="M23" s="55"/>
      <c r="N23" s="55"/>
      <c r="O23" s="55"/>
      <c r="P23" s="56"/>
      <c r="Q23" s="51"/>
    </row>
    <row r="24" spans="1:17" ht="12.95">
      <c r="A24" s="49"/>
      <c r="B24" s="71" t="s">
        <v>38</v>
      </c>
      <c r="C24" s="104">
        <f>50/Iout_limit</f>
        <v>2.5</v>
      </c>
      <c r="D24" s="69" t="s">
        <v>39</v>
      </c>
      <c r="E24" s="70" t="s">
        <v>40</v>
      </c>
      <c r="F24" s="55"/>
      <c r="G24" s="55"/>
      <c r="H24" s="55"/>
      <c r="I24" s="55"/>
      <c r="J24" s="55"/>
      <c r="K24" s="55"/>
      <c r="L24" s="55"/>
      <c r="M24" s="55"/>
      <c r="N24" s="55"/>
      <c r="O24" s="55"/>
      <c r="P24" s="56"/>
      <c r="Q24" s="51"/>
    </row>
    <row r="25" spans="1:17" ht="25.5">
      <c r="A25" s="49"/>
      <c r="B25" s="68" t="s">
        <v>41</v>
      </c>
      <c r="C25" s="34">
        <f>IF((Vout&gt;Vin_min), SQRT((Vout-Vin_min)/Vin_min)*Ioutmax, 1/SQRT(12)*Vout*(1-Vout/Vin_max)/L/fsw)</f>
        <v>3.4641016151377544</v>
      </c>
      <c r="D25" s="69" t="s">
        <v>42</v>
      </c>
      <c r="E25" s="70" t="s">
        <v>43</v>
      </c>
      <c r="F25" s="55"/>
      <c r="G25" s="55"/>
      <c r="H25" s="55"/>
      <c r="I25" s="55"/>
      <c r="J25" s="55"/>
      <c r="K25" s="55"/>
      <c r="L25" s="55"/>
      <c r="M25" s="55"/>
      <c r="N25" s="55"/>
      <c r="O25" s="55"/>
      <c r="P25" s="56"/>
      <c r="Q25" s="51"/>
    </row>
    <row r="26" spans="1:17" ht="24.95">
      <c r="A26" s="49"/>
      <c r="B26" s="68" t="s">
        <v>44</v>
      </c>
      <c r="C26" s="34">
        <f>IF((Vin_max&gt;Vout), IF(Vin_max&lt;(2*Vout), Ioutmax*SQRT(Vout*(Vin_max-Vout)/Vin_max/Vin_max), Ioutmax/2), IF(Vin_min&gt;Vout/2, 1/SQRT(12)*Vin_min*(1-Vin_min/Vout)/L/fsw, 1/SQRT(12)*Vout/4/L/fsw))</f>
        <v>3</v>
      </c>
      <c r="D26" s="69" t="s">
        <v>42</v>
      </c>
      <c r="E26" s="70" t="s">
        <v>45</v>
      </c>
      <c r="F26" s="55"/>
      <c r="G26" s="55"/>
      <c r="H26" s="55"/>
      <c r="I26" s="55"/>
      <c r="J26" s="55"/>
      <c r="K26" s="55"/>
      <c r="L26" s="55"/>
      <c r="M26" s="55"/>
      <c r="N26" s="55"/>
      <c r="O26" s="55"/>
      <c r="P26" s="56"/>
      <c r="Q26" s="51"/>
    </row>
    <row r="27" spans="1:17">
      <c r="A27" s="49"/>
      <c r="B27" s="68" t="s">
        <v>46</v>
      </c>
      <c r="C27" s="35">
        <v>400000</v>
      </c>
      <c r="D27" s="69" t="s">
        <v>47</v>
      </c>
      <c r="E27" s="70" t="s">
        <v>48</v>
      </c>
      <c r="F27" s="55"/>
      <c r="G27" s="55"/>
      <c r="H27" s="55"/>
      <c r="I27" s="55"/>
      <c r="J27" s="55"/>
      <c r="K27" s="55"/>
      <c r="L27" s="55"/>
      <c r="M27" s="55"/>
      <c r="N27" s="55"/>
      <c r="O27" s="55"/>
      <c r="P27" s="56"/>
      <c r="Q27" s="51"/>
    </row>
    <row r="28" spans="1:17" ht="12.95">
      <c r="A28" s="49"/>
      <c r="B28" s="71" t="s">
        <v>49</v>
      </c>
      <c r="C28" s="36">
        <f>(10^9/fsw-20)/0.05-250</f>
        <v>49350</v>
      </c>
      <c r="D28" s="69" t="s">
        <v>32</v>
      </c>
      <c r="E28" s="70" t="s">
        <v>50</v>
      </c>
      <c r="F28" s="55"/>
      <c r="G28" s="55"/>
      <c r="H28" s="55"/>
      <c r="I28" s="55"/>
      <c r="J28" s="55"/>
      <c r="K28" s="55"/>
      <c r="L28" s="55"/>
      <c r="M28" s="55"/>
      <c r="N28" s="55"/>
      <c r="O28" s="55"/>
      <c r="P28" s="56"/>
      <c r="Q28" s="51"/>
    </row>
    <row r="29" spans="1:17">
      <c r="A29" s="49"/>
      <c r="B29" s="68" t="s">
        <v>51</v>
      </c>
      <c r="C29" s="35">
        <v>700</v>
      </c>
      <c r="D29" s="69" t="s">
        <v>47</v>
      </c>
      <c r="E29" s="70" t="s">
        <v>52</v>
      </c>
      <c r="F29" s="55"/>
      <c r="G29" s="55"/>
      <c r="H29" s="55"/>
      <c r="I29" s="55"/>
      <c r="J29" s="55"/>
      <c r="K29" s="55"/>
      <c r="L29" s="55"/>
      <c r="M29" s="55"/>
      <c r="N29" s="55"/>
      <c r="O29" s="55"/>
      <c r="P29" s="56"/>
      <c r="Q29" s="51"/>
    </row>
    <row r="30" spans="1:17" ht="12.95">
      <c r="A30" s="49"/>
      <c r="B30" s="71" t="s">
        <v>53</v>
      </c>
      <c r="C30" s="37">
        <f>1/2.8/C28/C29</f>
        <v>1.0338481897318197E-8</v>
      </c>
      <c r="D30" s="69" t="s">
        <v>54</v>
      </c>
      <c r="E30" s="70"/>
      <c r="F30" s="55"/>
      <c r="G30" s="55"/>
      <c r="H30" s="55"/>
      <c r="I30" s="55"/>
      <c r="J30" s="55"/>
      <c r="K30" s="55"/>
      <c r="L30" s="55"/>
      <c r="M30" s="55"/>
      <c r="N30" s="55"/>
      <c r="O30" s="55"/>
      <c r="P30" s="56"/>
      <c r="Q30" s="51"/>
    </row>
    <row r="31" spans="1:17" ht="25.5">
      <c r="A31" s="49"/>
      <c r="B31" s="68" t="s">
        <v>55</v>
      </c>
      <c r="C31" s="38">
        <v>0.05</v>
      </c>
      <c r="D31" s="69" t="s">
        <v>56</v>
      </c>
      <c r="E31" s="70" t="s">
        <v>57</v>
      </c>
      <c r="F31" s="115"/>
      <c r="G31" s="112"/>
      <c r="H31" s="112"/>
      <c r="I31" s="112"/>
      <c r="J31" s="112"/>
      <c r="K31" s="112"/>
      <c r="L31" s="112"/>
      <c r="M31" s="112"/>
      <c r="N31" s="112"/>
      <c r="O31" s="112"/>
      <c r="P31" s="113"/>
      <c r="Q31" s="51"/>
    </row>
    <row r="32" spans="1:17" ht="12.95">
      <c r="A32" s="49"/>
      <c r="B32" s="71" t="s">
        <v>58</v>
      </c>
      <c r="C32" s="39">
        <f>MAX((Vout-Vin_min)/Vout/fsw*Ioutmax/dVoutpkpk, 1/8/fsw*(ILpeak_max-ILvalley_max)/dVoutpkpk)</f>
        <v>7.5000000000000007E-5</v>
      </c>
      <c r="D32" s="69" t="s">
        <v>54</v>
      </c>
      <c r="E32" s="70" t="s">
        <v>59</v>
      </c>
      <c r="F32" s="72"/>
      <c r="G32" s="55"/>
      <c r="H32" s="55"/>
      <c r="I32" s="55"/>
      <c r="J32" s="55"/>
      <c r="K32" s="55"/>
      <c r="L32" s="55"/>
      <c r="M32" s="55"/>
      <c r="N32" s="55"/>
      <c r="O32" s="55"/>
      <c r="P32" s="56"/>
      <c r="Q32" s="51"/>
    </row>
    <row r="33" spans="1:17" ht="27" customHeight="1">
      <c r="A33" s="49"/>
      <c r="B33" s="116" t="s">
        <v>60</v>
      </c>
      <c r="C33" s="123">
        <v>8.7999999999999998E-5</v>
      </c>
      <c r="D33" s="125" t="s">
        <v>54</v>
      </c>
      <c r="E33" s="106" t="s">
        <v>61</v>
      </c>
      <c r="F33" s="95"/>
      <c r="G33" s="96"/>
      <c r="H33" s="96"/>
      <c r="I33" s="97"/>
      <c r="J33" s="96"/>
      <c r="K33" s="95"/>
      <c r="L33" s="96"/>
      <c r="M33" s="96"/>
      <c r="N33" s="96"/>
      <c r="O33" s="96"/>
      <c r="P33" s="95"/>
      <c r="Q33" s="51"/>
    </row>
    <row r="34" spans="1:17">
      <c r="A34" s="49"/>
      <c r="B34" s="117"/>
      <c r="C34" s="124"/>
      <c r="D34" s="126"/>
      <c r="E34" s="107"/>
      <c r="F34" s="136"/>
      <c r="G34" s="122"/>
      <c r="H34" s="98"/>
      <c r="I34" s="98"/>
      <c r="J34" s="98"/>
      <c r="K34" s="98"/>
      <c r="L34" s="98"/>
      <c r="M34" s="98"/>
      <c r="N34" s="98"/>
      <c r="O34" s="98"/>
      <c r="P34" s="122"/>
      <c r="Q34" s="51"/>
    </row>
    <row r="35" spans="1:17">
      <c r="A35" s="49"/>
      <c r="B35" s="116" t="s">
        <v>62</v>
      </c>
      <c r="C35" s="123">
        <v>1E-4</v>
      </c>
      <c r="D35" s="125" t="s">
        <v>54</v>
      </c>
      <c r="E35" s="106" t="s">
        <v>63</v>
      </c>
      <c r="F35" s="136"/>
      <c r="G35" s="122"/>
      <c r="H35" s="98"/>
      <c r="I35" s="99"/>
      <c r="J35" s="100"/>
      <c r="K35" s="98"/>
      <c r="L35" s="100"/>
      <c r="M35" s="100"/>
      <c r="N35" s="100"/>
      <c r="O35" s="100"/>
      <c r="P35" s="122"/>
      <c r="Q35" s="51"/>
    </row>
    <row r="36" spans="1:17">
      <c r="A36" s="49"/>
      <c r="B36" s="117"/>
      <c r="C36" s="124"/>
      <c r="D36" s="126"/>
      <c r="E36" s="107"/>
      <c r="F36" s="136"/>
      <c r="G36" s="122"/>
      <c r="H36" s="98"/>
      <c r="I36" s="98"/>
      <c r="J36" s="98"/>
      <c r="K36" s="98"/>
      <c r="L36" s="98"/>
      <c r="M36" s="98"/>
      <c r="N36" s="98"/>
      <c r="O36" s="98"/>
      <c r="P36" s="122"/>
      <c r="Q36" s="51"/>
    </row>
    <row r="37" spans="1:17">
      <c r="A37" s="49"/>
      <c r="B37" s="116" t="s">
        <v>64</v>
      </c>
      <c r="C37" s="139">
        <v>2.7E-2</v>
      </c>
      <c r="D37" s="125" t="s">
        <v>32</v>
      </c>
      <c r="E37" s="106" t="s">
        <v>65</v>
      </c>
      <c r="F37" s="136"/>
      <c r="G37" s="122"/>
      <c r="H37" s="98"/>
      <c r="I37" s="98"/>
      <c r="J37" s="98"/>
      <c r="K37" s="98"/>
      <c r="L37" s="98"/>
      <c r="M37" s="98"/>
      <c r="N37" s="100"/>
      <c r="O37" s="100"/>
      <c r="P37" s="122"/>
      <c r="Q37" s="51"/>
    </row>
    <row r="38" spans="1:17">
      <c r="A38" s="49"/>
      <c r="B38" s="117"/>
      <c r="C38" s="140"/>
      <c r="D38" s="126"/>
      <c r="E38" s="107"/>
      <c r="F38" s="136"/>
      <c r="G38" s="122"/>
      <c r="H38" s="98"/>
      <c r="I38" s="98"/>
      <c r="J38" s="98"/>
      <c r="K38" s="98"/>
      <c r="L38" s="98"/>
      <c r="M38" s="100"/>
      <c r="N38" s="100"/>
      <c r="O38" s="100"/>
      <c r="P38" s="122"/>
      <c r="Q38" s="51"/>
    </row>
    <row r="39" spans="1:17">
      <c r="A39" s="49"/>
      <c r="B39" s="116" t="s">
        <v>66</v>
      </c>
      <c r="C39" s="137">
        <v>0.05</v>
      </c>
      <c r="D39" s="125" t="s">
        <v>56</v>
      </c>
      <c r="E39" s="106" t="s">
        <v>67</v>
      </c>
      <c r="F39" s="136"/>
      <c r="G39" s="122"/>
      <c r="H39" s="101"/>
      <c r="I39" s="102"/>
      <c r="J39" s="100"/>
      <c r="K39" s="98"/>
      <c r="L39" s="100"/>
      <c r="M39" s="100"/>
      <c r="N39" s="100"/>
      <c r="O39" s="100"/>
      <c r="P39" s="122"/>
      <c r="Q39" s="51"/>
    </row>
    <row r="40" spans="1:17">
      <c r="A40" s="49"/>
      <c r="B40" s="117"/>
      <c r="C40" s="138"/>
      <c r="D40" s="126"/>
      <c r="E40" s="107"/>
      <c r="F40" s="136"/>
      <c r="G40" s="122"/>
      <c r="H40" s="98"/>
      <c r="I40" s="98"/>
      <c r="J40" s="100"/>
      <c r="K40" s="98"/>
      <c r="L40" s="98"/>
      <c r="M40" s="98"/>
      <c r="N40" s="100"/>
      <c r="O40" s="100"/>
      <c r="P40" s="122"/>
      <c r="Q40" s="51"/>
    </row>
    <row r="41" spans="1:17">
      <c r="A41" s="49"/>
      <c r="B41" s="141" t="s">
        <v>68</v>
      </c>
      <c r="C41" s="143">
        <f>Ioutmax*0.25/dVinpkpk/fsw</f>
        <v>7.4999999999999993E-5</v>
      </c>
      <c r="D41" s="125" t="s">
        <v>54</v>
      </c>
      <c r="E41" s="106" t="s">
        <v>69</v>
      </c>
      <c r="F41" s="136"/>
      <c r="G41" s="122"/>
      <c r="H41" s="98"/>
      <c r="I41" s="98"/>
      <c r="J41" s="100"/>
      <c r="K41" s="100"/>
      <c r="L41" s="98"/>
      <c r="M41" s="98"/>
      <c r="N41" s="100"/>
      <c r="O41" s="100"/>
      <c r="P41" s="122"/>
      <c r="Q41" s="51"/>
    </row>
    <row r="42" spans="1:17">
      <c r="A42" s="49"/>
      <c r="B42" s="142"/>
      <c r="C42" s="144"/>
      <c r="D42" s="126"/>
      <c r="E42" s="107"/>
      <c r="F42" s="136"/>
      <c r="G42" s="122"/>
      <c r="H42" s="98"/>
      <c r="I42" s="98"/>
      <c r="J42" s="98"/>
      <c r="K42" s="98"/>
      <c r="L42" s="98"/>
      <c r="M42" s="98"/>
      <c r="N42" s="100"/>
      <c r="O42" s="100"/>
      <c r="P42" s="122"/>
      <c r="Q42" s="51"/>
    </row>
    <row r="43" spans="1:17">
      <c r="A43" s="49"/>
      <c r="B43" s="116" t="s">
        <v>70</v>
      </c>
      <c r="C43" s="123">
        <v>1E-4</v>
      </c>
      <c r="D43" s="125" t="s">
        <v>54</v>
      </c>
      <c r="E43" s="106" t="s">
        <v>71</v>
      </c>
      <c r="F43" s="136"/>
      <c r="G43" s="122"/>
      <c r="H43" s="98"/>
      <c r="I43" s="98"/>
      <c r="J43" s="98"/>
      <c r="K43" s="98"/>
      <c r="L43" s="98"/>
      <c r="M43" s="98"/>
      <c r="N43" s="100"/>
      <c r="O43" s="100"/>
      <c r="P43" s="122"/>
      <c r="Q43" s="51"/>
    </row>
    <row r="44" spans="1:17">
      <c r="A44" s="49"/>
      <c r="B44" s="117"/>
      <c r="C44" s="124"/>
      <c r="D44" s="126"/>
      <c r="E44" s="107"/>
      <c r="F44" s="122"/>
      <c r="G44" s="122"/>
      <c r="H44" s="98"/>
      <c r="I44" s="98"/>
      <c r="J44" s="98"/>
      <c r="K44" s="98"/>
      <c r="L44" s="98"/>
      <c r="M44" s="98"/>
      <c r="N44" s="100"/>
      <c r="O44" s="100"/>
      <c r="P44" s="122"/>
      <c r="Q44" s="51"/>
    </row>
    <row r="45" spans="1:17">
      <c r="A45" s="49"/>
      <c r="B45" s="116" t="s">
        <v>72</v>
      </c>
      <c r="C45" s="118">
        <v>0.97</v>
      </c>
      <c r="D45" s="120"/>
      <c r="E45" s="106" t="s">
        <v>73</v>
      </c>
      <c r="F45" s="122"/>
      <c r="G45" s="122"/>
      <c r="H45" s="98"/>
      <c r="I45" s="98"/>
      <c r="J45" s="98"/>
      <c r="K45" s="98"/>
      <c r="L45" s="98"/>
      <c r="M45" s="100"/>
      <c r="N45" s="100"/>
      <c r="O45" s="100"/>
      <c r="P45" s="122"/>
      <c r="Q45" s="51"/>
    </row>
    <row r="46" spans="1:17">
      <c r="A46" s="49"/>
      <c r="B46" s="117"/>
      <c r="C46" s="119"/>
      <c r="D46" s="121"/>
      <c r="E46" s="107"/>
      <c r="F46" s="122"/>
      <c r="G46" s="122"/>
      <c r="H46" s="98"/>
      <c r="I46" s="98"/>
      <c r="J46" s="98"/>
      <c r="K46" s="98"/>
      <c r="L46" s="98"/>
      <c r="M46" s="98"/>
      <c r="N46" s="98"/>
      <c r="O46" s="98"/>
      <c r="P46" s="122"/>
      <c r="Q46" s="51"/>
    </row>
    <row r="47" spans="1:17">
      <c r="A47" s="49"/>
      <c r="B47" s="116" t="s">
        <v>74</v>
      </c>
      <c r="C47" s="145">
        <v>0.5</v>
      </c>
      <c r="D47" s="120"/>
      <c r="E47" s="106" t="s">
        <v>75</v>
      </c>
      <c r="F47" s="122"/>
      <c r="G47" s="122"/>
      <c r="H47" s="103"/>
      <c r="I47" s="103"/>
      <c r="J47" s="103"/>
      <c r="K47" s="103"/>
      <c r="L47" s="103"/>
      <c r="M47" s="103"/>
      <c r="N47" s="103"/>
      <c r="O47" s="103"/>
      <c r="P47" s="122"/>
      <c r="Q47" s="51"/>
    </row>
    <row r="48" spans="1:17">
      <c r="A48" s="49"/>
      <c r="B48" s="117"/>
      <c r="C48" s="146"/>
      <c r="D48" s="121"/>
      <c r="E48" s="107"/>
      <c r="F48" s="122"/>
      <c r="G48" s="122"/>
      <c r="H48" s="100"/>
      <c r="I48" s="100"/>
      <c r="J48" s="100"/>
      <c r="K48" s="100"/>
      <c r="L48" s="100"/>
      <c r="M48" s="98"/>
      <c r="N48" s="100"/>
      <c r="O48" s="100"/>
      <c r="P48" s="122"/>
      <c r="Q48" s="51"/>
    </row>
    <row r="49" spans="1:17" ht="24.95">
      <c r="A49" s="49"/>
      <c r="B49" s="68" t="s">
        <v>76</v>
      </c>
      <c r="C49" s="39">
        <f>IF(Vout&gt;Vin_min, Vin_min^2*eff*(Vout-Vin_min)/(K*Ioutmax*fsw*Vout^2), (1-Vout/Vin_max)*Vout/(K*Ioutmax*fsw))</f>
        <v>1.3640624999999999E-6</v>
      </c>
      <c r="D49" s="69" t="s">
        <v>77</v>
      </c>
      <c r="E49" s="70" t="s">
        <v>78</v>
      </c>
      <c r="F49" s="122"/>
      <c r="G49" s="122"/>
      <c r="H49" s="100"/>
      <c r="I49" s="100"/>
      <c r="J49" s="100"/>
      <c r="K49" s="100"/>
      <c r="L49" s="100"/>
      <c r="M49" s="98"/>
      <c r="N49" s="100"/>
      <c r="O49" s="100"/>
      <c r="P49" s="122"/>
      <c r="Q49" s="51"/>
    </row>
    <row r="50" spans="1:17">
      <c r="A50" s="49"/>
      <c r="B50" s="68" t="s">
        <v>79</v>
      </c>
      <c r="C50" s="40">
        <v>5.5999999999999997E-6</v>
      </c>
      <c r="D50" s="69" t="s">
        <v>77</v>
      </c>
      <c r="E50" s="70"/>
      <c r="F50" s="55"/>
      <c r="G50" s="55"/>
      <c r="H50" s="55"/>
      <c r="I50" s="55"/>
      <c r="J50" s="55"/>
      <c r="K50" s="55"/>
      <c r="L50" s="55"/>
      <c r="M50" s="55"/>
      <c r="N50" s="55"/>
      <c r="O50" s="55"/>
      <c r="P50" s="56"/>
      <c r="Q50" s="51"/>
    </row>
    <row r="51" spans="1:17" ht="15.6" customHeight="1">
      <c r="A51" s="49"/>
      <c r="B51" s="68" t="s">
        <v>80</v>
      </c>
      <c r="C51" s="34">
        <f>IF(Vout&gt;Vin_min, ((Ioutmax/(Vin_min/Vout)/eff)^2+1/12*(Vin_min/L*(1-Vin_min/Vout)/fsw)^2)^0.5, ((Ioutmax^2+1/12*(Vout/L*(1-Vout/Vin_max)/fsw)^2)^0.5))</f>
        <v>8.2525183981105634</v>
      </c>
      <c r="D51" s="69" t="s">
        <v>42</v>
      </c>
      <c r="E51" s="70" t="s">
        <v>81</v>
      </c>
      <c r="F51" s="55"/>
      <c r="G51" s="55"/>
      <c r="H51" s="55"/>
      <c r="I51" s="55"/>
      <c r="J51" s="55"/>
      <c r="K51" s="55"/>
      <c r="L51" s="55"/>
      <c r="M51" s="55"/>
      <c r="N51" s="55"/>
      <c r="O51" s="55"/>
      <c r="P51" s="56"/>
      <c r="Q51" s="51"/>
    </row>
    <row r="52" spans="1:17" ht="24.95">
      <c r="A52" s="49"/>
      <c r="B52" s="68" t="s">
        <v>82</v>
      </c>
      <c r="C52" s="34">
        <f>IF(Vout&gt;Vin_min, (Ioutmax/(Vin_min/Vout)/eff+(1/2*Vin_min/L*(1-Vin_min/Vout)/fsw)), Ioutmax+1/2*(Vout*(1-Vout/Vin_max)/L/fsw))</f>
        <v>8.7496548232695144</v>
      </c>
      <c r="D52" s="69" t="s">
        <v>20</v>
      </c>
      <c r="E52" s="70" t="s">
        <v>83</v>
      </c>
      <c r="F52" s="55"/>
      <c r="G52" s="55"/>
      <c r="H52" s="55"/>
      <c r="I52" s="55"/>
      <c r="J52" s="55"/>
      <c r="K52" s="55"/>
      <c r="L52" s="55"/>
      <c r="M52" s="55"/>
      <c r="N52" s="55"/>
      <c r="O52" s="55"/>
      <c r="P52" s="56"/>
      <c r="Q52" s="51"/>
    </row>
    <row r="53" spans="1:17" ht="25.5" customHeight="1">
      <c r="A53" s="49"/>
      <c r="B53" s="68" t="s">
        <v>84</v>
      </c>
      <c r="C53" s="34">
        <f>IF(Vout&gt;Vin_min, (Ioutmax/(Vin_min/Vout)/eff-(1/2*Vin_min/L*(1-Vin_min/Vout)/fsw)), Ioutmax-1/2*(Vout*(1-Vout/Vin_max)/L/fsw))</f>
        <v>7.7451905375552288</v>
      </c>
      <c r="D53" s="69" t="s">
        <v>20</v>
      </c>
      <c r="E53" s="70"/>
      <c r="F53" s="55"/>
      <c r="G53" s="73"/>
      <c r="H53" s="74"/>
      <c r="I53" s="73"/>
      <c r="J53" s="72"/>
      <c r="K53" s="55"/>
      <c r="L53" s="55"/>
      <c r="M53" s="55"/>
      <c r="N53" s="55"/>
      <c r="O53" s="55"/>
      <c r="P53" s="56"/>
      <c r="Q53" s="51"/>
    </row>
    <row r="54" spans="1:17" ht="12.95">
      <c r="A54" s="49"/>
      <c r="B54" s="68" t="s">
        <v>85</v>
      </c>
      <c r="C54" s="23">
        <v>16.5</v>
      </c>
      <c r="D54" s="69" t="s">
        <v>20</v>
      </c>
      <c r="E54" s="70" t="s">
        <v>86</v>
      </c>
      <c r="F54" s="55"/>
      <c r="G54" s="73"/>
      <c r="H54" s="74"/>
      <c r="I54" s="73"/>
      <c r="J54" s="72"/>
      <c r="K54" s="55"/>
      <c r="L54" s="55"/>
      <c r="M54" s="55"/>
      <c r="N54" s="55"/>
      <c r="O54" s="55"/>
      <c r="P54" s="56"/>
      <c r="Q54" s="51"/>
    </row>
    <row r="55" spans="1:17" ht="12.95">
      <c r="A55" s="49"/>
      <c r="B55" s="71" t="s">
        <v>87</v>
      </c>
      <c r="C55" s="25">
        <f>MIN(1, 0.6*Vout)*330000/(Iavg_limit)</f>
        <v>20000</v>
      </c>
      <c r="D55" s="69" t="s">
        <v>32</v>
      </c>
      <c r="E55" s="70"/>
      <c r="F55" s="55"/>
      <c r="G55" s="73"/>
      <c r="H55" s="74"/>
      <c r="I55" s="73"/>
      <c r="J55" s="72"/>
      <c r="K55" s="55"/>
      <c r="L55" s="55"/>
      <c r="M55" s="55"/>
      <c r="N55" s="55"/>
      <c r="O55" s="55"/>
      <c r="P55" s="56"/>
      <c r="Q55" s="51"/>
    </row>
    <row r="56" spans="1:17">
      <c r="A56" s="49"/>
      <c r="B56" s="75" t="s">
        <v>88</v>
      </c>
      <c r="C56" s="41">
        <v>30</v>
      </c>
      <c r="D56" s="69" t="s">
        <v>89</v>
      </c>
      <c r="E56" s="70" t="s">
        <v>90</v>
      </c>
      <c r="F56" s="55"/>
      <c r="G56" s="73"/>
      <c r="H56" s="74"/>
      <c r="I56" s="73"/>
      <c r="J56" s="72"/>
      <c r="K56" s="55"/>
      <c r="L56" s="55"/>
      <c r="M56" s="55"/>
      <c r="N56" s="55"/>
      <c r="O56" s="55"/>
      <c r="P56" s="56"/>
      <c r="Q56" s="51"/>
    </row>
    <row r="57" spans="1:17" ht="12.95">
      <c r="A57" s="49"/>
      <c r="B57" s="71" t="s">
        <v>91</v>
      </c>
      <c r="C57" s="42">
        <f>IF((C56=0), "floating", 3*R_7/C56)</f>
        <v>10000</v>
      </c>
      <c r="D57" s="69" t="s">
        <v>29</v>
      </c>
      <c r="E57" s="70" t="s">
        <v>92</v>
      </c>
      <c r="F57" s="55"/>
      <c r="G57" s="73"/>
      <c r="H57" s="74"/>
      <c r="I57" s="73"/>
      <c r="J57" s="72"/>
      <c r="K57" s="55"/>
      <c r="L57" s="55"/>
      <c r="M57" s="55"/>
      <c r="N57" s="55"/>
      <c r="O57" s="55"/>
      <c r="P57" s="56"/>
      <c r="Q57" s="51"/>
    </row>
    <row r="58" spans="1:17">
      <c r="A58" s="49"/>
      <c r="B58" s="68" t="s">
        <v>93</v>
      </c>
      <c r="C58" s="30">
        <v>0.1</v>
      </c>
      <c r="D58" s="69" t="s">
        <v>94</v>
      </c>
      <c r="E58" s="70" t="s">
        <v>95</v>
      </c>
      <c r="F58" s="55"/>
      <c r="G58" s="55"/>
      <c r="H58" s="55"/>
      <c r="I58" s="55"/>
      <c r="J58" s="55"/>
      <c r="K58" s="55"/>
      <c r="L58" s="55"/>
      <c r="M58" s="55"/>
      <c r="N58" s="55"/>
      <c r="O58" s="55"/>
      <c r="P58" s="56"/>
      <c r="Q58" s="51"/>
    </row>
    <row r="59" spans="1:17">
      <c r="A59" s="49"/>
      <c r="B59" s="68" t="s">
        <v>96</v>
      </c>
      <c r="C59" s="43">
        <v>2.5</v>
      </c>
      <c r="D59" s="69" t="s">
        <v>97</v>
      </c>
      <c r="E59" s="70" t="s">
        <v>98</v>
      </c>
      <c r="F59" s="55"/>
      <c r="G59" s="55"/>
      <c r="H59" s="55"/>
      <c r="I59" s="55"/>
      <c r="J59" s="55"/>
      <c r="K59" s="55"/>
      <c r="L59" s="55"/>
      <c r="M59" s="55"/>
      <c r="N59" s="55"/>
      <c r="O59" s="55"/>
      <c r="P59" s="56"/>
      <c r="Q59" s="51"/>
    </row>
    <row r="60" spans="1:17">
      <c r="A60" s="49"/>
      <c r="B60" s="68" t="s">
        <v>99</v>
      </c>
      <c r="C60" s="41" t="s">
        <v>100</v>
      </c>
      <c r="D60" s="69"/>
      <c r="E60" s="70" t="s">
        <v>101</v>
      </c>
      <c r="F60" s="55"/>
      <c r="G60" s="55"/>
      <c r="H60" s="55"/>
      <c r="I60" s="55"/>
      <c r="J60" s="55"/>
      <c r="K60" s="55"/>
      <c r="L60" s="55"/>
      <c r="M60" s="55"/>
      <c r="N60" s="55"/>
      <c r="O60" s="55"/>
      <c r="P60" s="56"/>
      <c r="Q60" s="51"/>
    </row>
    <row r="61" spans="1:17">
      <c r="A61" s="49"/>
      <c r="B61" s="68" t="s">
        <v>102</v>
      </c>
      <c r="C61" s="41" t="s">
        <v>100</v>
      </c>
      <c r="D61" s="69"/>
      <c r="E61" s="70" t="s">
        <v>103</v>
      </c>
      <c r="F61" s="55"/>
      <c r="G61" s="55"/>
      <c r="H61" s="55"/>
      <c r="I61" s="55"/>
      <c r="J61" s="55"/>
      <c r="K61" s="55"/>
      <c r="L61" s="55"/>
      <c r="M61" s="55"/>
      <c r="N61" s="55"/>
      <c r="O61" s="55"/>
      <c r="P61" s="56"/>
      <c r="Q61" s="51"/>
    </row>
    <row r="62" spans="1:17">
      <c r="A62" s="49"/>
      <c r="B62" s="68" t="s">
        <v>104</v>
      </c>
      <c r="C62" s="41" t="s">
        <v>100</v>
      </c>
      <c r="D62" s="69"/>
      <c r="E62" s="70" t="s">
        <v>105</v>
      </c>
      <c r="F62" s="55"/>
      <c r="G62" s="55"/>
      <c r="H62" s="55"/>
      <c r="I62" s="55"/>
      <c r="J62" s="55"/>
      <c r="K62" s="55"/>
      <c r="L62" s="55"/>
      <c r="M62" s="55"/>
      <c r="N62" s="55"/>
      <c r="O62" s="55"/>
      <c r="P62" s="56"/>
      <c r="Q62" s="51"/>
    </row>
    <row r="63" spans="1:17" ht="12.95">
      <c r="A63" s="49"/>
      <c r="B63" s="114" t="s">
        <v>106</v>
      </c>
      <c r="C63" s="112"/>
      <c r="D63" s="112"/>
      <c r="E63" s="112"/>
      <c r="F63" s="55"/>
      <c r="G63" s="55"/>
      <c r="H63" s="55"/>
      <c r="I63" s="55"/>
      <c r="J63" s="55"/>
      <c r="K63" s="55"/>
      <c r="L63" s="55"/>
      <c r="M63" s="55"/>
      <c r="N63" s="55"/>
      <c r="O63" s="55"/>
      <c r="P63" s="56"/>
      <c r="Q63" s="51"/>
    </row>
    <row r="64" spans="1:17" ht="12.95">
      <c r="A64" s="49"/>
      <c r="B64" s="68" t="s">
        <v>107</v>
      </c>
      <c r="C64" s="23">
        <v>9</v>
      </c>
      <c r="D64" s="69" t="s">
        <v>13</v>
      </c>
      <c r="E64" s="106" t="s">
        <v>108</v>
      </c>
      <c r="F64" s="111" t="s">
        <v>109</v>
      </c>
      <c r="G64" s="112"/>
      <c r="H64" s="112"/>
      <c r="I64" s="112"/>
      <c r="J64" s="112"/>
      <c r="K64" s="112"/>
      <c r="L64" s="112"/>
      <c r="M64" s="112"/>
      <c r="N64" s="112"/>
      <c r="O64" s="112"/>
      <c r="P64" s="113"/>
      <c r="Q64" s="51"/>
    </row>
    <row r="65" spans="1:17" ht="12.75">
      <c r="A65" s="49"/>
      <c r="B65" s="68" t="s">
        <v>17</v>
      </c>
      <c r="C65" s="105">
        <v>12</v>
      </c>
      <c r="D65" s="69" t="s">
        <v>13</v>
      </c>
      <c r="E65" s="107"/>
      <c r="F65" s="55"/>
      <c r="G65" s="55"/>
      <c r="H65" s="55"/>
      <c r="I65" s="55"/>
      <c r="J65" s="55"/>
      <c r="K65" s="55"/>
      <c r="L65" s="55"/>
      <c r="M65" s="55"/>
      <c r="N65" s="55"/>
      <c r="O65" s="55"/>
      <c r="P65" s="56"/>
      <c r="Q65" s="51"/>
    </row>
    <row r="66" spans="1:17">
      <c r="A66" s="49"/>
      <c r="B66" s="68" t="s">
        <v>110</v>
      </c>
      <c r="C66" s="31" t="str">
        <f>IF((Vin_LP &gt; Vout_LP),"Buck","Boost")</f>
        <v>Boost</v>
      </c>
      <c r="D66" s="69"/>
      <c r="E66" s="70" t="s">
        <v>111</v>
      </c>
      <c r="F66" s="55"/>
      <c r="G66" s="55"/>
      <c r="H66" s="55"/>
      <c r="I66" s="55"/>
      <c r="J66" s="55"/>
      <c r="K66" s="55"/>
      <c r="L66" s="55"/>
      <c r="M66" s="55"/>
      <c r="N66" s="55"/>
      <c r="O66" s="55"/>
      <c r="P66" s="56"/>
      <c r="Q66" s="51"/>
    </row>
    <row r="67" spans="1:17" ht="12.75" customHeight="1">
      <c r="A67" s="76"/>
      <c r="B67" s="68" t="s">
        <v>112</v>
      </c>
      <c r="C67" s="44">
        <f>17+Ioutmax/2.5</f>
        <v>19.399999999999999</v>
      </c>
      <c r="D67" s="69" t="s">
        <v>113</v>
      </c>
      <c r="E67" s="70" t="s">
        <v>114</v>
      </c>
      <c r="F67" s="55"/>
      <c r="G67" s="55"/>
      <c r="H67" s="55"/>
      <c r="I67" s="55"/>
      <c r="J67" s="55"/>
      <c r="K67" s="55"/>
      <c r="L67" s="55"/>
      <c r="M67" s="55"/>
      <c r="N67" s="55"/>
      <c r="O67" s="55"/>
      <c r="P67" s="56"/>
      <c r="Q67" s="51"/>
    </row>
    <row r="68" spans="1:17" ht="12.75" customHeight="1">
      <c r="A68" s="76"/>
      <c r="B68" s="68" t="s">
        <v>115</v>
      </c>
      <c r="C68" s="31">
        <f>IF((Op_mode="Buck"), Ioutmax/2/PI()/Vout_LP/(Cout_c+Cout_e), Ioutmax/PI()/Vout_LP/(Cout_c+Cout_e))</f>
        <v>846.56884623348583</v>
      </c>
      <c r="D68" s="69" t="s">
        <v>47</v>
      </c>
      <c r="E68" s="70" t="s">
        <v>116</v>
      </c>
      <c r="F68" s="55"/>
      <c r="G68" s="55"/>
      <c r="H68" s="55"/>
      <c r="I68" s="55"/>
      <c r="J68" s="55"/>
      <c r="K68" s="55"/>
      <c r="L68" s="55"/>
      <c r="M68" s="55"/>
      <c r="N68" s="55"/>
      <c r="O68" s="55"/>
      <c r="P68" s="56"/>
      <c r="Q68" s="51"/>
    </row>
    <row r="69" spans="1:17" ht="12.75" customHeight="1">
      <c r="A69" s="76"/>
      <c r="B69" s="68" t="s">
        <v>117</v>
      </c>
      <c r="C69" s="31">
        <f>IF(Op_mode="Boost", Vout_LP*(eff*Vin_LP/Vout_LP)^2/2/PI()/L/Ioutmax, "No RPHZ")</f>
        <v>30083.481553492846</v>
      </c>
      <c r="D69" s="69" t="s">
        <v>47</v>
      </c>
      <c r="E69" s="70" t="s">
        <v>118</v>
      </c>
      <c r="F69" s="55"/>
      <c r="G69" s="55"/>
      <c r="H69" s="55"/>
      <c r="I69" s="55"/>
      <c r="J69" s="55"/>
      <c r="K69" s="55"/>
      <c r="L69" s="55"/>
      <c r="M69" s="55"/>
      <c r="N69" s="55"/>
      <c r="O69" s="55"/>
      <c r="P69" s="56"/>
      <c r="Q69" s="51"/>
    </row>
    <row r="70" spans="1:17" ht="12.75" customHeight="1">
      <c r="A70" s="76"/>
      <c r="B70" s="68" t="s">
        <v>119</v>
      </c>
      <c r="C70" s="31">
        <f>1/2/PI()/Cout_e/ESR</f>
        <v>58946.275219220501</v>
      </c>
      <c r="D70" s="69" t="s">
        <v>47</v>
      </c>
      <c r="E70" s="70" t="s">
        <v>120</v>
      </c>
      <c r="F70" s="55"/>
      <c r="G70" s="55"/>
      <c r="H70" s="55"/>
      <c r="I70" s="55"/>
      <c r="J70" s="55"/>
      <c r="K70" s="55"/>
      <c r="L70" s="55"/>
      <c r="M70" s="55"/>
      <c r="N70" s="55"/>
      <c r="O70" s="55"/>
      <c r="P70" s="56"/>
      <c r="Q70" s="51"/>
    </row>
    <row r="71" spans="1:17" ht="12.75" customHeight="1">
      <c r="A71" s="76"/>
      <c r="B71" s="68" t="s">
        <v>121</v>
      </c>
      <c r="C71" s="22">
        <v>5000</v>
      </c>
      <c r="D71" s="69" t="s">
        <v>47</v>
      </c>
      <c r="E71" s="70" t="s">
        <v>122</v>
      </c>
      <c r="F71" s="55"/>
      <c r="G71" s="55"/>
      <c r="H71" s="55"/>
      <c r="I71" s="55"/>
      <c r="J71" s="55"/>
      <c r="K71" s="55"/>
      <c r="L71" s="55"/>
      <c r="M71" s="55"/>
      <c r="N71" s="55"/>
      <c r="O71" s="55"/>
      <c r="P71" s="56"/>
      <c r="Q71" s="51"/>
    </row>
    <row r="72" spans="1:17" ht="12.75" customHeight="1">
      <c r="A72" s="76"/>
      <c r="B72" s="68" t="s">
        <v>123</v>
      </c>
      <c r="C72" s="77">
        <v>1.9000000000000001E-4</v>
      </c>
      <c r="D72" s="69" t="s">
        <v>113</v>
      </c>
      <c r="E72" s="70" t="s">
        <v>124</v>
      </c>
      <c r="F72" s="55"/>
      <c r="G72" s="55"/>
      <c r="H72" s="55"/>
      <c r="I72" s="55"/>
      <c r="J72" s="55"/>
      <c r="K72" s="55"/>
      <c r="L72" s="55"/>
      <c r="M72" s="55"/>
      <c r="N72" s="55"/>
      <c r="O72" s="55"/>
      <c r="P72" s="56"/>
      <c r="Q72" s="51"/>
    </row>
    <row r="73" spans="1:17" ht="12.75" customHeight="1">
      <c r="A73" s="76"/>
      <c r="B73" s="71" t="s">
        <v>125</v>
      </c>
      <c r="C73" s="25">
        <f>IF(Op_mode="Boost", 2*PI()*fco*(Cout_c+Cout_e)*Vout/1.2/gm_PS/(eff*Vin_LP/Vout_LP)/gm_EA, 2*PI()*fco*(Cout_c+Cout_e)*Vout/1.2/gm_PS/gm_EA)</f>
        <v>22025.176300961608</v>
      </c>
      <c r="D73" s="69" t="s">
        <v>32</v>
      </c>
      <c r="E73" s="69"/>
      <c r="F73" s="55"/>
      <c r="G73" s="55"/>
      <c r="H73" s="55"/>
      <c r="I73" s="55"/>
      <c r="J73" s="55"/>
      <c r="K73" s="55"/>
      <c r="L73" s="55"/>
      <c r="M73" s="55"/>
      <c r="N73" s="55"/>
      <c r="O73" s="55"/>
      <c r="P73" s="56"/>
      <c r="Q73" s="51"/>
    </row>
    <row r="74" spans="1:17">
      <c r="A74" s="76"/>
      <c r="B74" s="68" t="s">
        <v>126</v>
      </c>
      <c r="C74" s="22">
        <v>36000</v>
      </c>
      <c r="D74" s="69" t="s">
        <v>32</v>
      </c>
      <c r="E74" s="69" t="s">
        <v>127</v>
      </c>
      <c r="F74" s="55"/>
      <c r="G74" s="55"/>
      <c r="H74" s="55"/>
      <c r="I74" s="55"/>
      <c r="J74" s="55"/>
      <c r="K74" s="55"/>
      <c r="L74" s="55"/>
      <c r="M74" s="55"/>
      <c r="N74" s="55"/>
      <c r="O74" s="55"/>
      <c r="P74" s="56"/>
      <c r="Q74" s="51"/>
    </row>
    <row r="75" spans="1:17" ht="12.95">
      <c r="A75" s="76"/>
      <c r="B75" s="71" t="s">
        <v>128</v>
      </c>
      <c r="C75" s="39">
        <f>1/(2*PI()*(fco/10)*(Rcomp+2000))</f>
        <v>8.3765759522050178E-9</v>
      </c>
      <c r="D75" s="69" t="s">
        <v>54</v>
      </c>
      <c r="E75" s="69" t="s">
        <v>129</v>
      </c>
      <c r="F75" s="55"/>
      <c r="G75" s="55"/>
      <c r="H75" s="55"/>
      <c r="I75" s="55"/>
      <c r="J75" s="55"/>
      <c r="K75" s="55"/>
      <c r="L75" s="55"/>
      <c r="M75" s="55"/>
      <c r="N75" s="55"/>
      <c r="O75" s="55"/>
      <c r="P75" s="56"/>
      <c r="Q75" s="51"/>
    </row>
    <row r="76" spans="1:17">
      <c r="A76" s="76"/>
      <c r="B76" s="68" t="s">
        <v>130</v>
      </c>
      <c r="C76" s="40">
        <v>1E-8</v>
      </c>
      <c r="D76" s="69" t="s">
        <v>54</v>
      </c>
      <c r="E76" s="69"/>
      <c r="F76" s="55"/>
      <c r="G76" s="55"/>
      <c r="H76" s="55"/>
      <c r="I76" s="55"/>
      <c r="J76" s="55"/>
      <c r="K76" s="55"/>
      <c r="L76" s="55"/>
      <c r="M76" s="55"/>
      <c r="N76" s="55"/>
      <c r="O76" s="55"/>
      <c r="P76" s="56"/>
      <c r="Q76" s="51"/>
    </row>
    <row r="77" spans="1:17">
      <c r="A77" s="76"/>
      <c r="B77" s="68" t="s">
        <v>131</v>
      </c>
      <c r="C77" s="25">
        <f>1/2/PI()/(Rcomp+2000)/Ccomp</f>
        <v>418.82879761025094</v>
      </c>
      <c r="D77" s="69" t="s">
        <v>47</v>
      </c>
      <c r="E77" s="69" t="s">
        <v>132</v>
      </c>
      <c r="F77" s="55"/>
      <c r="G77" s="55"/>
      <c r="H77" s="55"/>
      <c r="I77" s="55"/>
      <c r="J77" s="55"/>
      <c r="K77" s="55"/>
      <c r="L77" s="55"/>
      <c r="M77" s="55"/>
      <c r="N77" s="55"/>
      <c r="O77" s="55"/>
      <c r="P77" s="56"/>
      <c r="Q77" s="51"/>
    </row>
    <row r="78" spans="1:17" ht="25.5">
      <c r="A78" s="76"/>
      <c r="B78" s="71" t="s">
        <v>133</v>
      </c>
      <c r="C78" s="45">
        <f>Ccomp*(IF(fzRHP&gt;fz_ESR, (Cout_e*ESR/Rcomp)/(Ccomp-Cout_e*ESR/Rcomp), (1/2/PI()/fzRHP/Rcomp)/(Ccomp-1/2/PI()/fzRHP/Rcomp)))</f>
        <v>1.4914858794906037E-10</v>
      </c>
      <c r="D78" s="69" t="s">
        <v>54</v>
      </c>
      <c r="E78" s="70" t="s">
        <v>134</v>
      </c>
      <c r="F78" s="55"/>
      <c r="G78" s="55"/>
      <c r="H78" s="55"/>
      <c r="I78" s="55"/>
      <c r="J78" s="55"/>
      <c r="K78" s="55"/>
      <c r="L78" s="55"/>
      <c r="M78" s="55"/>
      <c r="N78" s="55"/>
      <c r="O78" s="55"/>
      <c r="P78" s="56"/>
      <c r="Q78" s="51"/>
    </row>
    <row r="79" spans="1:17">
      <c r="A79" s="76"/>
      <c r="B79" s="78" t="s">
        <v>135</v>
      </c>
      <c r="C79" s="46">
        <v>1.2000000000000001E-11</v>
      </c>
      <c r="D79" s="79" t="s">
        <v>54</v>
      </c>
      <c r="E79" s="79"/>
      <c r="F79" s="72"/>
      <c r="G79" s="55"/>
      <c r="H79" s="55"/>
      <c r="I79" s="55"/>
      <c r="J79" s="55"/>
      <c r="K79" s="55"/>
      <c r="L79" s="55"/>
      <c r="M79" s="55"/>
      <c r="N79" s="55"/>
      <c r="O79" s="55"/>
      <c r="P79" s="56"/>
      <c r="Q79" s="51"/>
    </row>
    <row r="80" spans="1:17">
      <c r="A80" s="76"/>
      <c r="B80" s="78" t="s">
        <v>136</v>
      </c>
      <c r="C80" s="26">
        <f>1/2/PI()/(Rcomp+2000)/(Ccomp*(Cp+0.000000000003)/(Ccomp+Cp+0.000000000003))</f>
        <v>279638.02720444422</v>
      </c>
      <c r="D80" s="79" t="s">
        <v>47</v>
      </c>
      <c r="E80" s="79" t="s">
        <v>137</v>
      </c>
      <c r="F80" s="55"/>
      <c r="G80" s="55"/>
      <c r="H80" s="55"/>
      <c r="I80" s="55"/>
      <c r="J80" s="55"/>
      <c r="K80" s="55"/>
      <c r="L80" s="55"/>
      <c r="M80" s="55"/>
      <c r="N80" s="55"/>
      <c r="O80" s="55"/>
      <c r="P80" s="56"/>
      <c r="Q80" s="51"/>
    </row>
    <row r="81" spans="1:17" ht="12.95">
      <c r="A81" s="76"/>
      <c r="B81" s="110" t="s">
        <v>138</v>
      </c>
      <c r="C81" s="108"/>
      <c r="D81" s="108"/>
      <c r="E81" s="108"/>
      <c r="F81" s="55"/>
      <c r="G81" s="55"/>
      <c r="H81" s="55"/>
      <c r="I81" s="55"/>
      <c r="J81" s="55"/>
      <c r="K81" s="55"/>
      <c r="L81" s="55"/>
      <c r="M81" s="55"/>
      <c r="N81" s="55"/>
      <c r="O81" s="55"/>
      <c r="P81" s="56"/>
      <c r="Q81" s="51"/>
    </row>
    <row r="82" spans="1:17">
      <c r="A82" s="76"/>
      <c r="B82" s="68" t="s">
        <v>107</v>
      </c>
      <c r="C82" s="23">
        <v>9</v>
      </c>
      <c r="D82" s="80" t="s">
        <v>13</v>
      </c>
      <c r="E82" s="80" t="s">
        <v>139</v>
      </c>
      <c r="F82" s="55"/>
      <c r="G82" s="55"/>
      <c r="H82" s="55"/>
      <c r="I82" s="55"/>
      <c r="J82" s="55"/>
      <c r="K82" s="55"/>
      <c r="L82" s="55"/>
      <c r="M82" s="55"/>
      <c r="N82" s="55"/>
      <c r="O82" s="55"/>
      <c r="P82" s="56"/>
      <c r="Q82" s="51"/>
    </row>
    <row r="83" spans="1:17">
      <c r="A83" s="76"/>
      <c r="B83" s="68" t="s">
        <v>140</v>
      </c>
      <c r="C83" s="47">
        <f>IF(Vin_eff&lt;Vout, ((Ioutmax/(Vin_eff/Vout)/eff)^2+1/12*(Vin_eff/L*(1-Vin_eff/Vout)/fsw)^2)^0.5, ((Ioutmax^2+1/12*(Vout/L*(1-Vout/Vin_eff)/fsw)^2)^0.5))</f>
        <v>8.2525183981105634</v>
      </c>
      <c r="D83" s="69" t="s">
        <v>20</v>
      </c>
      <c r="E83" s="70" t="s">
        <v>141</v>
      </c>
      <c r="F83" s="55"/>
      <c r="G83" s="55"/>
      <c r="H83" s="55"/>
      <c r="I83" s="55"/>
      <c r="J83" s="55"/>
      <c r="K83" s="55"/>
      <c r="L83" s="55"/>
      <c r="M83" s="55"/>
      <c r="N83" s="55"/>
      <c r="O83" s="55"/>
      <c r="P83" s="56"/>
      <c r="Q83" s="51"/>
    </row>
    <row r="84" spans="1:17">
      <c r="A84" s="76"/>
      <c r="B84" s="68" t="s">
        <v>142</v>
      </c>
      <c r="C84" s="47">
        <f>IF(Vin_eff&lt;Vout, (Ioutmax/(Vin_eff/Vout)/eff+(1/2*Vin_eff/L*(1-Vin_eff/Vout)/fsw)), Ioutmax+1/2*(Vout*(1-Vout/Vin_eff)/L/fsw))</f>
        <v>8.7496548232695144</v>
      </c>
      <c r="D84" s="69" t="s">
        <v>20</v>
      </c>
      <c r="E84" s="70" t="s">
        <v>143</v>
      </c>
      <c r="F84" s="55"/>
      <c r="G84" s="55"/>
      <c r="H84" s="55"/>
      <c r="I84" s="55"/>
      <c r="J84" s="55"/>
      <c r="K84" s="55"/>
      <c r="L84" s="55"/>
      <c r="M84" s="55"/>
      <c r="N84" s="55"/>
      <c r="O84" s="55"/>
      <c r="P84" s="56"/>
      <c r="Q84" s="51"/>
    </row>
    <row r="85" spans="1:17">
      <c r="A85" s="76"/>
      <c r="B85" s="68" t="s">
        <v>144</v>
      </c>
      <c r="C85" s="47">
        <f>IF(Vin_eff&lt;Vout, (Ioutmax/(Vin_eff/Vout)/eff-(1/2*Vin_eff/L*(1-Vin_eff/Vout)/fsw)),Ioutmax-1/2*(Vout*(1-Vout/Vin_eff)/L/fsw))</f>
        <v>7.7451905375552288</v>
      </c>
      <c r="D85" s="69" t="s">
        <v>20</v>
      </c>
      <c r="E85" s="70" t="s">
        <v>145</v>
      </c>
      <c r="F85" s="55"/>
      <c r="G85" s="55"/>
      <c r="H85" s="55"/>
      <c r="I85" s="55"/>
      <c r="J85" s="55"/>
      <c r="K85" s="55"/>
      <c r="L85" s="55"/>
      <c r="M85" s="55"/>
      <c r="N85" s="55"/>
      <c r="O85" s="55"/>
      <c r="P85" s="56"/>
      <c r="Q85" s="51"/>
    </row>
    <row r="86" spans="1:17">
      <c r="A86" s="76"/>
      <c r="B86" s="68" t="s">
        <v>146</v>
      </c>
      <c r="C86" s="29">
        <v>6.3E-3</v>
      </c>
      <c r="D86" s="69" t="s">
        <v>32</v>
      </c>
      <c r="E86" s="70" t="s">
        <v>147</v>
      </c>
      <c r="F86" s="55"/>
      <c r="G86" s="55"/>
      <c r="H86" s="55"/>
      <c r="I86" s="55"/>
      <c r="J86" s="55"/>
      <c r="K86" s="55"/>
      <c r="L86" s="55"/>
      <c r="M86" s="55"/>
      <c r="N86" s="55"/>
      <c r="O86" s="55"/>
      <c r="P86" s="56"/>
      <c r="Q86" s="51"/>
    </row>
    <row r="87" spans="1:17">
      <c r="A87" s="49"/>
      <c r="B87" s="68" t="s">
        <v>148</v>
      </c>
      <c r="C87" s="29">
        <v>1.4E-2</v>
      </c>
      <c r="D87" s="69" t="s">
        <v>32</v>
      </c>
      <c r="E87" s="70" t="s">
        <v>149</v>
      </c>
      <c r="F87" s="55"/>
      <c r="G87" s="55"/>
      <c r="H87" s="55"/>
      <c r="I87" s="55"/>
      <c r="J87" s="55"/>
      <c r="K87" s="55"/>
      <c r="L87" s="55"/>
      <c r="M87" s="55"/>
      <c r="N87" s="55"/>
      <c r="O87" s="55"/>
      <c r="P87" s="56"/>
      <c r="Q87" s="51"/>
    </row>
    <row r="88" spans="1:17">
      <c r="A88" s="49"/>
      <c r="B88" s="68" t="s">
        <v>150</v>
      </c>
      <c r="C88" s="40">
        <v>1.6000000000000001E-8</v>
      </c>
      <c r="D88" s="69" t="s">
        <v>151</v>
      </c>
      <c r="E88" s="70" t="s">
        <v>152</v>
      </c>
      <c r="F88" s="55"/>
      <c r="G88" s="73"/>
      <c r="H88" s="74"/>
      <c r="I88" s="73"/>
      <c r="J88" s="72"/>
      <c r="K88" s="55"/>
      <c r="L88" s="55"/>
      <c r="M88" s="55"/>
      <c r="N88" s="55"/>
      <c r="O88" s="55"/>
      <c r="P88" s="56"/>
      <c r="Q88" s="51"/>
    </row>
    <row r="89" spans="1:17">
      <c r="A89" s="49"/>
      <c r="B89" s="68" t="s">
        <v>153</v>
      </c>
      <c r="C89" s="40">
        <v>2.3800000000000001E-10</v>
      </c>
      <c r="D89" s="69" t="s">
        <v>54</v>
      </c>
      <c r="E89" s="70" t="s">
        <v>154</v>
      </c>
      <c r="F89" s="55"/>
      <c r="G89" s="73"/>
      <c r="H89" s="74"/>
      <c r="I89" s="73"/>
      <c r="J89" s="72"/>
      <c r="K89" s="55"/>
      <c r="L89" s="55"/>
      <c r="M89" s="55"/>
      <c r="N89" s="55"/>
      <c r="O89" s="55"/>
      <c r="P89" s="56"/>
      <c r="Q89" s="51"/>
    </row>
    <row r="90" spans="1:17">
      <c r="A90" s="49"/>
      <c r="B90" s="68" t="s">
        <v>155</v>
      </c>
      <c r="C90" s="40">
        <v>8.9999999999999995E-9</v>
      </c>
      <c r="D90" s="69" t="s">
        <v>156</v>
      </c>
      <c r="E90" s="70" t="s">
        <v>157</v>
      </c>
      <c r="F90" s="55"/>
      <c r="G90" s="73"/>
      <c r="H90" s="74"/>
      <c r="I90" s="73"/>
      <c r="J90" s="72"/>
      <c r="K90" s="55"/>
      <c r="L90" s="55"/>
      <c r="M90" s="55"/>
      <c r="N90" s="55"/>
      <c r="O90" s="55"/>
      <c r="P90" s="56"/>
      <c r="Q90" s="51"/>
    </row>
    <row r="91" spans="1:17">
      <c r="A91" s="49"/>
      <c r="B91" s="68" t="s">
        <v>158</v>
      </c>
      <c r="C91" s="40">
        <v>8.9999999999999995E-9</v>
      </c>
      <c r="D91" s="69" t="s">
        <v>156</v>
      </c>
      <c r="E91" s="70" t="s">
        <v>159</v>
      </c>
      <c r="F91" s="55"/>
      <c r="G91" s="81"/>
      <c r="H91" s="55"/>
      <c r="I91" s="55"/>
      <c r="J91" s="55"/>
      <c r="K91" s="55"/>
      <c r="L91" s="55"/>
      <c r="M91" s="55"/>
      <c r="N91" s="55"/>
      <c r="O91" s="55"/>
      <c r="P91" s="56"/>
      <c r="Q91" s="51"/>
    </row>
    <row r="92" spans="1:17">
      <c r="A92" s="49"/>
      <c r="B92" s="68" t="s">
        <v>160</v>
      </c>
      <c r="C92" s="29">
        <v>1.4E-2</v>
      </c>
      <c r="D92" s="69" t="s">
        <v>32</v>
      </c>
      <c r="E92" s="70" t="s">
        <v>149</v>
      </c>
      <c r="F92" s="55"/>
      <c r="G92" s="55"/>
      <c r="H92" s="55"/>
      <c r="I92" s="55"/>
      <c r="J92" s="55"/>
      <c r="K92" s="55"/>
      <c r="L92" s="55"/>
      <c r="M92" s="55"/>
      <c r="N92" s="55"/>
      <c r="O92" s="55"/>
      <c r="P92" s="56"/>
      <c r="Q92" s="51"/>
    </row>
    <row r="93" spans="1:17">
      <c r="A93" s="49"/>
      <c r="B93" s="68" t="s">
        <v>161</v>
      </c>
      <c r="C93" s="40">
        <v>1.6000000000000001E-8</v>
      </c>
      <c r="D93" s="69" t="s">
        <v>151</v>
      </c>
      <c r="E93" s="70" t="s">
        <v>152</v>
      </c>
      <c r="F93" s="55"/>
      <c r="G93" s="55"/>
      <c r="H93" s="55"/>
      <c r="I93" s="55"/>
      <c r="J93" s="55"/>
      <c r="K93" s="55"/>
      <c r="L93" s="55"/>
      <c r="M93" s="55"/>
      <c r="N93" s="55"/>
      <c r="O93" s="55"/>
      <c r="P93" s="56"/>
      <c r="Q93" s="51"/>
    </row>
    <row r="94" spans="1:17">
      <c r="A94" s="49"/>
      <c r="B94" s="68" t="s">
        <v>162</v>
      </c>
      <c r="C94" s="40">
        <v>1.6E-11</v>
      </c>
      <c r="D94" s="69" t="s">
        <v>151</v>
      </c>
      <c r="E94" s="70" t="s">
        <v>163</v>
      </c>
      <c r="F94" s="55"/>
      <c r="G94" s="55"/>
      <c r="H94" s="55"/>
      <c r="I94" s="55"/>
      <c r="J94" s="55"/>
      <c r="K94" s="55"/>
      <c r="L94" s="55"/>
      <c r="M94" s="55"/>
      <c r="N94" s="55"/>
      <c r="O94" s="55"/>
      <c r="P94" s="56"/>
      <c r="Q94" s="51"/>
    </row>
    <row r="95" spans="1:17">
      <c r="A95" s="49"/>
      <c r="B95" s="68" t="s">
        <v>164</v>
      </c>
      <c r="C95" s="77">
        <v>1E-8</v>
      </c>
      <c r="D95" s="69" t="s">
        <v>156</v>
      </c>
      <c r="E95" s="70" t="s">
        <v>165</v>
      </c>
      <c r="F95" s="55"/>
      <c r="G95" s="55"/>
      <c r="H95" s="55"/>
      <c r="I95" s="55"/>
      <c r="J95" s="55"/>
      <c r="K95" s="55"/>
      <c r="L95" s="55"/>
      <c r="M95" s="55"/>
      <c r="N95" s="55"/>
      <c r="O95" s="55"/>
      <c r="P95" s="56"/>
      <c r="Q95" s="51"/>
    </row>
    <row r="96" spans="1:17">
      <c r="A96" s="49"/>
      <c r="B96" s="68" t="s">
        <v>166</v>
      </c>
      <c r="C96" s="23">
        <v>1.1000000000000001</v>
      </c>
      <c r="D96" s="69" t="s">
        <v>13</v>
      </c>
      <c r="E96" s="70" t="s">
        <v>167</v>
      </c>
      <c r="F96" s="55"/>
      <c r="G96" s="55"/>
      <c r="H96" s="55"/>
      <c r="I96" s="55"/>
      <c r="J96" s="55"/>
      <c r="K96" s="55"/>
      <c r="L96" s="55"/>
      <c r="M96" s="55"/>
      <c r="N96" s="55"/>
      <c r="O96" s="55"/>
      <c r="P96" s="56"/>
      <c r="Q96" s="51"/>
    </row>
    <row r="97" spans="1:17" ht="24.95">
      <c r="A97" s="49"/>
      <c r="B97" s="68" t="s">
        <v>168</v>
      </c>
      <c r="C97" s="29">
        <v>8.1600000000000006E-3</v>
      </c>
      <c r="D97" s="69" t="s">
        <v>32</v>
      </c>
      <c r="E97" s="70" t="s">
        <v>169</v>
      </c>
      <c r="F97" s="55"/>
      <c r="G97" s="55"/>
      <c r="H97" s="55"/>
      <c r="I97" s="55"/>
      <c r="J97" s="55"/>
      <c r="K97" s="55"/>
      <c r="L97" s="55"/>
      <c r="M97" s="55"/>
      <c r="N97" s="55"/>
      <c r="O97" s="55"/>
      <c r="P97" s="56"/>
      <c r="Q97" s="51"/>
    </row>
    <row r="98" spans="1:17">
      <c r="A98" s="49"/>
      <c r="B98" s="68" t="s">
        <v>170</v>
      </c>
      <c r="C98" s="77">
        <v>1.3000000000000001E-8</v>
      </c>
      <c r="D98" s="69" t="s">
        <v>156</v>
      </c>
      <c r="E98" s="70" t="s">
        <v>171</v>
      </c>
      <c r="F98" s="55"/>
      <c r="G98" s="73"/>
      <c r="H98" s="74"/>
      <c r="I98" s="73"/>
      <c r="J98" s="72"/>
      <c r="K98" s="55"/>
      <c r="L98" s="55"/>
      <c r="M98" s="55"/>
      <c r="N98" s="55"/>
      <c r="O98" s="55"/>
      <c r="P98" s="56"/>
      <c r="Q98" s="51"/>
    </row>
    <row r="99" spans="1:17">
      <c r="A99" s="49"/>
      <c r="B99" s="68" t="s">
        <v>172</v>
      </c>
      <c r="C99" s="77">
        <v>1.3000000000000001E-8</v>
      </c>
      <c r="D99" s="69" t="s">
        <v>156</v>
      </c>
      <c r="E99" s="70" t="s">
        <v>173</v>
      </c>
      <c r="F99" s="55"/>
      <c r="G99" s="81"/>
      <c r="H99" s="55"/>
      <c r="I99" s="55"/>
      <c r="J99" s="55"/>
      <c r="K99" s="55"/>
      <c r="L99" s="55"/>
      <c r="M99" s="55"/>
      <c r="N99" s="55"/>
      <c r="O99" s="55"/>
      <c r="P99" s="56"/>
      <c r="Q99" s="51"/>
    </row>
    <row r="100" spans="1:17" ht="24.95">
      <c r="A100" s="49"/>
      <c r="B100" s="68" t="s">
        <v>174</v>
      </c>
      <c r="C100" s="29">
        <v>8.7299999999999999E-3</v>
      </c>
      <c r="D100" s="69" t="s">
        <v>32</v>
      </c>
      <c r="E100" s="70" t="s">
        <v>175</v>
      </c>
      <c r="F100" s="55"/>
      <c r="G100" s="55"/>
      <c r="H100" s="55"/>
      <c r="I100" s="55"/>
      <c r="J100" s="55"/>
      <c r="K100" s="55"/>
      <c r="L100" s="55"/>
      <c r="M100" s="55"/>
      <c r="N100" s="55"/>
      <c r="O100" s="55"/>
      <c r="P100" s="56"/>
      <c r="Q100" s="51"/>
    </row>
    <row r="101" spans="1:17">
      <c r="A101" s="49"/>
      <c r="B101" s="68" t="s">
        <v>176</v>
      </c>
      <c r="C101" s="77">
        <v>2E-8</v>
      </c>
      <c r="D101" s="69" t="s">
        <v>156</v>
      </c>
      <c r="E101" s="70" t="s">
        <v>165</v>
      </c>
      <c r="F101" s="55"/>
      <c r="G101" s="55"/>
      <c r="H101" s="55"/>
      <c r="I101" s="55"/>
      <c r="J101" s="55"/>
      <c r="K101" s="55"/>
      <c r="L101" s="55"/>
      <c r="M101" s="55"/>
      <c r="N101" s="55"/>
      <c r="O101" s="55"/>
      <c r="P101" s="56"/>
      <c r="Q101" s="51"/>
    </row>
    <row r="102" spans="1:17">
      <c r="A102" s="49"/>
      <c r="B102" s="68" t="s">
        <v>177</v>
      </c>
      <c r="C102" s="33">
        <v>1</v>
      </c>
      <c r="D102" s="69" t="s">
        <v>13</v>
      </c>
      <c r="E102" s="70" t="s">
        <v>167</v>
      </c>
      <c r="F102" s="55"/>
      <c r="G102" s="55"/>
      <c r="H102" s="55"/>
      <c r="I102" s="55"/>
      <c r="J102" s="55"/>
      <c r="K102" s="55"/>
      <c r="L102" s="55"/>
      <c r="M102" s="55"/>
      <c r="N102" s="55"/>
      <c r="O102" s="55"/>
      <c r="P102" s="56"/>
      <c r="Q102" s="51"/>
    </row>
    <row r="103" spans="1:17">
      <c r="A103" s="49"/>
      <c r="B103" s="68" t="s">
        <v>178</v>
      </c>
      <c r="C103" s="48">
        <v>0</v>
      </c>
      <c r="D103" s="69" t="s">
        <v>54</v>
      </c>
      <c r="E103" s="70" t="s">
        <v>179</v>
      </c>
      <c r="F103" s="55"/>
      <c r="G103" s="55"/>
      <c r="H103" s="55"/>
      <c r="I103" s="55"/>
      <c r="J103" s="55"/>
      <c r="K103" s="55"/>
      <c r="L103" s="55"/>
      <c r="M103" s="55"/>
      <c r="N103" s="55"/>
      <c r="O103" s="55"/>
      <c r="P103" s="56"/>
      <c r="Q103" s="51"/>
    </row>
    <row r="104" spans="1:17">
      <c r="A104" s="49"/>
      <c r="B104" s="68" t="s">
        <v>180</v>
      </c>
      <c r="C104" s="48">
        <v>0</v>
      </c>
      <c r="D104" s="69" t="s">
        <v>54</v>
      </c>
      <c r="E104" s="70" t="s">
        <v>181</v>
      </c>
      <c r="F104" s="55"/>
      <c r="G104" s="55"/>
      <c r="H104" s="55"/>
      <c r="I104" s="55"/>
      <c r="J104" s="55"/>
      <c r="K104" s="55"/>
      <c r="L104" s="55"/>
      <c r="M104" s="55"/>
      <c r="N104" s="55"/>
      <c r="O104" s="55"/>
      <c r="P104" s="56"/>
      <c r="Q104" s="51"/>
    </row>
    <row r="105" spans="1:17">
      <c r="A105" s="49"/>
      <c r="B105" s="75" t="s">
        <v>182</v>
      </c>
      <c r="C105" s="23">
        <v>2</v>
      </c>
      <c r="D105" s="69" t="s">
        <v>39</v>
      </c>
      <c r="E105" s="70" t="s">
        <v>183</v>
      </c>
      <c r="F105" s="55"/>
      <c r="G105" s="55"/>
      <c r="H105" s="55"/>
      <c r="I105" s="55"/>
      <c r="J105" s="55"/>
      <c r="K105" s="55"/>
      <c r="L105" s="55"/>
      <c r="M105" s="55"/>
      <c r="N105" s="55"/>
      <c r="O105" s="55"/>
      <c r="P105" s="56"/>
      <c r="Q105" s="51"/>
    </row>
    <row r="106" spans="1:17">
      <c r="A106" s="49"/>
      <c r="B106" s="75" t="s">
        <v>184</v>
      </c>
      <c r="C106" s="25">
        <f>Rpcb*(ILrms^2)</f>
        <v>136.20811982230668</v>
      </c>
      <c r="D106" s="69" t="s">
        <v>185</v>
      </c>
      <c r="E106" s="70" t="s">
        <v>186</v>
      </c>
      <c r="F106" s="55"/>
      <c r="G106" s="55"/>
      <c r="H106" s="55"/>
      <c r="I106" s="55"/>
      <c r="J106" s="55"/>
      <c r="K106" s="55"/>
      <c r="L106" s="55"/>
      <c r="M106" s="55"/>
      <c r="N106" s="55"/>
      <c r="O106" s="55"/>
      <c r="P106" s="56"/>
      <c r="Q106" s="51"/>
    </row>
    <row r="107" spans="1:17">
      <c r="A107" s="49"/>
      <c r="B107" s="68" t="s">
        <v>187</v>
      </c>
      <c r="C107" s="25">
        <f>(ILrms)^2*DCR*1000</f>
        <v>429.05557744026606</v>
      </c>
      <c r="D107" s="69" t="s">
        <v>185</v>
      </c>
      <c r="E107" s="70" t="s">
        <v>188</v>
      </c>
      <c r="F107" s="55"/>
      <c r="G107" s="55"/>
      <c r="H107" s="55"/>
      <c r="I107" s="55"/>
      <c r="J107" s="55"/>
      <c r="K107" s="55"/>
      <c r="L107" s="55"/>
      <c r="M107" s="55"/>
      <c r="N107" s="55"/>
      <c r="O107" s="55"/>
      <c r="P107" s="56"/>
      <c r="Q107" s="51"/>
    </row>
    <row r="108" spans="1:17" ht="37.5">
      <c r="A108" s="76"/>
      <c r="B108" s="68" t="s">
        <v>189</v>
      </c>
      <c r="C108" s="22">
        <v>344</v>
      </c>
      <c r="D108" s="69" t="s">
        <v>185</v>
      </c>
      <c r="E108" s="70" t="s">
        <v>190</v>
      </c>
      <c r="F108" s="55"/>
      <c r="G108" s="55"/>
      <c r="H108" s="55"/>
      <c r="I108" s="55"/>
      <c r="J108" s="55"/>
      <c r="K108" s="55"/>
      <c r="L108" s="55"/>
      <c r="M108" s="55"/>
      <c r="N108" s="55"/>
      <c r="O108" s="55"/>
      <c r="P108" s="56"/>
      <c r="Q108" s="51"/>
    </row>
    <row r="109" spans="1:17" ht="37.700000000000003" customHeight="1">
      <c r="A109" s="76"/>
      <c r="B109" s="75" t="s">
        <v>191</v>
      </c>
      <c r="C109" s="25">
        <f>IF(Vin_eff&lt;Vout, ((0.001+0.00000001*fsw)*IF(AND(Vout&gt;Vin_eff, Vin_eff&gt;6.2), Vin_eff, Vout)+(1-Vin_eff/Vout)*ILrms^2*BST_LS_Rdson+(Vin_eff/Vout)*ILrms^2*BST_HS_Rdson+1/2*ILpeak*(Vout+BST_HS_Vd)*BST_LS_rise_time*fsw+1/2*ILvalley*(Vout+BST_HS_Vd)*BST_LS_fall_time*fsw+1/2*0.0000000005*(Vout+BST_HS_Vd)*(Vout+BST_HS_Vd)*fsw+(ILpeak+ILvalley)*BST_HS_Vd*BST_HS_dead_time*fsw+Vout*0.000000005*fsw)*1000, ((0.001+(BUCK_HS_Qg+BUCK_LS_Qg)*fsw)*IF(AND(Vin_eff&gt;Vout, Vout&gt;6.2), Vout, Vin_eff)+BST_HS_Rdson*ILrms^2)*1000)</f>
        <v>1360.2281505695034</v>
      </c>
      <c r="D109" s="69" t="s">
        <v>185</v>
      </c>
      <c r="E109" s="70" t="s">
        <v>192</v>
      </c>
      <c r="F109" s="55"/>
      <c r="G109" s="55"/>
      <c r="H109" s="55"/>
      <c r="I109" s="55"/>
      <c r="J109" s="55"/>
      <c r="K109" s="55"/>
      <c r="L109" s="55"/>
      <c r="M109" s="55"/>
      <c r="N109" s="55"/>
      <c r="O109" s="55"/>
      <c r="P109" s="56"/>
      <c r="Q109" s="51"/>
    </row>
    <row r="110" spans="1:17">
      <c r="A110" s="76"/>
      <c r="B110" s="82" t="s">
        <v>193</v>
      </c>
      <c r="C110" s="26">
        <f>Ioutmax*Ioutmax*R_1</f>
        <v>90</v>
      </c>
      <c r="D110" s="69" t="s">
        <v>185</v>
      </c>
      <c r="E110" s="83" t="s">
        <v>194</v>
      </c>
      <c r="F110" s="55"/>
      <c r="G110" s="55"/>
      <c r="H110" s="55"/>
      <c r="I110" s="55"/>
      <c r="J110" s="55"/>
      <c r="K110" s="55"/>
      <c r="L110" s="55"/>
      <c r="M110" s="55"/>
      <c r="N110" s="55"/>
      <c r="O110" s="55"/>
      <c r="P110" s="56"/>
      <c r="Q110" s="51"/>
    </row>
    <row r="111" spans="1:17">
      <c r="A111" s="76"/>
      <c r="B111" s="82" t="s">
        <v>195</v>
      </c>
      <c r="C111" s="26">
        <f>IF(Vin_eff&lt;Vout, 2/3*C_bst_snubber*(Vout+BST_HS_Vd)*(Vout+BST_HS_Vd)*fsw*1000, 2/3*C_buck_snubber*(Vin_eff+BUCK_LS_Vd)*(Vin_eff+BUCK_LS_Vd)*fsw*1000)</f>
        <v>0</v>
      </c>
      <c r="D111" s="69" t="s">
        <v>185</v>
      </c>
      <c r="E111" s="83" t="s">
        <v>196</v>
      </c>
      <c r="F111" s="55"/>
      <c r="G111" s="55"/>
      <c r="H111" s="55"/>
      <c r="I111" s="55"/>
      <c r="J111" s="55"/>
      <c r="K111" s="55"/>
      <c r="L111" s="55"/>
      <c r="M111" s="55"/>
      <c r="N111" s="55"/>
      <c r="O111" s="55"/>
      <c r="P111" s="56"/>
      <c r="Q111" s="51"/>
    </row>
    <row r="112" spans="1:17">
      <c r="A112" s="76"/>
      <c r="B112" s="82" t="s">
        <v>197</v>
      </c>
      <c r="C112" s="26">
        <f>IF(Vin_eff&lt;Vout, (ILrms)^2*(BUCK_HS_Rdson)*1000, ((Vout/Vin_eff)*ILrms^2*BUCK_HS_Rdson+1/2*ILpeak*(Vin_eff+BUCK_LS_Vd)*BUCK_HS_fall_time*fsw+1/2*ILvalley*(Vin_eff+BUCK_LS_Vd)*BUCK_HS_rise_time*fsw+1/2*BUCK_HS_Coss*(Vin_eff+BUCK_LS_Vd)*(Vin_eff+BUCK_LS_Vd)*fsw)*1000)</f>
        <v>953.45683875614679</v>
      </c>
      <c r="D112" s="69" t="s">
        <v>185</v>
      </c>
      <c r="E112" s="83" t="s">
        <v>198</v>
      </c>
      <c r="F112" s="55"/>
      <c r="G112" s="55"/>
      <c r="H112" s="55"/>
      <c r="I112" s="55"/>
      <c r="J112" s="55"/>
      <c r="K112" s="55"/>
      <c r="L112" s="55"/>
      <c r="M112" s="55"/>
      <c r="N112" s="55"/>
      <c r="O112" s="55"/>
      <c r="P112" s="56"/>
      <c r="Q112" s="51"/>
    </row>
    <row r="113" spans="1:17">
      <c r="A113" s="76"/>
      <c r="B113" s="82" t="s">
        <v>199</v>
      </c>
      <c r="C113" s="26">
        <f>IF(Vin_eff&lt;Vout, 0, ((1-Vout/Vin_eff)*ILrms^2*BUCK_LS_Rdson+(ILpeak+ILvalley)*BUCK_LS_Vd*BUCK_LS_dead_time*fsw+Vin_eff*BUCK_LS_Qrr*fsw)*1000)</f>
        <v>0</v>
      </c>
      <c r="D113" s="69" t="s">
        <v>185</v>
      </c>
      <c r="E113" s="83" t="s">
        <v>200</v>
      </c>
      <c r="F113" s="55"/>
      <c r="G113" s="55"/>
      <c r="H113" s="55"/>
      <c r="I113" s="55"/>
      <c r="J113" s="55"/>
      <c r="K113" s="55"/>
      <c r="L113" s="55"/>
      <c r="M113" s="55"/>
      <c r="N113" s="55"/>
      <c r="O113" s="55"/>
      <c r="P113" s="56"/>
      <c r="Q113" s="51"/>
    </row>
    <row r="114" spans="1:17">
      <c r="A114" s="76"/>
      <c r="B114" s="82" t="s">
        <v>201</v>
      </c>
      <c r="C114" s="26">
        <f>IF(Vin_eff&lt;Vout, 1000*ESR*(G115+H115), 0)</f>
        <v>0</v>
      </c>
      <c r="D114" s="79" t="s">
        <v>185</v>
      </c>
      <c r="E114" s="83" t="s">
        <v>202</v>
      </c>
      <c r="F114" s="55"/>
      <c r="G114" s="55"/>
      <c r="H114" s="55"/>
      <c r="I114" s="55"/>
      <c r="J114" s="55"/>
      <c r="K114" s="55"/>
      <c r="L114" s="55"/>
      <c r="M114" s="55"/>
      <c r="N114" s="55"/>
      <c r="O114" s="55"/>
      <c r="P114" s="56"/>
      <c r="Q114" s="51"/>
    </row>
    <row r="115" spans="1:17" ht="12.95">
      <c r="A115" s="76"/>
      <c r="B115" s="78" t="s">
        <v>203</v>
      </c>
      <c r="C115" s="27">
        <f>IF(Vin_eff&lt;Vout, Vout*Ioutmax/(Vout*Ioutmax+(C106+C107+C108+C109+C110+C111+C112+C113+C114)/1000), Vout*Ioutmax/(Vout*Ioutmax+(C106+C107+C108+C109+C110+C111+C112+C113)/1000))</f>
        <v>0.9560109019184081</v>
      </c>
      <c r="D115" s="79"/>
      <c r="E115" s="83" t="s">
        <v>204</v>
      </c>
      <c r="F115" s="55"/>
      <c r="G115" s="55"/>
      <c r="H115" s="55"/>
      <c r="I115" s="55"/>
      <c r="J115" s="55"/>
      <c r="K115" s="55"/>
      <c r="L115" s="55"/>
      <c r="M115" s="55"/>
      <c r="N115" s="55"/>
      <c r="O115" s="55"/>
      <c r="P115" s="56"/>
      <c r="Q115" s="51"/>
    </row>
    <row r="116" spans="1:17" ht="24.95">
      <c r="A116" s="76"/>
      <c r="B116" s="68" t="s">
        <v>205</v>
      </c>
      <c r="C116" s="22">
        <v>37</v>
      </c>
      <c r="D116" s="69" t="s">
        <v>206</v>
      </c>
      <c r="E116" s="70" t="s">
        <v>207</v>
      </c>
      <c r="F116" s="55"/>
      <c r="G116" s="55"/>
      <c r="H116" s="55"/>
      <c r="I116" s="55"/>
      <c r="J116" s="55"/>
      <c r="K116" s="55"/>
      <c r="L116" s="55"/>
      <c r="M116" s="55"/>
      <c r="N116" s="55"/>
      <c r="O116" s="55"/>
      <c r="P116" s="56"/>
      <c r="Q116" s="51"/>
    </row>
    <row r="117" spans="1:17" ht="25.5" thickBot="1">
      <c r="A117" s="76"/>
      <c r="B117" s="84" t="s">
        <v>208</v>
      </c>
      <c r="C117" s="28">
        <f>C116*(C109)/1000</f>
        <v>50.328441571071629</v>
      </c>
      <c r="D117" s="85" t="s">
        <v>209</v>
      </c>
      <c r="E117" s="86" t="s">
        <v>210</v>
      </c>
      <c r="F117" s="55"/>
      <c r="G117" s="55"/>
      <c r="H117" s="55"/>
      <c r="I117" s="55"/>
      <c r="J117" s="55"/>
      <c r="K117" s="55"/>
      <c r="L117" s="55"/>
      <c r="M117" s="55"/>
      <c r="N117" s="55"/>
      <c r="O117" s="55"/>
      <c r="P117" s="56"/>
      <c r="Q117" s="51"/>
    </row>
    <row r="118" spans="1:17" ht="13.5" thickTop="1" thickBot="1">
      <c r="A118" s="76"/>
      <c r="B118" s="51"/>
      <c r="C118" s="89"/>
      <c r="D118" s="51"/>
      <c r="E118" s="90"/>
      <c r="F118" s="87"/>
      <c r="G118" s="87"/>
      <c r="H118" s="87"/>
      <c r="I118" s="87"/>
      <c r="J118" s="87"/>
      <c r="K118" s="87"/>
      <c r="L118" s="87"/>
      <c r="M118" s="87"/>
      <c r="N118" s="87"/>
      <c r="O118" s="87"/>
      <c r="P118" s="88"/>
      <c r="Q118" s="51"/>
    </row>
    <row r="119" spans="1:17" ht="12.95" thickTop="1">
      <c r="A119" s="76"/>
      <c r="F119" s="51"/>
      <c r="G119" s="51"/>
      <c r="H119" s="51"/>
      <c r="I119" s="51"/>
      <c r="J119" s="51"/>
      <c r="K119" s="51"/>
      <c r="L119" s="51"/>
      <c r="M119" s="51"/>
      <c r="N119" s="51"/>
      <c r="O119" s="51"/>
      <c r="P119" s="51"/>
      <c r="Q119" s="51"/>
    </row>
    <row r="121" spans="1:17">
      <c r="D121" s="92"/>
    </row>
    <row r="122" spans="1:17">
      <c r="C122" s="93"/>
      <c r="H122" s="92"/>
    </row>
  </sheetData>
  <sheetProtection password="D12D" sheet="1" objects="1" scenarios="1"/>
  <dataConsolidate/>
  <customSheetViews>
    <customSheetView guid="{0F8159A6-236F-4F54-A569-A835A6AD5DA8}" topLeftCell="A94">
      <selection activeCell="C116" sqref="C116"/>
      <pageMargins left="0" right="0" top="0" bottom="0" header="0" footer="0"/>
      <pageSetup orientation="portrait" r:id="rId1"/>
      <headerFooter alignWithMargins="0"/>
    </customSheetView>
  </customSheetViews>
  <mergeCells count="68">
    <mergeCell ref="G48:G49"/>
    <mergeCell ref="P48:P49"/>
    <mergeCell ref="B47:B48"/>
    <mergeCell ref="C47:C48"/>
    <mergeCell ref="D47:D48"/>
    <mergeCell ref="E47:E48"/>
    <mergeCell ref="F48:F49"/>
    <mergeCell ref="G42:G43"/>
    <mergeCell ref="P42:P43"/>
    <mergeCell ref="P44:P45"/>
    <mergeCell ref="B43:B44"/>
    <mergeCell ref="C43:C44"/>
    <mergeCell ref="D43:D44"/>
    <mergeCell ref="E43:E44"/>
    <mergeCell ref="F44:F45"/>
    <mergeCell ref="G44:G45"/>
    <mergeCell ref="B41:B42"/>
    <mergeCell ref="C41:C42"/>
    <mergeCell ref="D41:D42"/>
    <mergeCell ref="E41:E42"/>
    <mergeCell ref="F42:F43"/>
    <mergeCell ref="P36:P37"/>
    <mergeCell ref="G38:G39"/>
    <mergeCell ref="P38:P39"/>
    <mergeCell ref="B39:B40"/>
    <mergeCell ref="C39:C40"/>
    <mergeCell ref="D39:D40"/>
    <mergeCell ref="E39:E40"/>
    <mergeCell ref="F40:F41"/>
    <mergeCell ref="G40:G41"/>
    <mergeCell ref="P40:P41"/>
    <mergeCell ref="B37:B38"/>
    <mergeCell ref="C37:C38"/>
    <mergeCell ref="D37:D38"/>
    <mergeCell ref="E37:E38"/>
    <mergeCell ref="F38:F39"/>
    <mergeCell ref="D33:D34"/>
    <mergeCell ref="B7:J7"/>
    <mergeCell ref="B2:P2"/>
    <mergeCell ref="B3:P3"/>
    <mergeCell ref="B4:P4"/>
    <mergeCell ref="B6:P6"/>
    <mergeCell ref="E33:E34"/>
    <mergeCell ref="F34:F35"/>
    <mergeCell ref="G34:G35"/>
    <mergeCell ref="P34:P35"/>
    <mergeCell ref="B35:B36"/>
    <mergeCell ref="C35:C36"/>
    <mergeCell ref="D35:D36"/>
    <mergeCell ref="E35:E36"/>
    <mergeCell ref="F36:F37"/>
    <mergeCell ref="G36:G37"/>
    <mergeCell ref="E64:E65"/>
    <mergeCell ref="F12:P12"/>
    <mergeCell ref="B81:E81"/>
    <mergeCell ref="F64:P64"/>
    <mergeCell ref="B13:E13"/>
    <mergeCell ref="B63:E63"/>
    <mergeCell ref="F31:P31"/>
    <mergeCell ref="B45:B46"/>
    <mergeCell ref="C45:C46"/>
    <mergeCell ref="D45:D46"/>
    <mergeCell ref="E45:E46"/>
    <mergeCell ref="F46:F47"/>
    <mergeCell ref="G46:G47"/>
    <mergeCell ref="P46:P47"/>
    <mergeCell ref="B33:B34"/>
    <mergeCell ref="C33:C34"/>
  </mergeCells>
  <phoneticPr fontId="2" type="noConversion"/>
  <conditionalFormatting sqref="C69">
    <cfRule type="expression" dxfId="11" priority="9">
      <formula>$C$66="Boost"</formula>
    </cfRule>
    <cfRule type="expression" dxfId="10" priority="10">
      <formula>$C$66="Buck"</formula>
    </cfRule>
  </conditionalFormatting>
  <conditionalFormatting sqref="C23">
    <cfRule type="expression" dxfId="9" priority="7">
      <formula>#REF!="Disable"</formula>
    </cfRule>
    <cfRule type="expression" dxfId="8" priority="8">
      <formula>#REF!="Enable"</formula>
    </cfRule>
  </conditionalFormatting>
  <conditionalFormatting sqref="C57">
    <cfRule type="expression" dxfId="7" priority="5">
      <formula>#REF!="External"</formula>
    </cfRule>
    <cfRule type="expression" dxfId="6" priority="6">
      <formula>#REF!="Internal"</formula>
    </cfRule>
  </conditionalFormatting>
  <conditionalFormatting sqref="C56">
    <cfRule type="expression" dxfId="5" priority="3">
      <formula>#REF!="External"</formula>
    </cfRule>
    <cfRule type="expression" dxfId="4" priority="4">
      <formula>#REF!="Internal"</formula>
    </cfRule>
  </conditionalFormatting>
  <conditionalFormatting sqref="C21">
    <cfRule type="expression" dxfId="3" priority="26" stopIfTrue="1">
      <formula>#REF!="External"</formula>
    </cfRule>
    <cfRule type="expression" dxfId="2" priority="27" stopIfTrue="1">
      <formula>#REF!="Internal"</formula>
    </cfRule>
  </conditionalFormatting>
  <conditionalFormatting sqref="C22">
    <cfRule type="expression" dxfId="1" priority="28">
      <formula>#REF!="External"</formula>
    </cfRule>
    <cfRule type="expression" dxfId="0" priority="29">
      <formula>#REF!="Internal"</formula>
    </cfRule>
  </conditionalFormatting>
  <dataValidations disablePrompts="1" count="12">
    <dataValidation type="list" allowBlank="1" showInputMessage="1" showErrorMessage="1" sqref="C18" xr:uid="{00000000-0002-0000-0000-000000000000}">
      <formula1>"Internal, External"</formula1>
    </dataValidation>
    <dataValidation type="list" allowBlank="1" showInputMessage="1" showErrorMessage="1" sqref="C19" xr:uid="{00000000-0002-0000-0000-000001000000}">
      <formula1>"FPWM, APFM"</formula1>
    </dataValidation>
    <dataValidation type="list" allowBlank="1" showInputMessage="1" showErrorMessage="1" sqref="C60:C62" xr:uid="{00000000-0002-0000-0000-000002000000}">
      <formula1>"Enable, Disable"</formula1>
    </dataValidation>
    <dataValidation type="list" allowBlank="1" showInputMessage="1" showErrorMessage="1" sqref="C58" xr:uid="{00000000-0002-0000-0000-000003000000}">
      <formula1>"0.1, 3, 6, 12"</formula1>
    </dataValidation>
    <dataValidation type="list" allowBlank="1" showInputMessage="1" showErrorMessage="1" sqref="C59" xr:uid="{00000000-0002-0000-0000-000004000000}">
      <formula1>"1.25, 2.5, 5, 10"</formula1>
    </dataValidation>
    <dataValidation type="list" allowBlank="1" showInputMessage="1" showErrorMessage="1" sqref="M47" xr:uid="{00000000-0002-0000-0000-000005000000}">
      <formula1>"74H -0,75H -1"</formula1>
    </dataValidation>
    <dataValidation type="list" allowBlank="1" showInputMessage="1" showErrorMessage="1" sqref="O47" xr:uid="{00000000-0002-0000-0000-000006000000}">
      <formula1>"EXT -0,INT -1"</formula1>
    </dataValidation>
    <dataValidation type="list" allowBlank="1" showInputMessage="1" showErrorMessage="1" sqref="H47" xr:uid="{00000000-0002-0000-0000-000007000000}">
      <formula1>"OFF -0,ON -1"</formula1>
    </dataValidation>
    <dataValidation type="list" allowBlank="1" showInputMessage="1" showErrorMessage="1" sqref="I47:K47" xr:uid="{00000000-0002-0000-0000-000008000000}">
      <formula1>"DIS -0,ENA -1"</formula1>
    </dataValidation>
    <dataValidation type="list" allowBlank="1" showInputMessage="1" showErrorMessage="1" sqref="L47" xr:uid="{00000000-0002-0000-0000-000009000000}">
      <formula1>"INT -0,EXT -1"</formula1>
    </dataValidation>
    <dataValidation type="list" allowBlank="1" showInputMessage="1" showErrorMessage="1" sqref="N47" xr:uid="{00000000-0002-0000-0000-00000A000000}">
      <formula1>"PFM -0,PWM -1"</formula1>
    </dataValidation>
    <dataValidation type="custom" allowBlank="1" showInputMessage="1" showErrorMessage="1" sqref="S16" xr:uid="{00000000-0002-0000-0000-00000B000000}">
      <formula1>"AND(S15=""Internal""）"</formula1>
    </dataValidation>
  </dataValidations>
  <pageMargins left="0.75" right="0.75" top="1" bottom="1" header="0.5" footer="0.5"/>
  <pageSetup orientation="portrait" r:id="rId2"/>
  <headerFooter alignWithMargins="0"/>
  <drawing r:id="rId3"/>
  <legacyDrawing r:id="rId4"/>
  <oleObjects>
    <mc:AlternateContent xmlns:mc="http://schemas.openxmlformats.org/markup-compatibility/2006">
      <mc:Choice Requires="x14">
        <oleObject progId="Visio.Drawing.11" shapeId="1210" r:id="rId5">
          <objectPr defaultSize="0" autoPict="0" r:id="rId6">
            <anchor moveWithCells="1" sizeWithCells="1">
              <from>
                <xdr:col>5</xdr:col>
                <xdr:colOff>247650</xdr:colOff>
                <xdr:row>13</xdr:row>
                <xdr:rowOff>101600</xdr:rowOff>
              </from>
              <to>
                <xdr:col>15</xdr:col>
                <xdr:colOff>431800</xdr:colOff>
                <xdr:row>28</xdr:row>
                <xdr:rowOff>120650</xdr:rowOff>
              </to>
            </anchor>
          </objectPr>
        </oleObject>
      </mc:Choice>
      <mc:Fallback>
        <oleObject progId="Visio.Drawing.11" shapeId="1210"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4"/>
  <sheetViews>
    <sheetView zoomScale="70" zoomScaleNormal="70" workbookViewId="0">
      <selection activeCell="Y3" sqref="Y3"/>
    </sheetView>
  </sheetViews>
  <sheetFormatPr defaultRowHeight="12.6"/>
  <cols>
    <col min="1" max="1" width="4" bestFit="1" customWidth="1"/>
    <col min="2" max="2" width="9.5703125" customWidth="1"/>
    <col min="3" max="3" width="10.5703125" bestFit="1" customWidth="1"/>
    <col min="5" max="5" width="8" customWidth="1"/>
    <col min="7" max="7" width="7.85546875" customWidth="1"/>
    <col min="8" max="8" width="8.42578125" customWidth="1"/>
    <col min="9" max="9" width="8.140625" customWidth="1"/>
    <col min="10" max="10" width="9.42578125" customWidth="1"/>
    <col min="11" max="11" width="9.5703125" customWidth="1"/>
    <col min="13" max="14" width="8.42578125" customWidth="1"/>
    <col min="15" max="16" width="9.5703125" customWidth="1"/>
    <col min="17" max="17" width="10" customWidth="1"/>
    <col min="18" max="18" width="10.85546875" customWidth="1"/>
    <col min="19" max="20" width="9.42578125" customWidth="1"/>
    <col min="21" max="23" width="10" customWidth="1"/>
    <col min="24" max="24" width="10.140625" customWidth="1"/>
    <col min="25" max="26" width="10" customWidth="1"/>
    <col min="27" max="29" width="10.42578125" customWidth="1"/>
    <col min="30" max="30" width="10.140625" customWidth="1"/>
    <col min="32" max="32" width="15.85546875" customWidth="1"/>
    <col min="33" max="33" width="12.42578125" bestFit="1" customWidth="1"/>
    <col min="34" max="34" width="5.5703125" customWidth="1"/>
  </cols>
  <sheetData>
    <row r="1" spans="1:34" ht="14.1" thickTop="1" thickBot="1">
      <c r="A1" s="147" t="s">
        <v>211</v>
      </c>
      <c r="B1" s="149"/>
      <c r="C1" s="147" t="s">
        <v>212</v>
      </c>
      <c r="D1" s="148"/>
      <c r="E1" s="148"/>
      <c r="F1" s="148"/>
      <c r="G1" s="148"/>
      <c r="H1" s="148"/>
      <c r="I1" s="148"/>
      <c r="J1" s="149"/>
      <c r="K1" s="147" t="s">
        <v>213</v>
      </c>
      <c r="L1" s="148"/>
      <c r="M1" s="148"/>
      <c r="N1" s="148"/>
      <c r="O1" s="148"/>
      <c r="P1" s="148"/>
      <c r="Q1" s="147" t="s">
        <v>214</v>
      </c>
      <c r="R1" s="149"/>
      <c r="S1" s="147" t="s">
        <v>215</v>
      </c>
      <c r="T1" s="148"/>
      <c r="U1" s="148"/>
      <c r="V1" s="148"/>
      <c r="W1" s="148"/>
      <c r="X1" s="149"/>
      <c r="Y1" s="147" t="s">
        <v>216</v>
      </c>
      <c r="Z1" s="149"/>
      <c r="AA1" s="148" t="s">
        <v>217</v>
      </c>
      <c r="AB1" s="148"/>
      <c r="AC1" s="148"/>
      <c r="AD1" s="149"/>
    </row>
    <row r="2" spans="1:34" ht="25.5" thickTop="1">
      <c r="A2" s="1"/>
      <c r="B2" s="2" t="s">
        <v>218</v>
      </c>
      <c r="C2" s="11" t="s">
        <v>219</v>
      </c>
      <c r="D2" s="2" t="s">
        <v>220</v>
      </c>
      <c r="E2" s="2" t="s">
        <v>221</v>
      </c>
      <c r="F2" s="2" t="s">
        <v>222</v>
      </c>
      <c r="G2" s="2" t="s">
        <v>223</v>
      </c>
      <c r="H2" s="2" t="s">
        <v>224</v>
      </c>
      <c r="I2" s="2" t="s">
        <v>225</v>
      </c>
      <c r="J2" s="14" t="s">
        <v>226</v>
      </c>
      <c r="K2" s="11" t="s">
        <v>227</v>
      </c>
      <c r="L2" s="2" t="s">
        <v>228</v>
      </c>
      <c r="M2" s="2" t="s">
        <v>229</v>
      </c>
      <c r="N2" s="2" t="s">
        <v>230</v>
      </c>
      <c r="O2" s="2" t="s">
        <v>231</v>
      </c>
      <c r="P2" s="14" t="s">
        <v>232</v>
      </c>
      <c r="Q2" s="2" t="s">
        <v>233</v>
      </c>
      <c r="R2" s="2" t="s">
        <v>234</v>
      </c>
      <c r="S2" s="11" t="s">
        <v>235</v>
      </c>
      <c r="T2" s="2" t="s">
        <v>236</v>
      </c>
      <c r="U2" s="2" t="s">
        <v>237</v>
      </c>
      <c r="V2" s="14" t="s">
        <v>238</v>
      </c>
      <c r="W2" s="11" t="s">
        <v>239</v>
      </c>
      <c r="X2" s="14" t="s">
        <v>240</v>
      </c>
      <c r="Y2" s="11" t="s">
        <v>241</v>
      </c>
      <c r="Z2" s="14" t="s">
        <v>242</v>
      </c>
      <c r="AA2" s="2" t="s">
        <v>243</v>
      </c>
      <c r="AB2" s="2" t="s">
        <v>244</v>
      </c>
      <c r="AC2" s="2" t="s">
        <v>245</v>
      </c>
      <c r="AD2" s="3" t="s">
        <v>246</v>
      </c>
      <c r="AF2" s="9" t="s">
        <v>247</v>
      </c>
      <c r="AG2" s="21" t="s">
        <v>7</v>
      </c>
      <c r="AH2" s="21" t="s">
        <v>248</v>
      </c>
    </row>
    <row r="3" spans="1:34">
      <c r="A3" s="4">
        <v>1</v>
      </c>
      <c r="B3" s="18">
        <f>10*10^A3</f>
        <v>100</v>
      </c>
      <c r="C3" s="12">
        <f t="shared" ref="C3:C43" si="0">20*LOG(SQRT((B3/fzRHP)^2+1))</f>
        <v>4.7987234324743731E-5</v>
      </c>
      <c r="D3" s="5">
        <f t="shared" ref="D3:D43" si="1">-180/PI()*ATAN(B3/fzRHP)</f>
        <v>-0.19045524495601215</v>
      </c>
      <c r="E3" s="5">
        <f t="shared" ref="E3:E43" si="2">20*LOG(1/SQRT((B3/fp)^2+1))</f>
        <v>-6.0179324114907243E-2</v>
      </c>
      <c r="F3" s="5">
        <f t="shared" ref="F3:F43" si="3">-180/PI()*ATAN(B3/fp)</f>
        <v>-6.7367824020567131</v>
      </c>
      <c r="G3" s="5">
        <f t="shared" ref="G3:G43" si="4">20*LOG(SQRT((B3/fz_ESR)^2+1))</f>
        <v>1.2498875767733033E-5</v>
      </c>
      <c r="H3" s="5">
        <f t="shared" ref="H3:H43" si="5">180/PI()*ATAN(B3/fz_ESR)</f>
        <v>9.7199906753717757E-2</v>
      </c>
      <c r="I3" s="5">
        <f t="shared" ref="I3:I43" si="6">20*LOG(1/SQRT((B3/(1/2/PI()/ESR/(Cout_c*Cout_e/(Cout_c+Cout_e))))^2+1))</f>
        <v>-2.7385525890086535E-6</v>
      </c>
      <c r="J3" s="15">
        <f t="shared" ref="J3:J43" si="7">-180/PI()*ATAN(B3/(1/2/PI()/(ESR)/(Cout_c*Cout_e/(Cout_c+Cout_e))))</f>
        <v>-4.5497862777151947E-2</v>
      </c>
      <c r="K3" s="12">
        <f t="shared" ref="K3:K43" si="8">20*LOG(1/SQRT((B3/(1/2/PI()/10000000/(Ccomp+Cp+0.000000000003)))^2+1))</f>
        <v>-35.977713089225787</v>
      </c>
      <c r="L3" s="5">
        <f t="shared" ref="L3:L43" si="9">-180/PI()*ATAN(B3/(1/2/PI()/10000000/(Ccomp+Cp+0.000000000003)))</f>
        <v>-89.089551772331689</v>
      </c>
      <c r="M3" s="5">
        <f t="shared" ref="M3:M43" si="10">20*LOG(SQRT((B3/fz_comp)^2+1))</f>
        <v>0.24077795634931232</v>
      </c>
      <c r="N3" s="5">
        <f t="shared" ref="N3:N43" si="11">180/PI()*ATAN(B3/fz_comp)</f>
        <v>13.428593516559001</v>
      </c>
      <c r="O3" s="5">
        <f t="shared" ref="O3:O43" si="12">20*LOG(1/SQRT((B3/fp_comp2)^2+1))</f>
        <v>-5.5538203139768276E-7</v>
      </c>
      <c r="P3" s="15">
        <f t="shared" ref="P3:P43" si="13">-180/PI()*ATAN(B3/fp_comp2)</f>
        <v>-2.0489265227449795E-2</v>
      </c>
      <c r="Q3" s="5">
        <f>20*LOG(1/SQRT((B3/(1/2/PI()/400000/0.0000000000055))^2+1))</f>
        <v>-8.2982973903629366E-6</v>
      </c>
      <c r="R3" s="5">
        <f>-180/PI()*ATAN(B3/(1/2/PI()/400000/0.0000000000055))</f>
        <v>-7.9199949556114951E-2</v>
      </c>
      <c r="S3" s="12">
        <f t="shared" ref="S3:S43" si="14">20*LOG(SQRT((2*PI()*R_ca*C_ca*B3)^2+1))</f>
        <v>6.7187635127814618E-5</v>
      </c>
      <c r="T3" s="5">
        <f t="shared" ref="T3:T43" si="15">180/PI()*ATAN(2*PI()*R_ca*C_ca*B3)</f>
        <v>0.22535883785598179</v>
      </c>
      <c r="U3" s="5">
        <f t="shared" ref="U3:U43" si="16">20*LOG(1/SQRT((2*PI()*B3*R_ca*C_ca)^2+(1-(2*PI()*B3)^2*C_ca/gm_ca/(IF(Op_mode="Boost", Vout_LP, Vin_LP)/V_m/L)*gm_PS)^2))</f>
        <v>-8.8870543369091598E-6</v>
      </c>
      <c r="V3" s="15">
        <f t="shared" ref="V3:V43" si="17">IF(-180/PI()*ATAN((2*PI()*B3*R_ca*C_ca)/(1-(2*PI()*B3)^2*C_ca/gm_ca/(IF(Op_mode="Boost", Vout_LP, Vin_LP)/V_m/L)*gm_PS))&gt;0, -180/PI()*ATAN((2*PI()*B3*R_ca*C_ca)/(1-(2*PI()*B3)^2*C_ca/gm_ca/(IF(Op_mode="Boost", Vout_LP, Vin_LP)/V_m/L)*gm_PS))-180, -180/PI()*ATAN((2*PI()*B3*R_ca*C_ca)/(1-(2*PI()*B3)^2*C_ca/gm_ca/(IF(Op_mode="Boost", Vout_LP, Vin_LP)/V_m/L)*gm_PS)))</f>
        <v>-0.22536035050045805</v>
      </c>
      <c r="W3" s="12">
        <v>0</v>
      </c>
      <c r="X3" s="15">
        <f t="shared" ref="X3:X43" si="18">IF(B3&lt;fsw, -180*B3*1/2/fsw, -90)</f>
        <v>-2.2499999999999999E-2</v>
      </c>
      <c r="Y3" s="12">
        <f>20*LOG(1/SQRT((B3/(1/2/PI()/30000/0.000000000005))^2+1))</f>
        <v>-3.8576832623748043E-8</v>
      </c>
      <c r="Z3" s="15">
        <f>-180/PI()*ATAN(B3/(1/2/PI()/30000/0.000000000005))</f>
        <v>-5.3999999840112396E-3</v>
      </c>
      <c r="AA3" s="5">
        <f t="shared" ref="AA3:AA43" si="19">IF(Op_mode="Boost", C3+E3+G3+I3+K3+M3+20*LOG(Vout_LP/Ioutmax/2*gm_PS*eff*Vin_LP/Vout_LP*gm_EA*10000000*1.2/Vout)+Q3+S3+U3+Y3, E3+G3+I3+K3+M3+20*LOG(Vout_LP/Ioutmax*gm_PS*gm_EA*10000000*1.2/Vout)+Q3+S3+U3+Y3)</f>
        <v>32.770759825092682</v>
      </c>
      <c r="AB3" s="5">
        <f t="shared" ref="AB3:AB43" si="20">IF(Op_mode="Boost", D3+F3+H3+J3+180+L3+N3+R3+T3+V3+X3+Z3, F3+H3+J3+180+L3+N3+R3+T3+V3+Z3)</f>
        <v>97.356404679006573</v>
      </c>
      <c r="AC3" s="5">
        <f>AA3+O3</f>
        <v>32.770759269710652</v>
      </c>
      <c r="AD3" s="6">
        <f>AB3+P3</f>
        <v>97.335915413779119</v>
      </c>
      <c r="AF3" t="s">
        <v>249</v>
      </c>
      <c r="AG3">
        <v>3.0000000000000001E-5</v>
      </c>
      <c r="AH3" t="s">
        <v>113</v>
      </c>
    </row>
    <row r="4" spans="1:34" ht="12.95">
      <c r="A4" s="4">
        <v>1.1000000000000001</v>
      </c>
      <c r="B4" s="19">
        <f t="shared" ref="B4:B43" si="21">10*10^A4</f>
        <v>125.8925411794168</v>
      </c>
      <c r="C4" s="12">
        <f t="shared" si="0"/>
        <v>7.6054395244365584E-5</v>
      </c>
      <c r="D4" s="5">
        <f t="shared" si="1"/>
        <v>-0.23976843116570964</v>
      </c>
      <c r="E4" s="5">
        <f t="shared" si="2"/>
        <v>-9.4995128025810519E-2</v>
      </c>
      <c r="F4" s="5">
        <f t="shared" si="3"/>
        <v>-8.4584196845727604</v>
      </c>
      <c r="G4" s="5">
        <f t="shared" si="4"/>
        <v>1.9809366444327647E-5</v>
      </c>
      <c r="H4" s="5">
        <f t="shared" si="5"/>
        <v>0.12236736397578808</v>
      </c>
      <c r="I4" s="5">
        <f t="shared" si="6"/>
        <v>-4.3403125542943094E-6</v>
      </c>
      <c r="J4" s="15">
        <f t="shared" si="7"/>
        <v>-5.7278408590693539E-2</v>
      </c>
      <c r="K4" s="12">
        <f t="shared" si="8"/>
        <v>-37.977308411032126</v>
      </c>
      <c r="L4" s="5">
        <f t="shared" si="9"/>
        <v>-89.276782802970288</v>
      </c>
      <c r="M4" s="5">
        <f t="shared" si="10"/>
        <v>0.37565826244094946</v>
      </c>
      <c r="N4" s="5">
        <f t="shared" si="11"/>
        <v>16.729850132442643</v>
      </c>
      <c r="O4" s="5">
        <f t="shared" si="12"/>
        <v>-8.8022116558466308E-7</v>
      </c>
      <c r="P4" s="15">
        <f t="shared" si="13"/>
        <v>-2.5794456020711374E-2</v>
      </c>
      <c r="Q4" s="5">
        <f t="shared" ref="Q4:Q43" si="22">20*LOG(1/SQRT((B4/(1/2/PI()/400000/0.0000000000055))^2+1))</f>
        <v>-1.3151907691514025E-5</v>
      </c>
      <c r="R4" s="5">
        <f t="shared" ref="R4:R43" si="23">-180/PI()*ATAN(B4/(1/2/PI()/400000/0.0000000000055))</f>
        <v>-9.9706791965382735E-2</v>
      </c>
      <c r="S4" s="12">
        <f t="shared" si="14"/>
        <v>1.0648474376647131E-4</v>
      </c>
      <c r="T4" s="5">
        <f t="shared" si="15"/>
        <v>0.2837091120323586</v>
      </c>
      <c r="U4" s="5">
        <f t="shared" si="16"/>
        <v>-1.408520486919555E-5</v>
      </c>
      <c r="V4" s="15">
        <f t="shared" si="17"/>
        <v>-0.28371213013941693</v>
      </c>
      <c r="W4" s="12">
        <v>0</v>
      </c>
      <c r="X4" s="15">
        <f t="shared" si="18"/>
        <v>-2.8325821765368776E-2</v>
      </c>
      <c r="Y4" s="12">
        <f t="shared" ref="Y4:Y43" si="24">20*LOG(1/SQRT((B4/(1/2/PI()/30000/0.000000000005))^2+1))</f>
        <v>-6.1140159101059486E-8</v>
      </c>
      <c r="Z4" s="15">
        <f t="shared" ref="Z4:Z43" si="25">-180/PI()*ATAN(B4/(1/2/PI()/30000/0.000000000005))</f>
        <v>-6.7981971917867381E-3</v>
      </c>
      <c r="AA4" s="5">
        <f t="shared" si="19"/>
        <v>30.871292004143189</v>
      </c>
      <c r="AB4" s="5">
        <f t="shared" si="20"/>
        <v>98.685134340089391</v>
      </c>
      <c r="AC4" s="5">
        <f t="shared" ref="AC4:AC43" si="26">AA4+O4</f>
        <v>30.871291123922024</v>
      </c>
      <c r="AD4" s="6">
        <f t="shared" ref="AD4:AD43" si="27">AB4+P4</f>
        <v>98.659339884068686</v>
      </c>
      <c r="AF4" t="s">
        <v>250</v>
      </c>
      <c r="AG4">
        <v>100000</v>
      </c>
      <c r="AH4" s="10" t="s">
        <v>29</v>
      </c>
    </row>
    <row r="5" spans="1:34">
      <c r="A5" s="4">
        <v>1.2</v>
      </c>
      <c r="B5" s="19">
        <f t="shared" si="21"/>
        <v>158.48931924611136</v>
      </c>
      <c r="C5" s="12">
        <f t="shared" si="0"/>
        <v>1.2053747596797314E-4</v>
      </c>
      <c r="D5" s="5">
        <f t="shared" si="1"/>
        <v>-0.30184954036017181</v>
      </c>
      <c r="E5" s="5">
        <f t="shared" si="2"/>
        <v>-0.14960903465080613</v>
      </c>
      <c r="F5" s="5">
        <f t="shared" si="3"/>
        <v>-10.603809956003781</v>
      </c>
      <c r="G5" s="5">
        <f t="shared" si="4"/>
        <v>3.1395688143185562E-5</v>
      </c>
      <c r="H5" s="5">
        <f t="shared" si="5"/>
        <v>0.15405124708805354</v>
      </c>
      <c r="I5" s="5">
        <f t="shared" si="6"/>
        <v>-6.8789298118916235E-6</v>
      </c>
      <c r="J5" s="15">
        <f t="shared" si="7"/>
        <v>-7.2109230071749145E-2</v>
      </c>
      <c r="K5" s="12">
        <f t="shared" si="8"/>
        <v>-39.977053056950254</v>
      </c>
      <c r="L5" s="5">
        <f t="shared" si="9"/>
        <v>-89.425516901095946</v>
      </c>
      <c r="M5" s="5">
        <f t="shared" si="10"/>
        <v>0.5812020059097649</v>
      </c>
      <c r="N5" s="5">
        <f t="shared" si="11"/>
        <v>20.727181294936685</v>
      </c>
      <c r="O5" s="5">
        <f t="shared" si="12"/>
        <v>-1.3950564531835009E-6</v>
      </c>
      <c r="P5" s="15">
        <f t="shared" si="13"/>
        <v>-3.2473294884696045E-2</v>
      </c>
      <c r="Q5" s="5">
        <f t="shared" si="22"/>
        <v>-2.0844350508270566E-5</v>
      </c>
      <c r="R5" s="5">
        <f t="shared" si="23"/>
        <v>-0.12552334002254481</v>
      </c>
      <c r="S5" s="12">
        <f t="shared" si="14"/>
        <v>1.6876573537434375E-4</v>
      </c>
      <c r="T5" s="5">
        <f t="shared" si="15"/>
        <v>0.35716690333929518</v>
      </c>
      <c r="U5" s="5">
        <f t="shared" si="16"/>
        <v>-2.2323979741289186E-5</v>
      </c>
      <c r="V5" s="15">
        <f t="shared" si="17"/>
        <v>-0.35717292520568028</v>
      </c>
      <c r="W5" s="12">
        <v>0</v>
      </c>
      <c r="X5" s="15">
        <f t="shared" si="18"/>
        <v>-3.5660096830375056E-2</v>
      </c>
      <c r="Y5" s="12">
        <f t="shared" si="24"/>
        <v>-9.6900620560394827E-8</v>
      </c>
      <c r="Z5" s="15">
        <f t="shared" si="25"/>
        <v>-8.5584231756376181E-3</v>
      </c>
      <c r="AA5" s="5">
        <f t="shared" si="19"/>
        <v>29.022577039867507</v>
      </c>
      <c r="AB5" s="5">
        <f t="shared" si="20"/>
        <v>100.30819903259817</v>
      </c>
      <c r="AC5" s="5">
        <f t="shared" si="26"/>
        <v>29.022575644811052</v>
      </c>
      <c r="AD5" s="6">
        <f t="shared" si="27"/>
        <v>100.27572573771347</v>
      </c>
      <c r="AF5" t="s">
        <v>251</v>
      </c>
      <c r="AG5">
        <v>6.2599999999999996E-11</v>
      </c>
      <c r="AH5" t="s">
        <v>54</v>
      </c>
    </row>
    <row r="6" spans="1:34">
      <c r="A6" s="4">
        <v>1.3</v>
      </c>
      <c r="B6" s="19">
        <f t="shared" si="21"/>
        <v>199.52623149688804</v>
      </c>
      <c r="C6" s="12">
        <f t="shared" si="0"/>
        <v>1.910374745043828E-4</v>
      </c>
      <c r="D6" s="5">
        <f t="shared" si="1"/>
        <v>-0.38000400065231837</v>
      </c>
      <c r="E6" s="5">
        <f t="shared" si="2"/>
        <v>-0.23478356023354907</v>
      </c>
      <c r="F6" s="5">
        <f t="shared" si="3"/>
        <v>-13.261909210957153</v>
      </c>
      <c r="G6" s="5">
        <f t="shared" si="4"/>
        <v>4.9758707215145224E-5</v>
      </c>
      <c r="H6" s="5">
        <f t="shared" si="5"/>
        <v>0.19393875633724034</v>
      </c>
      <c r="I6" s="5">
        <f t="shared" si="6"/>
        <v>-1.0902363977922666E-5</v>
      </c>
      <c r="J6" s="15">
        <f t="shared" si="7"/>
        <v>-9.0780114128419548E-2</v>
      </c>
      <c r="K6" s="12">
        <f t="shared" si="8"/>
        <v>-41.976891931691242</v>
      </c>
      <c r="L6" s="5">
        <f t="shared" si="9"/>
        <v>-89.543666210743694</v>
      </c>
      <c r="M6" s="5">
        <f t="shared" si="10"/>
        <v>0.88826262482637974</v>
      </c>
      <c r="N6" s="5">
        <f t="shared" si="11"/>
        <v>25.472705547909417</v>
      </c>
      <c r="O6" s="5">
        <f t="shared" si="12"/>
        <v>-2.2110152687955465E-6</v>
      </c>
      <c r="P6" s="15">
        <f t="shared" si="13"/>
        <v>-4.0881453574740115E-2</v>
      </c>
      <c r="Q6" s="5">
        <f t="shared" si="22"/>
        <v>-3.30360228520592E-5</v>
      </c>
      <c r="R6" s="5">
        <f t="shared" si="23"/>
        <v>-0.15802437465688313</v>
      </c>
      <c r="S6" s="12">
        <f t="shared" si="14"/>
        <v>2.6747262549834858E-4</v>
      </c>
      <c r="T6" s="5">
        <f t="shared" si="15"/>
        <v>0.44964308431875261</v>
      </c>
      <c r="U6" s="5">
        <f t="shared" si="16"/>
        <v>-3.5382214754729625E-5</v>
      </c>
      <c r="V6" s="15">
        <f t="shared" si="17"/>
        <v>-0.44965509936721265</v>
      </c>
      <c r="W6" s="12">
        <v>0</v>
      </c>
      <c r="X6" s="15">
        <f t="shared" si="18"/>
        <v>-4.4893402086799809E-2</v>
      </c>
      <c r="Y6" s="12">
        <f t="shared" si="24"/>
        <v>-1.535771340734222E-7</v>
      </c>
      <c r="Z6" s="15">
        <f t="shared" si="25"/>
        <v>-1.0774416373828727E-2</v>
      </c>
      <c r="AA6" s="5">
        <f t="shared" si="19"/>
        <v>27.244782498350091</v>
      </c>
      <c r="AB6" s="5">
        <f t="shared" si="20"/>
        <v>102.17658055959909</v>
      </c>
      <c r="AC6" s="5">
        <f t="shared" si="26"/>
        <v>27.244780287334823</v>
      </c>
      <c r="AD6" s="6">
        <f t="shared" si="27"/>
        <v>102.13569910602435</v>
      </c>
      <c r="AF6" t="s">
        <v>252</v>
      </c>
      <c r="AG6">
        <f>0.1*MIN(Vin, Vout)</f>
        <v>0.9</v>
      </c>
      <c r="AH6" t="s">
        <v>13</v>
      </c>
    </row>
    <row r="7" spans="1:34">
      <c r="A7" s="4">
        <v>1.4</v>
      </c>
      <c r="B7" s="19">
        <f t="shared" si="21"/>
        <v>251.188643150958</v>
      </c>
      <c r="C7" s="12">
        <f t="shared" si="0"/>
        <v>3.0277009804401388E-4</v>
      </c>
      <c r="D7" s="5">
        <f t="shared" si="1"/>
        <v>-0.47839259035880327</v>
      </c>
      <c r="E7" s="5">
        <f t="shared" si="2"/>
        <v>-0.36644489675340397</v>
      </c>
      <c r="F7" s="5">
        <f t="shared" si="3"/>
        <v>-16.526348485411301</v>
      </c>
      <c r="G7" s="5">
        <f t="shared" si="4"/>
        <v>7.8861972092433814E-5</v>
      </c>
      <c r="H7" s="5">
        <f t="shared" si="5"/>
        <v>0.24415388330230142</v>
      </c>
      <c r="I7" s="5">
        <f t="shared" si="6"/>
        <v>-1.727906976709936E-5</v>
      </c>
      <c r="J7" s="15">
        <f t="shared" si="7"/>
        <v>-0.11428533662710254</v>
      </c>
      <c r="K7" s="12">
        <f t="shared" si="8"/>
        <v>-43.976790265449814</v>
      </c>
      <c r="L7" s="5">
        <f t="shared" si="9"/>
        <v>-89.637518358219765</v>
      </c>
      <c r="M7" s="5">
        <f t="shared" si="10"/>
        <v>1.3343952416909839</v>
      </c>
      <c r="N7" s="5">
        <f t="shared" si="11"/>
        <v>30.952827836909663</v>
      </c>
      <c r="O7" s="5">
        <f t="shared" si="12"/>
        <v>-3.5042225244376638E-6</v>
      </c>
      <c r="P7" s="15">
        <f t="shared" si="13"/>
        <v>-5.1466695667876559E-2</v>
      </c>
      <c r="Q7" s="5">
        <f t="shared" si="22"/>
        <v>-5.2358451248504887E-5</v>
      </c>
      <c r="R7" s="5">
        <f t="shared" si="23"/>
        <v>-0.19894060589872517</v>
      </c>
      <c r="S7" s="12">
        <f t="shared" si="14"/>
        <v>4.2390790845322254E-4</v>
      </c>
      <c r="T7" s="5">
        <f t="shared" si="15"/>
        <v>0.56606030837128074</v>
      </c>
      <c r="U7" s="5">
        <f t="shared" si="16"/>
        <v>-5.6079772326052222E-5</v>
      </c>
      <c r="V7" s="15">
        <f t="shared" si="17"/>
        <v>-0.56608428105580144</v>
      </c>
      <c r="W7" s="12">
        <v>0</v>
      </c>
      <c r="X7" s="15">
        <f t="shared" si="18"/>
        <v>-5.6517444708965553E-2</v>
      </c>
      <c r="Y7" s="12">
        <f t="shared" si="24"/>
        <v>-2.4340335245430343E-7</v>
      </c>
      <c r="Z7" s="15">
        <f t="shared" si="25"/>
        <v>-1.3564186476746985E-2</v>
      </c>
      <c r="AA7" s="5">
        <f t="shared" si="19"/>
        <v>25.559606229589658</v>
      </c>
      <c r="AB7" s="5">
        <f t="shared" si="20"/>
        <v>104.17139073982602</v>
      </c>
      <c r="AC7" s="5">
        <f t="shared" si="26"/>
        <v>25.559602725367135</v>
      </c>
      <c r="AD7" s="6">
        <f t="shared" si="27"/>
        <v>104.11992404415815</v>
      </c>
    </row>
    <row r="8" spans="1:34">
      <c r="A8" s="4">
        <v>1.5</v>
      </c>
      <c r="B8" s="19">
        <f t="shared" si="21"/>
        <v>316.22776601683802</v>
      </c>
      <c r="C8" s="12">
        <f t="shared" si="0"/>
        <v>4.7984848440103302E-4</v>
      </c>
      <c r="D8" s="5">
        <f t="shared" si="1"/>
        <v>-0.60225240328870067</v>
      </c>
      <c r="E8" s="5">
        <f t="shared" si="2"/>
        <v>-0.56726723284958358</v>
      </c>
      <c r="F8" s="5">
        <f t="shared" si="3"/>
        <v>-20.482697527486664</v>
      </c>
      <c r="G8" s="5">
        <f t="shared" si="4"/>
        <v>1.2498713898320007E-4</v>
      </c>
      <c r="H8" s="5">
        <f t="shared" si="5"/>
        <v>0.3073704399078398</v>
      </c>
      <c r="I8" s="5">
        <f t="shared" si="6"/>
        <v>-2.7385448181129331E-5</v>
      </c>
      <c r="J8" s="15">
        <f t="shared" si="7"/>
        <v>-0.1438766028710865</v>
      </c>
      <c r="K8" s="12">
        <f t="shared" si="8"/>
        <v>-45.976726117163516</v>
      </c>
      <c r="L8" s="5">
        <f t="shared" si="9"/>
        <v>-89.712069179716565</v>
      </c>
      <c r="M8" s="5">
        <f t="shared" si="10"/>
        <v>1.9591855907902378</v>
      </c>
      <c r="N8" s="5">
        <f t="shared" si="11"/>
        <v>37.053852190483582</v>
      </c>
      <c r="O8" s="5">
        <f t="shared" si="12"/>
        <v>-5.5538171125353006E-6</v>
      </c>
      <c r="P8" s="15">
        <f t="shared" si="13"/>
        <v>-6.4792720844679033E-2</v>
      </c>
      <c r="Q8" s="5">
        <f t="shared" si="22"/>
        <v>-8.298226038036435E-5</v>
      </c>
      <c r="R8" s="5">
        <f t="shared" si="23"/>
        <v>-0.2504507955260869</v>
      </c>
      <c r="S8" s="12">
        <f t="shared" si="14"/>
        <v>6.7182958160482906E-4</v>
      </c>
      <c r="T8" s="5">
        <f t="shared" si="15"/>
        <v>0.7126141463447041</v>
      </c>
      <c r="U8" s="5">
        <f t="shared" si="16"/>
        <v>-8.888733446219388E-5</v>
      </c>
      <c r="V8" s="15">
        <f t="shared" si="17"/>
        <v>-0.71266197659281083</v>
      </c>
      <c r="W8" s="12">
        <v>0</v>
      </c>
      <c r="X8" s="15">
        <f t="shared" si="18"/>
        <v>-7.1151247353788555E-2</v>
      </c>
      <c r="Y8" s="12">
        <f t="shared" si="24"/>
        <v>-3.8576830887491155E-7</v>
      </c>
      <c r="Z8" s="15">
        <f t="shared" si="25"/>
        <v>-1.7076298859300319E-2</v>
      </c>
      <c r="AA8" s="5">
        <f t="shared" si="19"/>
        <v>23.984035835990795</v>
      </c>
      <c r="AB8" s="5">
        <f t="shared" si="20"/>
        <v>106.08160074504113</v>
      </c>
      <c r="AC8" s="5">
        <f t="shared" si="26"/>
        <v>23.984030282173684</v>
      </c>
      <c r="AD8" s="6">
        <f t="shared" si="27"/>
        <v>106.01680802419645</v>
      </c>
    </row>
    <row r="9" spans="1:34">
      <c r="A9" s="4">
        <v>1.6</v>
      </c>
      <c r="B9" s="19">
        <f t="shared" si="21"/>
        <v>398.10717055349755</v>
      </c>
      <c r="C9" s="12">
        <f t="shared" si="0"/>
        <v>7.6048402460318805E-4</v>
      </c>
      <c r="D9" s="5">
        <f t="shared" si="1"/>
        <v>-0.75817452357139559</v>
      </c>
      <c r="E9" s="5">
        <f t="shared" si="2"/>
        <v>-0.86766929641023405</v>
      </c>
      <c r="F9" s="5">
        <f t="shared" si="3"/>
        <v>-25.185708523874133</v>
      </c>
      <c r="G9" s="5">
        <f t="shared" si="4"/>
        <v>1.9808959853569256E-4</v>
      </c>
      <c r="H9" s="5">
        <f t="shared" si="5"/>
        <v>0.38695428648618979</v>
      </c>
      <c r="I9" s="5">
        <f t="shared" si="6"/>
        <v>-4.3402930355347587E-5</v>
      </c>
      <c r="J9" s="15">
        <f t="shared" si="7"/>
        <v>-0.1811296888381306</v>
      </c>
      <c r="K9" s="12">
        <f t="shared" si="8"/>
        <v>-47.976685641843616</v>
      </c>
      <c r="L9" s="5">
        <f t="shared" si="9"/>
        <v>-89.771287709284096</v>
      </c>
      <c r="M9" s="5">
        <f t="shared" si="10"/>
        <v>2.7955229877797634</v>
      </c>
      <c r="N9" s="5">
        <f t="shared" si="11"/>
        <v>43.547000870412404</v>
      </c>
      <c r="O9" s="5">
        <f t="shared" si="12"/>
        <v>-8.8022036427860157E-6</v>
      </c>
      <c r="P9" s="15">
        <f t="shared" si="13"/>
        <v>-8.1569182433581619E-2</v>
      </c>
      <c r="Q9" s="5">
        <f t="shared" si="22"/>
        <v>-1.3151728467446024E-4</v>
      </c>
      <c r="R9" s="5">
        <f t="shared" si="23"/>
        <v>-0.31529769633857607</v>
      </c>
      <c r="S9" s="12">
        <f t="shared" si="14"/>
        <v>1.0647299653402055E-3</v>
      </c>
      <c r="T9" s="5">
        <f t="shared" si="15"/>
        <v>0.89710100333404108</v>
      </c>
      <c r="U9" s="5">
        <f t="shared" si="16"/>
        <v>-1.4089422545210224E-4</v>
      </c>
      <c r="V9" s="15">
        <f t="shared" si="17"/>
        <v>-0.89719643233742985</v>
      </c>
      <c r="W9" s="12">
        <v>0</v>
      </c>
      <c r="X9" s="15">
        <f t="shared" si="18"/>
        <v>-8.9574113374536954E-2</v>
      </c>
      <c r="Y9" s="12">
        <f t="shared" si="24"/>
        <v>-6.1140154962446974E-7</v>
      </c>
      <c r="Z9" s="15">
        <f t="shared" si="25"/>
        <v>-2.149778620106645E-2</v>
      </c>
      <c r="AA9" s="5">
        <f t="shared" si="19"/>
        <v>22.520641498092356</v>
      </c>
      <c r="AB9" s="5">
        <f t="shared" si="20"/>
        <v>107.61118968641327</v>
      </c>
      <c r="AC9" s="5">
        <f t="shared" si="26"/>
        <v>22.520632695888715</v>
      </c>
      <c r="AD9" s="6">
        <f t="shared" si="27"/>
        <v>107.52962050397969</v>
      </c>
    </row>
    <row r="10" spans="1:34">
      <c r="A10" s="4">
        <v>1.7</v>
      </c>
      <c r="B10" s="19">
        <f t="shared" si="21"/>
        <v>501.18723362727235</v>
      </c>
      <c r="C10" s="12">
        <f t="shared" si="0"/>
        <v>1.2052242390365908E-3</v>
      </c>
      <c r="D10" s="5">
        <f t="shared" si="1"/>
        <v>-0.95445259245090774</v>
      </c>
      <c r="E10" s="5">
        <f t="shared" si="2"/>
        <v>-1.3049132179494656</v>
      </c>
      <c r="F10" s="5">
        <f t="shared" si="3"/>
        <v>-30.626458687979937</v>
      </c>
      <c r="G10" s="5">
        <f t="shared" si="4"/>
        <v>3.1394666855865202E-4</v>
      </c>
      <c r="H10" s="5">
        <f t="shared" si="5"/>
        <v>0.48714225256316568</v>
      </c>
      <c r="I10" s="5">
        <f t="shared" si="6"/>
        <v>-6.8788807806209598E-5</v>
      </c>
      <c r="J10" s="15">
        <f t="shared" si="7"/>
        <v>-0.22802832380842086</v>
      </c>
      <c r="K10" s="12">
        <f t="shared" si="8"/>
        <v>-49.976660103449149</v>
      </c>
      <c r="L10" s="5">
        <f t="shared" si="9"/>
        <v>-89.818327013750377</v>
      </c>
      <c r="M10" s="5">
        <f t="shared" si="10"/>
        <v>3.8595409779147567</v>
      </c>
      <c r="N10" s="5">
        <f t="shared" si="11"/>
        <v>50.115395953818286</v>
      </c>
      <c r="O10" s="5">
        <f t="shared" si="12"/>
        <v>-1.3950544364622751E-5</v>
      </c>
      <c r="P10" s="15">
        <f t="shared" si="13"/>
        <v>-0.10268947600716692</v>
      </c>
      <c r="Q10" s="5">
        <f t="shared" si="22"/>
        <v>-2.0843900322962698E-4</v>
      </c>
      <c r="R10" s="5">
        <f t="shared" si="23"/>
        <v>-0.39693393869951704</v>
      </c>
      <c r="S10" s="12">
        <f t="shared" si="14"/>
        <v>1.687362307627383E-3</v>
      </c>
      <c r="T10" s="5">
        <f t="shared" si="15"/>
        <v>1.1293292771845249</v>
      </c>
      <c r="U10" s="5">
        <f t="shared" si="16"/>
        <v>-2.2334573839506475E-4</v>
      </c>
      <c r="V10" s="15">
        <f t="shared" si="17"/>
        <v>-1.1295196676230224</v>
      </c>
      <c r="W10" s="12">
        <v>0</v>
      </c>
      <c r="X10" s="15">
        <f t="shared" si="18"/>
        <v>-0.11276712756613627</v>
      </c>
      <c r="Y10" s="12">
        <f t="shared" si="24"/>
        <v>-9.6900611538725013E-7</v>
      </c>
      <c r="Z10" s="15">
        <f t="shared" si="25"/>
        <v>-2.7064108603007456E-2</v>
      </c>
      <c r="AA10" s="5">
        <f t="shared" si="19"/>
        <v>21.148439217995811</v>
      </c>
      <c r="AB10" s="5">
        <f t="shared" si="20"/>
        <v>108.43831602308462</v>
      </c>
      <c r="AC10" s="5">
        <f t="shared" si="26"/>
        <v>21.148425267451447</v>
      </c>
      <c r="AD10" s="6">
        <f t="shared" si="27"/>
        <v>108.33562654707745</v>
      </c>
    </row>
    <row r="11" spans="1:34">
      <c r="A11" s="4">
        <v>1.8</v>
      </c>
      <c r="B11" s="19">
        <f t="shared" si="21"/>
        <v>630.95734448019368</v>
      </c>
      <c r="C11" s="12">
        <f t="shared" si="0"/>
        <v>1.9099966992918494E-3</v>
      </c>
      <c r="D11" s="5">
        <f t="shared" si="1"/>
        <v>-1.2015196239792865</v>
      </c>
      <c r="E11" s="5">
        <f t="shared" si="2"/>
        <v>-1.9186693422203578</v>
      </c>
      <c r="F11" s="5">
        <f t="shared" si="3"/>
        <v>-36.697579752733752</v>
      </c>
      <c r="G11" s="5">
        <f t="shared" si="4"/>
        <v>4.9756141935387442E-4</v>
      </c>
      <c r="H11" s="5">
        <f t="shared" si="5"/>
        <v>0.61326711799722566</v>
      </c>
      <c r="I11" s="5">
        <f t="shared" si="6"/>
        <v>-1.090224082082743E-4</v>
      </c>
      <c r="J11" s="15">
        <f t="shared" si="7"/>
        <v>-0.28706976496369757</v>
      </c>
      <c r="K11" s="12">
        <f t="shared" si="8"/>
        <v>-51.976643989734328</v>
      </c>
      <c r="L11" s="5">
        <f t="shared" si="9"/>
        <v>-89.855691839058679</v>
      </c>
      <c r="M11" s="5">
        <f t="shared" si="10"/>
        <v>5.1447908078860518</v>
      </c>
      <c r="N11" s="5">
        <f t="shared" si="11"/>
        <v>56.423836401368675</v>
      </c>
      <c r="O11" s="5">
        <f t="shared" si="12"/>
        <v>-2.2110102025678362E-5</v>
      </c>
      <c r="P11" s="15">
        <f t="shared" si="13"/>
        <v>-0.12927830990615677</v>
      </c>
      <c r="Q11" s="5">
        <f t="shared" si="22"/>
        <v>-3.3034892060042185E-4</v>
      </c>
      <c r="R11" s="5">
        <f t="shared" si="23"/>
        <v>-0.49970554646103144</v>
      </c>
      <c r="S11" s="12">
        <f t="shared" si="14"/>
        <v>2.6739852561500342E-3</v>
      </c>
      <c r="T11" s="5">
        <f t="shared" si="15"/>
        <v>1.4216336592600793</v>
      </c>
      <c r="U11" s="5">
        <f t="shared" si="16"/>
        <v>-3.5408825028680182E-4</v>
      </c>
      <c r="V11" s="15">
        <f t="shared" si="17"/>
        <v>-1.4220134892621199</v>
      </c>
      <c r="W11" s="12">
        <v>0</v>
      </c>
      <c r="X11" s="15">
        <f t="shared" si="18"/>
        <v>-0.14196540250804357</v>
      </c>
      <c r="Y11" s="12">
        <f t="shared" si="24"/>
        <v>-1.5357710945554844E-6</v>
      </c>
      <c r="Z11" s="15">
        <f t="shared" si="25"/>
        <v>-3.4071692585736599E-2</v>
      </c>
      <c r="AA11" s="5">
        <f t="shared" si="19"/>
        <v>19.821530594775975</v>
      </c>
      <c r="AB11" s="5">
        <f t="shared" si="20"/>
        <v>108.31912006707363</v>
      </c>
      <c r="AC11" s="5">
        <f t="shared" si="26"/>
        <v>19.821508484673949</v>
      </c>
      <c r="AD11" s="6">
        <f t="shared" si="27"/>
        <v>108.18984175716747</v>
      </c>
    </row>
    <row r="12" spans="1:34">
      <c r="A12" s="4">
        <v>1.9</v>
      </c>
      <c r="B12" s="19">
        <f t="shared" si="21"/>
        <v>794.32823472428197</v>
      </c>
      <c r="C12" s="12">
        <f t="shared" si="0"/>
        <v>3.0267515515054336E-3</v>
      </c>
      <c r="D12" s="5">
        <f t="shared" si="1"/>
        <v>-1.5124939299556794</v>
      </c>
      <c r="E12" s="5">
        <f t="shared" si="2"/>
        <v>-2.7424808944811794</v>
      </c>
      <c r="F12" s="5">
        <f t="shared" si="3"/>
        <v>-43.176512136875402</v>
      </c>
      <c r="G12" s="5">
        <f t="shared" si="4"/>
        <v>7.8855528716375895E-4</v>
      </c>
      <c r="H12" s="5">
        <f t="shared" si="5"/>
        <v>0.77204031531619988</v>
      </c>
      <c r="I12" s="5">
        <f t="shared" si="6"/>
        <v>-1.727876041089633E-4</v>
      </c>
      <c r="J12" s="15">
        <f t="shared" si="7"/>
        <v>-0.36139765332078511</v>
      </c>
      <c r="K12" s="12">
        <f t="shared" si="8"/>
        <v>-53.976633822636856</v>
      </c>
      <c r="L12" s="5">
        <f t="shared" si="9"/>
        <v>-89.885371863812665</v>
      </c>
      <c r="M12" s="5">
        <f t="shared" si="10"/>
        <v>6.6246393432694672</v>
      </c>
      <c r="N12" s="5">
        <f t="shared" si="11"/>
        <v>62.198474455246995</v>
      </c>
      <c r="O12" s="5">
        <f t="shared" si="12"/>
        <v>-3.5042098011947192E-5</v>
      </c>
      <c r="P12" s="15">
        <f t="shared" si="13"/>
        <v>-0.16275158799252437</v>
      </c>
      <c r="Q12" s="5">
        <f t="shared" si="22"/>
        <v>-5.2355610920028282E-4</v>
      </c>
      <c r="R12" s="5">
        <f t="shared" si="23"/>
        <v>-0.62908268187008598</v>
      </c>
      <c r="S12" s="12">
        <f t="shared" si="14"/>
        <v>4.2372182709462768E-3</v>
      </c>
      <c r="T12" s="5">
        <f t="shared" si="15"/>
        <v>1.7895159935178246</v>
      </c>
      <c r="U12" s="5">
        <f t="shared" si="16"/>
        <v>-5.6146610751477426E-4</v>
      </c>
      <c r="V12" s="15">
        <f t="shared" si="17"/>
        <v>-1.7902736995335662</v>
      </c>
      <c r="W12" s="12">
        <v>0</v>
      </c>
      <c r="X12" s="15">
        <f t="shared" si="18"/>
        <v>-0.17872385281296346</v>
      </c>
      <c r="Y12" s="12">
        <f t="shared" si="24"/>
        <v>-2.4340329028339434E-6</v>
      </c>
      <c r="Z12" s="15">
        <f t="shared" si="25"/>
        <v>-4.2893716661751957E-2</v>
      </c>
      <c r="AA12" s="5">
        <f t="shared" si="19"/>
        <v>18.480083478227311</v>
      </c>
      <c r="AB12" s="5">
        <f t="shared" si="20"/>
        <v>107.18328122923812</v>
      </c>
      <c r="AC12" s="5">
        <f t="shared" si="26"/>
        <v>18.480048436129298</v>
      </c>
      <c r="AD12" s="6">
        <f t="shared" si="27"/>
        <v>107.02052964124559</v>
      </c>
    </row>
    <row r="13" spans="1:34">
      <c r="A13" s="4">
        <v>2</v>
      </c>
      <c r="B13" s="18">
        <f t="shared" si="21"/>
        <v>1000</v>
      </c>
      <c r="C13" s="12">
        <f t="shared" si="0"/>
        <v>4.7961006988859172E-3</v>
      </c>
      <c r="D13" s="5">
        <f t="shared" si="1"/>
        <v>-1.9038584461358821</v>
      </c>
      <c r="E13" s="5">
        <f t="shared" si="2"/>
        <v>-3.7936448201814796</v>
      </c>
      <c r="F13" s="5">
        <f t="shared" si="3"/>
        <v>-49.749787835444153</v>
      </c>
      <c r="G13" s="5">
        <f t="shared" si="4"/>
        <v>1.2497095521361743E-3</v>
      </c>
      <c r="H13" s="5">
        <f t="shared" si="5"/>
        <v>0.97190676965511102</v>
      </c>
      <c r="I13" s="5">
        <f t="shared" si="6"/>
        <v>-2.7384671127774558E-4</v>
      </c>
      <c r="J13" s="15">
        <f t="shared" si="7"/>
        <v>-0.45496916048887115</v>
      </c>
      <c r="K13" s="12">
        <f t="shared" si="8"/>
        <v>-55.976627407619773</v>
      </c>
      <c r="L13" s="5">
        <f t="shared" si="9"/>
        <v>-89.908947590101036</v>
      </c>
      <c r="M13" s="5">
        <f t="shared" si="10"/>
        <v>8.2611910509439319</v>
      </c>
      <c r="N13" s="5">
        <f t="shared" si="11"/>
        <v>67.274660746043281</v>
      </c>
      <c r="O13" s="5">
        <f t="shared" si="12"/>
        <v>-5.5537851537185803E-5</v>
      </c>
      <c r="P13" s="15">
        <f t="shared" si="13"/>
        <v>-0.20489178761619156</v>
      </c>
      <c r="Q13" s="5">
        <f t="shared" si="22"/>
        <v>-8.2975126166051334E-4</v>
      </c>
      <c r="R13" s="5">
        <f t="shared" si="23"/>
        <v>-0.79194956183949483</v>
      </c>
      <c r="S13" s="12">
        <f t="shared" si="14"/>
        <v>6.71362361830117E-3</v>
      </c>
      <c r="T13" s="5">
        <f t="shared" si="15"/>
        <v>2.2524389227607688</v>
      </c>
      <c r="U13" s="5">
        <f t="shared" si="16"/>
        <v>-8.9055210799016745E-4</v>
      </c>
      <c r="V13" s="15">
        <f t="shared" si="17"/>
        <v>-2.2539502567890741</v>
      </c>
      <c r="W13" s="12">
        <v>0</v>
      </c>
      <c r="X13" s="15">
        <f t="shared" si="18"/>
        <v>-0.22500000000000001</v>
      </c>
      <c r="Y13" s="12">
        <f t="shared" si="24"/>
        <v>-3.8576815424639383E-6</v>
      </c>
      <c r="Z13" s="15">
        <f t="shared" si="25"/>
        <v>-5.3999984011249391E-2</v>
      </c>
      <c r="AA13" s="5">
        <f t="shared" si="19"/>
        <v>17.069446820069526</v>
      </c>
      <c r="AB13" s="5">
        <f t="shared" si="20"/>
        <v>105.15654360364941</v>
      </c>
      <c r="AC13" s="5">
        <f t="shared" si="26"/>
        <v>17.069391282217989</v>
      </c>
      <c r="AD13" s="6">
        <f t="shared" si="27"/>
        <v>104.95165181603322</v>
      </c>
    </row>
    <row r="14" spans="1:34">
      <c r="A14" s="4">
        <v>2.1</v>
      </c>
      <c r="B14" s="19">
        <f t="shared" si="21"/>
        <v>1258.9254117941678</v>
      </c>
      <c r="C14" s="12">
        <f t="shared" si="0"/>
        <v>7.5988543787235963E-3</v>
      </c>
      <c r="D14" s="5">
        <f t="shared" si="1"/>
        <v>-2.3963001343547079</v>
      </c>
      <c r="E14" s="5">
        <f t="shared" si="2"/>
        <v>-5.0670000143690705</v>
      </c>
      <c r="F14" s="5">
        <f t="shared" si="3"/>
        <v>-56.081001345169</v>
      </c>
      <c r="G14" s="5">
        <f t="shared" si="4"/>
        <v>1.9804895175875446E-3</v>
      </c>
      <c r="H14" s="5">
        <f t="shared" si="5"/>
        <v>1.2234895000510722</v>
      </c>
      <c r="I14" s="5">
        <f t="shared" si="6"/>
        <v>-4.3400978539651753E-4</v>
      </c>
      <c r="J14" s="15">
        <f t="shared" si="7"/>
        <v>-0.57276519661680225</v>
      </c>
      <c r="K14" s="12">
        <f t="shared" si="8"/>
        <v>-57.976623360012766</v>
      </c>
      <c r="L14" s="5">
        <f t="shared" si="9"/>
        <v>-89.927674477508518</v>
      </c>
      <c r="M14" s="5">
        <f t="shared" si="10"/>
        <v>10.015162721433361</v>
      </c>
      <c r="N14" s="5">
        <f t="shared" si="11"/>
        <v>71.598358763448772</v>
      </c>
      <c r="O14" s="5">
        <f t="shared" si="12"/>
        <v>-8.8021233642767151E-5</v>
      </c>
      <c r="P14" s="15">
        <f t="shared" si="13"/>
        <v>-0.25794283499479947</v>
      </c>
      <c r="Q14" s="5">
        <f t="shared" si="22"/>
        <v>-1.3149936580596211E-3</v>
      </c>
      <c r="R14" s="5">
        <f t="shared" si="23"/>
        <v>-0.99696829552674737</v>
      </c>
      <c r="S14" s="12">
        <f t="shared" si="14"/>
        <v>1.0635571396248425E-2</v>
      </c>
      <c r="T14" s="5">
        <f t="shared" si="15"/>
        <v>2.8347989096976138</v>
      </c>
      <c r="U14" s="5">
        <f t="shared" si="16"/>
        <v>-1.4131585517449421E-3</v>
      </c>
      <c r="V14" s="15">
        <f t="shared" si="17"/>
        <v>-2.8378128748954028</v>
      </c>
      <c r="W14" s="12">
        <v>0</v>
      </c>
      <c r="X14" s="15">
        <f t="shared" si="18"/>
        <v>-0.28325821765368775</v>
      </c>
      <c r="Y14" s="12">
        <f t="shared" si="24"/>
        <v>-6.1140116286050641E-6</v>
      </c>
      <c r="Z14" s="15">
        <f t="shared" si="25"/>
        <v>-6.7981940335143445E-2</v>
      </c>
      <c r="AA14" s="5">
        <f t="shared" si="19"/>
        <v>15.556352557157256</v>
      </c>
      <c r="AB14" s="5">
        <f t="shared" si="20"/>
        <v>102.49288469113745</v>
      </c>
      <c r="AC14" s="5">
        <f t="shared" si="26"/>
        <v>15.556264535923614</v>
      </c>
      <c r="AD14" s="6">
        <f t="shared" si="27"/>
        <v>102.23494185614265</v>
      </c>
    </row>
    <row r="15" spans="1:34">
      <c r="A15" s="4">
        <v>2.2000000000000002</v>
      </c>
      <c r="B15" s="19">
        <f t="shared" si="21"/>
        <v>1584.8931924611154</v>
      </c>
      <c r="C15" s="12">
        <f t="shared" si="0"/>
        <v>1.2037217841369678E-2</v>
      </c>
      <c r="D15" s="5">
        <f t="shared" si="1"/>
        <v>-3.0157353173691317</v>
      </c>
      <c r="E15" s="5">
        <f t="shared" si="2"/>
        <v>-6.5368500230727209</v>
      </c>
      <c r="F15" s="5">
        <f t="shared" si="3"/>
        <v>-61.891148112656964</v>
      </c>
      <c r="G15" s="5">
        <f t="shared" si="4"/>
        <v>3.1384458843474162E-3</v>
      </c>
      <c r="H15" s="5">
        <f t="shared" si="5"/>
        <v>1.5401451232289149</v>
      </c>
      <c r="I15" s="5">
        <f t="shared" si="6"/>
        <v>-6.8783905276732587E-4</v>
      </c>
      <c r="J15" s="15">
        <f t="shared" si="7"/>
        <v>-0.72105461296363071</v>
      </c>
      <c r="K15" s="12">
        <f t="shared" si="8"/>
        <v>-59.976620806143465</v>
      </c>
      <c r="L15" s="5">
        <f t="shared" si="9"/>
        <v>-89.942549784132638</v>
      </c>
      <c r="M15" s="5">
        <f t="shared" si="10"/>
        <v>11.852437274247642</v>
      </c>
      <c r="N15" s="5">
        <f t="shared" si="11"/>
        <v>75.197230643552615</v>
      </c>
      <c r="O15" s="5">
        <f t="shared" si="12"/>
        <v>-1.3950342713542661E-4</v>
      </c>
      <c r="P15" s="15">
        <f t="shared" si="13"/>
        <v>-0.32472950662057287</v>
      </c>
      <c r="Q15" s="5">
        <f t="shared" si="22"/>
        <v>-2.0839399890951221E-3</v>
      </c>
      <c r="R15" s="5">
        <f t="shared" si="23"/>
        <v>-1.2550346452872989</v>
      </c>
      <c r="S15" s="12">
        <f t="shared" si="14"/>
        <v>1.6844193916419007E-2</v>
      </c>
      <c r="T15" s="5">
        <f t="shared" si="15"/>
        <v>3.5670994346331484</v>
      </c>
      <c r="U15" s="5">
        <f t="shared" si="16"/>
        <v>-2.2440459884851098E-3</v>
      </c>
      <c r="V15" s="15">
        <f t="shared" si="17"/>
        <v>-3.5731082140087715</v>
      </c>
      <c r="W15" s="12">
        <v>0</v>
      </c>
      <c r="X15" s="15">
        <f t="shared" si="18"/>
        <v>-0.35660096830375099</v>
      </c>
      <c r="Y15" s="12">
        <f t="shared" si="24"/>
        <v>-9.6900514205164675E-6</v>
      </c>
      <c r="Z15" s="15">
        <f t="shared" si="25"/>
        <v>-8.5584168740588856E-2</v>
      </c>
      <c r="AA15" s="5">
        <f t="shared" si="19"/>
        <v>13.933727358411824</v>
      </c>
      <c r="AB15" s="5">
        <f t="shared" si="20"/>
        <v>99.463659377951899</v>
      </c>
      <c r="AC15" s="5">
        <f t="shared" si="26"/>
        <v>13.933587854984689</v>
      </c>
      <c r="AD15" s="6">
        <f t="shared" si="27"/>
        <v>99.138929871331328</v>
      </c>
    </row>
    <row r="16" spans="1:34">
      <c r="A16" s="4">
        <v>2.2999999999999998</v>
      </c>
      <c r="B16" s="19">
        <f t="shared" si="21"/>
        <v>1995.2623149688802</v>
      </c>
      <c r="C16" s="12">
        <f t="shared" si="0"/>
        <v>1.9062271808840972E-2</v>
      </c>
      <c r="D16" s="5">
        <f t="shared" si="1"/>
        <v>-3.7945383096005694</v>
      </c>
      <c r="E16" s="5">
        <f t="shared" si="2"/>
        <v>-8.1656538425610616</v>
      </c>
      <c r="F16" s="5">
        <f t="shared" si="3"/>
        <v>-67.008997493876464</v>
      </c>
      <c r="G16" s="5">
        <f t="shared" si="4"/>
        <v>4.9730508511489913E-3</v>
      </c>
      <c r="H16" s="5">
        <f t="shared" si="5"/>
        <v>1.9386547960862064</v>
      </c>
      <c r="I16" s="5">
        <f t="shared" si="6"/>
        <v>-1.0901009444734462E-3</v>
      </c>
      <c r="J16" s="15">
        <f t="shared" si="7"/>
        <v>-0.90772594855004018</v>
      </c>
      <c r="K16" s="12">
        <f t="shared" si="8"/>
        <v>-61.976619194760083</v>
      </c>
      <c r="L16" s="5">
        <f t="shared" si="9"/>
        <v>-89.954365665801575</v>
      </c>
      <c r="M16" s="5">
        <f t="shared" si="10"/>
        <v>13.746535933675005</v>
      </c>
      <c r="N16" s="5">
        <f t="shared" si="11"/>
        <v>78.145069433953751</v>
      </c>
      <c r="O16" s="5">
        <f t="shared" si="12"/>
        <v>-2.21095955062421E-4</v>
      </c>
      <c r="P16" s="15">
        <f t="shared" si="13"/>
        <v>-0.40880766768100463</v>
      </c>
      <c r="Q16" s="5">
        <f t="shared" si="22"/>
        <v>-3.302358981219515E-3</v>
      </c>
      <c r="R16" s="5">
        <f t="shared" si="23"/>
        <v>-1.5798472457547021</v>
      </c>
      <c r="S16" s="12">
        <f t="shared" si="14"/>
        <v>2.6666052486810102E-2</v>
      </c>
      <c r="T16" s="5">
        <f t="shared" si="15"/>
        <v>4.4873257931958337</v>
      </c>
      <c r="U16" s="5">
        <f t="shared" si="16"/>
        <v>-3.5674708767818425E-3</v>
      </c>
      <c r="V16" s="15">
        <f t="shared" si="17"/>
        <v>-4.4992995103934712</v>
      </c>
      <c r="W16" s="12">
        <v>0</v>
      </c>
      <c r="X16" s="15">
        <f t="shared" si="18"/>
        <v>-0.44893402086799805</v>
      </c>
      <c r="Y16" s="12">
        <f t="shared" si="24"/>
        <v>-1.5357686507960409E-5</v>
      </c>
      <c r="Z16" s="15">
        <f t="shared" si="25"/>
        <v>-0.10774403800536084</v>
      </c>
      <c r="AA16" s="5">
        <f t="shared" si="19"/>
        <v>12.214755553831676</v>
      </c>
      <c r="AB16" s="5">
        <f t="shared" si="20"/>
        <v>96.269597790385617</v>
      </c>
      <c r="AC16" s="5">
        <f t="shared" si="26"/>
        <v>12.214534457876614</v>
      </c>
      <c r="AD16" s="6">
        <f t="shared" si="27"/>
        <v>95.860790122704614</v>
      </c>
    </row>
    <row r="17" spans="1:30">
      <c r="A17" s="4">
        <v>2.4</v>
      </c>
      <c r="B17" s="19">
        <f t="shared" si="21"/>
        <v>2511.8864315095807</v>
      </c>
      <c r="C17" s="12">
        <f t="shared" si="0"/>
        <v>3.0173007190083392E-2</v>
      </c>
      <c r="D17" s="5">
        <f t="shared" si="1"/>
        <v>-4.7729655976959595</v>
      </c>
      <c r="E17" s="5">
        <f t="shared" si="2"/>
        <v>-9.9139917300184504</v>
      </c>
      <c r="F17" s="5">
        <f t="shared" si="3"/>
        <v>-71.374890655534614</v>
      </c>
      <c r="G17" s="5">
        <f t="shared" si="4"/>
        <v>7.8791172065126938E-3</v>
      </c>
      <c r="H17" s="5">
        <f t="shared" si="5"/>
        <v>2.4400773629770951</v>
      </c>
      <c r="I17" s="5">
        <f t="shared" si="6"/>
        <v>-1.7275667666921061E-3</v>
      </c>
      <c r="J17" s="15">
        <f t="shared" si="7"/>
        <v>-1.142703350387458</v>
      </c>
      <c r="K17" s="12">
        <f t="shared" si="8"/>
        <v>-63.976618178045605</v>
      </c>
      <c r="L17" s="5">
        <f t="shared" si="9"/>
        <v>-89.963751357044657</v>
      </c>
      <c r="M17" s="5">
        <f t="shared" si="10"/>
        <v>15.678363080837549</v>
      </c>
      <c r="N17" s="5">
        <f t="shared" si="11"/>
        <v>80.53365952757018</v>
      </c>
      <c r="O17" s="5">
        <f t="shared" si="12"/>
        <v>-3.5040825721234162E-4</v>
      </c>
      <c r="P17" s="15">
        <f t="shared" si="13"/>
        <v>-0.51465325333197387</v>
      </c>
      <c r="Q17" s="5">
        <f t="shared" si="22"/>
        <v>-5.2327230211146047E-3</v>
      </c>
      <c r="R17" s="5">
        <f t="shared" si="23"/>
        <v>-1.9886151489575756</v>
      </c>
      <c r="S17" s="12">
        <f t="shared" si="14"/>
        <v>4.2187291359481863E-2</v>
      </c>
      <c r="T17" s="5">
        <f t="shared" si="15"/>
        <v>5.6424754788682518</v>
      </c>
      <c r="U17" s="5">
        <f t="shared" si="16"/>
        <v>-5.6814121024312105E-3</v>
      </c>
      <c r="V17" s="15">
        <f t="shared" si="17"/>
        <v>-5.6663177293829845</v>
      </c>
      <c r="W17" s="12">
        <v>0</v>
      </c>
      <c r="X17" s="15">
        <f t="shared" si="18"/>
        <v>-0.5651744470896557</v>
      </c>
      <c r="Y17" s="12">
        <f t="shared" si="24"/>
        <v>-2.4340267629658012E-5</v>
      </c>
      <c r="Z17" s="15">
        <f t="shared" si="25"/>
        <v>-0.13564161389761448</v>
      </c>
      <c r="AA17" s="5">
        <f t="shared" si="19"/>
        <v>10.423093117191701</v>
      </c>
      <c r="AB17" s="5">
        <f t="shared" si="20"/>
        <v>93.00615246942499</v>
      </c>
      <c r="AC17" s="5">
        <f t="shared" si="26"/>
        <v>10.422742708934489</v>
      </c>
      <c r="AD17" s="6">
        <f t="shared" si="27"/>
        <v>92.491499216093018</v>
      </c>
    </row>
    <row r="18" spans="1:30">
      <c r="A18" s="4">
        <v>2.5</v>
      </c>
      <c r="B18" s="19">
        <f t="shared" si="21"/>
        <v>3162.2776601683827</v>
      </c>
      <c r="C18" s="12">
        <f t="shared" si="0"/>
        <v>4.7724316704260042E-2</v>
      </c>
      <c r="D18" s="5">
        <f t="shared" si="1"/>
        <v>-6.0007089245289702</v>
      </c>
      <c r="E18" s="5">
        <f t="shared" si="2"/>
        <v>-11.747356499515131</v>
      </c>
      <c r="F18" s="5">
        <f t="shared" si="3"/>
        <v>-75.012863624364698</v>
      </c>
      <c r="G18" s="5">
        <f t="shared" si="4"/>
        <v>1.2480942424511704E-2</v>
      </c>
      <c r="H18" s="5">
        <f t="shared" si="5"/>
        <v>3.0707902555898214</v>
      </c>
      <c r="I18" s="5">
        <f t="shared" si="6"/>
        <v>-2.7376903831564112E-3</v>
      </c>
      <c r="J18" s="15">
        <f t="shared" si="7"/>
        <v>-1.4384667498616903</v>
      </c>
      <c r="K18" s="12">
        <f t="shared" si="8"/>
        <v>-65.976617536542022</v>
      </c>
      <c r="L18" s="5">
        <f t="shared" si="9"/>
        <v>-89.971206678012422</v>
      </c>
      <c r="M18" s="5">
        <f t="shared" si="10"/>
        <v>17.634791700608265</v>
      </c>
      <c r="N18" s="5">
        <f t="shared" si="11"/>
        <v>82.455354534755102</v>
      </c>
      <c r="O18" s="5">
        <f t="shared" si="12"/>
        <v>-5.5534655799267612E-4</v>
      </c>
      <c r="P18" s="15">
        <f t="shared" si="13"/>
        <v>-0.64789986745722761</v>
      </c>
      <c r="Q18" s="5">
        <f t="shared" si="22"/>
        <v>-8.2903873858568566E-3</v>
      </c>
      <c r="R18" s="5">
        <f t="shared" si="23"/>
        <v>-2.5029305556209982</v>
      </c>
      <c r="S18" s="12">
        <f t="shared" si="14"/>
        <v>6.6673731674115236E-2</v>
      </c>
      <c r="T18" s="5">
        <f t="shared" si="15"/>
        <v>7.0900957812013239</v>
      </c>
      <c r="U18" s="5">
        <f t="shared" si="16"/>
        <v>-9.0730481735731509E-3</v>
      </c>
      <c r="V18" s="15">
        <f t="shared" si="17"/>
        <v>-7.1375148891888642</v>
      </c>
      <c r="W18" s="12">
        <v>0</v>
      </c>
      <c r="X18" s="15">
        <f t="shared" si="18"/>
        <v>-0.71151247353788616</v>
      </c>
      <c r="Y18" s="12">
        <f t="shared" si="24"/>
        <v>-3.8576661238921431E-5</v>
      </c>
      <c r="Z18" s="15">
        <f t="shared" si="25"/>
        <v>-0.1707624880428292</v>
      </c>
      <c r="AA18" s="5">
        <f t="shared" si="19"/>
        <v>8.5853235235701693</v>
      </c>
      <c r="AB18" s="5">
        <f t="shared" si="20"/>
        <v>89.670274188387921</v>
      </c>
      <c r="AC18" s="5">
        <f t="shared" si="26"/>
        <v>8.584768177012176</v>
      </c>
      <c r="AD18" s="6">
        <f t="shared" si="27"/>
        <v>89.022374320930695</v>
      </c>
    </row>
    <row r="19" spans="1:30">
      <c r="A19" s="4">
        <v>2.6</v>
      </c>
      <c r="B19" s="19">
        <f t="shared" si="21"/>
        <v>3981.071705534976</v>
      </c>
      <c r="C19" s="12">
        <f t="shared" si="0"/>
        <v>7.5396784899402838E-2</v>
      </c>
      <c r="D19" s="5">
        <f t="shared" si="1"/>
        <v>-7.5383865401278394</v>
      </c>
      <c r="E19" s="5">
        <f t="shared" si="2"/>
        <v>-13.638828871969015</v>
      </c>
      <c r="F19" s="5">
        <f t="shared" si="3"/>
        <v>-77.994961229567082</v>
      </c>
      <c r="G19" s="5">
        <f t="shared" si="4"/>
        <v>1.9764370342006995E-2</v>
      </c>
      <c r="H19" s="5">
        <f t="shared" si="5"/>
        <v>3.8637342943491548</v>
      </c>
      <c r="I19" s="5">
        <f t="shared" si="6"/>
        <v>-4.3381473246492993E-3</v>
      </c>
      <c r="J19" s="15">
        <f t="shared" si="7"/>
        <v>-1.8106998819309463</v>
      </c>
      <c r="K19" s="12">
        <f t="shared" si="8"/>
        <v>-67.976617131780557</v>
      </c>
      <c r="L19" s="5">
        <f t="shared" si="9"/>
        <v>-89.977128650663232</v>
      </c>
      <c r="M19" s="5">
        <f t="shared" si="10"/>
        <v>19.607073381727524</v>
      </c>
      <c r="N19" s="5">
        <f t="shared" si="11"/>
        <v>83.994287628576444</v>
      </c>
      <c r="O19" s="5">
        <f t="shared" si="12"/>
        <v>-8.8013206752308646E-4</v>
      </c>
      <c r="P19" s="15">
        <f t="shared" si="13"/>
        <v>-0.81563727436199196</v>
      </c>
      <c r="Q19" s="5">
        <f t="shared" si="22"/>
        <v>-1.3132053444384607E-2</v>
      </c>
      <c r="R19" s="5">
        <f t="shared" si="23"/>
        <v>-3.1498317638413829</v>
      </c>
      <c r="S19" s="12">
        <f t="shared" si="14"/>
        <v>0.10520152134001419</v>
      </c>
      <c r="T19" s="5">
        <f t="shared" si="15"/>
        <v>8.8994764017017314</v>
      </c>
      <c r="U19" s="5">
        <f t="shared" si="16"/>
        <v>-1.4551816674463843E-2</v>
      </c>
      <c r="V19" s="15">
        <f t="shared" si="17"/>
        <v>-8.9936118506122789</v>
      </c>
      <c r="W19" s="12">
        <v>0</v>
      </c>
      <c r="X19" s="15">
        <f t="shared" si="18"/>
        <v>-0.89574113374536957</v>
      </c>
      <c r="Y19" s="12">
        <f t="shared" si="24"/>
        <v>-6.1139728964450081E-5</v>
      </c>
      <c r="Z19" s="15">
        <f t="shared" si="25"/>
        <v>-0.21497686328490972</v>
      </c>
      <c r="AA19" s="5">
        <f t="shared" si="19"/>
        <v>6.727673468206909</v>
      </c>
      <c r="AB19" s="5">
        <f t="shared" si="20"/>
        <v>86.182160410854294</v>
      </c>
      <c r="AC19" s="5">
        <f t="shared" si="26"/>
        <v>6.7267933361393863</v>
      </c>
      <c r="AD19" s="6">
        <f t="shared" si="27"/>
        <v>85.366523136492305</v>
      </c>
    </row>
    <row r="20" spans="1:30">
      <c r="A20" s="4">
        <v>2.7</v>
      </c>
      <c r="B20" s="19">
        <f t="shared" si="21"/>
        <v>5011.8723362727269</v>
      </c>
      <c r="C20" s="12">
        <f t="shared" si="0"/>
        <v>0.11889667884325548</v>
      </c>
      <c r="D20" s="5">
        <f t="shared" si="1"/>
        <v>-9.4585395458156256</v>
      </c>
      <c r="E20" s="5">
        <f t="shared" si="2"/>
        <v>-15.568930311568721</v>
      </c>
      <c r="F20" s="5">
        <f t="shared" si="3"/>
        <v>-80.412513876765786</v>
      </c>
      <c r="G20" s="5">
        <f t="shared" si="4"/>
        <v>3.1282863111778324E-2</v>
      </c>
      <c r="H20" s="5">
        <f t="shared" si="5"/>
        <v>4.85985153564281</v>
      </c>
      <c r="I20" s="5">
        <f t="shared" si="6"/>
        <v>-6.8734931172430673E-3</v>
      </c>
      <c r="J20" s="15">
        <f t="shared" si="7"/>
        <v>-2.2790924750435919</v>
      </c>
      <c r="K20" s="12">
        <f t="shared" si="8"/>
        <v>-69.976616876393336</v>
      </c>
      <c r="L20" s="5">
        <f t="shared" si="9"/>
        <v>-89.981832641099444</v>
      </c>
      <c r="M20" s="5">
        <f t="shared" si="10"/>
        <v>21.589492839308967</v>
      </c>
      <c r="N20" s="5">
        <f t="shared" si="11"/>
        <v>85.223043915426089</v>
      </c>
      <c r="O20" s="5">
        <f t="shared" si="12"/>
        <v>-1.3948326624940261E-3</v>
      </c>
      <c r="P20" s="15">
        <f t="shared" si="13"/>
        <v>-1.0267859263816517</v>
      </c>
      <c r="Q20" s="5">
        <f t="shared" si="22"/>
        <v>-2.0794537616627883E-2</v>
      </c>
      <c r="R20" s="5">
        <f t="shared" si="23"/>
        <v>-3.9630705996733835</v>
      </c>
      <c r="S20" s="12">
        <f t="shared" si="14"/>
        <v>0.1655723436146086</v>
      </c>
      <c r="T20" s="5">
        <f t="shared" si="15"/>
        <v>11.151768288446663</v>
      </c>
      <c r="U20" s="5">
        <f t="shared" si="16"/>
        <v>-2.34937011415145E-2</v>
      </c>
      <c r="V20" s="15">
        <f t="shared" si="17"/>
        <v>-11.338100583332185</v>
      </c>
      <c r="W20" s="12">
        <v>0</v>
      </c>
      <c r="X20" s="15">
        <f t="shared" si="18"/>
        <v>-1.1276712756613636</v>
      </c>
      <c r="Y20" s="12">
        <f t="shared" si="24"/>
        <v>-9.6899541286150974E-5</v>
      </c>
      <c r="Z20" s="15">
        <f t="shared" si="25"/>
        <v>-0.27063909332015651</v>
      </c>
      <c r="AA20" s="5">
        <f t="shared" si="19"/>
        <v>4.8762054763198739</v>
      </c>
      <c r="AB20" s="5">
        <f t="shared" si="20"/>
        <v>82.403203648804009</v>
      </c>
      <c r="AC20" s="5">
        <f t="shared" si="26"/>
        <v>4.8748106436573799</v>
      </c>
      <c r="AD20" s="6">
        <f t="shared" si="27"/>
        <v>81.37641772242236</v>
      </c>
    </row>
    <row r="21" spans="1:30">
      <c r="A21" s="4">
        <v>2.8</v>
      </c>
      <c r="B21" s="19">
        <f t="shared" si="21"/>
        <v>6309.5734448019321</v>
      </c>
      <c r="C21" s="12">
        <f t="shared" si="0"/>
        <v>0.18695910922455333</v>
      </c>
      <c r="D21" s="5">
        <f t="shared" si="1"/>
        <v>-11.845262615306201</v>
      </c>
      <c r="E21" s="5">
        <f t="shared" si="2"/>
        <v>-17.524241338031995</v>
      </c>
      <c r="F21" s="5">
        <f t="shared" si="3"/>
        <v>-82.358142344137775</v>
      </c>
      <c r="G21" s="5">
        <f t="shared" si="4"/>
        <v>4.9476095941875166E-2</v>
      </c>
      <c r="H21" s="5">
        <f t="shared" si="5"/>
        <v>6.1096426513345321</v>
      </c>
      <c r="I21" s="5">
        <f t="shared" si="6"/>
        <v>-1.0888716047337797E-2</v>
      </c>
      <c r="J21" s="15">
        <f t="shared" si="7"/>
        <v>-2.8683230962642114</v>
      </c>
      <c r="K21" s="12">
        <f t="shared" si="8"/>
        <v>-71.976616715254863</v>
      </c>
      <c r="L21" s="5">
        <f t="shared" si="9"/>
        <v>-89.985569153696446</v>
      </c>
      <c r="M21" s="5">
        <f t="shared" si="10"/>
        <v>23.578363536978038</v>
      </c>
      <c r="N21" s="5">
        <f t="shared" si="11"/>
        <v>86.20228380750892</v>
      </c>
      <c r="O21" s="5">
        <f t="shared" si="12"/>
        <v>-2.2104532018029071E-3</v>
      </c>
      <c r="P21" s="15">
        <f t="shared" si="13"/>
        <v>-1.2925659720155032</v>
      </c>
      <c r="Q21" s="5">
        <f t="shared" si="22"/>
        <v>-3.2911131508391096E-2</v>
      </c>
      <c r="R21" s="5">
        <f t="shared" si="23"/>
        <v>-4.9845687419598743</v>
      </c>
      <c r="S21" s="12">
        <f t="shared" si="14"/>
        <v>0.25956714409122583</v>
      </c>
      <c r="T21" s="5">
        <f t="shared" si="15"/>
        <v>13.937669267292851</v>
      </c>
      <c r="U21" s="5">
        <f t="shared" si="16"/>
        <v>-3.8310855092049623E-2</v>
      </c>
      <c r="V21" s="15">
        <f t="shared" si="17"/>
        <v>-14.304824516616804</v>
      </c>
      <c r="W21" s="12">
        <v>0</v>
      </c>
      <c r="X21" s="15">
        <f t="shared" si="18"/>
        <v>-1.4196540250804348</v>
      </c>
      <c r="Y21" s="12">
        <f t="shared" si="24"/>
        <v>-1.5357442126543266E-4</v>
      </c>
      <c r="Z21" s="15">
        <f t="shared" si="25"/>
        <v>-0.34071294990980416</v>
      </c>
      <c r="AA21" s="5">
        <f t="shared" si="19"/>
        <v>3.0590101266997838</v>
      </c>
      <c r="AB21" s="5">
        <f t="shared" si="20"/>
        <v>78.142538283164768</v>
      </c>
      <c r="AC21" s="5">
        <f t="shared" si="26"/>
        <v>3.0567996734979808</v>
      </c>
      <c r="AD21" s="6">
        <f t="shared" si="27"/>
        <v>76.849972311149259</v>
      </c>
    </row>
    <row r="22" spans="1:30">
      <c r="A22" s="4">
        <v>2.9</v>
      </c>
      <c r="B22" s="19">
        <f t="shared" si="21"/>
        <v>7943.2823472428208</v>
      </c>
      <c r="C22" s="12">
        <f t="shared" si="0"/>
        <v>0.29269231255813311</v>
      </c>
      <c r="D22" s="5">
        <f t="shared" si="1"/>
        <v>-14.790891099850153</v>
      </c>
      <c r="E22" s="5">
        <f t="shared" si="2"/>
        <v>-19.495806043360769</v>
      </c>
      <c r="F22" s="5">
        <f t="shared" si="3"/>
        <v>-83.916568426117848</v>
      </c>
      <c r="G22" s="5">
        <f t="shared" si="4"/>
        <v>7.8155213778983185E-2</v>
      </c>
      <c r="H22" s="5">
        <f t="shared" si="5"/>
        <v>7.6746391815070316</v>
      </c>
      <c r="I22" s="5">
        <f t="shared" si="6"/>
        <v>-1.7244821196687118E-2</v>
      </c>
      <c r="J22" s="15">
        <f t="shared" si="7"/>
        <v>-3.6092428789473225</v>
      </c>
      <c r="K22" s="12">
        <f t="shared" si="8"/>
        <v>-73.976616613583388</v>
      </c>
      <c r="L22" s="5">
        <f t="shared" si="9"/>
        <v>-89.988537171240679</v>
      </c>
      <c r="M22" s="5">
        <f t="shared" si="10"/>
        <v>25.571326718993234</v>
      </c>
      <c r="N22" s="5">
        <f t="shared" si="11"/>
        <v>86.98173631057179</v>
      </c>
      <c r="O22" s="5">
        <f t="shared" si="12"/>
        <v>-3.5028109589879345E-3</v>
      </c>
      <c r="P22" s="15">
        <f t="shared" si="13"/>
        <v>-1.6270827326388311</v>
      </c>
      <c r="Q22" s="5">
        <f t="shared" si="22"/>
        <v>-5.2045660904162988E-2</v>
      </c>
      <c r="R22" s="5">
        <f t="shared" si="23"/>
        <v>-6.2659790782400488</v>
      </c>
      <c r="S22" s="12">
        <f t="shared" si="14"/>
        <v>0.40449308178000021</v>
      </c>
      <c r="T22" s="5">
        <f t="shared" si="15"/>
        <v>17.350425989038623</v>
      </c>
      <c r="U22" s="5">
        <f t="shared" si="16"/>
        <v>-6.3396904358051148E-2</v>
      </c>
      <c r="V22" s="15">
        <f t="shared" si="17"/>
        <v>-18.068811474731756</v>
      </c>
      <c r="W22" s="12">
        <v>0</v>
      </c>
      <c r="X22" s="15">
        <f t="shared" si="18"/>
        <v>-1.7872385281296348</v>
      </c>
      <c r="Y22" s="12">
        <f t="shared" si="24"/>
        <v>-2.4339653776593397E-4</v>
      </c>
      <c r="Z22" s="15">
        <f t="shared" si="25"/>
        <v>-0.4289292336586128</v>
      </c>
      <c r="AA22" s="5">
        <f t="shared" si="19"/>
        <v>1.3090804579895228</v>
      </c>
      <c r="AB22" s="5">
        <f t="shared" si="20"/>
        <v>73.150603590201385</v>
      </c>
      <c r="AC22" s="5">
        <f t="shared" si="26"/>
        <v>1.3055776470305349</v>
      </c>
      <c r="AD22" s="6">
        <f t="shared" si="27"/>
        <v>71.523520857562559</v>
      </c>
    </row>
    <row r="23" spans="1:30">
      <c r="A23" s="4">
        <v>3</v>
      </c>
      <c r="B23" s="18">
        <f t="shared" si="21"/>
        <v>10000</v>
      </c>
      <c r="C23" s="12">
        <f t="shared" si="0"/>
        <v>0.45516725141768416</v>
      </c>
      <c r="D23" s="5">
        <f t="shared" si="1"/>
        <v>-18.387236919070318</v>
      </c>
      <c r="E23" s="5">
        <f t="shared" si="2"/>
        <v>-21.477768314770543</v>
      </c>
      <c r="F23" s="5">
        <f t="shared" si="3"/>
        <v>-85.161055690476161</v>
      </c>
      <c r="G23" s="5">
        <f t="shared" si="4"/>
        <v>0.12322414160377265</v>
      </c>
      <c r="H23" s="5">
        <f t="shared" si="5"/>
        <v>9.6283313470057053</v>
      </c>
      <c r="I23" s="5">
        <f t="shared" si="6"/>
        <v>-2.7299552588645765E-2</v>
      </c>
      <c r="J23" s="15">
        <f t="shared" si="7"/>
        <v>-4.5402599768740428</v>
      </c>
      <c r="K23" s="12">
        <f t="shared" si="8"/>
        <v>-75.97661654943299</v>
      </c>
      <c r="L23" s="5">
        <f t="shared" si="9"/>
        <v>-89.990894751421834</v>
      </c>
      <c r="M23" s="5">
        <f t="shared" si="10"/>
        <v>27.566880913302807</v>
      </c>
      <c r="N23" s="5">
        <f t="shared" si="11"/>
        <v>87.601689453076574</v>
      </c>
      <c r="O23" s="5">
        <f t="shared" si="12"/>
        <v>-5.550272536467336E-3</v>
      </c>
      <c r="P23" s="15">
        <f t="shared" si="13"/>
        <v>-2.0480538806254134</v>
      </c>
      <c r="Q23" s="5">
        <f t="shared" si="22"/>
        <v>-8.2200208034019451E-2</v>
      </c>
      <c r="R23" s="5">
        <f t="shared" si="23"/>
        <v>-7.8701265958336517</v>
      </c>
      <c r="S23" s="12">
        <f t="shared" si="14"/>
        <v>0.62471589375774927</v>
      </c>
      <c r="T23" s="5">
        <f t="shared" si="15"/>
        <v>21.471073927769854</v>
      </c>
      <c r="U23" s="5">
        <f t="shared" si="16"/>
        <v>-0.10710353444684059</v>
      </c>
      <c r="V23" s="15">
        <f t="shared" si="17"/>
        <v>-22.861642258994003</v>
      </c>
      <c r="W23" s="12">
        <v>0</v>
      </c>
      <c r="X23" s="15">
        <f t="shared" si="18"/>
        <v>-2.25</v>
      </c>
      <c r="Y23" s="12">
        <f t="shared" si="24"/>
        <v>-3.8575119349709068E-4</v>
      </c>
      <c r="Z23" s="15">
        <f t="shared" si="25"/>
        <v>-0.53998401209295088</v>
      </c>
      <c r="AA23" s="5">
        <f t="shared" si="19"/>
        <v>-0.333619139564514</v>
      </c>
      <c r="AB23" s="5">
        <f t="shared" si="20"/>
        <v>67.099894523089191</v>
      </c>
      <c r="AC23" s="5">
        <f t="shared" si="26"/>
        <v>-0.33916941210098134</v>
      </c>
      <c r="AD23" s="6">
        <f t="shared" si="27"/>
        <v>65.051840642463773</v>
      </c>
    </row>
    <row r="24" spans="1:30">
      <c r="A24" s="4">
        <v>3.1</v>
      </c>
      <c r="B24" s="19">
        <f t="shared" si="21"/>
        <v>12589.25411794168</v>
      </c>
      <c r="C24" s="12">
        <f t="shared" si="0"/>
        <v>0.70083418988699497</v>
      </c>
      <c r="D24" s="5">
        <f t="shared" si="1"/>
        <v>-22.708203314327491</v>
      </c>
      <c r="E24" s="5">
        <f t="shared" si="2"/>
        <v>-23.466348609204566</v>
      </c>
      <c r="F24" s="5">
        <f t="shared" si="3"/>
        <v>-86.152916820744835</v>
      </c>
      <c r="G24" s="5">
        <f t="shared" si="4"/>
        <v>0.19370914293821165</v>
      </c>
      <c r="H24" s="5">
        <f t="shared" si="5"/>
        <v>12.055635462150203</v>
      </c>
      <c r="I24" s="5">
        <f t="shared" si="6"/>
        <v>-4.3187697201708133E-2</v>
      </c>
      <c r="J24" s="15">
        <f t="shared" si="7"/>
        <v>-5.7088751282741192</v>
      </c>
      <c r="K24" s="12">
        <f t="shared" si="8"/>
        <v>-77.976616508956852</v>
      </c>
      <c r="L24" s="5">
        <f t="shared" si="9"/>
        <v>-89.992767443947699</v>
      </c>
      <c r="M24" s="5">
        <f t="shared" si="10"/>
        <v>29.564073456052267</v>
      </c>
      <c r="N24" s="5">
        <f t="shared" si="11"/>
        <v>88.094543594609775</v>
      </c>
      <c r="O24" s="5">
        <f t="shared" si="12"/>
        <v>-8.7933045051945564E-3</v>
      </c>
      <c r="P24" s="15">
        <f t="shared" si="13"/>
        <v>-2.5777052323668892</v>
      </c>
      <c r="Q24" s="5">
        <f t="shared" si="22"/>
        <v>-0.12956716177017313</v>
      </c>
      <c r="R24" s="5">
        <f t="shared" si="23"/>
        <v>-9.8718305101423525</v>
      </c>
      <c r="S24" s="12">
        <f t="shared" si="14"/>
        <v>0.95236736694601143</v>
      </c>
      <c r="T24" s="5">
        <f t="shared" si="15"/>
        <v>26.343226364159168</v>
      </c>
      <c r="U24" s="5">
        <f t="shared" si="16"/>
        <v>-0.18595743143856969</v>
      </c>
      <c r="V24" s="15">
        <f t="shared" si="17"/>
        <v>-28.991598983491855</v>
      </c>
      <c r="W24" s="12">
        <v>0</v>
      </c>
      <c r="X24" s="15">
        <f t="shared" si="18"/>
        <v>-2.8325821765368779</v>
      </c>
      <c r="Y24" s="12">
        <f t="shared" si="24"/>
        <v>-6.1135856061658679E-4</v>
      </c>
      <c r="Z24" s="15">
        <f t="shared" si="25"/>
        <v>-0.67978782329471155</v>
      </c>
      <c r="AA24" s="5">
        <f t="shared" si="19"/>
        <v>-1.8235380404889985</v>
      </c>
      <c r="AB24" s="5">
        <f t="shared" si="20"/>
        <v>59.554843220159221</v>
      </c>
      <c r="AC24" s="5">
        <f t="shared" si="26"/>
        <v>-1.8323313449941931</v>
      </c>
      <c r="AD24" s="6">
        <f t="shared" si="27"/>
        <v>56.977137987792332</v>
      </c>
    </row>
    <row r="25" spans="1:30">
      <c r="A25" s="4">
        <v>3.2</v>
      </c>
      <c r="B25" s="19">
        <f t="shared" si="21"/>
        <v>15848.931924611155</v>
      </c>
      <c r="C25" s="12">
        <f t="shared" si="0"/>
        <v>1.063784661822597</v>
      </c>
      <c r="D25" s="5">
        <f t="shared" si="1"/>
        <v>-27.781683428607423</v>
      </c>
      <c r="E25" s="5">
        <f t="shared" si="2"/>
        <v>-25.4591277810683</v>
      </c>
      <c r="F25" s="5">
        <f t="shared" si="3"/>
        <v>-86.942458300028065</v>
      </c>
      <c r="G25" s="5">
        <f t="shared" si="4"/>
        <v>0.3031286531874734</v>
      </c>
      <c r="H25" s="5">
        <f t="shared" si="5"/>
        <v>15.049255423871202</v>
      </c>
      <c r="I25" s="5">
        <f t="shared" si="6"/>
        <v>-6.8250249073526226E-2</v>
      </c>
      <c r="J25" s="15">
        <f t="shared" si="7"/>
        <v>-7.1732125002955023</v>
      </c>
      <c r="K25" s="12">
        <f t="shared" si="8"/>
        <v>-79.976616483418127</v>
      </c>
      <c r="L25" s="5">
        <f t="shared" si="9"/>
        <v>-89.994254976507165</v>
      </c>
      <c r="M25" s="5">
        <f t="shared" si="10"/>
        <v>31.562301136023795</v>
      </c>
      <c r="N25" s="5">
        <f t="shared" si="11"/>
        <v>88.48623624822676</v>
      </c>
      <c r="O25" s="5">
        <f t="shared" si="12"/>
        <v>-1.3928208377527972E-2</v>
      </c>
      <c r="P25" s="15">
        <f t="shared" si="13"/>
        <v>-3.2438594582946694</v>
      </c>
      <c r="Q25" s="5">
        <f t="shared" si="22"/>
        <v>-0.20359627491361529</v>
      </c>
      <c r="R25" s="5">
        <f t="shared" si="23"/>
        <v>-12.357125151353884</v>
      </c>
      <c r="S25" s="12">
        <f t="shared" si="14"/>
        <v>1.4257873001250014</v>
      </c>
      <c r="T25" s="5">
        <f t="shared" si="15"/>
        <v>31.938667423320322</v>
      </c>
      <c r="U25" s="5">
        <f t="shared" si="16"/>
        <v>-0.33354155256007384</v>
      </c>
      <c r="V25" s="15">
        <f t="shared" si="17"/>
        <v>-36.862564086012604</v>
      </c>
      <c r="W25" s="12">
        <v>0</v>
      </c>
      <c r="X25" s="15">
        <f t="shared" si="18"/>
        <v>-3.5660096830375099</v>
      </c>
      <c r="Y25" s="12">
        <f t="shared" si="24"/>
        <v>-9.6889813583300581E-4</v>
      </c>
      <c r="Z25" s="15">
        <f t="shared" si="25"/>
        <v>-0.85577868005241375</v>
      </c>
      <c r="AA25" s="5">
        <f t="shared" si="19"/>
        <v>-3.119332917190611</v>
      </c>
      <c r="AB25" s="5">
        <f t="shared" si="20"/>
        <v>49.941072289523717</v>
      </c>
      <c r="AC25" s="5">
        <f t="shared" si="26"/>
        <v>-3.1332611255681391</v>
      </c>
      <c r="AD25" s="6">
        <f t="shared" si="27"/>
        <v>46.697212831229045</v>
      </c>
    </row>
    <row r="26" spans="1:30">
      <c r="A26" s="4">
        <v>3.3</v>
      </c>
      <c r="B26" s="19">
        <f t="shared" si="21"/>
        <v>19952.623149688803</v>
      </c>
      <c r="C26" s="12">
        <f t="shared" si="0"/>
        <v>1.5832922985473474</v>
      </c>
      <c r="D26" s="5">
        <f t="shared" si="1"/>
        <v>-33.554001798464327</v>
      </c>
      <c r="E26" s="5">
        <f t="shared" si="2"/>
        <v>-27.454565561416871</v>
      </c>
      <c r="F26" s="5">
        <f t="shared" si="3"/>
        <v>-87.570457447672126</v>
      </c>
      <c r="G26" s="5">
        <f t="shared" si="4"/>
        <v>0.4710903020966466</v>
      </c>
      <c r="H26" s="5">
        <f t="shared" si="5"/>
        <v>18.700357349214094</v>
      </c>
      <c r="I26" s="5">
        <f t="shared" si="6"/>
        <v>-0.10767780845174485</v>
      </c>
      <c r="J26" s="15">
        <f t="shared" si="7"/>
        <v>-9.003179255791153</v>
      </c>
      <c r="K26" s="12">
        <f t="shared" si="8"/>
        <v>-81.976616467304268</v>
      </c>
      <c r="L26" s="5">
        <f t="shared" si="9"/>
        <v>-89.995436565624857</v>
      </c>
      <c r="M26" s="5">
        <f t="shared" si="10"/>
        <v>33.561182505425158</v>
      </c>
      <c r="N26" s="5">
        <f t="shared" si="11"/>
        <v>88.7974714610788</v>
      </c>
      <c r="O26" s="5">
        <f t="shared" si="12"/>
        <v>-2.2054066619645013E-2</v>
      </c>
      <c r="P26" s="15">
        <f t="shared" si="13"/>
        <v>-4.0812295116208777</v>
      </c>
      <c r="Q26" s="5">
        <f t="shared" si="22"/>
        <v>-0.31839935762967708</v>
      </c>
      <c r="R26" s="5">
        <f t="shared" si="23"/>
        <v>-15.419136699584552</v>
      </c>
      <c r="S26" s="12">
        <f t="shared" si="14"/>
        <v>2.0841379451638131</v>
      </c>
      <c r="T26" s="5">
        <f t="shared" si="15"/>
        <v>38.124515819904452</v>
      </c>
      <c r="U26" s="5">
        <f t="shared" si="16"/>
        <v>-0.61779808856785789</v>
      </c>
      <c r="V26" s="15">
        <f t="shared" si="17"/>
        <v>-46.962792486406784</v>
      </c>
      <c r="W26" s="12">
        <v>0</v>
      </c>
      <c r="X26" s="15">
        <f t="shared" si="18"/>
        <v>-4.4893402086799803</v>
      </c>
      <c r="Y26" s="12">
        <f t="shared" si="24"/>
        <v>-1.5354998871882511E-3</v>
      </c>
      <c r="Z26" s="15">
        <f t="shared" si="25"/>
        <v>-1.0773146737951071</v>
      </c>
      <c r="AA26" s="5">
        <f t="shared" si="19"/>
        <v>-4.2091231612046496</v>
      </c>
      <c r="AB26" s="5">
        <f t="shared" si="20"/>
        <v>37.55068549417846</v>
      </c>
      <c r="AC26" s="5">
        <f t="shared" si="26"/>
        <v>-4.2311772278242943</v>
      </c>
      <c r="AD26" s="6">
        <f t="shared" si="27"/>
        <v>33.469455982557584</v>
      </c>
    </row>
    <row r="27" spans="1:30">
      <c r="A27" s="4">
        <v>3.4</v>
      </c>
      <c r="B27" s="19">
        <f t="shared" si="21"/>
        <v>25118.864315095812</v>
      </c>
      <c r="C27" s="12">
        <f t="shared" si="0"/>
        <v>2.2972744880387146</v>
      </c>
      <c r="D27" s="5">
        <f t="shared" si="1"/>
        <v>-39.860935672463462</v>
      </c>
      <c r="E27" s="5">
        <f t="shared" si="2"/>
        <v>-29.451684527536315</v>
      </c>
      <c r="F27" s="5">
        <f t="shared" si="3"/>
        <v>-88.069718878666947</v>
      </c>
      <c r="G27" s="5">
        <f t="shared" si="4"/>
        <v>0.72466090099020053</v>
      </c>
      <c r="H27" s="5">
        <f t="shared" si="5"/>
        <v>23.080381076655193</v>
      </c>
      <c r="I27" s="5">
        <f t="shared" si="6"/>
        <v>-0.16944219447739356</v>
      </c>
      <c r="J27" s="15">
        <f t="shared" si="7"/>
        <v>-11.280499565312484</v>
      </c>
      <c r="K27" s="12">
        <f t="shared" si="8"/>
        <v>-83.976616457137126</v>
      </c>
      <c r="L27" s="5">
        <f t="shared" si="9"/>
        <v>-89.996375135225676</v>
      </c>
      <c r="M27" s="5">
        <f t="shared" si="10"/>
        <v>35.560476548952018</v>
      </c>
      <c r="N27" s="5">
        <f t="shared" si="11"/>
        <v>89.044745867751857</v>
      </c>
      <c r="O27" s="5">
        <f t="shared" si="12"/>
        <v>-3.4901621337000741E-2</v>
      </c>
      <c r="P27" s="15">
        <f t="shared" si="13"/>
        <v>-5.1328951408731625</v>
      </c>
      <c r="Q27" s="5">
        <f t="shared" si="22"/>
        <v>-0.49435315656678225</v>
      </c>
      <c r="R27" s="5">
        <f t="shared" si="23"/>
        <v>-19.147934569609838</v>
      </c>
      <c r="S27" s="12">
        <f t="shared" si="14"/>
        <v>2.9581587819233728</v>
      </c>
      <c r="T27" s="5">
        <f t="shared" si="15"/>
        <v>44.653973496748613</v>
      </c>
      <c r="U27" s="5">
        <f t="shared" si="16"/>
        <v>-1.1676450088396173</v>
      </c>
      <c r="V27" s="15">
        <f t="shared" si="17"/>
        <v>-59.736634070893174</v>
      </c>
      <c r="W27" s="12">
        <v>0</v>
      </c>
      <c r="X27" s="15">
        <f t="shared" si="18"/>
        <v>-5.6517444708965581</v>
      </c>
      <c r="Y27" s="12">
        <f t="shared" si="24"/>
        <v>-2.4333517528940802E-3</v>
      </c>
      <c r="Z27" s="15">
        <f t="shared" si="25"/>
        <v>-1.3561653534395415</v>
      </c>
      <c r="AA27" s="5">
        <f t="shared" si="19"/>
        <v>-5.1538374055858407</v>
      </c>
      <c r="AB27" s="5">
        <f t="shared" si="20"/>
        <v>21.67909272464798</v>
      </c>
      <c r="AC27" s="5">
        <f t="shared" si="26"/>
        <v>-5.1887390269228417</v>
      </c>
      <c r="AD27" s="6">
        <f t="shared" si="27"/>
        <v>16.546197583774816</v>
      </c>
    </row>
    <row r="28" spans="1:30">
      <c r="A28" s="4">
        <v>3.5</v>
      </c>
      <c r="B28" s="19">
        <f t="shared" si="21"/>
        <v>31622.776601683803</v>
      </c>
      <c r="C28" s="12">
        <f t="shared" si="0"/>
        <v>3.2324240500894588</v>
      </c>
      <c r="D28" s="5">
        <f t="shared" si="1"/>
        <v>-46.428976981503297</v>
      </c>
      <c r="E28" s="5">
        <f t="shared" si="2"/>
        <v>-31.449865734169286</v>
      </c>
      <c r="F28" s="5">
        <f t="shared" si="3"/>
        <v>-88.466509121320598</v>
      </c>
      <c r="G28" s="5">
        <f t="shared" si="4"/>
        <v>1.0984763308177066</v>
      </c>
      <c r="H28" s="5">
        <f t="shared" si="5"/>
        <v>28.212123957547519</v>
      </c>
      <c r="I28" s="5">
        <f t="shared" si="6"/>
        <v>-0.26556765452438663</v>
      </c>
      <c r="J28" s="15">
        <f t="shared" si="7"/>
        <v>-14.096223650622941</v>
      </c>
      <c r="K28" s="12">
        <f t="shared" si="8"/>
        <v>-85.976616450722076</v>
      </c>
      <c r="L28" s="5">
        <f t="shared" si="9"/>
        <v>-89.997120667561276</v>
      </c>
      <c r="M28" s="5">
        <f t="shared" si="10"/>
        <v>37.560031061478028</v>
      </c>
      <c r="N28" s="5">
        <f t="shared" si="11"/>
        <v>89.241188725478366</v>
      </c>
      <c r="O28" s="5">
        <f t="shared" si="12"/>
        <v>-5.5186090106318843E-2</v>
      </c>
      <c r="P28" s="15">
        <f t="shared" si="13"/>
        <v>-6.4518655480965288</v>
      </c>
      <c r="Q28" s="5">
        <f t="shared" si="22"/>
        <v>-0.75939306477023416</v>
      </c>
      <c r="R28" s="5">
        <f t="shared" si="23"/>
        <v>-23.611191258808496</v>
      </c>
      <c r="S28" s="12">
        <f t="shared" si="14"/>
        <v>4.0603993223843915</v>
      </c>
      <c r="T28" s="5">
        <f t="shared" si="15"/>
        <v>51.201378736991217</v>
      </c>
      <c r="U28" s="5">
        <f t="shared" si="16"/>
        <v>-2.1884045355501112</v>
      </c>
      <c r="V28" s="15">
        <f t="shared" si="17"/>
        <v>-75.193423782441883</v>
      </c>
      <c r="W28" s="12">
        <v>0</v>
      </c>
      <c r="X28" s="15">
        <f t="shared" si="18"/>
        <v>-7.1151247353788563</v>
      </c>
      <c r="Y28" s="12">
        <f t="shared" si="24"/>
        <v>-3.8559709495343516E-3</v>
      </c>
      <c r="Z28" s="15">
        <f t="shared" si="25"/>
        <v>-1.7071245968306352</v>
      </c>
      <c r="AA28" s="5">
        <f t="shared" si="19"/>
        <v>-6.1246060750960396</v>
      </c>
      <c r="AB28" s="5">
        <f t="shared" si="20"/>
        <v>2.038996625549121</v>
      </c>
      <c r="AC28" s="5">
        <f t="shared" si="26"/>
        <v>-6.1797921652023584</v>
      </c>
      <c r="AD28" s="6">
        <f t="shared" si="27"/>
        <v>-4.4128689225474078</v>
      </c>
    </row>
    <row r="29" spans="1:30">
      <c r="A29" s="4">
        <v>3.6</v>
      </c>
      <c r="B29" s="19">
        <f t="shared" si="21"/>
        <v>39810.717055349771</v>
      </c>
      <c r="C29" s="12">
        <f t="shared" si="0"/>
        <v>4.3952729333359759</v>
      </c>
      <c r="D29" s="5">
        <f t="shared" si="1"/>
        <v>-52.923011916647518</v>
      </c>
      <c r="E29" s="5">
        <f t="shared" si="2"/>
        <v>-33.448717761094649</v>
      </c>
      <c r="F29" s="5">
        <f t="shared" si="3"/>
        <v>-88.781797557692457</v>
      </c>
      <c r="G29" s="5">
        <f t="shared" si="4"/>
        <v>1.631997197604989</v>
      </c>
      <c r="H29" s="5">
        <f t="shared" si="5"/>
        <v>34.034025549821159</v>
      </c>
      <c r="I29" s="5">
        <f t="shared" si="6"/>
        <v>-0.41368774543556813</v>
      </c>
      <c r="J29" s="15">
        <f t="shared" si="7"/>
        <v>-17.543412172861625</v>
      </c>
      <c r="K29" s="12">
        <f t="shared" si="8"/>
        <v>-87.976616446674484</v>
      </c>
      <c r="L29" s="5">
        <f t="shared" si="9"/>
        <v>-89.997712864946052</v>
      </c>
      <c r="M29" s="5">
        <f t="shared" si="10"/>
        <v>39.559749954370105</v>
      </c>
      <c r="N29" s="5">
        <f t="shared" si="11"/>
        <v>89.397241774741062</v>
      </c>
      <c r="O29" s="5">
        <f t="shared" si="12"/>
        <v>-8.7141988755950195E-2</v>
      </c>
      <c r="P29" s="15">
        <f t="shared" si="13"/>
        <v>-8.102476600776777</v>
      </c>
      <c r="Q29" s="5">
        <f t="shared" si="22"/>
        <v>-1.1488919197553591</v>
      </c>
      <c r="R29" s="5">
        <f t="shared" si="23"/>
        <v>-28.824157997824511</v>
      </c>
      <c r="S29" s="12">
        <f t="shared" si="14"/>
        <v>5.3806221878008467</v>
      </c>
      <c r="T29" s="5">
        <f t="shared" si="15"/>
        <v>57.436688240465173</v>
      </c>
      <c r="U29" s="5">
        <f t="shared" si="16"/>
        <v>-3.9022898825581658</v>
      </c>
      <c r="V29" s="15">
        <f t="shared" si="17"/>
        <v>-92.333528292717148</v>
      </c>
      <c r="W29" s="12">
        <v>0</v>
      </c>
      <c r="X29" s="15">
        <f t="shared" si="18"/>
        <v>-8.9574113374536992</v>
      </c>
      <c r="Y29" s="12">
        <f t="shared" si="24"/>
        <v>-6.1097162988863829E-3</v>
      </c>
      <c r="Z29" s="15">
        <f t="shared" si="25"/>
        <v>-2.1487707497674631</v>
      </c>
      <c r="AA29" s="5">
        <f t="shared" si="19"/>
        <v>-7.3609046278852057</v>
      </c>
      <c r="AB29" s="5">
        <f t="shared" si="20"/>
        <v>-20.641847324883081</v>
      </c>
      <c r="AC29" s="5">
        <f t="shared" si="26"/>
        <v>-7.4480466166411556</v>
      </c>
      <c r="AD29" s="6">
        <f t="shared" si="27"/>
        <v>-28.744323925659856</v>
      </c>
    </row>
    <row r="30" spans="1:30">
      <c r="A30" s="4">
        <v>3.7</v>
      </c>
      <c r="B30" s="19">
        <f t="shared" si="21"/>
        <v>50118.723362727324</v>
      </c>
      <c r="C30" s="12">
        <f t="shared" si="0"/>
        <v>5.7697636912118782</v>
      </c>
      <c r="D30" s="5">
        <f t="shared" si="1"/>
        <v>-59.025949433413679</v>
      </c>
      <c r="E30" s="5">
        <f t="shared" si="2"/>
        <v>-35.447993282888902</v>
      </c>
      <c r="F30" s="5">
        <f t="shared" si="3"/>
        <v>-89.032293593268562</v>
      </c>
      <c r="G30" s="5">
        <f t="shared" si="4"/>
        <v>2.3626386417694061</v>
      </c>
      <c r="H30" s="5">
        <f t="shared" si="5"/>
        <v>40.372655491952798</v>
      </c>
      <c r="I30" s="5">
        <f t="shared" si="6"/>
        <v>-0.63856051138495484</v>
      </c>
      <c r="J30" s="15">
        <f t="shared" si="7"/>
        <v>-21.701893054149142</v>
      </c>
      <c r="K30" s="12">
        <f t="shared" si="8"/>
        <v>-89.976616444120609</v>
      </c>
      <c r="L30" s="5">
        <f t="shared" si="9"/>
        <v>-89.998183264049672</v>
      </c>
      <c r="M30" s="5">
        <f t="shared" si="10"/>
        <v>41.559572578413253</v>
      </c>
      <c r="N30" s="5">
        <f t="shared" si="11"/>
        <v>89.521205604571946</v>
      </c>
      <c r="O30" s="5">
        <f t="shared" si="12"/>
        <v>-0.13731189733085991</v>
      </c>
      <c r="P30" s="15">
        <f t="shared" si="13"/>
        <v>-10.16107593436851</v>
      </c>
      <c r="Q30" s="5">
        <f t="shared" si="22"/>
        <v>-1.7024999496285151</v>
      </c>
      <c r="R30" s="5">
        <f t="shared" si="23"/>
        <v>-34.713888015181389</v>
      </c>
      <c r="S30" s="12">
        <f t="shared" si="14"/>
        <v>6.8895792197809245</v>
      </c>
      <c r="T30" s="5">
        <f t="shared" si="15"/>
        <v>63.102334182848118</v>
      </c>
      <c r="U30" s="5">
        <f t="shared" si="16"/>
        <v>-6.3915561626824315</v>
      </c>
      <c r="V30" s="15">
        <f t="shared" si="17"/>
        <v>-109.18814511255775</v>
      </c>
      <c r="W30" s="12">
        <v>0</v>
      </c>
      <c r="X30" s="15">
        <f t="shared" si="18"/>
        <v>-11.276712756613646</v>
      </c>
      <c r="Y30" s="12">
        <f t="shared" si="24"/>
        <v>-9.6792679566549498E-3</v>
      </c>
      <c r="Z30" s="15">
        <f t="shared" si="25"/>
        <v>-2.7044008864695801</v>
      </c>
      <c r="AA30" s="5">
        <f t="shared" si="19"/>
        <v>-9.0175849166666033</v>
      </c>
      <c r="AB30" s="5">
        <f t="shared" si="20"/>
        <v>-44.64527083633056</v>
      </c>
      <c r="AC30" s="5">
        <f t="shared" si="26"/>
        <v>-9.154896813997464</v>
      </c>
      <c r="AD30" s="6">
        <f t="shared" si="27"/>
        <v>-54.806346770699072</v>
      </c>
    </row>
    <row r="31" spans="1:30">
      <c r="A31" s="4">
        <v>3.8</v>
      </c>
      <c r="B31" s="19">
        <f t="shared" si="21"/>
        <v>63095.734448019386</v>
      </c>
      <c r="C31" s="12">
        <f t="shared" si="0"/>
        <v>7.3230505485313291</v>
      </c>
      <c r="D31" s="5">
        <f t="shared" si="1"/>
        <v>-64.508611584836913</v>
      </c>
      <c r="E31" s="5">
        <f t="shared" si="2"/>
        <v>-37.447536105852194</v>
      </c>
      <c r="F31" s="5">
        <f t="shared" si="3"/>
        <v>-89.231296504321676</v>
      </c>
      <c r="G31" s="5">
        <f t="shared" si="4"/>
        <v>3.3157773242515698</v>
      </c>
      <c r="H31" s="5">
        <f t="shared" si="5"/>
        <v>46.947320862667723</v>
      </c>
      <c r="I31" s="5">
        <f t="shared" si="6"/>
        <v>-0.97269988704791643</v>
      </c>
      <c r="J31" s="15">
        <f t="shared" si="7"/>
        <v>-26.612493080628454</v>
      </c>
      <c r="K31" s="12">
        <f t="shared" si="8"/>
        <v>-91.976616442509211</v>
      </c>
      <c r="L31" s="5">
        <f t="shared" si="9"/>
        <v>-89.998556915339435</v>
      </c>
      <c r="M31" s="5">
        <f t="shared" si="10"/>
        <v>43.559460658022914</v>
      </c>
      <c r="N31" s="5">
        <f t="shared" si="11"/>
        <v>89.619676826018022</v>
      </c>
      <c r="O31" s="5">
        <f t="shared" si="12"/>
        <v>-0.21565739886974011</v>
      </c>
      <c r="P31" s="15">
        <f t="shared" si="13"/>
        <v>-12.714932078859709</v>
      </c>
      <c r="Q31" s="5">
        <f t="shared" si="22"/>
        <v>-2.4568177055581373</v>
      </c>
      <c r="R31" s="5">
        <f t="shared" si="23"/>
        <v>-41.094052585212204</v>
      </c>
      <c r="S31" s="12">
        <f t="shared" si="14"/>
        <v>8.5485081303002488</v>
      </c>
      <c r="T31" s="5">
        <f t="shared" si="15"/>
        <v>68.053275016491853</v>
      </c>
      <c r="U31" s="5">
        <f t="shared" si="16"/>
        <v>-9.5207149990022799</v>
      </c>
      <c r="V31" s="15">
        <f t="shared" si="17"/>
        <v>-123.97177320077827</v>
      </c>
      <c r="W31" s="12">
        <v>0</v>
      </c>
      <c r="X31" s="15">
        <f t="shared" si="18"/>
        <v>-14.196540250804361</v>
      </c>
      <c r="Y31" s="12">
        <f t="shared" si="24"/>
        <v>-1.5330623196755964E-2</v>
      </c>
      <c r="Z31" s="15">
        <f t="shared" si="25"/>
        <v>-3.4031619653639114</v>
      </c>
      <c r="AA31" s="5">
        <f t="shared" si="19"/>
        <v>-11.075152531240429</v>
      </c>
      <c r="AB31" s="5">
        <f t="shared" si="20"/>
        <v>-68.396213382107604</v>
      </c>
      <c r="AC31" s="5">
        <f t="shared" si="26"/>
        <v>-11.290809930110168</v>
      </c>
      <c r="AD31" s="6">
        <f t="shared" si="27"/>
        <v>-81.111145460967307</v>
      </c>
    </row>
    <row r="32" spans="1:30">
      <c r="A32" s="4">
        <v>3.9</v>
      </c>
      <c r="B32" s="19">
        <f t="shared" si="21"/>
        <v>79432.82347242815</v>
      </c>
      <c r="C32" s="12">
        <f t="shared" si="0"/>
        <v>9.0155542254885503</v>
      </c>
      <c r="D32" s="5">
        <f t="shared" si="1"/>
        <v>-69.256890333681312</v>
      </c>
      <c r="E32" s="5">
        <f t="shared" si="2"/>
        <v>-39.447247621878539</v>
      </c>
      <c r="F32" s="5">
        <f t="shared" si="3"/>
        <v>-89.389383588890382</v>
      </c>
      <c r="G32" s="5">
        <f t="shared" si="4"/>
        <v>4.4961422038074597</v>
      </c>
      <c r="H32" s="5">
        <f t="shared" si="5"/>
        <v>53.421272850825495</v>
      </c>
      <c r="I32" s="5">
        <f t="shared" si="6"/>
        <v>-1.4546556541371001</v>
      </c>
      <c r="J32" s="15">
        <f t="shared" si="7"/>
        <v>-32.242346118105573</v>
      </c>
      <c r="K32" s="12">
        <f t="shared" si="8"/>
        <v>-93.976616441492496</v>
      </c>
      <c r="L32" s="5">
        <f t="shared" si="9"/>
        <v>-89.998853717108929</v>
      </c>
      <c r="M32" s="5">
        <f t="shared" si="10"/>
        <v>45.55939003954655</v>
      </c>
      <c r="N32" s="5">
        <f t="shared" si="11"/>
        <v>89.697896927133243</v>
      </c>
      <c r="O32" s="5">
        <f t="shared" si="12"/>
        <v>-0.33700223796026907</v>
      </c>
      <c r="P32" s="15">
        <f t="shared" si="13"/>
        <v>-15.857508655289264</v>
      </c>
      <c r="Q32" s="5">
        <f t="shared" si="22"/>
        <v>-3.4352776927370501</v>
      </c>
      <c r="R32" s="5">
        <f t="shared" si="23"/>
        <v>-47.674421686569886</v>
      </c>
      <c r="S32" s="12">
        <f t="shared" si="14"/>
        <v>10.318654123875486</v>
      </c>
      <c r="T32" s="5">
        <f t="shared" si="15"/>
        <v>72.251658554835927</v>
      </c>
      <c r="U32" s="5">
        <f t="shared" si="16"/>
        <v>-13.059357511243345</v>
      </c>
      <c r="V32" s="15">
        <f t="shared" si="17"/>
        <v>-135.99808218402913</v>
      </c>
      <c r="W32" s="12">
        <v>0</v>
      </c>
      <c r="X32" s="15">
        <f t="shared" si="18"/>
        <v>-17.872385281296332</v>
      </c>
      <c r="Y32" s="12">
        <f t="shared" si="24"/>
        <v>-2.4272381071907167E-2</v>
      </c>
      <c r="Z32" s="15">
        <f t="shared" si="25"/>
        <v>-4.281385945012568</v>
      </c>
      <c r="AA32" s="5">
        <f t="shared" si="19"/>
        <v>-13.439920139022391</v>
      </c>
      <c r="AB32" s="5">
        <f t="shared" si="20"/>
        <v>-91.342920521899487</v>
      </c>
      <c r="AC32" s="5">
        <f t="shared" si="26"/>
        <v>-13.776922376982659</v>
      </c>
      <c r="AD32" s="6">
        <f t="shared" si="27"/>
        <v>-107.20042917718875</v>
      </c>
    </row>
    <row r="33" spans="1:30">
      <c r="A33" s="4">
        <v>4</v>
      </c>
      <c r="B33" s="18">
        <f t="shared" si="21"/>
        <v>100000</v>
      </c>
      <c r="C33" s="12">
        <f t="shared" si="0"/>
        <v>10.809701104065612</v>
      </c>
      <c r="D33" s="5">
        <f t="shared" si="1"/>
        <v>-73.256883830241918</v>
      </c>
      <c r="E33" s="5">
        <f t="shared" si="2"/>
        <v>-41.447065590936219</v>
      </c>
      <c r="F33" s="5">
        <f t="shared" si="3"/>
        <v>-89.51496336739676</v>
      </c>
      <c r="G33" s="5">
        <f t="shared" si="4"/>
        <v>5.8860518904092469</v>
      </c>
      <c r="H33" s="5">
        <f t="shared" si="5"/>
        <v>59.482234160578706</v>
      </c>
      <c r="I33" s="5">
        <f t="shared" si="6"/>
        <v>-2.123408421737043</v>
      </c>
      <c r="J33" s="15">
        <f t="shared" si="7"/>
        <v>-38.452656062088288</v>
      </c>
      <c r="K33" s="12">
        <f t="shared" si="8"/>
        <v>-95.976616440850989</v>
      </c>
      <c r="L33" s="5">
        <f t="shared" si="9"/>
        <v>-89.999089475134596</v>
      </c>
      <c r="M33" s="5">
        <f t="shared" si="10"/>
        <v>47.5593454817094</v>
      </c>
      <c r="N33" s="5">
        <f t="shared" si="11"/>
        <v>89.760030178741403</v>
      </c>
      <c r="O33" s="5">
        <f t="shared" si="12"/>
        <v>-0.52263452714877534</v>
      </c>
      <c r="P33" s="15">
        <f t="shared" si="13"/>
        <v>-19.6773119742126</v>
      </c>
      <c r="Q33" s="5">
        <f t="shared" si="22"/>
        <v>-4.6400571362863383</v>
      </c>
      <c r="R33" s="5">
        <f t="shared" si="23"/>
        <v>-54.116835785734267</v>
      </c>
      <c r="S33" s="12">
        <f t="shared" si="14"/>
        <v>12.167105903024449</v>
      </c>
      <c r="T33" s="5">
        <f t="shared" si="15"/>
        <v>75.735281312304636</v>
      </c>
      <c r="U33" s="5">
        <f t="shared" si="16"/>
        <v>-16.821422530271857</v>
      </c>
      <c r="V33" s="15">
        <f t="shared" si="17"/>
        <v>-145.44962533850136</v>
      </c>
      <c r="W33" s="12">
        <v>0</v>
      </c>
      <c r="X33" s="15">
        <f t="shared" si="18"/>
        <v>-22.5</v>
      </c>
      <c r="Y33" s="12">
        <f t="shared" si="24"/>
        <v>-3.8406508311962344E-2</v>
      </c>
      <c r="Z33" s="15">
        <f t="shared" si="25"/>
        <v>-5.3840959173935685</v>
      </c>
      <c r="AA33" s="5">
        <f t="shared" si="19"/>
        <v>-16.057005678365698</v>
      </c>
      <c r="AB33" s="5">
        <f t="shared" si="20"/>
        <v>-113.69660412486603</v>
      </c>
      <c r="AC33" s="5">
        <f t="shared" si="26"/>
        <v>-16.579640205514472</v>
      </c>
      <c r="AD33" s="6">
        <f t="shared" si="27"/>
        <v>-133.37391609907863</v>
      </c>
    </row>
    <row r="34" spans="1:30">
      <c r="A34" s="4">
        <v>4.0999999999999996</v>
      </c>
      <c r="B34" s="19">
        <f t="shared" si="21"/>
        <v>125892.54117941672</v>
      </c>
      <c r="C34" s="12">
        <f t="shared" si="0"/>
        <v>12.674609664159604</v>
      </c>
      <c r="D34" s="5">
        <f t="shared" si="1"/>
        <v>-76.560536226726754</v>
      </c>
      <c r="E34" s="5">
        <f t="shared" si="2"/>
        <v>-43.446950733250411</v>
      </c>
      <c r="F34" s="5">
        <f t="shared" si="3"/>
        <v>-89.614718311326428</v>
      </c>
      <c r="G34" s="5">
        <f t="shared" si="4"/>
        <v>7.4517519808504842</v>
      </c>
      <c r="H34" s="5">
        <f t="shared" si="5"/>
        <v>64.90974195302239</v>
      </c>
      <c r="I34" s="5">
        <f t="shared" si="6"/>
        <v>-3.0089847098951603</v>
      </c>
      <c r="J34" s="15">
        <f t="shared" si="7"/>
        <v>-44.991322765553328</v>
      </c>
      <c r="K34" s="12">
        <f t="shared" si="8"/>
        <v>-97.976616440446236</v>
      </c>
      <c r="L34" s="5">
        <f t="shared" si="9"/>
        <v>-89.999276744390968</v>
      </c>
      <c r="M34" s="5">
        <f t="shared" si="10"/>
        <v>49.559317367379577</v>
      </c>
      <c r="N34" s="5">
        <f t="shared" si="11"/>
        <v>89.809384784172309</v>
      </c>
      <c r="O34" s="5">
        <f t="shared" si="12"/>
        <v>-0.80149523554192403</v>
      </c>
      <c r="P34" s="15">
        <f t="shared" si="13"/>
        <v>-24.237189093438488</v>
      </c>
      <c r="Q34" s="5">
        <f t="shared" si="22"/>
        <v>-6.0512646860105228</v>
      </c>
      <c r="R34" s="5">
        <f t="shared" si="23"/>
        <v>-60.116510881720551</v>
      </c>
      <c r="S34" s="12">
        <f t="shared" si="14"/>
        <v>14.068690800228401</v>
      </c>
      <c r="T34" s="5">
        <f t="shared" si="15"/>
        <v>78.582628650439531</v>
      </c>
      <c r="U34" s="5">
        <f t="shared" si="16"/>
        <v>-20.697131538891632</v>
      </c>
      <c r="V34" s="15">
        <f t="shared" si="17"/>
        <v>-152.80756731320056</v>
      </c>
      <c r="W34" s="12">
        <v>0</v>
      </c>
      <c r="X34" s="15">
        <f t="shared" si="18"/>
        <v>-28.325821765368762</v>
      </c>
      <c r="Y34" s="12">
        <f t="shared" si="24"/>
        <v>-6.071378943837262E-2</v>
      </c>
      <c r="Z34" s="15">
        <f t="shared" si="25"/>
        <v>-6.7665622434197772</v>
      </c>
      <c r="AA34" s="5">
        <f t="shared" si="19"/>
        <v>-18.919525514494275</v>
      </c>
      <c r="AB34" s="5">
        <f t="shared" si="20"/>
        <v>-135.88056086407292</v>
      </c>
      <c r="AC34" s="5">
        <f t="shared" si="26"/>
        <v>-19.7210207500362</v>
      </c>
      <c r="AD34" s="6">
        <f t="shared" si="27"/>
        <v>-160.11774995751142</v>
      </c>
    </row>
    <row r="35" spans="1:30">
      <c r="A35" s="4">
        <v>4.2</v>
      </c>
      <c r="B35" s="19">
        <f t="shared" si="21"/>
        <v>158489.31924611147</v>
      </c>
      <c r="C35" s="12">
        <f t="shared" si="0"/>
        <v>14.587158594123009</v>
      </c>
      <c r="D35" s="5">
        <f t="shared" si="1"/>
        <v>-79.252322484284306</v>
      </c>
      <c r="E35" s="5">
        <f t="shared" si="2"/>
        <v>-45.446878261386985</v>
      </c>
      <c r="F35" s="5">
        <f t="shared" si="3"/>
        <v>-89.693958174027188</v>
      </c>
      <c r="G35" s="5">
        <f t="shared" si="4"/>
        <v>9.1535500403267243</v>
      </c>
      <c r="H35" s="5">
        <f t="shared" si="5"/>
        <v>69.598530937714941</v>
      </c>
      <c r="I35" s="5">
        <f t="shared" si="6"/>
        <v>-4.1228131202604787</v>
      </c>
      <c r="J35" s="15">
        <f t="shared" si="7"/>
        <v>-51.530439578384652</v>
      </c>
      <c r="K35" s="12">
        <f t="shared" si="8"/>
        <v>-99.976616440190838</v>
      </c>
      <c r="L35" s="5">
        <f t="shared" si="9"/>
        <v>-89.999425497648815</v>
      </c>
      <c r="M35" s="5">
        <f t="shared" si="10"/>
        <v>51.559299628343041</v>
      </c>
      <c r="N35" s="5">
        <f t="shared" si="11"/>
        <v>89.848588745950238</v>
      </c>
      <c r="O35" s="5">
        <f t="shared" si="12"/>
        <v>-1.2097634585062531</v>
      </c>
      <c r="P35" s="15">
        <f t="shared" si="13"/>
        <v>-29.54308903481013</v>
      </c>
      <c r="Q35" s="5">
        <f t="shared" si="22"/>
        <v>-7.6339808562719016</v>
      </c>
      <c r="R35" s="5">
        <f t="shared" si="23"/>
        <v>-65.465461788190765</v>
      </c>
      <c r="S35" s="12">
        <f t="shared" si="14"/>
        <v>16.005427605745226</v>
      </c>
      <c r="T35" s="5">
        <f t="shared" si="15"/>
        <v>80.886523372699529</v>
      </c>
      <c r="U35" s="5">
        <f t="shared" si="16"/>
        <v>-24.630083021783499</v>
      </c>
      <c r="V35" s="15">
        <f t="shared" si="17"/>
        <v>-158.54284640330923</v>
      </c>
      <c r="W35" s="12">
        <v>0</v>
      </c>
      <c r="X35" s="15">
        <f t="shared" si="18"/>
        <v>-35.660096830375075</v>
      </c>
      <c r="Y35" s="12">
        <f t="shared" si="24"/>
        <v>-9.5835405384645175E-2</v>
      </c>
      <c r="Z35" s="15">
        <f t="shared" si="25"/>
        <v>-8.4956096281859264</v>
      </c>
      <c r="AA35" s="5">
        <f t="shared" si="19"/>
        <v>-22.033004665920345</v>
      </c>
      <c r="AB35" s="5">
        <f t="shared" si="20"/>
        <v>-158.30651732804122</v>
      </c>
      <c r="AC35" s="5">
        <f t="shared" si="26"/>
        <v>-23.242768124426597</v>
      </c>
      <c r="AD35" s="6">
        <f t="shared" si="27"/>
        <v>-187.84960636285135</v>
      </c>
    </row>
    <row r="36" spans="1:30">
      <c r="A36" s="4">
        <v>4.3</v>
      </c>
      <c r="B36" s="19">
        <f t="shared" si="21"/>
        <v>199526.23149688792</v>
      </c>
      <c r="C36" s="12">
        <f t="shared" si="0"/>
        <v>16.531060656371661</v>
      </c>
      <c r="D36" s="5">
        <f t="shared" si="1"/>
        <v>-81.425836363053264</v>
      </c>
      <c r="E36" s="5">
        <f t="shared" si="2"/>
        <v>-47.446832534110222</v>
      </c>
      <c r="F36" s="5">
        <f t="shared" si="3"/>
        <v>-89.756901483419639</v>
      </c>
      <c r="G36" s="5">
        <f t="shared" si="4"/>
        <v>10.954285037415127</v>
      </c>
      <c r="H36" s="5">
        <f t="shared" si="5"/>
        <v>73.541215081518217</v>
      </c>
      <c r="I36" s="5">
        <f t="shared" si="6"/>
        <v>-5.4535230407148099</v>
      </c>
      <c r="J36" s="15">
        <f t="shared" si="7"/>
        <v>-57.741989947254091</v>
      </c>
      <c r="K36" s="12">
        <f t="shared" si="8"/>
        <v>-101.9766164400297</v>
      </c>
      <c r="L36" s="5">
        <f t="shared" si="9"/>
        <v>-89.999543656561528</v>
      </c>
      <c r="M36" s="5">
        <f t="shared" si="10"/>
        <v>53.559288435730366</v>
      </c>
      <c r="N36" s="5">
        <f t="shared" si="11"/>
        <v>89.879729662533222</v>
      </c>
      <c r="O36" s="5">
        <f t="shared" si="12"/>
        <v>-1.7871951822992886</v>
      </c>
      <c r="P36" s="15">
        <f t="shared" si="13"/>
        <v>-35.508468272015463</v>
      </c>
      <c r="Q36" s="5">
        <f t="shared" si="22"/>
        <v>-9.3484445148987092</v>
      </c>
      <c r="R36" s="5">
        <f t="shared" si="23"/>
        <v>-70.070638456918203</v>
      </c>
      <c r="S36" s="12">
        <f t="shared" si="14"/>
        <v>17.96503179374006</v>
      </c>
      <c r="T36" s="5">
        <f t="shared" si="15"/>
        <v>82.73836633410501</v>
      </c>
      <c r="U36" s="5">
        <f t="shared" si="16"/>
        <v>-28.592553003086351</v>
      </c>
      <c r="V36" s="15">
        <f t="shared" si="17"/>
        <v>-163.03258894337006</v>
      </c>
      <c r="W36" s="12">
        <v>0</v>
      </c>
      <c r="X36" s="15">
        <f t="shared" si="18"/>
        <v>-44.893402086799775</v>
      </c>
      <c r="Y36" s="12">
        <f t="shared" si="24"/>
        <v>-0.15092407031784399</v>
      </c>
      <c r="Z36" s="15">
        <f t="shared" si="25"/>
        <v>-10.65004171398151</v>
      </c>
      <c r="AA36" s="5">
        <f t="shared" si="19"/>
        <v>-25.391461109080428</v>
      </c>
      <c r="AB36" s="5">
        <f t="shared" si="20"/>
        <v>-181.41163157320162</v>
      </c>
      <c r="AC36" s="5">
        <f t="shared" si="26"/>
        <v>-27.178656291379717</v>
      </c>
      <c r="AD36" s="6">
        <f t="shared" si="27"/>
        <v>-216.92009984521707</v>
      </c>
    </row>
    <row r="37" spans="1:30">
      <c r="A37" s="4">
        <v>4.4000000000000004</v>
      </c>
      <c r="B37" s="19">
        <f t="shared" si="21"/>
        <v>251188.64315095858</v>
      </c>
      <c r="C37" s="12">
        <f t="shared" si="0"/>
        <v>18.495288742177117</v>
      </c>
      <c r="D37" s="5">
        <f t="shared" si="1"/>
        <v>-83.170528727780422</v>
      </c>
      <c r="E37" s="5">
        <f t="shared" si="2"/>
        <v>-49.4468036819014</v>
      </c>
      <c r="F37" s="5">
        <f t="shared" si="3"/>
        <v>-89.806899556841486</v>
      </c>
      <c r="G37" s="5">
        <f t="shared" si="4"/>
        <v>12.823684172431344</v>
      </c>
      <c r="H37" s="5">
        <f t="shared" si="5"/>
        <v>76.793403589407475</v>
      </c>
      <c r="I37" s="5">
        <f t="shared" si="6"/>
        <v>-6.971125350924555</v>
      </c>
      <c r="J37" s="15">
        <f t="shared" si="7"/>
        <v>-63.373603598879363</v>
      </c>
      <c r="K37" s="12">
        <f t="shared" si="8"/>
        <v>-103.97661643992805</v>
      </c>
      <c r="L37" s="5">
        <f t="shared" si="9"/>
        <v>-89.999637513522089</v>
      </c>
      <c r="M37" s="5">
        <f t="shared" si="10"/>
        <v>55.559281373654379</v>
      </c>
      <c r="N37" s="5">
        <f t="shared" si="11"/>
        <v>89.904465823367502</v>
      </c>
      <c r="O37" s="5">
        <f t="shared" si="12"/>
        <v>-2.5692868114189116</v>
      </c>
      <c r="P37" s="15">
        <f t="shared" si="13"/>
        <v>-41.932197026190011</v>
      </c>
      <c r="Q37" s="5">
        <f t="shared" si="22"/>
        <v>-11.158118580733529</v>
      </c>
      <c r="R37" s="5">
        <f t="shared" si="23"/>
        <v>-73.933425333650433</v>
      </c>
      <c r="S37" s="12">
        <f t="shared" si="14"/>
        <v>19.93934906278151</v>
      </c>
      <c r="T37" s="5">
        <f t="shared" si="15"/>
        <v>84.220477918408861</v>
      </c>
      <c r="U37" s="5">
        <f t="shared" si="16"/>
        <v>-32.570830411374047</v>
      </c>
      <c r="V37" s="15">
        <f t="shared" si="17"/>
        <v>-166.56232789785008</v>
      </c>
      <c r="W37" s="12">
        <v>0</v>
      </c>
      <c r="X37" s="15">
        <f t="shared" si="18"/>
        <v>-56.517444708965684</v>
      </c>
      <c r="Y37" s="12">
        <f t="shared" si="24"/>
        <v>-0.23682710262829465</v>
      </c>
      <c r="Z37" s="15">
        <f t="shared" si="25"/>
        <v>-13.318976409682179</v>
      </c>
      <c r="AA37" s="5">
        <f t="shared" si="19"/>
        <v>-28.974951645625527</v>
      </c>
      <c r="AB37" s="5">
        <f t="shared" si="20"/>
        <v>-205.76449641598794</v>
      </c>
      <c r="AC37" s="5">
        <f t="shared" si="26"/>
        <v>-31.54423845704444</v>
      </c>
      <c r="AD37" s="6">
        <f t="shared" si="27"/>
        <v>-247.69669344217795</v>
      </c>
    </row>
    <row r="38" spans="1:30">
      <c r="A38" s="4">
        <v>4.5</v>
      </c>
      <c r="B38" s="19">
        <f t="shared" si="21"/>
        <v>316227.76601683837</v>
      </c>
      <c r="C38" s="12">
        <f t="shared" si="0"/>
        <v>20.472565637789483</v>
      </c>
      <c r="D38" s="5">
        <f t="shared" si="1"/>
        <v>-84.565673933404824</v>
      </c>
      <c r="E38" s="5">
        <f t="shared" si="2"/>
        <v>-51.446785477289687</v>
      </c>
      <c r="F38" s="5">
        <f t="shared" si="3"/>
        <v>-89.846614651542779</v>
      </c>
      <c r="G38" s="5">
        <f t="shared" si="4"/>
        <v>14.739212872037124</v>
      </c>
      <c r="H38" s="5">
        <f t="shared" si="5"/>
        <v>79.440993128512218</v>
      </c>
      <c r="I38" s="5">
        <f t="shared" si="6"/>
        <v>-8.6366494677622807</v>
      </c>
      <c r="J38" s="15">
        <f t="shared" si="7"/>
        <v>-68.286179449404827</v>
      </c>
      <c r="K38" s="12">
        <f t="shared" si="8"/>
        <v>-105.9766164398639</v>
      </c>
      <c r="L38" s="5">
        <f t="shared" si="9"/>
        <v>-89.99971206675589</v>
      </c>
      <c r="M38" s="5">
        <f t="shared" si="10"/>
        <v>57.559276917779741</v>
      </c>
      <c r="N38" s="5">
        <f t="shared" si="11"/>
        <v>89.924114480166736</v>
      </c>
      <c r="O38" s="5">
        <f t="shared" si="12"/>
        <v>-3.5770896794577589</v>
      </c>
      <c r="P38" s="15">
        <f t="shared" si="13"/>
        <v>-48.513892836209621</v>
      </c>
      <c r="Q38" s="5">
        <f t="shared" si="22"/>
        <v>-13.033592463019355</v>
      </c>
      <c r="R38" s="5">
        <f t="shared" si="23"/>
        <v>-77.114232996407623</v>
      </c>
      <c r="S38" s="12">
        <f t="shared" si="14"/>
        <v>21.923065858268874</v>
      </c>
      <c r="T38" s="5">
        <f t="shared" si="15"/>
        <v>85.403414923988436</v>
      </c>
      <c r="U38" s="5">
        <f t="shared" si="16"/>
        <v>-36.557916724678499</v>
      </c>
      <c r="V38" s="15">
        <f t="shared" si="17"/>
        <v>-169.34664720932585</v>
      </c>
      <c r="W38" s="12">
        <v>0</v>
      </c>
      <c r="X38" s="15">
        <f t="shared" si="18"/>
        <v>-71.151247353788634</v>
      </c>
      <c r="Y38" s="12">
        <f t="shared" si="24"/>
        <v>-0.36958658151584989</v>
      </c>
      <c r="Z38" s="15">
        <f t="shared" si="25"/>
        <v>-16.596037696673623</v>
      </c>
      <c r="AA38" s="5">
        <f t="shared" si="19"/>
        <v>-32.759259297434355</v>
      </c>
      <c r="AB38" s="5">
        <f t="shared" si="20"/>
        <v>-232.13782282463663</v>
      </c>
      <c r="AC38" s="5">
        <f t="shared" si="26"/>
        <v>-36.336348976892111</v>
      </c>
      <c r="AD38" s="6">
        <f t="shared" si="27"/>
        <v>-280.65171566084626</v>
      </c>
    </row>
    <row r="39" spans="1:30">
      <c r="A39" s="4">
        <v>4.5999999999999996</v>
      </c>
      <c r="B39" s="19">
        <f t="shared" si="21"/>
        <v>398107.17055349739</v>
      </c>
      <c r="C39" s="12">
        <f t="shared" si="0"/>
        <v>22.458166912314855</v>
      </c>
      <c r="D39" s="5">
        <f t="shared" si="1"/>
        <v>-85.678583547998315</v>
      </c>
      <c r="E39" s="5">
        <f t="shared" si="2"/>
        <v>-53.446773990916952</v>
      </c>
      <c r="F39" s="5">
        <f t="shared" si="3"/>
        <v>-89.87816157951319</v>
      </c>
      <c r="G39" s="5">
        <f t="shared" si="4"/>
        <v>16.685057123325841</v>
      </c>
      <c r="H39" s="5">
        <f t="shared" si="5"/>
        <v>81.577617128881897</v>
      </c>
      <c r="I39" s="5">
        <f t="shared" si="6"/>
        <v>-10.411535197516091</v>
      </c>
      <c r="J39" s="15">
        <f t="shared" si="7"/>
        <v>-72.446609708882221</v>
      </c>
      <c r="K39" s="12">
        <f t="shared" si="8"/>
        <v>-107.9766164398234</v>
      </c>
      <c r="L39" s="5">
        <f t="shared" si="9"/>
        <v>-89.999771286494493</v>
      </c>
      <c r="M39" s="5">
        <f t="shared" si="10"/>
        <v>59.559274106310554</v>
      </c>
      <c r="N39" s="5">
        <f t="shared" si="11"/>
        <v>89.939721975982422</v>
      </c>
      <c r="O39" s="5">
        <f t="shared" si="12"/>
        <v>-4.8098147885254372</v>
      </c>
      <c r="P39" s="15">
        <f t="shared" si="13"/>
        <v>-54.915067646709659</v>
      </c>
      <c r="Q39" s="5">
        <f t="shared" si="22"/>
        <v>-14.953143982365336</v>
      </c>
      <c r="R39" s="5">
        <f t="shared" si="23"/>
        <v>-79.700721489836283</v>
      </c>
      <c r="S39" s="12">
        <f t="shared" si="14"/>
        <v>23.91276034882257</v>
      </c>
      <c r="T39" s="5">
        <f t="shared" si="15"/>
        <v>86.345911509455334</v>
      </c>
      <c r="U39" s="5">
        <f t="shared" si="16"/>
        <v>-40.550087304642737</v>
      </c>
      <c r="V39" s="15">
        <f t="shared" si="17"/>
        <v>-171.54821133614172</v>
      </c>
      <c r="W39" s="12">
        <v>0</v>
      </c>
      <c r="X39" s="15">
        <f t="shared" si="18"/>
        <v>-89.574113374536907</v>
      </c>
      <c r="Y39" s="12">
        <f t="shared" si="24"/>
        <v>-0.57202058266375577</v>
      </c>
      <c r="Z39" s="15">
        <f t="shared" si="25"/>
        <v>-20.566450991810179</v>
      </c>
      <c r="AA39" s="5">
        <f t="shared" si="19"/>
        <v>-36.72715243633445</v>
      </c>
      <c r="AB39" s="5">
        <f t="shared" si="20"/>
        <v>-261.52937270089365</v>
      </c>
      <c r="AC39" s="5">
        <f t="shared" si="26"/>
        <v>-41.536967224859886</v>
      </c>
      <c r="AD39" s="6">
        <f t="shared" si="27"/>
        <v>-316.44444034760329</v>
      </c>
    </row>
    <row r="40" spans="1:30">
      <c r="A40" s="4">
        <v>4.7</v>
      </c>
      <c r="B40" s="19">
        <f t="shared" si="21"/>
        <v>501187.23362727294</v>
      </c>
      <c r="C40" s="12">
        <f t="shared" si="0"/>
        <v>24.449057306446559</v>
      </c>
      <c r="D40" s="5">
        <f t="shared" si="1"/>
        <v>-86.564974522367663</v>
      </c>
      <c r="E40" s="5">
        <f t="shared" si="2"/>
        <v>-55.446766743490102</v>
      </c>
      <c r="F40" s="5">
        <f t="shared" si="3"/>
        <v>-89.903220248698346</v>
      </c>
      <c r="G40" s="5">
        <f t="shared" si="4"/>
        <v>18.650536386320695</v>
      </c>
      <c r="H40" s="5">
        <f t="shared" si="5"/>
        <v>83.292072074376222</v>
      </c>
      <c r="I40" s="5">
        <f t="shared" si="6"/>
        <v>-12.26324905444633</v>
      </c>
      <c r="J40" s="15">
        <f t="shared" si="7"/>
        <v>-75.895575308857005</v>
      </c>
      <c r="K40" s="12">
        <f t="shared" si="8"/>
        <v>-109.97661643979788</v>
      </c>
      <c r="L40" s="5">
        <f t="shared" si="9"/>
        <v>-89.999818326404906</v>
      </c>
      <c r="M40" s="5">
        <f t="shared" si="10"/>
        <v>61.559272332392503</v>
      </c>
      <c r="N40" s="5">
        <f t="shared" si="11"/>
        <v>89.952119457070367</v>
      </c>
      <c r="O40" s="5">
        <f t="shared" si="12"/>
        <v>-6.2451276858534186</v>
      </c>
      <c r="P40" s="15">
        <f t="shared" si="13"/>
        <v>-60.84061421693513</v>
      </c>
      <c r="Q40" s="5">
        <f t="shared" si="22"/>
        <v>-16.901606785745479</v>
      </c>
      <c r="R40" s="5">
        <f t="shared" si="23"/>
        <v>-81.786452230016096</v>
      </c>
      <c r="S40" s="12">
        <f t="shared" si="14"/>
        <v>25.906245406886388</v>
      </c>
      <c r="T40" s="5">
        <f t="shared" si="15"/>
        <v>87.096001944354953</v>
      </c>
      <c r="U40" s="5">
        <f t="shared" si="16"/>
        <v>-44.545274854753998</v>
      </c>
      <c r="V40" s="15">
        <f t="shared" si="17"/>
        <v>-173.29180397203359</v>
      </c>
      <c r="W40" s="12">
        <v>0</v>
      </c>
      <c r="X40" s="15">
        <f t="shared" si="18"/>
        <v>-90</v>
      </c>
      <c r="Y40" s="12">
        <f t="shared" si="24"/>
        <v>-0.87469752374367771</v>
      </c>
      <c r="Z40" s="15">
        <f t="shared" si="25"/>
        <v>-25.284075402004209</v>
      </c>
      <c r="AA40" s="5">
        <f t="shared" si="19"/>
        <v>-40.875333399111327</v>
      </c>
      <c r="AB40" s="5">
        <f t="shared" si="20"/>
        <v>-272.38572653458027</v>
      </c>
      <c r="AC40" s="5">
        <f t="shared" si="26"/>
        <v>-47.120461084964745</v>
      </c>
      <c r="AD40" s="6">
        <f t="shared" si="27"/>
        <v>-333.22634075151541</v>
      </c>
    </row>
    <row r="41" spans="1:30">
      <c r="A41" s="4">
        <v>4.8</v>
      </c>
      <c r="B41" s="19">
        <f t="shared" si="21"/>
        <v>630957.34448019345</v>
      </c>
      <c r="C41" s="12">
        <f t="shared" si="0"/>
        <v>26.44329968646986</v>
      </c>
      <c r="D41" s="5">
        <f t="shared" si="1"/>
        <v>-87.27025575974244</v>
      </c>
      <c r="E41" s="5">
        <f t="shared" si="2"/>
        <v>-57.446762170666673</v>
      </c>
      <c r="F41" s="5">
        <f t="shared" si="3"/>
        <v>-89.923125084010167</v>
      </c>
      <c r="G41" s="5">
        <f t="shared" si="4"/>
        <v>20.628613237314184</v>
      </c>
      <c r="H41" s="5">
        <f t="shared" si="5"/>
        <v>84.662716748120644</v>
      </c>
      <c r="I41" s="5">
        <f t="shared" si="6"/>
        <v>-14.167012757868203</v>
      </c>
      <c r="J41" s="15">
        <f t="shared" si="7"/>
        <v>-78.712840238150946</v>
      </c>
      <c r="K41" s="12">
        <f t="shared" si="8"/>
        <v>-111.97661643978176</v>
      </c>
      <c r="L41" s="5">
        <f t="shared" si="9"/>
        <v>-89.999855691533924</v>
      </c>
      <c r="M41" s="5">
        <f t="shared" si="10"/>
        <v>63.559271213125484</v>
      </c>
      <c r="N41" s="5">
        <f t="shared" si="11"/>
        <v>89.961967129589766</v>
      </c>
      <c r="O41" s="5">
        <f t="shared" si="12"/>
        <v>-7.8469231370680825</v>
      </c>
      <c r="P41" s="15">
        <f t="shared" si="13"/>
        <v>-66.097251001649155</v>
      </c>
      <c r="Q41" s="5">
        <f t="shared" si="22"/>
        <v>-18.868771490191396</v>
      </c>
      <c r="R41" s="5">
        <f t="shared" si="23"/>
        <v>-83.459246928609076</v>
      </c>
      <c r="S41" s="12">
        <f t="shared" si="14"/>
        <v>27.902129722101808</v>
      </c>
      <c r="T41" s="5">
        <f t="shared" si="15"/>
        <v>87.692543358697279</v>
      </c>
      <c r="U41" s="5">
        <f t="shared" si="16"/>
        <v>-48.542289380205695</v>
      </c>
      <c r="V41" s="15">
        <f t="shared" si="17"/>
        <v>-174.67416198114432</v>
      </c>
      <c r="W41" s="12">
        <v>0</v>
      </c>
      <c r="X41" s="15">
        <f t="shared" si="18"/>
        <v>-90</v>
      </c>
      <c r="Y41" s="12">
        <f t="shared" si="24"/>
        <v>-1.3149818237897504</v>
      </c>
      <c r="Z41" s="15">
        <f t="shared" si="25"/>
        <v>-30.738395398521529</v>
      </c>
      <c r="AA41" s="5">
        <f t="shared" si="19"/>
        <v>-45.215353632672155</v>
      </c>
      <c r="AB41" s="5">
        <f t="shared" si="20"/>
        <v>-282.46065384530471</v>
      </c>
      <c r="AC41" s="5">
        <f t="shared" si="26"/>
        <v>-53.062276769740237</v>
      </c>
      <c r="AD41" s="6">
        <f t="shared" si="27"/>
        <v>-348.55790484695387</v>
      </c>
    </row>
    <row r="42" spans="1:30">
      <c r="A42" s="4">
        <v>4.9000000000000004</v>
      </c>
      <c r="B42" s="19">
        <f t="shared" si="21"/>
        <v>794328.2347242824</v>
      </c>
      <c r="C42" s="12">
        <f t="shared" si="0"/>
        <v>28.439662942446148</v>
      </c>
      <c r="D42" s="5">
        <f t="shared" si="1"/>
        <v>-87.831081600322321</v>
      </c>
      <c r="E42" s="5">
        <f t="shared" si="2"/>
        <v>-59.446759285407673</v>
      </c>
      <c r="F42" s="5">
        <f t="shared" si="3"/>
        <v>-89.938936070164488</v>
      </c>
      <c r="G42" s="5">
        <f t="shared" si="4"/>
        <v>22.614723505648676</v>
      </c>
      <c r="H42" s="5">
        <f t="shared" si="5"/>
        <v>85.755918840376722</v>
      </c>
      <c r="I42" s="5">
        <f t="shared" si="6"/>
        <v>-16.10517584795469</v>
      </c>
      <c r="J42" s="15">
        <f t="shared" si="7"/>
        <v>-80.991454541063831</v>
      </c>
      <c r="K42" s="12">
        <f t="shared" si="8"/>
        <v>-113.97661643977159</v>
      </c>
      <c r="L42" s="5">
        <f t="shared" si="9"/>
        <v>-89.999885371710874</v>
      </c>
      <c r="M42" s="5">
        <f t="shared" si="10"/>
        <v>65.55927050691561</v>
      </c>
      <c r="N42" s="5">
        <f t="shared" si="11"/>
        <v>89.969789415548021</v>
      </c>
      <c r="O42" s="5">
        <f t="shared" si="12"/>
        <v>-9.5754856969809783</v>
      </c>
      <c r="P42" s="15">
        <f t="shared" si="13"/>
        <v>-70.605718074252934</v>
      </c>
      <c r="Q42" s="5">
        <f t="shared" si="22"/>
        <v>-20.847925351687017</v>
      </c>
      <c r="R42" s="5">
        <f t="shared" si="23"/>
        <v>-84.796163864600402</v>
      </c>
      <c r="S42" s="12">
        <f t="shared" si="14"/>
        <v>29.89953089228554</v>
      </c>
      <c r="T42" s="5">
        <f t="shared" si="15"/>
        <v>88.166756338743042</v>
      </c>
      <c r="U42" s="5">
        <f t="shared" si="16"/>
        <v>-52.540426012878669</v>
      </c>
      <c r="V42" s="15">
        <f t="shared" si="17"/>
        <v>-175.7708804673054</v>
      </c>
      <c r="W42" s="12">
        <v>0</v>
      </c>
      <c r="X42" s="15">
        <f t="shared" si="18"/>
        <v>-90</v>
      </c>
      <c r="Y42" s="12">
        <f t="shared" si="24"/>
        <v>-1.9325179030433333</v>
      </c>
      <c r="Z42" s="15">
        <f t="shared" si="25"/>
        <v>-36.819874550601085</v>
      </c>
      <c r="AA42" s="5">
        <f t="shared" si="19"/>
        <v>-49.768466422626993</v>
      </c>
      <c r="AB42" s="5">
        <f t="shared" si="20"/>
        <v>-292.2558118711006</v>
      </c>
      <c r="AC42" s="5">
        <f t="shared" si="26"/>
        <v>-59.34395211960797</v>
      </c>
      <c r="AD42" s="6">
        <f t="shared" si="27"/>
        <v>-362.86152994535354</v>
      </c>
    </row>
    <row r="43" spans="1:30" ht="12.95" thickBot="1">
      <c r="A43" s="7">
        <v>5</v>
      </c>
      <c r="B43" s="20">
        <f t="shared" si="21"/>
        <v>1000000</v>
      </c>
      <c r="C43" s="13">
        <f t="shared" si="0"/>
        <v>30.437366744159362</v>
      </c>
      <c r="D43" s="8">
        <f t="shared" si="1"/>
        <v>-88.276863170586594</v>
      </c>
      <c r="E43" s="8">
        <f t="shared" si="2"/>
        <v>-61.446757464931316</v>
      </c>
      <c r="F43" s="8">
        <f t="shared" si="3"/>
        <v>-89.951495189631018</v>
      </c>
      <c r="G43" s="8">
        <f t="shared" si="4"/>
        <v>24.605936765354461</v>
      </c>
      <c r="H43" s="8">
        <f t="shared" si="5"/>
        <v>86.626530821406533</v>
      </c>
      <c r="I43" s="8">
        <f t="shared" si="6"/>
        <v>-18.065701449724653</v>
      </c>
      <c r="J43" s="16">
        <f t="shared" si="7"/>
        <v>-82.822486076168289</v>
      </c>
      <c r="K43" s="13">
        <f t="shared" si="8"/>
        <v>-115.97661643976517</v>
      </c>
      <c r="L43" s="8">
        <f t="shared" si="9"/>
        <v>-89.999908947513447</v>
      </c>
      <c r="M43" s="8">
        <f t="shared" si="10"/>
        <v>67.559270061327226</v>
      </c>
      <c r="N43" s="8">
        <f t="shared" si="11"/>
        <v>89.976002878961566</v>
      </c>
      <c r="O43" s="8">
        <f t="shared" si="12"/>
        <v>-11.395058316011344</v>
      </c>
      <c r="P43" s="16">
        <f t="shared" si="13"/>
        <v>-74.376987094415128</v>
      </c>
      <c r="Q43" s="8">
        <f t="shared" si="22"/>
        <v>-22.834720655594815</v>
      </c>
      <c r="R43" s="8">
        <f t="shared" si="23"/>
        <v>-85.862250788822308</v>
      </c>
      <c r="S43" s="13">
        <f t="shared" si="14"/>
        <v>31.897890340991559</v>
      </c>
      <c r="T43" s="8">
        <f t="shared" si="15"/>
        <v>88.543619406840008</v>
      </c>
      <c r="U43" s="8">
        <f t="shared" si="16"/>
        <v>-56.539258416377052</v>
      </c>
      <c r="V43" s="16">
        <f t="shared" si="17"/>
        <v>-176.64136613198437</v>
      </c>
      <c r="W43" s="13">
        <v>0</v>
      </c>
      <c r="X43" s="16">
        <f t="shared" si="18"/>
        <v>-90</v>
      </c>
      <c r="Y43" s="13">
        <f t="shared" si="24"/>
        <v>-2.7606280443612299</v>
      </c>
      <c r="Z43" s="16">
        <f t="shared" si="25"/>
        <v>-43.303807307170665</v>
      </c>
      <c r="AA43" s="5">
        <f t="shared" si="19"/>
        <v>-54.555451988101623</v>
      </c>
      <c r="AB43" s="8">
        <f t="shared" si="20"/>
        <v>-301.71202450466859</v>
      </c>
      <c r="AC43" s="8">
        <f t="shared" si="26"/>
        <v>-65.950510304112967</v>
      </c>
      <c r="AD43" s="17">
        <f t="shared" si="27"/>
        <v>-376.08901159908373</v>
      </c>
    </row>
    <row r="44" spans="1:30" ht="12.95" thickTop="1"/>
  </sheetData>
  <customSheetViews>
    <customSheetView guid="{0F8159A6-236F-4F54-A569-A835A6AD5DA8}" scale="70" state="hidden" topLeftCell="D1">
      <selection activeCell="J47" sqref="J47"/>
      <pageMargins left="0" right="0" top="0" bottom="0" header="0" footer="0"/>
      <pageSetup paperSize="9" orientation="portrait" horizontalDpi="300" verticalDpi="300" r:id="rId1"/>
    </customSheetView>
  </customSheetViews>
  <mergeCells count="7">
    <mergeCell ref="C1:J1"/>
    <mergeCell ref="K1:P1"/>
    <mergeCell ref="AA1:AD1"/>
    <mergeCell ref="A1:B1"/>
    <mergeCell ref="Q1:R1"/>
    <mergeCell ref="Y1:Z1"/>
    <mergeCell ref="S1:X1"/>
  </mergeCells>
  <pageMargins left="0.7" right="0.7" top="0.75" bottom="0.75" header="0.3" footer="0.3"/>
  <pageSetup paperSize="9"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election activeCell="A13" sqref="A13"/>
    </sheetView>
  </sheetViews>
  <sheetFormatPr defaultRowHeight="12.6"/>
  <cols>
    <col min="1" max="1" width="128" customWidth="1"/>
    <col min="2" max="2" width="13.5703125" customWidth="1"/>
    <col min="257" max="257" width="128" customWidth="1"/>
    <col min="258" max="258" width="13.5703125" customWidth="1"/>
    <col min="513" max="513" width="128" customWidth="1"/>
    <col min="514" max="514" width="13.5703125" customWidth="1"/>
    <col min="769" max="769" width="128" customWidth="1"/>
    <col min="770" max="770" width="13.5703125" customWidth="1"/>
    <col min="1025" max="1025" width="128" customWidth="1"/>
    <col min="1026" max="1026" width="13.5703125" customWidth="1"/>
    <col min="1281" max="1281" width="128" customWidth="1"/>
    <col min="1282" max="1282" width="13.5703125" customWidth="1"/>
    <col min="1537" max="1537" width="128" customWidth="1"/>
    <col min="1538" max="1538" width="13.5703125" customWidth="1"/>
    <col min="1793" max="1793" width="128" customWidth="1"/>
    <col min="1794" max="1794" width="13.5703125" customWidth="1"/>
    <col min="2049" max="2049" width="128" customWidth="1"/>
    <col min="2050" max="2050" width="13.5703125" customWidth="1"/>
    <col min="2305" max="2305" width="128" customWidth="1"/>
    <col min="2306" max="2306" width="13.5703125" customWidth="1"/>
    <col min="2561" max="2561" width="128" customWidth="1"/>
    <col min="2562" max="2562" width="13.5703125" customWidth="1"/>
    <col min="2817" max="2817" width="128" customWidth="1"/>
    <col min="2818" max="2818" width="13.5703125" customWidth="1"/>
    <col min="3073" max="3073" width="128" customWidth="1"/>
    <col min="3074" max="3074" width="13.5703125" customWidth="1"/>
    <col min="3329" max="3329" width="128" customWidth="1"/>
    <col min="3330" max="3330" width="13.5703125" customWidth="1"/>
    <col min="3585" max="3585" width="128" customWidth="1"/>
    <col min="3586" max="3586" width="13.5703125" customWidth="1"/>
    <col min="3841" max="3841" width="128" customWidth="1"/>
    <col min="3842" max="3842" width="13.5703125" customWidth="1"/>
    <col min="4097" max="4097" width="128" customWidth="1"/>
    <col min="4098" max="4098" width="13.5703125" customWidth="1"/>
    <col min="4353" max="4353" width="128" customWidth="1"/>
    <col min="4354" max="4354" width="13.5703125" customWidth="1"/>
    <col min="4609" max="4609" width="128" customWidth="1"/>
    <col min="4610" max="4610" width="13.5703125" customWidth="1"/>
    <col min="4865" max="4865" width="128" customWidth="1"/>
    <col min="4866" max="4866" width="13.5703125" customWidth="1"/>
    <col min="5121" max="5121" width="128" customWidth="1"/>
    <col min="5122" max="5122" width="13.5703125" customWidth="1"/>
    <col min="5377" max="5377" width="128" customWidth="1"/>
    <col min="5378" max="5378" width="13.5703125" customWidth="1"/>
    <col min="5633" max="5633" width="128" customWidth="1"/>
    <col min="5634" max="5634" width="13.5703125" customWidth="1"/>
    <col min="5889" max="5889" width="128" customWidth="1"/>
    <col min="5890" max="5890" width="13.5703125" customWidth="1"/>
    <col min="6145" max="6145" width="128" customWidth="1"/>
    <col min="6146" max="6146" width="13.5703125" customWidth="1"/>
    <col min="6401" max="6401" width="128" customWidth="1"/>
    <col min="6402" max="6402" width="13.5703125" customWidth="1"/>
    <col min="6657" max="6657" width="128" customWidth="1"/>
    <col min="6658" max="6658" width="13.5703125" customWidth="1"/>
    <col min="6913" max="6913" width="128" customWidth="1"/>
    <col min="6914" max="6914" width="13.5703125" customWidth="1"/>
    <col min="7169" max="7169" width="128" customWidth="1"/>
    <col min="7170" max="7170" width="13.5703125" customWidth="1"/>
    <col min="7425" max="7425" width="128" customWidth="1"/>
    <col min="7426" max="7426" width="13.5703125" customWidth="1"/>
    <col min="7681" max="7681" width="128" customWidth="1"/>
    <col min="7682" max="7682" width="13.5703125" customWidth="1"/>
    <col min="7937" max="7937" width="128" customWidth="1"/>
    <col min="7938" max="7938" width="13.5703125" customWidth="1"/>
    <col min="8193" max="8193" width="128" customWidth="1"/>
    <col min="8194" max="8194" width="13.5703125" customWidth="1"/>
    <col min="8449" max="8449" width="128" customWidth="1"/>
    <col min="8450" max="8450" width="13.5703125" customWidth="1"/>
    <col min="8705" max="8705" width="128" customWidth="1"/>
    <col min="8706" max="8706" width="13.5703125" customWidth="1"/>
    <col min="8961" max="8961" width="128" customWidth="1"/>
    <col min="8962" max="8962" width="13.5703125" customWidth="1"/>
    <col min="9217" max="9217" width="128" customWidth="1"/>
    <col min="9218" max="9218" width="13.5703125" customWidth="1"/>
    <col min="9473" max="9473" width="128" customWidth="1"/>
    <col min="9474" max="9474" width="13.5703125" customWidth="1"/>
    <col min="9729" max="9729" width="128" customWidth="1"/>
    <col min="9730" max="9730" width="13.5703125" customWidth="1"/>
    <col min="9985" max="9985" width="128" customWidth="1"/>
    <col min="9986" max="9986" width="13.5703125" customWidth="1"/>
    <col min="10241" max="10241" width="128" customWidth="1"/>
    <col min="10242" max="10242" width="13.5703125" customWidth="1"/>
    <col min="10497" max="10497" width="128" customWidth="1"/>
    <col min="10498" max="10498" width="13.5703125" customWidth="1"/>
    <col min="10753" max="10753" width="128" customWidth="1"/>
    <col min="10754" max="10754" width="13.5703125" customWidth="1"/>
    <col min="11009" max="11009" width="128" customWidth="1"/>
    <col min="11010" max="11010" width="13.5703125" customWidth="1"/>
    <col min="11265" max="11265" width="128" customWidth="1"/>
    <col min="11266" max="11266" width="13.5703125" customWidth="1"/>
    <col min="11521" max="11521" width="128" customWidth="1"/>
    <col min="11522" max="11522" width="13.5703125" customWidth="1"/>
    <col min="11777" max="11777" width="128" customWidth="1"/>
    <col min="11778" max="11778" width="13.5703125" customWidth="1"/>
    <col min="12033" max="12033" width="128" customWidth="1"/>
    <col min="12034" max="12034" width="13.5703125" customWidth="1"/>
    <col min="12289" max="12289" width="128" customWidth="1"/>
    <col min="12290" max="12290" width="13.5703125" customWidth="1"/>
    <col min="12545" max="12545" width="128" customWidth="1"/>
    <col min="12546" max="12546" width="13.5703125" customWidth="1"/>
    <col min="12801" max="12801" width="128" customWidth="1"/>
    <col min="12802" max="12802" width="13.5703125" customWidth="1"/>
    <col min="13057" max="13057" width="128" customWidth="1"/>
    <col min="13058" max="13058" width="13.5703125" customWidth="1"/>
    <col min="13313" max="13313" width="128" customWidth="1"/>
    <col min="13314" max="13314" width="13.5703125" customWidth="1"/>
    <col min="13569" max="13569" width="128" customWidth="1"/>
    <col min="13570" max="13570" width="13.5703125" customWidth="1"/>
    <col min="13825" max="13825" width="128" customWidth="1"/>
    <col min="13826" max="13826" width="13.5703125" customWidth="1"/>
    <col min="14081" max="14081" width="128" customWidth="1"/>
    <col min="14082" max="14082" width="13.5703125" customWidth="1"/>
    <col min="14337" max="14337" width="128" customWidth="1"/>
    <col min="14338" max="14338" width="13.5703125" customWidth="1"/>
    <col min="14593" max="14593" width="128" customWidth="1"/>
    <col min="14594" max="14594" width="13.5703125" customWidth="1"/>
    <col min="14849" max="14849" width="128" customWidth="1"/>
    <col min="14850" max="14850" width="13.5703125" customWidth="1"/>
    <col min="15105" max="15105" width="128" customWidth="1"/>
    <col min="15106" max="15106" width="13.5703125" customWidth="1"/>
    <col min="15361" max="15361" width="128" customWidth="1"/>
    <col min="15362" max="15362" width="13.5703125" customWidth="1"/>
    <col min="15617" max="15617" width="128" customWidth="1"/>
    <col min="15618" max="15618" width="13.5703125" customWidth="1"/>
    <col min="15873" max="15873" width="128" customWidth="1"/>
    <col min="15874" max="15874" width="13.5703125" customWidth="1"/>
    <col min="16129" max="16129" width="128" customWidth="1"/>
    <col min="16130" max="16130" width="13.5703125" customWidth="1"/>
  </cols>
  <sheetData>
    <row r="1" spans="1:1" ht="69.95">
      <c r="A1" s="24" t="s">
        <v>253</v>
      </c>
    </row>
    <row r="2" spans="1:1">
      <c r="A2" s="9"/>
    </row>
    <row r="3" spans="1:1" ht="84">
      <c r="A3" s="24" t="s">
        <v>254</v>
      </c>
    </row>
    <row r="4" spans="1:1">
      <c r="A4" s="9"/>
    </row>
    <row r="5" spans="1:1" ht="56.1">
      <c r="A5" s="24" t="s">
        <v>255</v>
      </c>
    </row>
    <row r="6" spans="1:1">
      <c r="A6" s="9"/>
    </row>
    <row r="7" spans="1:1" ht="84">
      <c r="A7" s="24" t="s">
        <v>256</v>
      </c>
    </row>
    <row r="8" spans="1:1">
      <c r="A8" s="9"/>
    </row>
    <row r="9" spans="1:1" ht="14.1">
      <c r="A9" s="24" t="s">
        <v>257</v>
      </c>
    </row>
  </sheetData>
  <customSheetViews>
    <customSheetView guid="{0F8159A6-236F-4F54-A569-A835A6AD5DA8}">
      <selection activeCell="A10" sqref="A10"/>
      <pageMargins left="0" right="0" top="0" bottom="0" header="0" footer="0"/>
      <pageSetup paperSize="9" orientation="portrait" horizontalDpi="300" verticalDpi="300" r:id="rId1"/>
    </customSheetView>
  </customSheetViews>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Texas Instruments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a0216859</dc:creator>
  <cp:keywords/>
  <dc:description/>
  <cp:lastModifiedBy/>
  <cp:revision/>
  <dcterms:created xsi:type="dcterms:W3CDTF">2011-04-19T20:45:42Z</dcterms:created>
  <dcterms:modified xsi:type="dcterms:W3CDTF">2026-02-18T13:51:08Z</dcterms:modified>
  <cp:category/>
  <cp:contentStatus/>
</cp:coreProperties>
</file>