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Workspace\Bryce_Xun\Custom Support\TPS55289(2)\TPS552892\2025.06.06 Phison Elec-Sch review\"/>
    </mc:Choice>
  </mc:AlternateContent>
  <xr:revisionPtr revIDLastSave="0" documentId="13_ncr:1_{17E02D37-FCBA-478B-A3C5-89FC506382CA}"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2700" yWindow="2720" windowWidth="9720" windowHeight="780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Calculation'!$C$96</definedName>
    <definedName name="BST_HS_Rdson">'Design Calculation'!$C$95</definedName>
    <definedName name="BST_HS_Vd">'Design Calculation'!$C$97</definedName>
    <definedName name="BST_LS_fall_time">'Design Calculation'!$C$93</definedName>
    <definedName name="BST_LS_Rdson">'Design Calculation'!$C$92</definedName>
    <definedName name="BST_LS_rise_time">'Design Calculation'!$C$94</definedName>
    <definedName name="BUCK_HS_Coss">'Design Calculation'!$C$84</definedName>
    <definedName name="BUCK_HS_fall_time">'Design Calculation'!$C$86</definedName>
    <definedName name="BUCK_HS_Qg">'Design Calculation'!$C$83</definedName>
    <definedName name="BUCK_HS_Rdson">'Design Calculation'!$C$82</definedName>
    <definedName name="BUCK_HS_rise_time">'Design Calculation'!$C$85</definedName>
    <definedName name="BUCK_LS_dead_time">'Design Calculation'!$C$90</definedName>
    <definedName name="BUCK_LS_deadtime">'Design Calculation'!$C$90</definedName>
    <definedName name="BUCK_LS_Qg">'Design Calculation'!$C$88</definedName>
    <definedName name="BUCK_LS_Qrr">'Design Calculation'!$C$89</definedName>
    <definedName name="BUCK_LS_Rdson">'Design Calculation'!$C$87</definedName>
    <definedName name="BUCK_LS_Vd">'Design Calculation'!$C$91</definedName>
    <definedName name="C_bst_snubber">'Design Calculation'!$C$99</definedName>
    <definedName name="C_buck_snubber">'Design Calculation'!$C$98</definedName>
    <definedName name="C_ca">'Frequency Response Calculation'!$AG$5</definedName>
    <definedName name="Ccomp">'Design Calculation'!$C$71</definedName>
    <definedName name="Cout_c">'Design Calculation'!$C$34</definedName>
    <definedName name="Cout_e">'Design Calculation'!$C$36</definedName>
    <definedName name="Cp">'Design Calculation'!$C$74</definedName>
    <definedName name="DCR">'Design Calculation'!$C$81</definedName>
    <definedName name="dVinpkpk">'Design Calculation'!$C$40</definedName>
    <definedName name="dVoutpkpk">'Design Calculation'!$C$32</definedName>
    <definedName name="eff">'Design Calculation'!$C$46</definedName>
    <definedName name="ESR">'Design Calculation'!$C$38</definedName>
    <definedName name="fco">'Design Calculation'!$C$66</definedName>
    <definedName name="fp">'Design Calculation'!$C$63</definedName>
    <definedName name="fp_comp2">'Design Calculation'!$C$75</definedName>
    <definedName name="fsw">'Design Calculation'!$C$28</definedName>
    <definedName name="fz_comp">'Design Calculation'!$C$72</definedName>
    <definedName name="fz_ESR">'Design Calculation'!$C$65</definedName>
    <definedName name="fzRHP">'Design Calculation'!$C$64</definedName>
    <definedName name="gm_ca">'Frequency Response Calculation'!$AG$3</definedName>
    <definedName name="gm_EA">'Design Calculation'!$C$67</definedName>
    <definedName name="gm_PS">'Design Calculation'!$C$62</definedName>
    <definedName name="Iavg_limit">'Design Calculation'!$C$55</definedName>
    <definedName name="ILpeak">'Design Calculation'!$C$79</definedName>
    <definedName name="ILpeak_max">'Design Calculation'!$C$53</definedName>
    <definedName name="ILrms">'Design Calculation'!$C$78</definedName>
    <definedName name="ILrms_max">'Design Calculation'!$C$52</definedName>
    <definedName name="ILvalley">'Design Calculation'!$C$80</definedName>
    <definedName name="ILvalley_max">'Design Calculation'!$C$54</definedName>
    <definedName name="Iout_limit">'Design Calculation'!$C$24</definedName>
    <definedName name="Ioutmax">'Design Calculation'!$C$17</definedName>
    <definedName name="K">'Design Calculation'!$C$48</definedName>
    <definedName name="L">'Design Calculation'!$C$51</definedName>
    <definedName name="Op_mode">'Design Calculation'!$C$61</definedName>
    <definedName name="R_1">'Design Calculation'!$C$25</definedName>
    <definedName name="R_5">'Design Calculation'!$C$22</definedName>
    <definedName name="R_7">'Design Calculation'!$C$22</definedName>
    <definedName name="R_ca">'Frequency Response Calculation'!$AG$4</definedName>
    <definedName name="Rcomp">'Design Calculation'!$C$69</definedName>
    <definedName name="Reg_Ilimit">'Design Calculation'!#REF!</definedName>
    <definedName name="Reg_Vref">'Design Calculation'!#REF!</definedName>
    <definedName name="Rpcb">'Design Calculation'!$C$100</definedName>
    <definedName name="tou">'Design Calculation'!$F$107</definedName>
    <definedName name="V_m">'Frequency Response Calculation'!$AG$6</definedName>
    <definedName name="Vin">'Design Calculation'!$C$59</definedName>
    <definedName name="Vin_eff">'Design Calculation'!$C$77</definedName>
    <definedName name="Vin_LP">'Design Calculation'!$C$59</definedName>
    <definedName name="Vin_max">'Design Calculation'!$C$15</definedName>
    <definedName name="Vin_min">'Design Calculation'!$C$14</definedName>
    <definedName name="Vout">'Design Calculation'!$C$16</definedName>
    <definedName name="Vout_LP">'Design Calculation'!$C$60</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34" i="1" l="1"/>
  <c r="C60" i="1" l="1"/>
  <c r="C25" i="1"/>
  <c r="C23" i="1" l="1"/>
  <c r="C21" i="1"/>
  <c r="C29" i="1" l="1"/>
  <c r="C19" i="1"/>
  <c r="C70" i="1" l="1"/>
  <c r="F107" i="1" l="1"/>
  <c r="C75" i="1" l="1"/>
  <c r="C80" i="1" l="1"/>
  <c r="C78" i="1"/>
  <c r="C54" i="1"/>
  <c r="C53" i="1"/>
  <c r="C62" i="1" l="1"/>
  <c r="C42" i="1" l="1"/>
  <c r="C79" i="1"/>
  <c r="C104" i="1" s="1"/>
  <c r="H107" i="1" l="1"/>
  <c r="G107" i="1"/>
  <c r="C106" i="1"/>
  <c r="C105" i="1"/>
  <c r="C50" i="1"/>
  <c r="C52" i="1"/>
  <c r="C61" i="1"/>
  <c r="AG6" i="2"/>
  <c r="C65" i="1"/>
  <c r="H19" i="2" s="1"/>
  <c r="C72"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8" i="2"/>
  <c r="H8" i="2"/>
  <c r="H17" i="2"/>
  <c r="H30" i="2"/>
  <c r="H28" i="2"/>
  <c r="C57" i="1"/>
  <c r="C31" i="1"/>
  <c r="H6" i="2" l="1"/>
  <c r="H38" i="2"/>
  <c r="H22" i="2"/>
  <c r="H33" i="2"/>
  <c r="H39" i="2"/>
  <c r="H41" i="2"/>
  <c r="C68" i="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7" i="1"/>
  <c r="C64" i="1"/>
  <c r="C73"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3" i="1"/>
  <c r="F34" i="2" s="1"/>
  <c r="V19" i="2"/>
  <c r="V6" i="2"/>
  <c r="V35" i="2"/>
  <c r="C110" i="1"/>
  <c r="C102" i="1"/>
  <c r="C101"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8"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D9" i="2"/>
  <c r="C34" i="2"/>
  <c r="D12" i="2"/>
  <c r="D42" i="2"/>
  <c r="D7" i="2"/>
  <c r="D31" i="2"/>
  <c r="C41" i="2"/>
  <c r="C33" i="2"/>
  <c r="C25" i="2"/>
  <c r="C17" i="2"/>
  <c r="C9" i="2"/>
  <c r="D6" i="2"/>
  <c r="D4" i="2"/>
  <c r="D21" i="2"/>
  <c r="C42" i="2"/>
  <c r="C18" i="2"/>
  <c r="D16" i="2"/>
  <c r="D25" i="2"/>
  <c r="D17" i="2"/>
  <c r="D39" i="2"/>
  <c r="C40" i="2"/>
  <c r="C32" i="2"/>
  <c r="C24" i="2"/>
  <c r="C16" i="2"/>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F16" i="2"/>
  <c r="F29" i="2"/>
  <c r="F28" i="2"/>
  <c r="F43" i="2"/>
  <c r="F25" i="2"/>
  <c r="F3" i="2"/>
  <c r="AB18" i="2" l="1"/>
  <c r="AD18" i="2" s="1"/>
  <c r="AA18" i="2"/>
  <c r="AC18" i="2" s="1"/>
  <c r="AA33" i="2"/>
  <c r="AC33" i="2" s="1"/>
  <c r="AA31" i="2"/>
  <c r="AC31" i="2" s="1"/>
  <c r="AA16" i="2"/>
  <c r="AC16" i="2" s="1"/>
  <c r="AA6" i="2"/>
  <c r="AC6" i="2" s="1"/>
  <c r="AA19" i="2"/>
  <c r="AC19" i="2" s="1"/>
  <c r="AA24" i="2"/>
  <c r="AC24" i="2" s="1"/>
  <c r="AA42" i="2"/>
  <c r="AC42" i="2" s="1"/>
  <c r="AA41" i="2"/>
  <c r="AC41" i="2" s="1"/>
  <c r="AA10" i="2"/>
  <c r="AC10" i="2" s="1"/>
  <c r="AA27" i="2"/>
  <c r="AC27" i="2" s="1"/>
  <c r="AA21" i="2"/>
  <c r="AC21" i="2" s="1"/>
  <c r="AA32" i="2"/>
  <c r="AC32" i="2" s="1"/>
  <c r="AA26" i="2"/>
  <c r="AC26" i="2" s="1"/>
  <c r="AA35" i="2"/>
  <c r="AC35" i="2" s="1"/>
  <c r="AA12" i="2"/>
  <c r="AC12" i="2" s="1"/>
  <c r="AA23" i="2"/>
  <c r="AC23" i="2" s="1"/>
  <c r="AA39" i="2"/>
  <c r="AC39" i="2" s="1"/>
  <c r="AA40" i="2"/>
  <c r="AC40" i="2" s="1"/>
  <c r="AA43" i="2"/>
  <c r="AC43" i="2" s="1"/>
  <c r="AA20" i="2"/>
  <c r="AC20" i="2" s="1"/>
  <c r="AA3" i="2"/>
  <c r="AC3" i="2" s="1"/>
  <c r="AA7" i="2"/>
  <c r="AC7" i="2" s="1"/>
  <c r="AA14" i="2"/>
  <c r="AC14" i="2" s="1"/>
  <c r="AA28" i="2"/>
  <c r="AC28" i="2" s="1"/>
  <c r="AA29" i="2"/>
  <c r="AC29" i="2" s="1"/>
  <c r="AA30" i="2"/>
  <c r="AC30" i="2" s="1"/>
  <c r="AA37" i="2"/>
  <c r="AC37" i="2" s="1"/>
  <c r="AA9" i="2"/>
  <c r="AC9" i="2" s="1"/>
  <c r="AA36" i="2"/>
  <c r="AC36" i="2" s="1"/>
  <c r="AA17" i="2"/>
  <c r="AC17" i="2" s="1"/>
  <c r="AA34" i="2"/>
  <c r="AC34" i="2" s="1"/>
  <c r="AA5" i="2"/>
  <c r="AC5" i="2" s="1"/>
  <c r="AA15" i="2"/>
  <c r="AC15" i="2" s="1"/>
  <c r="AA38" i="2"/>
  <c r="AC38" i="2" s="1"/>
  <c r="AA8" i="2"/>
  <c r="AC8" i="2" s="1"/>
  <c r="AA25" i="2"/>
  <c r="AC25" i="2" s="1"/>
  <c r="AA11" i="2"/>
  <c r="AC11" i="2" s="1"/>
  <c r="AA22" i="2"/>
  <c r="AC22" i="2" s="1"/>
  <c r="AA13" i="2"/>
  <c r="AC13" i="2" s="1"/>
  <c r="AA4" i="2"/>
  <c r="AC4" i="2" s="1"/>
  <c r="AB6" i="2"/>
  <c r="AD6" i="2" s="1"/>
  <c r="AB30" i="2"/>
  <c r="AD30" i="2" s="1"/>
  <c r="AB33" i="2"/>
  <c r="AD33" i="2" s="1"/>
  <c r="AB32" i="2"/>
  <c r="AD32" i="2" s="1"/>
  <c r="AB26" i="2"/>
  <c r="AD26" i="2" s="1"/>
  <c r="AB22" i="2"/>
  <c r="AD22" i="2" s="1"/>
  <c r="AB40" i="2"/>
  <c r="AD40" i="2" s="1"/>
  <c r="AB20" i="2"/>
  <c r="AD20" i="2" s="1"/>
  <c r="AB11" i="2"/>
  <c r="AD11" i="2" s="1"/>
  <c r="AB7" i="2"/>
  <c r="AD7" i="2" s="1"/>
  <c r="AB16" i="2"/>
  <c r="AD16" i="2" s="1"/>
  <c r="AB3" i="2"/>
  <c r="AD3" i="2" s="1"/>
  <c r="AB35" i="2"/>
  <c r="AD35" i="2" s="1"/>
  <c r="AB28" i="2"/>
  <c r="AD28" i="2" s="1"/>
  <c r="AB5" i="2"/>
  <c r="AD5" i="2" s="1"/>
  <c r="AB8" i="2"/>
  <c r="AD8" i="2" s="1"/>
  <c r="AB13" i="2"/>
  <c r="AD13" i="2" s="1"/>
  <c r="AB25" i="2"/>
  <c r="AD25" i="2" s="1"/>
  <c r="AB43" i="2"/>
  <c r="AD43" i="2" s="1"/>
  <c r="AB19" i="2"/>
  <c r="AD19" i="2" s="1"/>
  <c r="AB15" i="2"/>
  <c r="AD15" i="2" s="1"/>
  <c r="AB24" i="2"/>
  <c r="AD24" i="2" s="1"/>
  <c r="AB17" i="2"/>
  <c r="AD17" i="2" s="1"/>
  <c r="AB12" i="2"/>
  <c r="AD12" i="2" s="1"/>
  <c r="AB27" i="2"/>
  <c r="AD27" i="2" s="1"/>
  <c r="AB9" i="2"/>
  <c r="AD9" i="2" s="1"/>
  <c r="AB37" i="2"/>
  <c r="AD37" i="2" s="1"/>
  <c r="AB21" i="2"/>
  <c r="AD21" i="2" s="1"/>
  <c r="AB42" i="2"/>
  <c r="AD42" i="2" s="1"/>
  <c r="AB4" i="2"/>
  <c r="AD4" i="2" s="1"/>
  <c r="AB39" i="2"/>
  <c r="AD39" i="2" s="1"/>
  <c r="AB29" i="2"/>
  <c r="AD29" i="2" s="1"/>
  <c r="AB23" i="2"/>
  <c r="AD23" i="2" s="1"/>
</calcChain>
</file>

<file path=xl/sharedStrings.xml><?xml version="1.0" encoding="utf-8"?>
<sst xmlns="http://schemas.openxmlformats.org/spreadsheetml/2006/main" count="316" uniqueCount="244">
  <si>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</si>
  <si>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</si>
  <si>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</si>
  <si>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</si>
  <si>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</si>
  <si>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</si>
  <si>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</si>
  <si>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</si>
  <si>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</si>
  <si>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</si>
  <si>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</si>
  <si>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</si>
  <si>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</si>
  <si>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</si>
  <si>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</si>
  <si>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</si>
  <si>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</si>
  <si>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</si>
  <si>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</si>
  <si>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</si>
  <si>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</si>
  <si>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</si>
  <si>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</si>
  <si>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</si>
  <si>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</si>
  <si>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</si>
  <si>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</si>
  <si>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</si>
  <si>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</si>
  <si>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</si>
  <si>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</si>
  <si>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</si>
  <si>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</si>
  <si>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</si>
  <si>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</si>
  <si>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</si>
  <si>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</si>
  <si>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</si>
  <si>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</si>
  <si>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</si>
  <si>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</si>
  <si>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</si>
  <si>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</si>
  <si>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</si>
  <si>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</si>
  <si>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</si>
  <si>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</si>
  <si>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</si>
  <si>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</si>
  <si>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</si>
  <si>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</si>
  <si>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</si>
  <si>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</si>
  <si>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</si>
  <si>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</si>
  <si>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</si>
  <si>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</si>
  <si>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</si>
  <si>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</si>
  <si>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</si>
  <si>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</si>
  <si>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</si>
  <si>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</si>
  <si>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</si>
  <si>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</si>
  <si>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</si>
  <si>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</si>
  <si>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</si>
  <si>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</si>
  <si>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</si>
  <si>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</si>
  <si>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</si>
  <si>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</si>
  <si>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</si>
  <si>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</si>
  <si>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</si>
  <si>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</si>
  <si>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</si>
  <si>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</si>
  <si>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</si>
  <si>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</si>
  <si>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</si>
  <si>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</si>
  <si>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</si>
  <si>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</si>
  <si>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</si>
  <si>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</si>
  <si>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</si>
  <si>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</si>
  <si>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</si>
  <si>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</si>
  <si>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</si>
  <si>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</si>
  <si>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</si>
  <si>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</si>
  <si>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</si>
  <si>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</si>
  <si>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</si>
  <si>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</si>
  <si>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</si>
  <si>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</si>
  <si>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</si>
  <si>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</si>
  <si>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</si>
  <si>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</si>
  <si>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</si>
  <si>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</si>
  <si>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</si>
  <si>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</si>
  <si>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</si>
  <si>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</si>
  <si>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</si>
  <si>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</si>
  <si>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</si>
  <si>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</si>
  <si>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</si>
  <si>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</si>
  <si>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</si>
  <si>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</si>
  <si>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</si>
  <si>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</si>
  <si>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</si>
  <si>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</si>
  <si>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</si>
  <si>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</si>
  <si>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</si>
  <si>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</si>
  <si>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</si>
  <si>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</si>
  <si>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</si>
  <si>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</si>
  <si>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</si>
  <si>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</si>
  <si>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</si>
  <si>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</si>
  <si>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</si>
  <si>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</si>
  <si>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</si>
  <si>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</si>
  <si>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</si>
  <si>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</si>
  <si>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</si>
  <si>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</si>
  <si>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</si>
  <si>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</si>
  <si>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</si>
  <si>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</si>
  <si>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</si>
  <si>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</si>
  <si>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</si>
  <si>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</si>
  <si>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</si>
  <si>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</si>
  <si>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</si>
  <si>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</si>
  <si>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</si>
  <si>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</si>
  <si>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</si>
  <si>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</si>
  <si>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</si>
  <si>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</si>
  <si>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</si>
  <si>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</si>
  <si>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</si>
  <si>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</si>
  <si>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</si>
  <si>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</si>
  <si>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</si>
  <si>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</si>
  <si>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</si>
  <si>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</si>
  <si>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</si>
  <si>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</si>
  <si>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</si>
  <si>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</si>
  <si>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</si>
  <si>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</si>
  <si>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</si>
  <si>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</si>
  <si>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</si>
  <si>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</si>
  <si>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</si>
  <si>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</si>
  <si>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</si>
  <si>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</si>
  <si>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</si>
  <si>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</si>
  <si>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</si>
  <si>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</si>
  <si>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</si>
  <si>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</si>
  <si>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</si>
  <si>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</si>
  <si>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</si>
  <si>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</si>
  <si>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</si>
  <si>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</si>
  <si>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</si>
  <si>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</si>
  <si>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</si>
  <si>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</si>
  <si>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</si>
  <si>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</si>
  <si>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</si>
  <si>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</si>
  <si>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</si>
  <si>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</si>
  <si>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</si>
  <si>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</si>
  <si>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</si>
  <si>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</si>
  <si>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</si>
  <si>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</si>
  <si>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</si>
  <si>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</si>
  <si>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</si>
  <si>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</si>
  <si>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</si>
  <si>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</si>
  <si>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</si>
  <si>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</si>
  <si>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</si>
  <si>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</si>
  <si>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</si>
  <si>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</si>
  <si>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</si>
  <si>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</si>
  <si>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</si>
  <si>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</si>
  <si>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r>
      <t xml:space="preserve">Desired typical average inductor current limit. </t>
    </r>
    <r>
      <rPr>
        <sz val="10"/>
        <rFont val="Calibri"/>
        <family val="2"/>
      </rPr>
      <t>±1.5A tolerance</t>
    </r>
  </si>
  <si>
    <t>Core and AC loss of inductor. Use inductor vendor's formula to estimate. 521mW is the power loss of XAL7070-472 running at 400kHz with Ilrms=5.32A and Ilripple=2.63A at 400kHz.</t>
  </si>
  <si>
    <t>FPWM</t>
  </si>
  <si>
    <t>V0.0 (02/26/2022)</t>
  </si>
  <si>
    <t>Design Tool for TPS552892</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</si>
  <si>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</si>
  <si>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</si>
  <si>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</si>
  <si>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</si>
  <si>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</si>
  <si>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This tool is designed to aid the user in designing the TPS552892 buck-boost converter. Refer to TPS552892 datasheet for detail design precedure and all equations.</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</si>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</sst>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x14ac:knownFonts="1">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2">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31.278754091890381</c:v>
                </c:pt>
                <c:pt idx="1">
                  <c:v>29.320657477348025</c:v>
                </c:pt>
                <c:pt idx="2">
                  <c:v>27.385988625825213</c:v>
                </c:pt>
                <c:pt idx="3">
                  <c:v>25.486977913461864</c:v>
                </c:pt>
                <c:pt idx="4">
                  <c:v>23.641017853584525</c:v>
                </c:pt>
                <c:pt idx="5">
                  <c:v>21.871332460554331</c:v>
                </c:pt>
                <c:pt idx="6">
                  <c:v>20.205923101893369</c:v>
                </c:pt>
                <c:pt idx="7">
                  <c:v>18.673105990386798</c:v>
                </c:pt>
                <c:pt idx="8">
                  <c:v>17.292578885426884</c:v>
                </c:pt>
                <c:pt idx="9">
                  <c:v>16.063749297477347</c:v>
                </c:pt>
                <c:pt idx="10">
                  <c:v>14.956970608568067</c:v>
                </c:pt>
                <c:pt idx="11">
                  <c:v>13.914280422464444</c:v>
                </c:pt>
                <c:pt idx="12">
                  <c:v>12.861693718647143</c:v>
                </c:pt>
                <c:pt idx="13">
                  <c:v>11.728516137022542</c:v>
                </c:pt>
                <c:pt idx="14">
                  <c:v>10.465420822754171</c:v>
                </c:pt>
                <c:pt idx="15">
                  <c:v>9.0536972992884941</c:v>
                </c:pt>
                <c:pt idx="16">
                  <c:v>7.5029707717151632</c:v>
                </c:pt>
                <c:pt idx="17">
                  <c:v>5.8412562014916958</c:v>
                </c:pt>
                <c:pt idx="18">
                  <c:v>4.1041428250336898</c:v>
                </c:pt>
                <c:pt idx="19">
                  <c:v>2.3273965662542753</c:v>
                </c:pt>
                <c:pt idx="20">
                  <c:v>0.54289113136942135</c:v>
                </c:pt>
                <c:pt idx="21">
                  <c:v>-1.225219072637503</c:v>
                </c:pt>
                <c:pt idx="22">
                  <c:v>-2.9685336390971782</c:v>
                </c:pt>
                <c:pt idx="23">
                  <c:v>-4.7109348462676151</c:v>
                </c:pt>
                <c:pt idx="24">
                  <c:v>-6.5334719553689879</c:v>
                </c:pt>
                <c:pt idx="25">
                  <c:v>-8.5925332959761871</c:v>
                </c:pt>
                <c:pt idx="26">
                  <c:v>-11.092590462744342</c:v>
                </c:pt>
                <c:pt idx="27">
                  <c:v>-14.188382832341148</c:v>
                </c:pt>
                <c:pt idx="28">
                  <c:v>-17.891370399314205</c:v>
                </c:pt>
                <c:pt idx="29">
                  <c:v>-22.089869211409418</c:v>
                </c:pt>
                <c:pt idx="30">
                  <c:v>-26.641741265153325</c:v>
                </c:pt>
                <c:pt idx="31">
                  <c:v>-31.437195449577828</c:v>
                </c:pt>
                <c:pt idx="32">
                  <c:v>-36.41615834140935</c:v>
                </c:pt>
                <c:pt idx="33">
                  <c:v>-41.562942383553747</c:v>
                </c:pt>
                <c:pt idx="34">
                  <c:v>-46.889654889954329</c:v>
                </c:pt>
                <c:pt idx="35">
                  <c:v>-52.416688896649802</c:v>
                </c:pt>
                <c:pt idx="36">
                  <c:v>-58.160446455652227</c:v>
                </c:pt>
                <c:pt idx="37">
                  <c:v>-64.132266754897287</c:v>
                </c:pt>
                <c:pt idx="38">
                  <c:v>-70.34324568251796</c:v>
                </c:pt>
                <c:pt idx="39">
                  <c:v>-76.806588044289228</c:v>
                </c:pt>
                <c:pt idx="40">
                  <c:v>-83.533219689684117</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95.238380072233142</c:v>
                </c:pt>
                <c:pt idx="1">
                  <c:v>96.431754129072146</c:v>
                </c:pt>
                <c:pt idx="2">
                  <c:v>97.926838430787768</c:v>
                </c:pt>
                <c:pt idx="3">
                  <c:v>99.765386113727999</c:v>
                </c:pt>
                <c:pt idx="4">
                  <c:v>101.97511147252558</c:v>
                </c:pt>
                <c:pt idx="5">
                  <c:v>104.54859081217371</c:v>
                </c:pt>
                <c:pt idx="6">
                  <c:v>107.41246490358958</c:v>
                </c:pt>
                <c:pt idx="7">
                  <c:v>110.39336125497839</c:v>
                </c:pt>
                <c:pt idx="8">
                  <c:v>113.19929462551639</c:v>
                </c:pt>
                <c:pt idx="9">
                  <c:v>115.44362598811567</c:v>
                </c:pt>
                <c:pt idx="10">
                  <c:v>116.72562589806574</c:v>
                </c:pt>
                <c:pt idx="11">
                  <c:v>116.74493205699078</c:v>
                </c:pt>
                <c:pt idx="12">
                  <c:v>115.39668532133977</c:v>
                </c:pt>
                <c:pt idx="13">
                  <c:v>112.79915686368108</c:v>
                </c:pt>
                <c:pt idx="14">
                  <c:v>109.23927642248951</c:v>
                </c:pt>
                <c:pt idx="15">
                  <c:v>105.06168910263298</c:v>
                </c:pt>
                <c:pt idx="16">
                  <c:v>100.55424279213888</c:v>
                </c:pt>
                <c:pt idx="17">
                  <c:v>95.875923475447479</c:v>
                </c:pt>
                <c:pt idx="18">
                  <c:v>91.03604543474664</c:v>
                </c:pt>
                <c:pt idx="19">
                  <c:v>85.90112023910666</c:v>
                </c:pt>
                <c:pt idx="20">
                  <c:v>80.200240337050502</c:v>
                </c:pt>
                <c:pt idx="21">
                  <c:v>73.513016227670462</c:v>
                </c:pt>
                <c:pt idx="22">
                  <c:v>65.244581935723986</c:v>
                </c:pt>
                <c:pt idx="23">
                  <c:v>54.621749075904873</c:v>
                </c:pt>
                <c:pt idx="24">
                  <c:v>40.78717800861557</c:v>
                </c:pt>
                <c:pt idx="25">
                  <c:v>23.091716069650694</c:v>
                </c:pt>
                <c:pt idx="26">
                  <c:v>1.555570135593733</c:v>
                </c:pt>
                <c:pt idx="27">
                  <c:v>-22.909997138988622</c:v>
                </c:pt>
                <c:pt idx="28">
                  <c:v>-48.976118986209677</c:v>
                </c:pt>
                <c:pt idx="29">
                  <c:v>-75.625508906434021</c:v>
                </c:pt>
                <c:pt idx="30">
                  <c:v>-102.35192577539375</c:v>
                </c:pt>
                <c:pt idx="31">
                  <c:v>-128.92967006734725</c:v>
                </c:pt>
                <c:pt idx="32">
                  <c:v>-155.20624818446646</c:v>
                </c:pt>
                <c:pt idx="33">
                  <c:v>-181.04785628177356</c:v>
                </c:pt>
                <c:pt idx="34">
                  <c:v>-206.37572446162108</c:v>
                </c:pt>
                <c:pt idx="35">
                  <c:v>-231.22977607830632</c:v>
                </c:pt>
                <c:pt idx="36">
                  <c:v>-255.82065232315762</c:v>
                </c:pt>
                <c:pt idx="37">
                  <c:v>-280.54233965523292</c:v>
                </c:pt>
                <c:pt idx="38">
                  <c:v>-305.93767124247563</c:v>
                </c:pt>
                <c:pt idx="39">
                  <c:v>-332.64037861077196</c:v>
                </c:pt>
                <c:pt idx="40">
                  <c:v>-361.33816662242054</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58</xdr:row>
      <xdr:rowOff>35924</xdr:rowOff>
    </xdr:from>
    <xdr:to>
      <xdr:col>15</xdr:col>
      <xdr:colOff>524691</xdr:colOff>
      <xdr:row>89</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42059" y="10780124"/>
          <a:ext cx="7033532" cy="4814841"/>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127000</xdr:colOff>
          <xdr:row>14</xdr:row>
          <xdr:rowOff>38100</xdr:rowOff>
        </xdr:from>
        <xdr:to>
          <xdr:col>15</xdr:col>
          <xdr:colOff>273050</xdr:colOff>
          <xdr:row>31</xdr:row>
          <xdr:rowOff>304800</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
  <sheetViews>
    <sheetView tabSelected="1" zoomScaleNormal="100" workbookViewId="0">
      <selection activeCell="E27" sqref="E27"/>
    </sheetView>
  </sheetViews>
  <sheetFormatPr defaultColWidth="8.81640625" defaultRowHeight="12.5" x14ac:dyDescent="0.25"/>
  <cols>
    <col min="1" max="1" width="2.7265625" style="103" customWidth="1"/>
    <col min="2" max="2" width="24" style="104" customWidth="1"/>
    <col min="3" max="3" width="13.26953125" style="104" customWidth="1"/>
    <col min="4" max="4" width="6.7265625" style="104" customWidth="1"/>
    <col min="5" max="5" width="53.7265625" style="104" customWidth="1"/>
    <col min="6" max="6" width="9.26953125" style="66" customWidth="1"/>
    <col min="7" max="10" width="8.81640625" style="66" customWidth="1"/>
    <col min="11" max="11" width="8.81640625" style="56" customWidth="1"/>
    <col min="12" max="12" width="8.81640625" style="66"/>
    <col min="13" max="13" width="9.1796875" style="66" bestFit="1" customWidth="1"/>
    <col min="14" max="14" width="13.1796875" style="66" bestFit="1" customWidth="1"/>
    <col min="15" max="16" width="8.81640625" style="66"/>
    <col min="17" max="17" width="2.7265625" style="66" customWidth="1"/>
    <col min="18" max="18" width="8.81640625" style="66"/>
    <col min="19" max="19" width="11" style="66" bestFit="1" customWidth="1"/>
    <col min="20" max="20" width="8.81640625" style="66" customWidth="1"/>
    <col min="21" max="16384" width="8.81640625" style="66"/>
  </cols>
  <sheetData>
    <row r="1" spans="1:17" s="56" customFormat="1" ht="13" thickBot="1" x14ac:dyDescent="0.3">
      <c r="A1" s="52"/>
      <c r="B1" s="53"/>
      <c r="C1" s="53"/>
      <c r="D1" s="53"/>
      <c r="E1" s="53"/>
      <c r="F1" s="54"/>
      <c r="G1" s="54"/>
      <c r="H1" s="54"/>
      <c r="I1" s="54"/>
      <c r="J1" s="55"/>
      <c r="K1" s="55"/>
      <c r="L1" s="55"/>
      <c r="M1" s="55"/>
      <c r="N1" s="55"/>
      <c r="O1" s="55"/>
      <c r="P1" s="55"/>
      <c r="Q1" s="55"/>
    </row>
    <row r="2" spans="1:17" s="56" customFormat="1" ht="16" thickTop="1" x14ac:dyDescent="0.35">
      <c r="A2" s="52"/>
      <c r="B2" s="158" t="s">
        <v>233</v>
      </c>
      <c r="C2" s="159"/>
      <c r="D2" s="159"/>
      <c r="E2" s="159"/>
      <c r="F2" s="159"/>
      <c r="G2" s="159"/>
      <c r="H2" s="159"/>
      <c r="I2" s="159"/>
      <c r="J2" s="159"/>
      <c r="K2" s="159"/>
      <c r="L2" s="159"/>
      <c r="M2" s="159"/>
      <c r="N2" s="159"/>
      <c r="O2" s="159"/>
      <c r="P2" s="160"/>
      <c r="Q2" s="55"/>
    </row>
    <row r="3" spans="1:17" s="56" customFormat="1" x14ac:dyDescent="0.25">
      <c r="A3" s="52"/>
      <c r="B3" s="161" t="s">
        <v>232</v>
      </c>
      <c r="C3" s="162"/>
      <c r="D3" s="162"/>
      <c r="E3" s="162"/>
      <c r="F3" s="162"/>
      <c r="G3" s="162"/>
      <c r="H3" s="162"/>
      <c r="I3" s="162"/>
      <c r="J3" s="162"/>
      <c r="K3" s="162"/>
      <c r="L3" s="162"/>
      <c r="M3" s="162"/>
      <c r="N3" s="162"/>
      <c r="O3" s="162"/>
      <c r="P3" s="163"/>
      <c r="Q3" s="55"/>
    </row>
    <row r="4" spans="1:17" s="56" customFormat="1" x14ac:dyDescent="0.25">
      <c r="A4" s="52"/>
      <c r="B4" s="161"/>
      <c r="C4" s="162"/>
      <c r="D4" s="162"/>
      <c r="E4" s="162"/>
      <c r="F4" s="162"/>
      <c r="G4" s="162"/>
      <c r="H4" s="162"/>
      <c r="I4" s="162"/>
      <c r="J4" s="162"/>
      <c r="K4" s="162"/>
      <c r="L4" s="162"/>
      <c r="M4" s="162"/>
      <c r="N4" s="162"/>
      <c r="O4" s="162"/>
      <c r="P4" s="163"/>
      <c r="Q4" s="55"/>
    </row>
    <row r="5" spans="1:17" s="56" customFormat="1" x14ac:dyDescent="0.25">
      <c r="A5" s="52"/>
      <c r="B5" s="57"/>
      <c r="C5" s="58"/>
      <c r="D5" s="58"/>
      <c r="E5" s="58"/>
      <c r="F5" s="59"/>
      <c r="G5" s="59"/>
      <c r="H5" s="59"/>
      <c r="I5" s="59"/>
      <c r="J5" s="59"/>
      <c r="K5" s="60"/>
      <c r="L5" s="60"/>
      <c r="M5" s="60"/>
      <c r="N5" s="60"/>
      <c r="O5" s="60"/>
      <c r="P5" s="61"/>
      <c r="Q5" s="55"/>
    </row>
    <row r="6" spans="1:17" s="56" customFormat="1" ht="13.15" customHeight="1" x14ac:dyDescent="0.25">
      <c r="A6" s="52"/>
      <c r="B6" s="164" t="s">
        <v>239</v>
      </c>
      <c r="C6" s="165"/>
      <c r="D6" s="165"/>
      <c r="E6" s="165"/>
      <c r="F6" s="165"/>
      <c r="G6" s="165"/>
      <c r="H6" s="165"/>
      <c r="I6" s="165"/>
      <c r="J6" s="165"/>
      <c r="K6" s="165"/>
      <c r="L6" s="165"/>
      <c r="M6" s="165"/>
      <c r="N6" s="165"/>
      <c r="O6" s="165"/>
      <c r="P6" s="166"/>
      <c r="Q6" s="55"/>
    </row>
    <row r="7" spans="1:17" s="56" customFormat="1" x14ac:dyDescent="0.25">
      <c r="A7" s="52"/>
      <c r="B7" s="156"/>
      <c r="C7" s="157"/>
      <c r="D7" s="157"/>
      <c r="E7" s="157"/>
      <c r="F7" s="157"/>
      <c r="G7" s="157"/>
      <c r="H7" s="157"/>
      <c r="I7" s="157"/>
      <c r="J7" s="157"/>
      <c r="K7" s="60"/>
      <c r="L7" s="60"/>
      <c r="M7" s="60"/>
      <c r="N7" s="60"/>
      <c r="O7" s="60"/>
      <c r="P7" s="61"/>
      <c r="Q7" s="55"/>
    </row>
    <row r="8" spans="1:17" ht="15.5" x14ac:dyDescent="0.35">
      <c r="A8" s="52"/>
      <c r="B8" s="62"/>
      <c r="C8" s="63"/>
      <c r="D8" s="64" t="s">
        <v>81</v>
      </c>
      <c r="E8" s="65"/>
      <c r="F8" s="60"/>
      <c r="G8" s="60"/>
      <c r="H8" s="60"/>
      <c r="I8" s="60"/>
      <c r="J8" s="60"/>
      <c r="K8" s="60"/>
      <c r="L8" s="60"/>
      <c r="M8" s="60"/>
      <c r="N8" s="60"/>
      <c r="O8" s="60"/>
      <c r="P8" s="61"/>
      <c r="Q8" s="55"/>
    </row>
    <row r="9" spans="1:17" ht="15.5" x14ac:dyDescent="0.35">
      <c r="A9" s="52"/>
      <c r="B9" s="62"/>
      <c r="C9" s="67"/>
      <c r="D9" s="64" t="s">
        <v>43</v>
      </c>
      <c r="E9" s="65"/>
      <c r="F9" s="60"/>
      <c r="G9" s="60"/>
      <c r="H9" s="60"/>
      <c r="I9" s="60"/>
      <c r="J9" s="60"/>
      <c r="K9" s="60"/>
      <c r="L9" s="60"/>
      <c r="M9" s="60"/>
      <c r="N9" s="60"/>
      <c r="O9" s="60"/>
      <c r="P9" s="61"/>
      <c r="Q9" s="55"/>
    </row>
    <row r="10" spans="1:17" ht="14" x14ac:dyDescent="0.3">
      <c r="A10" s="52"/>
      <c r="B10" s="62"/>
      <c r="C10" s="68"/>
      <c r="D10" s="64" t="s">
        <v>42</v>
      </c>
      <c r="E10" s="69"/>
      <c r="F10" s="60"/>
      <c r="G10" s="60"/>
      <c r="H10" s="60"/>
      <c r="I10" s="60"/>
      <c r="J10" s="60"/>
      <c r="K10" s="60"/>
      <c r="L10" s="60"/>
      <c r="M10" s="60"/>
      <c r="N10" s="60"/>
      <c r="O10" s="60"/>
      <c r="P10" s="61"/>
      <c r="Q10" s="55"/>
    </row>
    <row r="11" spans="1:17" ht="14" x14ac:dyDescent="0.3">
      <c r="A11" s="52"/>
      <c r="B11" s="62"/>
      <c r="C11" s="69"/>
      <c r="D11" s="64"/>
      <c r="E11" s="69"/>
      <c r="F11" s="60"/>
      <c r="G11" s="60"/>
      <c r="H11" s="60"/>
      <c r="I11" s="60"/>
      <c r="J11" s="60"/>
      <c r="K11" s="60"/>
      <c r="L11" s="60"/>
      <c r="M11" s="60"/>
      <c r="N11" s="60"/>
      <c r="O11" s="60"/>
      <c r="P11" s="61"/>
      <c r="Q11" s="55"/>
    </row>
    <row r="12" spans="1:17" ht="13" x14ac:dyDescent="0.3">
      <c r="A12" s="52"/>
      <c r="B12" s="70" t="s">
        <v>25</v>
      </c>
      <c r="C12" s="71" t="s">
        <v>24</v>
      </c>
      <c r="D12" s="71" t="s">
        <v>23</v>
      </c>
      <c r="E12" s="71" t="s">
        <v>26</v>
      </c>
      <c r="F12" s="169" t="s">
        <v>40</v>
      </c>
      <c r="G12" s="169"/>
      <c r="H12" s="169"/>
      <c r="I12" s="169"/>
      <c r="J12" s="169"/>
      <c r="K12" s="169"/>
      <c r="L12" s="169"/>
      <c r="M12" s="169"/>
      <c r="N12" s="169"/>
      <c r="O12" s="169"/>
      <c r="P12" s="170"/>
      <c r="Q12" s="55"/>
    </row>
    <row r="13" spans="1:17" ht="13" x14ac:dyDescent="0.25">
      <c r="A13" s="52"/>
      <c r="B13" s="171" t="s">
        <v>41</v>
      </c>
      <c r="C13" s="169"/>
      <c r="D13" s="169"/>
      <c r="E13" s="169"/>
      <c r="F13" s="72"/>
      <c r="G13" s="73"/>
      <c r="H13" s="73"/>
      <c r="I13" s="73"/>
      <c r="J13" s="73"/>
      <c r="K13" s="73"/>
      <c r="L13" s="73"/>
      <c r="M13" s="73"/>
      <c r="N13" s="73"/>
      <c r="O13" s="73"/>
      <c r="P13" s="74"/>
      <c r="Q13" s="55"/>
    </row>
    <row r="14" spans="1:17" x14ac:dyDescent="0.25">
      <c r="A14" s="52"/>
      <c r="B14" s="75" t="s">
        <v>12</v>
      </c>
      <c r="C14" s="33">
        <v>7</v>
      </c>
      <c r="D14" s="76" t="s">
        <v>3</v>
      </c>
      <c r="E14" s="77" t="s">
        <v>223</v>
      </c>
      <c r="F14" s="60"/>
      <c r="G14" s="60"/>
      <c r="H14" s="60"/>
      <c r="I14" s="60"/>
      <c r="J14" s="60"/>
      <c r="K14" s="60"/>
      <c r="L14" s="60"/>
      <c r="M14" s="60"/>
      <c r="N14" s="60"/>
      <c r="O14" s="60"/>
      <c r="P14" s="61"/>
      <c r="Q14" s="55"/>
    </row>
    <row r="15" spans="1:17" x14ac:dyDescent="0.25">
      <c r="A15" s="52"/>
      <c r="B15" s="75" t="s">
        <v>13</v>
      </c>
      <c r="C15" s="33">
        <v>13.2</v>
      </c>
      <c r="D15" s="76" t="s">
        <v>3</v>
      </c>
      <c r="E15" s="77" t="s">
        <v>33</v>
      </c>
      <c r="F15" s="60"/>
      <c r="G15" s="60"/>
      <c r="H15" s="60"/>
      <c r="I15" s="60"/>
      <c r="J15" s="60"/>
      <c r="K15" s="60"/>
      <c r="L15" s="60"/>
      <c r="M15" s="60"/>
      <c r="N15" s="60"/>
      <c r="O15" s="60"/>
      <c r="P15" s="61"/>
      <c r="Q15" s="55"/>
    </row>
    <row r="16" spans="1:17" x14ac:dyDescent="0.25">
      <c r="A16" s="52"/>
      <c r="B16" s="75" t="s">
        <v>30</v>
      </c>
      <c r="C16" s="108">
        <v>12</v>
      </c>
      <c r="D16" s="76" t="s">
        <v>3</v>
      </c>
      <c r="E16" s="77" t="s">
        <v>234</v>
      </c>
      <c r="F16" s="60"/>
      <c r="G16" s="60"/>
      <c r="H16" s="60"/>
      <c r="I16" s="60"/>
      <c r="J16" s="60"/>
      <c r="K16" s="60"/>
      <c r="L16" s="60"/>
      <c r="M16" s="60"/>
      <c r="N16" s="60"/>
      <c r="O16" s="60"/>
      <c r="P16" s="61"/>
      <c r="Q16" s="55"/>
    </row>
    <row r="17" spans="1:17" x14ac:dyDescent="0.25">
      <c r="A17" s="52"/>
      <c r="B17" s="75" t="s">
        <v>54</v>
      </c>
      <c r="C17" s="33">
        <v>2</v>
      </c>
      <c r="D17" s="76" t="s">
        <v>4</v>
      </c>
      <c r="E17" s="77" t="s">
        <v>76</v>
      </c>
      <c r="F17" s="60"/>
      <c r="G17" s="60"/>
      <c r="H17" s="60"/>
      <c r="I17" s="60"/>
      <c r="J17" s="60"/>
      <c r="K17" s="60"/>
      <c r="L17" s="60"/>
      <c r="M17" s="60"/>
      <c r="N17" s="60"/>
      <c r="O17" s="60"/>
      <c r="P17" s="61"/>
      <c r="Q17" s="55"/>
    </row>
    <row r="18" spans="1:17" x14ac:dyDescent="0.25">
      <c r="A18" s="52"/>
      <c r="B18" s="75" t="s">
        <v>48</v>
      </c>
      <c r="C18" s="34" t="s">
        <v>38</v>
      </c>
      <c r="D18" s="76"/>
      <c r="E18" s="77" t="s">
        <v>82</v>
      </c>
      <c r="F18" s="60"/>
      <c r="G18" s="60"/>
      <c r="H18" s="60"/>
      <c r="I18" s="60"/>
      <c r="J18" s="60"/>
      <c r="K18" s="60"/>
      <c r="L18" s="60"/>
      <c r="M18" s="60"/>
      <c r="N18" s="60"/>
      <c r="O18" s="60"/>
      <c r="P18" s="61"/>
      <c r="Q18" s="55"/>
    </row>
    <row r="19" spans="1:17" x14ac:dyDescent="0.25">
      <c r="A19" s="52"/>
      <c r="B19" s="75" t="s">
        <v>225</v>
      </c>
      <c r="C19" s="131" t="str">
        <f>IF(C18="Internal", "High","Low")</f>
        <v>High</v>
      </c>
      <c r="D19" s="76"/>
      <c r="E19" s="77" t="s">
        <v>226</v>
      </c>
      <c r="F19" s="60"/>
      <c r="G19" s="60"/>
      <c r="H19" s="60"/>
      <c r="I19" s="60"/>
      <c r="J19" s="60"/>
      <c r="K19" s="60"/>
      <c r="L19" s="60"/>
      <c r="M19" s="60"/>
      <c r="N19" s="60"/>
      <c r="O19" s="60"/>
      <c r="P19" s="61"/>
      <c r="Q19" s="55"/>
    </row>
    <row r="20" spans="1:17" x14ac:dyDescent="0.25">
      <c r="A20" s="52"/>
      <c r="B20" s="75" t="s">
        <v>80</v>
      </c>
      <c r="C20" s="34" t="s">
        <v>231</v>
      </c>
      <c r="D20" s="76"/>
      <c r="E20" s="77" t="s">
        <v>83</v>
      </c>
      <c r="F20" s="60"/>
      <c r="G20" s="60"/>
      <c r="H20" s="60"/>
      <c r="I20" s="60"/>
      <c r="J20" s="60"/>
      <c r="K20" s="60"/>
      <c r="L20" s="60"/>
      <c r="M20" s="60"/>
      <c r="N20" s="60"/>
      <c r="O20" s="60"/>
      <c r="P20" s="61"/>
      <c r="Q20" s="55"/>
    </row>
    <row r="21" spans="1:17" x14ac:dyDescent="0.25">
      <c r="A21" s="52"/>
      <c r="B21" s="75" t="s">
        <v>224</v>
      </c>
      <c r="C21" s="35" t="str">
        <f>IF(C20="FPWM", "High","Low")</f>
        <v>High</v>
      </c>
      <c r="D21" s="76"/>
      <c r="E21" s="77" t="s">
        <v>227</v>
      </c>
      <c r="F21" s="60"/>
      <c r="G21" s="60"/>
      <c r="H21" s="60"/>
      <c r="I21" s="60"/>
      <c r="J21" s="60"/>
      <c r="K21" s="60"/>
      <c r="L21" s="60"/>
      <c r="M21" s="60"/>
      <c r="N21" s="60"/>
      <c r="O21" s="60"/>
      <c r="P21" s="61"/>
      <c r="Q21" s="55"/>
    </row>
    <row r="22" spans="1:17" ht="25" x14ac:dyDescent="0.25">
      <c r="A22" s="52"/>
      <c r="B22" s="75" t="s">
        <v>73</v>
      </c>
      <c r="C22" s="36">
        <v>100000</v>
      </c>
      <c r="D22" s="76" t="s">
        <v>28</v>
      </c>
      <c r="E22" s="77" t="s">
        <v>195</v>
      </c>
      <c r="F22" s="60"/>
      <c r="G22" s="60"/>
      <c r="H22" s="60"/>
      <c r="I22" s="60"/>
      <c r="J22" s="60"/>
      <c r="K22" s="60"/>
      <c r="L22" s="60"/>
      <c r="M22" s="60"/>
      <c r="N22" s="60"/>
      <c r="O22" s="60"/>
      <c r="P22" s="61"/>
      <c r="Q22" s="55"/>
    </row>
    <row r="23" spans="1:17" ht="13" x14ac:dyDescent="0.3">
      <c r="A23" s="52"/>
      <c r="B23" s="78" t="s">
        <v>228</v>
      </c>
      <c r="C23" s="37">
        <f>R_5/(Vout/1.2-1)</f>
        <v>11111.111111111111</v>
      </c>
      <c r="D23" s="76" t="s">
        <v>28</v>
      </c>
      <c r="E23" s="77" t="s">
        <v>170</v>
      </c>
      <c r="F23" s="60"/>
      <c r="G23" s="60"/>
      <c r="H23" s="60"/>
      <c r="I23" s="60"/>
      <c r="J23" s="60"/>
      <c r="K23" s="60"/>
      <c r="L23" s="60"/>
      <c r="M23" s="60"/>
      <c r="N23" s="60"/>
      <c r="O23" s="60"/>
      <c r="P23" s="61"/>
      <c r="Q23" s="55"/>
    </row>
    <row r="24" spans="1:17" x14ac:dyDescent="0.25">
      <c r="A24" s="52"/>
      <c r="B24" s="75" t="s">
        <v>75</v>
      </c>
      <c r="C24" s="33">
        <v>5</v>
      </c>
      <c r="D24" s="76" t="s">
        <v>4</v>
      </c>
      <c r="E24" s="77" t="s">
        <v>45</v>
      </c>
      <c r="F24" s="60"/>
      <c r="G24" s="60"/>
      <c r="H24" s="60"/>
      <c r="I24" s="60"/>
      <c r="J24" s="60"/>
      <c r="K24" s="60"/>
      <c r="L24" s="60"/>
      <c r="M24" s="60"/>
      <c r="N24" s="60"/>
      <c r="O24" s="60"/>
      <c r="P24" s="61"/>
      <c r="Q24" s="55"/>
    </row>
    <row r="25" spans="1:17" x14ac:dyDescent="0.25">
      <c r="A25" s="52"/>
      <c r="B25" s="75" t="s">
        <v>46</v>
      </c>
      <c r="C25" s="26">
        <f>50/Iout_limit</f>
        <v>10</v>
      </c>
      <c r="D25" s="76" t="s">
        <v>196</v>
      </c>
      <c r="E25" s="77" t="s">
        <v>47</v>
      </c>
      <c r="F25" s="60"/>
      <c r="G25" s="60"/>
      <c r="H25" s="60"/>
      <c r="I25" s="60"/>
      <c r="J25" s="60"/>
      <c r="K25" s="60"/>
      <c r="L25" s="60"/>
      <c r="M25" s="60"/>
      <c r="N25" s="60"/>
      <c r="O25" s="60"/>
      <c r="P25" s="61"/>
      <c r="Q25" s="55"/>
    </row>
    <row r="26" spans="1:17" ht="25.5" x14ac:dyDescent="0.3">
      <c r="A26" s="52"/>
      <c r="B26" s="75" t="s">
        <v>201</v>
      </c>
      <c r="C26" s="38">
        <f>IF((Vout&gt;Vin_min), SQRT((Vout-Vin_min)/Vin_min)*Ioutmax, 1/SQRT(12)*Vout*(1-Vout/Vin_max)/L/fsw)</f>
        <v>1.6903085094570331</v>
      </c>
      <c r="D26" s="76" t="s">
        <v>19</v>
      </c>
      <c r="E26" s="77" t="s">
        <v>22</v>
      </c>
      <c r="F26" s="60"/>
      <c r="G26" s="60"/>
      <c r="H26" s="60"/>
      <c r="I26" s="60"/>
      <c r="J26" s="60"/>
      <c r="K26" s="60"/>
      <c r="L26" s="60"/>
      <c r="M26" s="60"/>
      <c r="N26" s="60"/>
      <c r="O26" s="60"/>
      <c r="P26" s="61"/>
      <c r="Q26" s="55"/>
    </row>
    <row r="27" spans="1:17" ht="25" x14ac:dyDescent="0.25">
      <c r="A27" s="52"/>
      <c r="B27" s="75" t="s">
        <v>197</v>
      </c>
      <c r="C27" s="38">
        <f>IF((Vin_max&gt;Vout), IF(Vin_max&lt;(2*Vout), Ioutmax*SQRT(Vout*(Vin_max-Vout)/Vin_max/Vin_max), Ioutmax/2), IF(Vin_min&gt;Vout/2, 1/SQRT(12)*Vin_min*(1-Vin_min/Vout)/L/fsw, 1/SQRT(12)*Vout/4/L/fsw))</f>
        <v>0.57495957457606883</v>
      </c>
      <c r="D27" s="76" t="s">
        <v>19</v>
      </c>
      <c r="E27" s="77" t="s">
        <v>36</v>
      </c>
      <c r="F27" s="60"/>
      <c r="G27" s="60"/>
      <c r="H27" s="60"/>
      <c r="I27" s="60"/>
      <c r="J27" s="60"/>
      <c r="K27" s="60"/>
      <c r="L27" s="60"/>
      <c r="M27" s="60"/>
      <c r="N27" s="60"/>
      <c r="O27" s="60"/>
      <c r="P27" s="61"/>
      <c r="Q27" s="55"/>
    </row>
    <row r="28" spans="1:17" x14ac:dyDescent="0.25">
      <c r="A28" s="52"/>
      <c r="B28" s="75" t="s">
        <v>2</v>
      </c>
      <c r="C28" s="39">
        <v>1200000</v>
      </c>
      <c r="D28" s="76" t="s">
        <v>6</v>
      </c>
      <c r="E28" s="77" t="s">
        <v>16</v>
      </c>
      <c r="F28" s="60"/>
      <c r="G28" s="60"/>
      <c r="H28" s="60"/>
      <c r="I28" s="60"/>
      <c r="J28" s="60"/>
      <c r="K28" s="60"/>
      <c r="L28" s="60"/>
      <c r="M28" s="60"/>
      <c r="N28" s="60"/>
      <c r="O28" s="60"/>
      <c r="P28" s="61"/>
      <c r="Q28" s="55"/>
    </row>
    <row r="29" spans="1:17" ht="13" x14ac:dyDescent="0.3">
      <c r="A29" s="52"/>
      <c r="B29" s="78" t="s">
        <v>35</v>
      </c>
      <c r="C29" s="40">
        <f>(10^9/fsw-35)/0.05-250</f>
        <v>15716.666666666666</v>
      </c>
      <c r="D29" s="76" t="s">
        <v>28</v>
      </c>
      <c r="E29" s="77" t="s">
        <v>34</v>
      </c>
      <c r="F29" s="60"/>
      <c r="G29" s="60"/>
      <c r="H29" s="60"/>
      <c r="I29" s="60"/>
      <c r="J29" s="60"/>
      <c r="K29" s="60"/>
      <c r="L29" s="60"/>
      <c r="M29" s="60"/>
      <c r="N29" s="60"/>
      <c r="O29" s="60"/>
      <c r="P29" s="61"/>
      <c r="Q29" s="55"/>
    </row>
    <row r="30" spans="1:17" x14ac:dyDescent="0.25">
      <c r="A30" s="52"/>
      <c r="B30" s="75" t="s">
        <v>77</v>
      </c>
      <c r="C30" s="39">
        <v>1000</v>
      </c>
      <c r="D30" s="76" t="s">
        <v>6</v>
      </c>
      <c r="E30" s="77" t="s">
        <v>78</v>
      </c>
      <c r="F30" s="60"/>
      <c r="G30" s="60"/>
      <c r="H30" s="60"/>
      <c r="I30" s="60"/>
      <c r="J30" s="60"/>
      <c r="K30" s="60"/>
      <c r="L30" s="60"/>
      <c r="M30" s="60"/>
      <c r="N30" s="60"/>
      <c r="O30" s="60"/>
      <c r="P30" s="61"/>
      <c r="Q30" s="55"/>
    </row>
    <row r="31" spans="1:17" ht="13" x14ac:dyDescent="0.3">
      <c r="A31" s="52"/>
      <c r="B31" s="78" t="s">
        <v>79</v>
      </c>
      <c r="C31" s="41">
        <f>1/2.8/C29/C30</f>
        <v>2.272382972276928E-8</v>
      </c>
      <c r="D31" s="76" t="s">
        <v>9</v>
      </c>
      <c r="E31" s="77"/>
      <c r="F31" s="176" t="s">
        <v>44</v>
      </c>
      <c r="G31" s="176"/>
      <c r="H31" s="176"/>
      <c r="I31" s="176"/>
      <c r="J31" s="176"/>
      <c r="K31" s="176"/>
      <c r="L31" s="176"/>
      <c r="M31" s="176"/>
      <c r="N31" s="176"/>
      <c r="O31" s="176"/>
      <c r="P31" s="177"/>
      <c r="Q31" s="102"/>
    </row>
    <row r="32" spans="1:17" ht="25.5" x14ac:dyDescent="0.3">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x14ac:dyDescent="0.3">
      <c r="A33" s="52"/>
      <c r="B33" s="78" t="s">
        <v>52</v>
      </c>
      <c r="C33" s="43">
        <f>MAX((Vout-Vin_min)/Vout/fsw*Ioutmax/dVoutpkpk, 1/8/fsw*(ILpeak_max-ILvalley_max)/dVoutpkpk)</f>
        <v>1.388888888888889E-5</v>
      </c>
      <c r="D33" s="76" t="s">
        <v>9</v>
      </c>
      <c r="E33" s="127" t="s">
        <v>37</v>
      </c>
      <c r="F33" s="126"/>
      <c r="G33" s="116"/>
      <c r="H33" s="116"/>
      <c r="I33" s="117"/>
      <c r="J33" s="116"/>
      <c r="K33" s="115"/>
      <c r="L33" s="116"/>
      <c r="M33" s="116"/>
      <c r="N33" s="116"/>
      <c r="O33" s="116"/>
      <c r="P33" s="128"/>
      <c r="Q33" s="129"/>
    </row>
    <row r="34" spans="1:17" x14ac:dyDescent="0.25">
      <c r="A34" s="52"/>
      <c r="B34" s="134" t="s">
        <v>120</v>
      </c>
      <c r="C34" s="143">
        <f>0.0000038*4+0.0000015*7</f>
        <v>2.5700000000000001E-5</v>
      </c>
      <c r="D34" s="145" t="s">
        <v>9</v>
      </c>
      <c r="E34" s="140" t="s">
        <v>174</v>
      </c>
      <c r="F34" s="151"/>
      <c r="G34" s="132"/>
      <c r="H34" s="118"/>
      <c r="I34" s="118"/>
      <c r="J34" s="118"/>
      <c r="K34" s="118"/>
      <c r="L34" s="118"/>
      <c r="M34" s="118"/>
      <c r="N34" s="118"/>
      <c r="O34" s="118"/>
      <c r="P34" s="133"/>
      <c r="Q34" s="129"/>
    </row>
    <row r="35" spans="1:17" x14ac:dyDescent="0.25">
      <c r="A35" s="52"/>
      <c r="B35" s="135"/>
      <c r="C35" s="144"/>
      <c r="D35" s="146"/>
      <c r="E35" s="141"/>
      <c r="F35" s="151"/>
      <c r="G35" s="132"/>
      <c r="H35" s="118"/>
      <c r="I35" s="119"/>
      <c r="J35" s="120"/>
      <c r="K35" s="118"/>
      <c r="L35" s="120"/>
      <c r="M35" s="120"/>
      <c r="N35" s="120"/>
      <c r="O35" s="120"/>
      <c r="P35" s="133"/>
      <c r="Q35" s="129"/>
    </row>
    <row r="36" spans="1:17" ht="15.75" customHeight="1" x14ac:dyDescent="0.25">
      <c r="A36" s="52"/>
      <c r="B36" s="134" t="s">
        <v>121</v>
      </c>
      <c r="C36" s="143">
        <v>9.9999999999999995E-8</v>
      </c>
      <c r="D36" s="145" t="s">
        <v>9</v>
      </c>
      <c r="E36" s="140" t="s">
        <v>127</v>
      </c>
      <c r="F36" s="151"/>
      <c r="G36" s="132"/>
      <c r="H36" s="118"/>
      <c r="I36" s="118"/>
      <c r="J36" s="118"/>
      <c r="K36" s="118"/>
      <c r="L36" s="118"/>
      <c r="M36" s="118"/>
      <c r="N36" s="118"/>
      <c r="O36" s="118"/>
      <c r="P36" s="133"/>
      <c r="Q36" s="129"/>
    </row>
    <row r="37" spans="1:17" x14ac:dyDescent="0.25">
      <c r="A37" s="52"/>
      <c r="B37" s="135"/>
      <c r="C37" s="144"/>
      <c r="D37" s="146"/>
      <c r="E37" s="141"/>
      <c r="F37" s="151"/>
      <c r="G37" s="132"/>
      <c r="H37" s="118"/>
      <c r="I37" s="118"/>
      <c r="J37" s="118"/>
      <c r="K37" s="118"/>
      <c r="L37" s="118"/>
      <c r="M37" s="118"/>
      <c r="N37" s="120"/>
      <c r="O37" s="120"/>
      <c r="P37" s="133"/>
      <c r="Q37" s="129"/>
    </row>
    <row r="38" spans="1:17" x14ac:dyDescent="0.25">
      <c r="A38" s="52"/>
      <c r="B38" s="134" t="s">
        <v>171</v>
      </c>
      <c r="C38" s="154">
        <v>1E-3</v>
      </c>
      <c r="D38" s="145" t="s">
        <v>28</v>
      </c>
      <c r="E38" s="140" t="s">
        <v>111</v>
      </c>
      <c r="F38" s="151"/>
      <c r="G38" s="132"/>
      <c r="H38" s="118"/>
      <c r="I38" s="118"/>
      <c r="J38" s="118"/>
      <c r="K38" s="118"/>
      <c r="L38" s="118"/>
      <c r="M38" s="120"/>
      <c r="N38" s="120"/>
      <c r="O38" s="120"/>
      <c r="P38" s="133"/>
      <c r="Q38" s="129"/>
    </row>
    <row r="39" spans="1:17" x14ac:dyDescent="0.25">
      <c r="A39" s="52"/>
      <c r="B39" s="135"/>
      <c r="C39" s="155"/>
      <c r="D39" s="146"/>
      <c r="E39" s="141"/>
      <c r="F39" s="151"/>
      <c r="G39" s="132"/>
      <c r="H39" s="121"/>
      <c r="I39" s="122"/>
      <c r="J39" s="120"/>
      <c r="K39" s="118"/>
      <c r="L39" s="120"/>
      <c r="M39" s="120"/>
      <c r="N39" s="120"/>
      <c r="O39" s="120"/>
      <c r="P39" s="133"/>
      <c r="Q39" s="129"/>
    </row>
    <row r="40" spans="1:17" x14ac:dyDescent="0.25">
      <c r="A40" s="52"/>
      <c r="B40" s="134" t="s">
        <v>198</v>
      </c>
      <c r="C40" s="152">
        <v>0.05</v>
      </c>
      <c r="D40" s="145" t="s">
        <v>20</v>
      </c>
      <c r="E40" s="140" t="s">
        <v>50</v>
      </c>
      <c r="F40" s="151"/>
      <c r="G40" s="132"/>
      <c r="H40" s="118"/>
      <c r="I40" s="118"/>
      <c r="J40" s="120"/>
      <c r="K40" s="118"/>
      <c r="L40" s="118"/>
      <c r="M40" s="118"/>
      <c r="N40" s="120"/>
      <c r="O40" s="120"/>
      <c r="P40" s="133"/>
      <c r="Q40" s="129"/>
    </row>
    <row r="41" spans="1:17" x14ac:dyDescent="0.25">
      <c r="A41" s="52"/>
      <c r="B41" s="135"/>
      <c r="C41" s="153"/>
      <c r="D41" s="146"/>
      <c r="E41" s="141"/>
      <c r="F41" s="151"/>
      <c r="G41" s="132"/>
      <c r="H41" s="118"/>
      <c r="I41" s="118"/>
      <c r="J41" s="120"/>
      <c r="K41" s="120"/>
      <c r="L41" s="118"/>
      <c r="M41" s="118"/>
      <c r="N41" s="120"/>
      <c r="O41" s="120"/>
      <c r="P41" s="133"/>
      <c r="Q41" s="129"/>
    </row>
    <row r="42" spans="1:17" x14ac:dyDescent="0.25">
      <c r="A42" s="52"/>
      <c r="B42" s="147" t="s">
        <v>51</v>
      </c>
      <c r="C42" s="149">
        <f>Ioutmax*0.25/dVinpkpk/fsw</f>
        <v>8.3333333333333337E-6</v>
      </c>
      <c r="D42" s="145" t="s">
        <v>9</v>
      </c>
      <c r="E42" s="140" t="s">
        <v>84</v>
      </c>
      <c r="F42" s="151"/>
      <c r="G42" s="132"/>
      <c r="H42" s="118"/>
      <c r="I42" s="118"/>
      <c r="J42" s="118"/>
      <c r="K42" s="118"/>
      <c r="L42" s="118"/>
      <c r="M42" s="118"/>
      <c r="N42" s="120"/>
      <c r="O42" s="120"/>
      <c r="P42" s="133"/>
      <c r="Q42" s="129"/>
    </row>
    <row r="43" spans="1:17" x14ac:dyDescent="0.25">
      <c r="A43" s="52"/>
      <c r="B43" s="148"/>
      <c r="C43" s="150"/>
      <c r="D43" s="146"/>
      <c r="E43" s="141"/>
      <c r="F43" s="151"/>
      <c r="G43" s="132"/>
      <c r="H43" s="118"/>
      <c r="I43" s="118"/>
      <c r="J43" s="118"/>
      <c r="K43" s="118"/>
      <c r="L43" s="118"/>
      <c r="M43" s="118"/>
      <c r="N43" s="120"/>
      <c r="O43" s="120"/>
      <c r="P43" s="133"/>
      <c r="Q43" s="129"/>
    </row>
    <row r="44" spans="1:17" x14ac:dyDescent="0.25">
      <c r="A44" s="52"/>
      <c r="B44" s="134" t="s">
        <v>53</v>
      </c>
      <c r="C44" s="143">
        <v>4.3000000000000002E-5</v>
      </c>
      <c r="D44" s="145" t="s">
        <v>9</v>
      </c>
      <c r="E44" s="140" t="s">
        <v>31</v>
      </c>
      <c r="F44" s="142"/>
      <c r="G44" s="132"/>
      <c r="H44" s="118"/>
      <c r="I44" s="118"/>
      <c r="J44" s="118"/>
      <c r="K44" s="118"/>
      <c r="L44" s="118"/>
      <c r="M44" s="118"/>
      <c r="N44" s="120"/>
      <c r="O44" s="120"/>
      <c r="P44" s="133"/>
      <c r="Q44" s="129"/>
    </row>
    <row r="45" spans="1:17" x14ac:dyDescent="0.25">
      <c r="A45" s="52"/>
      <c r="B45" s="135"/>
      <c r="C45" s="144"/>
      <c r="D45" s="146"/>
      <c r="E45" s="141"/>
      <c r="F45" s="142"/>
      <c r="G45" s="132"/>
      <c r="H45" s="118"/>
      <c r="I45" s="118"/>
      <c r="J45" s="118"/>
      <c r="K45" s="118"/>
      <c r="L45" s="118"/>
      <c r="M45" s="120"/>
      <c r="N45" s="120"/>
      <c r="O45" s="120"/>
      <c r="P45" s="133"/>
      <c r="Q45" s="129"/>
    </row>
    <row r="46" spans="1:17" x14ac:dyDescent="0.25">
      <c r="A46" s="52"/>
      <c r="B46" s="134" t="s">
        <v>205</v>
      </c>
      <c r="C46" s="178">
        <v>0.95</v>
      </c>
      <c r="D46" s="138"/>
      <c r="E46" s="140" t="s">
        <v>39</v>
      </c>
      <c r="F46" s="142"/>
      <c r="G46" s="132"/>
      <c r="H46" s="118"/>
      <c r="I46" s="118"/>
      <c r="J46" s="118"/>
      <c r="K46" s="118"/>
      <c r="L46" s="118"/>
      <c r="M46" s="118"/>
      <c r="N46" s="118"/>
      <c r="O46" s="118"/>
      <c r="P46" s="133"/>
      <c r="Q46" s="129"/>
    </row>
    <row r="47" spans="1:17" x14ac:dyDescent="0.25">
      <c r="A47" s="52"/>
      <c r="B47" s="135"/>
      <c r="C47" s="179"/>
      <c r="D47" s="139"/>
      <c r="E47" s="141"/>
      <c r="F47" s="142"/>
      <c r="G47" s="132"/>
      <c r="H47" s="123"/>
      <c r="I47" s="123"/>
      <c r="J47" s="123"/>
      <c r="K47" s="123"/>
      <c r="L47" s="124"/>
      <c r="M47" s="124"/>
      <c r="N47" s="125"/>
      <c r="O47" s="124"/>
      <c r="P47" s="133"/>
      <c r="Q47" s="129"/>
    </row>
    <row r="48" spans="1:17" x14ac:dyDescent="0.25">
      <c r="A48" s="52"/>
      <c r="B48" s="134" t="s">
        <v>11</v>
      </c>
      <c r="C48" s="136">
        <v>0.5</v>
      </c>
      <c r="D48" s="138"/>
      <c r="E48" s="140" t="s">
        <v>86</v>
      </c>
      <c r="F48" s="142"/>
      <c r="G48" s="132"/>
      <c r="H48" s="120"/>
      <c r="I48" s="120"/>
      <c r="J48" s="120"/>
      <c r="K48" s="120"/>
      <c r="L48" s="120"/>
      <c r="M48" s="118"/>
      <c r="N48" s="120"/>
      <c r="O48" s="120"/>
      <c r="P48" s="133"/>
      <c r="Q48" s="129"/>
    </row>
    <row r="49" spans="1:17" x14ac:dyDescent="0.25">
      <c r="A49" s="52"/>
      <c r="B49" s="135"/>
      <c r="C49" s="137"/>
      <c r="D49" s="139"/>
      <c r="E49" s="141"/>
      <c r="F49" s="142"/>
      <c r="G49" s="132"/>
      <c r="H49" s="120"/>
      <c r="I49" s="120"/>
      <c r="J49" s="120"/>
      <c r="K49" s="120"/>
      <c r="L49" s="120"/>
      <c r="M49" s="118"/>
      <c r="N49" s="120"/>
      <c r="O49" s="120"/>
      <c r="P49" s="133"/>
      <c r="Q49" s="129"/>
    </row>
    <row r="50" spans="1:17" ht="25" x14ac:dyDescent="0.25">
      <c r="A50" s="52"/>
      <c r="B50" s="75" t="s">
        <v>97</v>
      </c>
      <c r="C50" s="43">
        <f>IF(Vout&gt;Vin_min, Vin_min^2*eff*(Vout-Vin_min)/(K*Ioutmax*fsw*Vout^2), (1-Vout/Vin_max)*Vout/(K*Ioutmax*fsw))</f>
        <v>1.3469328703703704E-6</v>
      </c>
      <c r="D50" s="76" t="s">
        <v>5</v>
      </c>
      <c r="E50" s="77" t="s">
        <v>85</v>
      </c>
      <c r="F50" s="80"/>
      <c r="G50" s="60"/>
      <c r="H50" s="60"/>
      <c r="I50" s="60"/>
      <c r="J50" s="60"/>
      <c r="K50" s="60"/>
      <c r="L50" s="60"/>
      <c r="M50" s="60"/>
      <c r="N50" s="60"/>
      <c r="O50" s="60"/>
      <c r="P50" s="61"/>
      <c r="Q50" s="55"/>
    </row>
    <row r="51" spans="1:17" ht="15.65" customHeight="1" x14ac:dyDescent="0.25">
      <c r="A51" s="52"/>
      <c r="B51" s="75" t="s">
        <v>17</v>
      </c>
      <c r="C51" s="44">
        <v>4.6999999999999999E-6</v>
      </c>
      <c r="D51" s="76" t="s">
        <v>5</v>
      </c>
      <c r="E51" s="77"/>
      <c r="F51" s="80"/>
      <c r="G51" s="60"/>
      <c r="H51" s="80"/>
      <c r="I51" s="80"/>
      <c r="J51" s="60"/>
      <c r="K51" s="60"/>
      <c r="L51" s="60"/>
      <c r="M51" s="60"/>
      <c r="N51" s="60"/>
      <c r="O51" s="60"/>
      <c r="P51" s="61"/>
      <c r="Q51" s="55"/>
    </row>
    <row r="52" spans="1:17" x14ac:dyDescent="0.25">
      <c r="A52" s="52"/>
      <c r="B52" s="75" t="s">
        <v>162</v>
      </c>
      <c r="C52" s="38">
        <f>IF(Vout&gt;Vin_min, ((Ioutmax/(Vin_min/Vout)/eff)^2+1/12*(Vin_min/L*(1-Vin_min/Vout)/fsw)^2)^0.5, ((Ioutmax^2+1/12*(Vout/L*(1-Vout/Vin_max)/fsw)^2)^0.5))</f>
        <v>3.6121087907221092</v>
      </c>
      <c r="D52" s="76" t="s">
        <v>19</v>
      </c>
      <c r="E52" s="77" t="s">
        <v>14</v>
      </c>
      <c r="F52" s="60"/>
      <c r="G52" s="60"/>
      <c r="H52" s="60"/>
      <c r="I52" s="60"/>
      <c r="J52" s="60"/>
      <c r="K52" s="60"/>
      <c r="L52" s="60"/>
      <c r="M52" s="60"/>
      <c r="N52" s="60"/>
      <c r="O52" s="60"/>
      <c r="P52" s="61"/>
      <c r="Q52" s="55"/>
    </row>
    <row r="53" spans="1:17" ht="25.5" customHeight="1" x14ac:dyDescent="0.25">
      <c r="A53" s="52"/>
      <c r="B53" s="75" t="s">
        <v>164</v>
      </c>
      <c r="C53" s="38">
        <f>IF(Vout&gt;Vin_min, (Ioutmax/(Vin_min/Vout)/eff+(1/2*Vin_min/L*(1-Vin_min/Vout)/fsw)), Ioutmax+1/2*(Vout*(1-Vout/Vin_max)/L/fsw))</f>
        <v>3.8675922963436959</v>
      </c>
      <c r="D53" s="76" t="s">
        <v>4</v>
      </c>
      <c r="E53" s="77" t="s">
        <v>208</v>
      </c>
      <c r="F53" s="60"/>
      <c r="G53" s="81"/>
      <c r="H53" s="82"/>
      <c r="I53" s="81"/>
      <c r="J53" s="79"/>
      <c r="K53" s="60"/>
      <c r="L53" s="60"/>
      <c r="M53" s="60"/>
      <c r="N53" s="60"/>
      <c r="O53" s="60"/>
      <c r="P53" s="61"/>
      <c r="Q53" s="55"/>
    </row>
    <row r="54" spans="1:17" x14ac:dyDescent="0.25">
      <c r="A54" s="52"/>
      <c r="B54" s="75" t="s">
        <v>165</v>
      </c>
      <c r="C54" s="38">
        <f>IF(Vout&gt;Vin_min, (Ioutmax/(Vin_min/Vout)/eff-(1/2*Vin_min/L*(1-Vin_min/Vout)/fsw)), Ioutmax-1/2*(Vout*(1-Vout/Vin_max)/L/fsw))</f>
        <v>3.3504528164382585</v>
      </c>
      <c r="D54" s="76" t="s">
        <v>4</v>
      </c>
      <c r="E54" s="77"/>
      <c r="F54" s="60"/>
      <c r="G54" s="81"/>
      <c r="H54" s="82"/>
      <c r="I54" s="81"/>
      <c r="J54" s="79"/>
      <c r="K54" s="60"/>
      <c r="L54" s="60"/>
      <c r="M54" s="60"/>
      <c r="N54" s="60"/>
      <c r="O54" s="60"/>
      <c r="P54" s="61"/>
      <c r="Q54" s="55"/>
    </row>
    <row r="55" spans="1:17" ht="13" x14ac:dyDescent="0.3">
      <c r="A55" s="52"/>
      <c r="B55" s="75" t="s">
        <v>186</v>
      </c>
      <c r="C55" s="109">
        <v>8</v>
      </c>
      <c r="D55" s="76" t="s">
        <v>4</v>
      </c>
      <c r="E55" s="77" t="s">
        <v>229</v>
      </c>
      <c r="F55" s="60"/>
      <c r="G55" s="81"/>
      <c r="H55" s="82"/>
      <c r="I55" s="81"/>
      <c r="J55" s="79"/>
      <c r="K55" s="60"/>
      <c r="L55" s="60"/>
      <c r="M55" s="60"/>
      <c r="N55" s="60"/>
      <c r="O55" s="60"/>
      <c r="P55" s="61"/>
      <c r="Q55" s="55"/>
    </row>
    <row r="56" spans="1:17" x14ac:dyDescent="0.25">
      <c r="A56" s="52"/>
      <c r="B56" s="83" t="s">
        <v>87</v>
      </c>
      <c r="C56" s="45">
        <v>0</v>
      </c>
      <c r="D56" s="76" t="s">
        <v>89</v>
      </c>
      <c r="E56" s="77" t="s">
        <v>88</v>
      </c>
      <c r="F56" s="60"/>
      <c r="G56" s="81"/>
      <c r="H56" s="82"/>
      <c r="I56" s="81"/>
      <c r="J56" s="79"/>
      <c r="K56" s="60"/>
      <c r="L56" s="60"/>
      <c r="M56" s="60"/>
      <c r="N56" s="60"/>
      <c r="O56" s="60"/>
      <c r="P56" s="61"/>
      <c r="Q56" s="55"/>
    </row>
    <row r="57" spans="1:17" ht="13" x14ac:dyDescent="0.3">
      <c r="A57" s="52"/>
      <c r="B57" s="78" t="s">
        <v>95</v>
      </c>
      <c r="C57" s="46" t="str">
        <f>IF((C56=0), "floating", 3*R_7/C56)</f>
        <v>floating</v>
      </c>
      <c r="D57" s="76" t="s">
        <v>49</v>
      </c>
      <c r="E57" s="77" t="s">
        <v>96</v>
      </c>
      <c r="F57" s="60"/>
      <c r="G57" s="60"/>
      <c r="H57" s="60"/>
      <c r="I57" s="60"/>
      <c r="J57" s="60"/>
      <c r="K57" s="60"/>
      <c r="L57" s="60"/>
      <c r="M57" s="60"/>
      <c r="N57" s="60"/>
      <c r="O57" s="60"/>
      <c r="P57" s="61"/>
      <c r="Q57" s="55"/>
    </row>
    <row r="58" spans="1:17" ht="13" x14ac:dyDescent="0.25">
      <c r="A58" s="52"/>
      <c r="B58" s="175" t="s">
        <v>182</v>
      </c>
      <c r="C58" s="173"/>
      <c r="D58" s="173"/>
      <c r="E58" s="173"/>
      <c r="F58" s="172" t="s">
        <v>150</v>
      </c>
      <c r="G58" s="173"/>
      <c r="H58" s="173"/>
      <c r="I58" s="173"/>
      <c r="J58" s="173"/>
      <c r="K58" s="173"/>
      <c r="L58" s="173"/>
      <c r="M58" s="173"/>
      <c r="N58" s="173"/>
      <c r="O58" s="173"/>
      <c r="P58" s="174"/>
      <c r="Q58" s="55"/>
    </row>
    <row r="59" spans="1:17" x14ac:dyDescent="0.25">
      <c r="A59" s="52"/>
      <c r="B59" s="75" t="s">
        <v>0</v>
      </c>
      <c r="C59" s="26">
        <v>10</v>
      </c>
      <c r="D59" s="76" t="s">
        <v>3</v>
      </c>
      <c r="E59" s="167" t="s">
        <v>184</v>
      </c>
      <c r="F59" s="60"/>
      <c r="G59" s="60"/>
      <c r="H59" s="60"/>
      <c r="I59" s="60"/>
      <c r="J59" s="60"/>
      <c r="K59" s="60"/>
      <c r="L59" s="60"/>
      <c r="M59" s="60"/>
      <c r="N59" s="60"/>
      <c r="O59" s="60"/>
      <c r="P59" s="61"/>
      <c r="Q59" s="55"/>
    </row>
    <row r="60" spans="1:17" x14ac:dyDescent="0.25">
      <c r="A60" s="52"/>
      <c r="B60" s="75" t="s">
        <v>30</v>
      </c>
      <c r="C60" s="130">
        <f>Vout</f>
        <v>12</v>
      </c>
      <c r="D60" s="76" t="s">
        <v>3</v>
      </c>
      <c r="E60" s="168"/>
      <c r="F60" s="60"/>
      <c r="G60" s="60"/>
      <c r="H60" s="60"/>
      <c r="I60" s="60"/>
      <c r="J60" s="60"/>
      <c r="K60" s="60"/>
      <c r="L60" s="60"/>
      <c r="M60" s="60"/>
      <c r="N60" s="60"/>
      <c r="O60" s="60"/>
      <c r="P60" s="61"/>
      <c r="Q60" s="55"/>
    </row>
    <row r="61" spans="1:17" ht="12.75" customHeight="1" x14ac:dyDescent="0.25">
      <c r="A61" s="84"/>
      <c r="B61" s="75" t="s">
        <v>146</v>
      </c>
      <c r="C61" s="35" t="str">
        <f>IF((Vin_LP &gt; Vout_LP),"Buck","Boost")</f>
        <v>Boost</v>
      </c>
      <c r="D61" s="76"/>
      <c r="E61" s="77" t="s">
        <v>158</v>
      </c>
      <c r="F61" s="60"/>
      <c r="G61" s="60"/>
      <c r="H61" s="60"/>
      <c r="I61" s="60"/>
      <c r="J61" s="60"/>
      <c r="K61" s="60"/>
      <c r="L61" s="60"/>
      <c r="M61" s="60"/>
      <c r="N61" s="60"/>
      <c r="O61" s="60"/>
      <c r="P61" s="61"/>
      <c r="Q61" s="55"/>
    </row>
    <row r="62" spans="1:17" ht="12.75" customHeight="1" x14ac:dyDescent="0.25">
      <c r="A62" s="84"/>
      <c r="B62" s="75" t="s">
        <v>211</v>
      </c>
      <c r="C62" s="47">
        <f>17+Ioutmax/2.5</f>
        <v>17.8</v>
      </c>
      <c r="D62" s="76" t="s">
        <v>124</v>
      </c>
      <c r="E62" s="77" t="s">
        <v>126</v>
      </c>
      <c r="F62" s="60"/>
      <c r="G62" s="60"/>
      <c r="H62" s="60"/>
      <c r="I62" s="60"/>
      <c r="J62" s="60"/>
      <c r="K62" s="60"/>
      <c r="L62" s="60"/>
      <c r="M62" s="60"/>
      <c r="N62" s="60"/>
      <c r="O62" s="60"/>
      <c r="P62" s="61"/>
      <c r="Q62" s="55"/>
    </row>
    <row r="63" spans="1:17" ht="12.75" customHeight="1" x14ac:dyDescent="0.25">
      <c r="A63" s="84"/>
      <c r="B63" s="75" t="s">
        <v>210</v>
      </c>
      <c r="C63" s="35">
        <f>IF((Op_mode="Buck"), Ioutmax/2/PI()/Vout_LP/(Cout_c+Cout_e), Ioutmax/PI()/Vout_LP/(Cout_c+Cout_e))</f>
        <v>2056.2654146239706</v>
      </c>
      <c r="D63" s="76" t="s">
        <v>6</v>
      </c>
      <c r="E63" s="77" t="s">
        <v>149</v>
      </c>
      <c r="F63" s="60"/>
      <c r="G63" s="60"/>
      <c r="H63" s="60"/>
      <c r="I63" s="60"/>
      <c r="J63" s="60"/>
      <c r="K63" s="60"/>
      <c r="L63" s="60"/>
      <c r="M63" s="60"/>
      <c r="N63" s="60"/>
      <c r="O63" s="60"/>
      <c r="P63" s="61"/>
      <c r="Q63" s="55"/>
    </row>
    <row r="64" spans="1:17" ht="12.75" customHeight="1" x14ac:dyDescent="0.25">
      <c r="A64" s="84"/>
      <c r="B64" s="75" t="s">
        <v>214</v>
      </c>
      <c r="C64" s="35">
        <f>IF(Op_mode="Boost", Vout_LP*(eff*Vin_LP/Vout_LP)^2/2/PI()/L/Ioutmax, "No RPHZ")</f>
        <v>127338.06395428682</v>
      </c>
      <c r="D64" s="76" t="s">
        <v>6</v>
      </c>
      <c r="E64" s="77" t="s">
        <v>147</v>
      </c>
      <c r="F64" s="60"/>
      <c r="G64" s="60"/>
      <c r="H64" s="60"/>
      <c r="I64" s="60"/>
      <c r="J64" s="60"/>
      <c r="K64" s="60"/>
      <c r="L64" s="60"/>
      <c r="M64" s="60"/>
      <c r="N64" s="60"/>
      <c r="O64" s="60"/>
      <c r="P64" s="61"/>
      <c r="Q64" s="55"/>
    </row>
    <row r="65" spans="1:17" ht="12.75" customHeight="1" x14ac:dyDescent="0.25">
      <c r="A65" s="84"/>
      <c r="B65" s="75" t="s">
        <v>215</v>
      </c>
      <c r="C65" s="35">
        <f>1/2/PI()/Cout_e/ESR</f>
        <v>1591549430.9189537</v>
      </c>
      <c r="D65" s="76" t="s">
        <v>6</v>
      </c>
      <c r="E65" s="77" t="s">
        <v>148</v>
      </c>
      <c r="F65" s="60"/>
      <c r="G65" s="60"/>
      <c r="H65" s="60"/>
      <c r="I65" s="60"/>
      <c r="J65" s="60"/>
      <c r="K65" s="60"/>
      <c r="L65" s="60"/>
      <c r="M65" s="60"/>
      <c r="N65" s="60"/>
      <c r="O65" s="60"/>
      <c r="P65" s="61"/>
      <c r="Q65" s="55"/>
    </row>
    <row r="66" spans="1:17" ht="12.75" customHeight="1" x14ac:dyDescent="0.25">
      <c r="A66" s="84"/>
      <c r="B66" s="75" t="s">
        <v>27</v>
      </c>
      <c r="C66" s="25">
        <v>8000</v>
      </c>
      <c r="D66" s="76" t="s">
        <v>6</v>
      </c>
      <c r="E66" s="77" t="s">
        <v>32</v>
      </c>
      <c r="F66" s="60"/>
      <c r="G66" s="60"/>
      <c r="H66" s="60"/>
      <c r="I66" s="60"/>
      <c r="J66" s="60"/>
      <c r="K66" s="60"/>
      <c r="L66" s="60"/>
      <c r="M66" s="60"/>
      <c r="N66" s="60"/>
      <c r="O66" s="60"/>
      <c r="P66" s="61"/>
      <c r="Q66" s="55"/>
    </row>
    <row r="67" spans="1:17" ht="12.75" customHeight="1" x14ac:dyDescent="0.25">
      <c r="A67" s="84"/>
      <c r="B67" s="75" t="s">
        <v>212</v>
      </c>
      <c r="C67" s="85">
        <v>1.9000000000000001E-4</v>
      </c>
      <c r="D67" s="76" t="s">
        <v>124</v>
      </c>
      <c r="E67" s="77" t="s">
        <v>125</v>
      </c>
      <c r="F67" s="60"/>
      <c r="G67" s="60"/>
      <c r="H67" s="60"/>
      <c r="I67" s="60"/>
      <c r="J67" s="60"/>
      <c r="K67" s="60"/>
      <c r="L67" s="60"/>
      <c r="M67" s="60"/>
      <c r="N67" s="60"/>
      <c r="O67" s="60"/>
      <c r="P67" s="61"/>
      <c r="Q67" s="55"/>
    </row>
    <row r="68" spans="1:17" ht="13" x14ac:dyDescent="0.3">
      <c r="A68" s="84"/>
      <c r="B68" s="78" t="s">
        <v>90</v>
      </c>
      <c r="C68" s="29">
        <f>IF(Op_mode="Boost", 2*PI()*fco*(Cout_c+Cout_e)*Vout/1.129/gm_PS/(eff*Vin_LP/Vout_LP)/gm_EA, 2*PI()*fco*(Cout_c+Cout_e)*Vout/1.129/gm_PS/gm_EA)</f>
        <v>5148.2651114584496</v>
      </c>
      <c r="D68" s="76" t="s">
        <v>28</v>
      </c>
      <c r="E68" s="86"/>
      <c r="F68" s="60"/>
      <c r="G68" s="60"/>
      <c r="H68" s="60"/>
      <c r="I68" s="60"/>
      <c r="J68" s="60"/>
      <c r="K68" s="60"/>
      <c r="L68" s="60"/>
      <c r="M68" s="60"/>
      <c r="N68" s="60"/>
      <c r="O68" s="60"/>
      <c r="P68" s="61"/>
      <c r="Q68" s="55"/>
    </row>
    <row r="69" spans="1:17" x14ac:dyDescent="0.25">
      <c r="A69" s="84"/>
      <c r="B69" s="75" t="s">
        <v>110</v>
      </c>
      <c r="C69" s="25">
        <v>4700</v>
      </c>
      <c r="D69" s="76" t="s">
        <v>28</v>
      </c>
      <c r="E69" s="86" t="s">
        <v>169</v>
      </c>
      <c r="F69" s="60"/>
      <c r="G69" s="60"/>
      <c r="H69" s="60"/>
      <c r="I69" s="60"/>
      <c r="J69" s="60"/>
      <c r="K69" s="60"/>
      <c r="L69" s="60"/>
      <c r="M69" s="60"/>
      <c r="N69" s="60"/>
      <c r="O69" s="60"/>
      <c r="P69" s="61"/>
      <c r="Q69" s="55"/>
    </row>
    <row r="70" spans="1:17" ht="13" x14ac:dyDescent="0.3">
      <c r="A70" s="84"/>
      <c r="B70" s="78" t="s">
        <v>91</v>
      </c>
      <c r="C70" s="43">
        <f>1/(2*PI()*(fco/10)*(Rcomp+2000))</f>
        <v>2.9693086397741669E-8</v>
      </c>
      <c r="D70" s="76" t="s">
        <v>9</v>
      </c>
      <c r="E70" s="86" t="s">
        <v>218</v>
      </c>
      <c r="F70" s="60"/>
      <c r="G70" s="60"/>
      <c r="H70" s="60"/>
      <c r="I70" s="60"/>
      <c r="J70" s="60"/>
      <c r="K70" s="60"/>
      <c r="L70" s="60"/>
      <c r="M70" s="60"/>
      <c r="N70" s="60"/>
      <c r="O70" s="60"/>
      <c r="P70" s="61"/>
      <c r="Q70" s="55"/>
    </row>
    <row r="71" spans="1:17" x14ac:dyDescent="0.25">
      <c r="A71" s="84"/>
      <c r="B71" s="75" t="s">
        <v>92</v>
      </c>
      <c r="C71" s="44">
        <v>3.2999999999999998E-8</v>
      </c>
      <c r="D71" s="76" t="s">
        <v>9</v>
      </c>
      <c r="E71" s="86"/>
      <c r="F71" s="60"/>
      <c r="G71" s="60"/>
      <c r="H71" s="60"/>
      <c r="I71" s="60"/>
      <c r="J71" s="60"/>
      <c r="K71" s="60"/>
      <c r="L71" s="60"/>
      <c r="M71" s="60"/>
      <c r="N71" s="60"/>
      <c r="O71" s="60"/>
      <c r="P71" s="61"/>
      <c r="Q71" s="55"/>
    </row>
    <row r="72" spans="1:17" x14ac:dyDescent="0.25">
      <c r="A72" s="84"/>
      <c r="B72" s="75" t="s">
        <v>213</v>
      </c>
      <c r="C72" s="29">
        <f>1/2/PI()/(Rcomp+2000)/Ccomp</f>
        <v>719.83239752101019</v>
      </c>
      <c r="D72" s="76" t="s">
        <v>6</v>
      </c>
      <c r="E72" s="86" t="s">
        <v>217</v>
      </c>
      <c r="F72" s="60"/>
      <c r="G72" s="60"/>
      <c r="H72" s="60"/>
      <c r="I72" s="60"/>
      <c r="J72" s="60"/>
      <c r="K72" s="60"/>
      <c r="L72" s="60"/>
      <c r="M72" s="60"/>
      <c r="N72" s="60"/>
      <c r="O72" s="60"/>
      <c r="P72" s="61"/>
      <c r="Q72" s="55"/>
    </row>
    <row r="73" spans="1:17" ht="25.5" x14ac:dyDescent="0.3">
      <c r="A73" s="84"/>
      <c r="B73" s="78" t="s">
        <v>93</v>
      </c>
      <c r="C73" s="48">
        <f>Ccomp*(IF(fzRHP&gt;fz_ESR, (Cout_e*ESR/Rcomp)/(Ccomp-Cout_e*ESR/Rcomp), (1/2/PI()/fzRHP/Rcomp)/(Ccomp-1/2/PI()/fzRHP/Rcomp)))</f>
        <v>2.6808834729626814E-10</v>
      </c>
      <c r="D73" s="76" t="s">
        <v>9</v>
      </c>
      <c r="E73" s="77" t="s">
        <v>221</v>
      </c>
      <c r="F73" s="79"/>
      <c r="G73" s="80"/>
      <c r="H73" s="80"/>
      <c r="I73" s="60"/>
      <c r="J73" s="60"/>
      <c r="K73" s="60"/>
      <c r="L73" s="60"/>
      <c r="M73" s="60"/>
      <c r="N73" s="60"/>
      <c r="O73" s="60"/>
      <c r="P73" s="61"/>
      <c r="Q73" s="55"/>
    </row>
    <row r="74" spans="1:17" x14ac:dyDescent="0.25">
      <c r="A74" s="84"/>
      <c r="B74" s="87" t="s">
        <v>94</v>
      </c>
      <c r="C74" s="49">
        <v>1E-10</v>
      </c>
      <c r="D74" s="88" t="s">
        <v>9</v>
      </c>
      <c r="E74" s="89"/>
      <c r="F74" s="80"/>
      <c r="G74" s="80"/>
      <c r="H74" s="80"/>
      <c r="I74" s="60"/>
      <c r="J74" s="60"/>
      <c r="K74" s="60"/>
      <c r="L74" s="60"/>
      <c r="M74" s="60"/>
      <c r="N74" s="60"/>
      <c r="O74" s="60"/>
      <c r="P74" s="61"/>
      <c r="Q74" s="55"/>
    </row>
    <row r="75" spans="1:17" x14ac:dyDescent="0.25">
      <c r="A75" s="84"/>
      <c r="B75" s="87" t="s">
        <v>216</v>
      </c>
      <c r="C75" s="30">
        <f>1/2/PI()/(Rcomp+2000)/(Ccomp*(Cp+0.000000000003)/(Ccomp+Cp+0.000000000003))</f>
        <v>231345.74616638833</v>
      </c>
      <c r="D75" s="88" t="s">
        <v>6</v>
      </c>
      <c r="E75" s="89" t="s">
        <v>183</v>
      </c>
      <c r="F75" s="80"/>
      <c r="G75" s="80"/>
      <c r="H75" s="80"/>
      <c r="I75" s="60"/>
      <c r="J75" s="60"/>
      <c r="K75" s="60"/>
      <c r="L75" s="60"/>
      <c r="M75" s="60"/>
      <c r="N75" s="60"/>
      <c r="O75" s="60"/>
      <c r="P75" s="61"/>
      <c r="Q75" s="55"/>
    </row>
    <row r="76" spans="1:17" ht="13" x14ac:dyDescent="0.25">
      <c r="A76" s="84"/>
      <c r="B76" s="171" t="s">
        <v>209</v>
      </c>
      <c r="C76" s="169"/>
      <c r="D76" s="169"/>
      <c r="E76" s="169"/>
      <c r="F76" s="60"/>
      <c r="G76" s="60"/>
      <c r="H76" s="60"/>
      <c r="I76" s="60"/>
      <c r="J76" s="60"/>
      <c r="K76" s="60"/>
      <c r="L76" s="60"/>
      <c r="M76" s="60"/>
      <c r="N76" s="60"/>
      <c r="O76" s="60"/>
      <c r="P76" s="61"/>
      <c r="Q76" s="55"/>
    </row>
    <row r="77" spans="1:17" x14ac:dyDescent="0.25">
      <c r="A77" s="84"/>
      <c r="B77" s="75" t="s">
        <v>0</v>
      </c>
      <c r="C77" s="26">
        <v>9</v>
      </c>
      <c r="D77" s="90" t="s">
        <v>3</v>
      </c>
      <c r="E77" s="90" t="s">
        <v>192</v>
      </c>
      <c r="F77" s="60"/>
      <c r="G77" s="60"/>
      <c r="H77" s="60"/>
      <c r="I77" s="60"/>
      <c r="J77" s="60"/>
      <c r="K77" s="60"/>
      <c r="L77" s="60"/>
      <c r="M77" s="60"/>
      <c r="N77" s="60"/>
      <c r="O77" s="60"/>
      <c r="P77" s="61"/>
      <c r="Q77" s="55"/>
    </row>
    <row r="78" spans="1:17" x14ac:dyDescent="0.25">
      <c r="A78" s="84"/>
      <c r="B78" s="75" t="s">
        <v>1</v>
      </c>
      <c r="C78" s="50">
        <f>IF(Vin_eff&lt;Vout, ((Ioutmax/(Vin_eff/Vout)/eff)^2+1/12*(Vin_eff/L*(1-Vin_eff/Vout)/fsw)^2)^0.5, ((Ioutmax^2+1/12*(Vout/L*(1-Vout/Vin_eff)/fsw)^2)^0.5))</f>
        <v>2.8093789344256366</v>
      </c>
      <c r="D78" s="76" t="s">
        <v>4</v>
      </c>
      <c r="E78" s="77" t="s">
        <v>163</v>
      </c>
      <c r="F78" s="60"/>
      <c r="G78" s="60"/>
      <c r="H78" s="60"/>
      <c r="I78" s="60"/>
      <c r="J78" s="60"/>
      <c r="K78" s="60"/>
      <c r="L78" s="60"/>
      <c r="M78" s="60"/>
      <c r="N78" s="60"/>
      <c r="O78" s="60"/>
      <c r="P78" s="61"/>
      <c r="Q78" s="55"/>
    </row>
    <row r="79" spans="1:17" x14ac:dyDescent="0.25">
      <c r="A79" s="84"/>
      <c r="B79" s="75" t="s">
        <v>7</v>
      </c>
      <c r="C79" s="50">
        <f>IF(Vin_eff&lt;Vout, (Ioutmax/(Vin_eff/Vout)/eff+(1/2*Vin_eff/L*(1-Vin_eff/Vout)/fsw)), Ioutmax+1/2*(Vout*(1-Vout/Vin_eff)/L/fsw))</f>
        <v>3.0064856289660318</v>
      </c>
      <c r="D79" s="76" t="s">
        <v>4</v>
      </c>
      <c r="E79" s="77" t="s">
        <v>166</v>
      </c>
      <c r="F79" s="60"/>
      <c r="G79" s="60"/>
      <c r="H79" s="60"/>
      <c r="I79" s="60"/>
      <c r="J79" s="60"/>
      <c r="K79" s="60"/>
      <c r="L79" s="60"/>
      <c r="M79" s="60"/>
      <c r="N79" s="60"/>
      <c r="O79" s="60"/>
      <c r="P79" s="61"/>
      <c r="Q79" s="55"/>
    </row>
    <row r="80" spans="1:17" x14ac:dyDescent="0.25">
      <c r="A80" s="84"/>
      <c r="B80" s="75" t="s">
        <v>207</v>
      </c>
      <c r="C80" s="50">
        <f>IF(Vin_eff&lt;Vout, (Ioutmax/(Vin_eff/Vout)/eff-(1/2*Vin_eff/L*(1-Vin_eff/Vout)/fsw)),Ioutmax-1/2*(Vout*(1-Vout/Vin_eff)/L/fsw))</f>
        <v>2.6075494587532662</v>
      </c>
      <c r="D80" s="76" t="s">
        <v>4</v>
      </c>
      <c r="E80" s="77" t="s">
        <v>167</v>
      </c>
      <c r="F80" s="60"/>
      <c r="G80" s="60"/>
      <c r="H80" s="60"/>
      <c r="I80" s="60"/>
      <c r="J80" s="60"/>
      <c r="K80" s="60"/>
      <c r="L80" s="60"/>
      <c r="M80" s="60"/>
      <c r="N80" s="60"/>
      <c r="O80" s="60"/>
      <c r="P80" s="61"/>
      <c r="Q80" s="55"/>
    </row>
    <row r="81" spans="1:17" x14ac:dyDescent="0.25">
      <c r="A81" s="52"/>
      <c r="B81" s="75" t="s">
        <v>21</v>
      </c>
      <c r="C81" s="33">
        <v>1.2999999999999999E-2</v>
      </c>
      <c r="D81" s="76" t="s">
        <v>28</v>
      </c>
      <c r="E81" s="77" t="s">
        <v>15</v>
      </c>
      <c r="F81" s="60"/>
      <c r="G81" s="60"/>
      <c r="H81" s="60"/>
      <c r="I81" s="60"/>
      <c r="J81" s="60"/>
      <c r="K81" s="60"/>
      <c r="L81" s="60"/>
      <c r="M81" s="60"/>
      <c r="N81" s="60"/>
      <c r="O81" s="60"/>
      <c r="P81" s="61"/>
      <c r="Q81" s="55"/>
    </row>
    <row r="82" spans="1:17" ht="25" x14ac:dyDescent="0.25">
      <c r="A82" s="52"/>
      <c r="B82" s="75" t="s">
        <v>61</v>
      </c>
      <c r="C82" s="33">
        <v>1.4E-2</v>
      </c>
      <c r="D82" s="76" t="s">
        <v>28</v>
      </c>
      <c r="E82" s="77" t="s">
        <v>235</v>
      </c>
      <c r="F82" s="60"/>
      <c r="G82" s="81"/>
      <c r="H82" s="82"/>
      <c r="I82" s="81"/>
      <c r="J82" s="79"/>
      <c r="K82" s="60"/>
      <c r="L82" s="60"/>
      <c r="M82" s="60"/>
      <c r="N82" s="60"/>
      <c r="O82" s="60"/>
      <c r="P82" s="61"/>
      <c r="Q82" s="55"/>
    </row>
    <row r="83" spans="1:17" hidden="1" x14ac:dyDescent="0.25">
      <c r="A83" s="52"/>
      <c r="B83" s="75" t="s">
        <v>67</v>
      </c>
      <c r="C83" s="44">
        <v>5.0000000000000001E-9</v>
      </c>
      <c r="D83" s="76" t="s">
        <v>68</v>
      </c>
      <c r="E83" s="77" t="s">
        <v>70</v>
      </c>
      <c r="F83" s="60"/>
      <c r="G83" s="81"/>
      <c r="H83" s="82"/>
      <c r="I83" s="81"/>
      <c r="J83" s="79"/>
      <c r="K83" s="60"/>
      <c r="L83" s="60"/>
      <c r="M83" s="60"/>
      <c r="N83" s="60"/>
      <c r="O83" s="60"/>
      <c r="P83" s="61"/>
      <c r="Q83" s="55"/>
    </row>
    <row r="84" spans="1:17" hidden="1" x14ac:dyDescent="0.25">
      <c r="A84" s="52"/>
      <c r="B84" s="75" t="s">
        <v>219</v>
      </c>
      <c r="C84" s="44">
        <v>2.0000000000000001E-10</v>
      </c>
      <c r="D84" s="76" t="s">
        <v>9</v>
      </c>
      <c r="E84" s="77" t="s">
        <v>220</v>
      </c>
      <c r="F84" s="60"/>
      <c r="G84" s="81"/>
      <c r="H84" s="82"/>
      <c r="I84" s="81"/>
      <c r="J84" s="79"/>
      <c r="K84" s="60"/>
      <c r="L84" s="60"/>
      <c r="M84" s="60"/>
      <c r="N84" s="60"/>
      <c r="O84" s="60"/>
      <c r="P84" s="61"/>
      <c r="Q84" s="55"/>
    </row>
    <row r="85" spans="1:17" x14ac:dyDescent="0.25">
      <c r="A85" s="52"/>
      <c r="B85" s="75" t="s">
        <v>62</v>
      </c>
      <c r="C85" s="110">
        <v>1.3000000000000001E-8</v>
      </c>
      <c r="D85" s="76" t="s">
        <v>8</v>
      </c>
      <c r="E85" s="77" t="s">
        <v>193</v>
      </c>
      <c r="F85" s="60"/>
      <c r="G85" s="91"/>
      <c r="H85" s="60"/>
      <c r="I85" s="60"/>
      <c r="J85" s="60"/>
      <c r="K85" s="60"/>
      <c r="L85" s="60"/>
      <c r="M85" s="60"/>
      <c r="N85" s="60"/>
      <c r="O85" s="60"/>
      <c r="P85" s="61"/>
      <c r="Q85" s="55"/>
    </row>
    <row r="86" spans="1:17" x14ac:dyDescent="0.25">
      <c r="A86" s="52"/>
      <c r="B86" s="75" t="s">
        <v>63</v>
      </c>
      <c r="C86" s="110">
        <v>1.3000000000000001E-8</v>
      </c>
      <c r="D86" s="76" t="s">
        <v>8</v>
      </c>
      <c r="E86" s="77" t="s">
        <v>194</v>
      </c>
      <c r="F86" s="60"/>
      <c r="G86" s="60"/>
      <c r="H86" s="60"/>
      <c r="I86" s="60"/>
      <c r="J86" s="60"/>
      <c r="K86" s="60"/>
      <c r="L86" s="60"/>
      <c r="M86" s="60"/>
      <c r="N86" s="60"/>
      <c r="O86" s="60"/>
      <c r="P86" s="61"/>
      <c r="Q86" s="55"/>
    </row>
    <row r="87" spans="1:17" ht="25" x14ac:dyDescent="0.25">
      <c r="A87" s="52"/>
      <c r="B87" s="75" t="s">
        <v>64</v>
      </c>
      <c r="C87" s="33">
        <v>2.1999999999999999E-2</v>
      </c>
      <c r="D87" s="76" t="s">
        <v>28</v>
      </c>
      <c r="E87" s="77" t="s">
        <v>240</v>
      </c>
      <c r="F87" s="60"/>
      <c r="G87" s="60"/>
      <c r="H87" s="60"/>
      <c r="I87" s="60"/>
      <c r="J87" s="60"/>
      <c r="K87" s="60"/>
      <c r="L87" s="60"/>
      <c r="M87" s="60"/>
      <c r="N87" s="60"/>
      <c r="O87" s="60"/>
      <c r="P87" s="61"/>
      <c r="Q87" s="55"/>
    </row>
    <row r="88" spans="1:17" hidden="1" x14ac:dyDescent="0.25">
      <c r="A88" s="52"/>
      <c r="B88" s="75" t="s">
        <v>69</v>
      </c>
      <c r="C88" s="44">
        <v>5.0000000000000001E-9</v>
      </c>
      <c r="D88" s="76" t="s">
        <v>68</v>
      </c>
      <c r="E88" s="77" t="s">
        <v>70</v>
      </c>
      <c r="F88" s="60"/>
      <c r="G88" s="60"/>
      <c r="H88" s="60"/>
      <c r="I88" s="60"/>
      <c r="J88" s="60"/>
      <c r="K88" s="60"/>
      <c r="L88" s="60"/>
      <c r="M88" s="60"/>
      <c r="N88" s="60"/>
      <c r="O88" s="60"/>
      <c r="P88" s="61"/>
      <c r="Q88" s="55"/>
    </row>
    <row r="89" spans="1:17" hidden="1" x14ac:dyDescent="0.25">
      <c r="A89" s="52"/>
      <c r="B89" s="75" t="s">
        <v>180</v>
      </c>
      <c r="C89" s="44">
        <v>5.0000000000000001E-9</v>
      </c>
      <c r="D89" s="76" t="s">
        <v>68</v>
      </c>
      <c r="E89" s="77" t="s">
        <v>181</v>
      </c>
      <c r="F89" s="60"/>
      <c r="G89" s="60"/>
      <c r="H89" s="60"/>
      <c r="I89" s="60"/>
      <c r="J89" s="60"/>
      <c r="K89" s="60"/>
      <c r="L89" s="60"/>
      <c r="M89" s="60"/>
      <c r="N89" s="60"/>
      <c r="O89" s="60"/>
      <c r="P89" s="61"/>
      <c r="Q89" s="55"/>
    </row>
    <row r="90" spans="1:17" x14ac:dyDescent="0.25">
      <c r="A90" s="52"/>
      <c r="B90" s="75" t="s">
        <v>65</v>
      </c>
      <c r="C90" s="85">
        <v>1E-8</v>
      </c>
      <c r="D90" s="76" t="s">
        <v>8</v>
      </c>
      <c r="E90" s="77" t="s">
        <v>72</v>
      </c>
      <c r="F90" s="60"/>
      <c r="G90" s="60"/>
      <c r="H90" s="60"/>
      <c r="I90" s="60"/>
      <c r="J90" s="60"/>
      <c r="K90" s="60"/>
      <c r="L90" s="60"/>
      <c r="M90" s="60"/>
      <c r="N90" s="60"/>
      <c r="O90" s="60"/>
      <c r="P90" s="61"/>
      <c r="Q90" s="55"/>
    </row>
    <row r="91" spans="1:17" x14ac:dyDescent="0.25">
      <c r="A91" s="52"/>
      <c r="B91" s="75" t="s">
        <v>66</v>
      </c>
      <c r="C91" s="26">
        <v>0.8</v>
      </c>
      <c r="D91" s="76" t="s">
        <v>3</v>
      </c>
      <c r="E91" s="77" t="s">
        <v>29</v>
      </c>
      <c r="F91" s="60"/>
      <c r="G91" s="60"/>
      <c r="H91" s="60"/>
      <c r="I91" s="60"/>
      <c r="J91" s="60"/>
      <c r="K91" s="60"/>
      <c r="L91" s="60"/>
      <c r="M91" s="60"/>
      <c r="N91" s="60"/>
      <c r="O91" s="60"/>
      <c r="P91" s="61"/>
      <c r="Q91" s="55"/>
    </row>
    <row r="92" spans="1:17" ht="25" x14ac:dyDescent="0.25">
      <c r="A92" s="52"/>
      <c r="B92" s="75" t="s">
        <v>55</v>
      </c>
      <c r="C92" s="33">
        <v>1.0999999999999999E-2</v>
      </c>
      <c r="D92" s="76" t="s">
        <v>28</v>
      </c>
      <c r="E92" s="77" t="s">
        <v>236</v>
      </c>
      <c r="F92" s="60"/>
      <c r="G92" s="81"/>
      <c r="H92" s="82"/>
      <c r="I92" s="81"/>
      <c r="J92" s="79"/>
      <c r="K92" s="60"/>
      <c r="L92" s="60"/>
      <c r="M92" s="60"/>
      <c r="N92" s="60"/>
      <c r="O92" s="60"/>
      <c r="P92" s="61"/>
      <c r="Q92" s="55"/>
    </row>
    <row r="93" spans="1:17" x14ac:dyDescent="0.25">
      <c r="A93" s="52"/>
      <c r="B93" s="75" t="s">
        <v>56</v>
      </c>
      <c r="C93" s="85">
        <v>8.9999999999999995E-9</v>
      </c>
      <c r="D93" s="76" t="s">
        <v>8</v>
      </c>
      <c r="E93" s="77" t="s">
        <v>204</v>
      </c>
      <c r="F93" s="60"/>
      <c r="G93" s="91"/>
      <c r="H93" s="60"/>
      <c r="I93" s="60"/>
      <c r="J93" s="60"/>
      <c r="K93" s="60"/>
      <c r="L93" s="60"/>
      <c r="M93" s="60"/>
      <c r="N93" s="60"/>
      <c r="O93" s="60"/>
      <c r="P93" s="61"/>
      <c r="Q93" s="55"/>
    </row>
    <row r="94" spans="1:17" x14ac:dyDescent="0.25">
      <c r="A94" s="52"/>
      <c r="B94" s="75" t="s">
        <v>57</v>
      </c>
      <c r="C94" s="85">
        <v>1.3000000000000001E-8</v>
      </c>
      <c r="D94" s="76" t="s">
        <v>8</v>
      </c>
      <c r="E94" s="77" t="s">
        <v>203</v>
      </c>
      <c r="F94" s="60"/>
      <c r="G94" s="60"/>
      <c r="H94" s="60"/>
      <c r="I94" s="60"/>
      <c r="J94" s="60"/>
      <c r="K94" s="60"/>
      <c r="L94" s="60"/>
      <c r="M94" s="60"/>
      <c r="N94" s="60"/>
      <c r="O94" s="60"/>
      <c r="P94" s="61"/>
      <c r="Q94" s="55"/>
    </row>
    <row r="95" spans="1:17" ht="25" x14ac:dyDescent="0.25">
      <c r="A95" s="52"/>
      <c r="B95" s="75" t="s">
        <v>58</v>
      </c>
      <c r="C95" s="33">
        <v>0.01</v>
      </c>
      <c r="D95" s="76" t="s">
        <v>28</v>
      </c>
      <c r="E95" s="77" t="s">
        <v>241</v>
      </c>
      <c r="F95" s="60"/>
      <c r="G95" s="60"/>
      <c r="H95" s="60"/>
      <c r="I95" s="60"/>
      <c r="J95" s="60"/>
      <c r="K95" s="60"/>
      <c r="L95" s="60"/>
      <c r="M95" s="60"/>
      <c r="N95" s="60"/>
      <c r="O95" s="60"/>
      <c r="P95" s="61"/>
      <c r="Q95" s="55"/>
    </row>
    <row r="96" spans="1:17" x14ac:dyDescent="0.25">
      <c r="A96" s="52"/>
      <c r="B96" s="75" t="s">
        <v>59</v>
      </c>
      <c r="C96" s="85">
        <v>2E-8</v>
      </c>
      <c r="D96" s="76" t="s">
        <v>8</v>
      </c>
      <c r="E96" s="77" t="s">
        <v>72</v>
      </c>
      <c r="F96" s="60"/>
      <c r="G96" s="60"/>
      <c r="H96" s="60"/>
      <c r="I96" s="60"/>
      <c r="J96" s="60"/>
      <c r="K96" s="60"/>
      <c r="L96" s="60"/>
      <c r="M96" s="60"/>
      <c r="N96" s="60"/>
      <c r="O96" s="60"/>
      <c r="P96" s="61"/>
      <c r="Q96" s="55"/>
    </row>
    <row r="97" spans="1:17" x14ac:dyDescent="0.25">
      <c r="A97" s="52"/>
      <c r="B97" s="75" t="s">
        <v>60</v>
      </c>
      <c r="C97" s="37">
        <v>1</v>
      </c>
      <c r="D97" s="76" t="s">
        <v>3</v>
      </c>
      <c r="E97" s="77" t="s">
        <v>29</v>
      </c>
      <c r="F97" s="60"/>
      <c r="G97" s="60"/>
      <c r="H97" s="60"/>
      <c r="I97" s="60"/>
      <c r="J97" s="60"/>
      <c r="K97" s="60"/>
      <c r="L97" s="60"/>
      <c r="M97" s="60"/>
      <c r="N97" s="60"/>
      <c r="O97" s="60"/>
      <c r="P97" s="61"/>
      <c r="Q97" s="55"/>
    </row>
    <row r="98" spans="1:17" x14ac:dyDescent="0.25">
      <c r="A98" s="52"/>
      <c r="B98" s="75" t="s">
        <v>159</v>
      </c>
      <c r="C98" s="51">
        <v>0</v>
      </c>
      <c r="D98" s="76" t="s">
        <v>9</v>
      </c>
      <c r="E98" s="77" t="s">
        <v>187</v>
      </c>
      <c r="F98" s="60"/>
      <c r="G98" s="60"/>
      <c r="H98" s="60"/>
      <c r="I98" s="60"/>
      <c r="J98" s="60"/>
      <c r="K98" s="60"/>
      <c r="L98" s="60"/>
      <c r="M98" s="60"/>
      <c r="N98" s="60"/>
      <c r="O98" s="60"/>
      <c r="P98" s="61"/>
      <c r="Q98" s="55"/>
    </row>
    <row r="99" spans="1:17" x14ac:dyDescent="0.25">
      <c r="A99" s="52"/>
      <c r="B99" s="75" t="s">
        <v>117</v>
      </c>
      <c r="C99" s="51">
        <v>0</v>
      </c>
      <c r="D99" s="76" t="s">
        <v>9</v>
      </c>
      <c r="E99" s="77" t="s">
        <v>116</v>
      </c>
      <c r="F99" s="60"/>
      <c r="G99" s="60"/>
      <c r="H99" s="60"/>
      <c r="I99" s="60"/>
      <c r="J99" s="60"/>
      <c r="K99" s="60"/>
      <c r="L99" s="60"/>
      <c r="M99" s="60"/>
      <c r="N99" s="60"/>
      <c r="O99" s="60"/>
      <c r="P99" s="61"/>
      <c r="Q99" s="55"/>
    </row>
    <row r="100" spans="1:17" x14ac:dyDescent="0.25">
      <c r="A100" s="52"/>
      <c r="B100" s="83" t="s">
        <v>118</v>
      </c>
      <c r="C100" s="26">
        <v>2</v>
      </c>
      <c r="D100" s="76" t="s">
        <v>196</v>
      </c>
      <c r="E100" s="77" t="s">
        <v>145</v>
      </c>
      <c r="F100" s="60"/>
      <c r="G100" s="60"/>
      <c r="H100" s="60"/>
      <c r="I100" s="60"/>
      <c r="J100" s="60"/>
      <c r="K100" s="60"/>
      <c r="L100" s="60"/>
      <c r="M100" s="60"/>
      <c r="N100" s="60"/>
      <c r="O100" s="60"/>
      <c r="P100" s="61"/>
      <c r="Q100" s="55"/>
    </row>
    <row r="101" spans="1:17" x14ac:dyDescent="0.25">
      <c r="A101" s="52"/>
      <c r="B101" s="83" t="s">
        <v>119</v>
      </c>
      <c r="C101" s="29">
        <f>Rpcb*(ILrms^2)</f>
        <v>15.785219994389051</v>
      </c>
      <c r="D101" s="76" t="s">
        <v>10</v>
      </c>
      <c r="E101" s="77" t="s">
        <v>128</v>
      </c>
      <c r="F101" s="60"/>
      <c r="G101" s="60"/>
      <c r="H101" s="60"/>
      <c r="I101" s="60"/>
      <c r="J101" s="60"/>
      <c r="K101" s="60"/>
      <c r="L101" s="60"/>
      <c r="M101" s="60"/>
      <c r="N101" s="60"/>
      <c r="O101" s="60"/>
      <c r="P101" s="61"/>
      <c r="Q101" s="55"/>
    </row>
    <row r="102" spans="1:17" x14ac:dyDescent="0.25">
      <c r="A102" s="84"/>
      <c r="B102" s="75" t="s">
        <v>74</v>
      </c>
      <c r="C102" s="29">
        <f>(ILrms)^2*DCR*1000</f>
        <v>102.60392996352883</v>
      </c>
      <c r="D102" s="76" t="s">
        <v>10</v>
      </c>
      <c r="E102" s="77" t="s">
        <v>18</v>
      </c>
      <c r="F102" s="60"/>
      <c r="G102" s="60"/>
      <c r="H102" s="60"/>
      <c r="I102" s="60"/>
      <c r="J102" s="60"/>
      <c r="K102" s="60"/>
      <c r="L102" s="60"/>
      <c r="M102" s="60"/>
      <c r="N102" s="60"/>
      <c r="O102" s="60"/>
      <c r="P102" s="61"/>
      <c r="Q102" s="55"/>
    </row>
    <row r="103" spans="1:17" ht="37.9" customHeight="1" x14ac:dyDescent="0.25">
      <c r="A103" s="84"/>
      <c r="B103" s="75" t="s">
        <v>161</v>
      </c>
      <c r="C103" s="25">
        <v>521</v>
      </c>
      <c r="D103" s="76" t="s">
        <v>10</v>
      </c>
      <c r="E103" s="77" t="s">
        <v>230</v>
      </c>
      <c r="F103" s="60"/>
      <c r="G103" s="60"/>
      <c r="H103" s="60"/>
      <c r="I103" s="60"/>
      <c r="J103" s="60"/>
      <c r="K103" s="60"/>
      <c r="L103" s="60"/>
      <c r="M103" s="60"/>
      <c r="N103" s="60"/>
      <c r="O103" s="60"/>
      <c r="P103" s="61"/>
      <c r="Q103" s="55"/>
    </row>
    <row r="104" spans="1:17" x14ac:dyDescent="0.25">
      <c r="A104" s="84"/>
      <c r="B104" s="83" t="s">
        <v>237</v>
      </c>
      <c r="C104"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1053.7402493188652</v>
      </c>
      <c r="D104" s="76" t="s">
        <v>10</v>
      </c>
      <c r="E104" s="77" t="s">
        <v>242</v>
      </c>
      <c r="F104" s="60"/>
      <c r="G104" s="60"/>
      <c r="H104" s="60"/>
      <c r="I104" s="60"/>
      <c r="J104" s="60"/>
      <c r="K104" s="60"/>
      <c r="L104" s="60"/>
      <c r="M104" s="60"/>
      <c r="N104" s="60"/>
      <c r="O104" s="60"/>
      <c r="P104" s="61"/>
      <c r="Q104" s="55"/>
    </row>
    <row r="105" spans="1:17" x14ac:dyDescent="0.25">
      <c r="A105" s="84"/>
      <c r="B105" s="92" t="s">
        <v>115</v>
      </c>
      <c r="C105" s="30">
        <f>Ioutmax*Ioutmax*R_1</f>
        <v>40</v>
      </c>
      <c r="D105" s="76" t="s">
        <v>10</v>
      </c>
      <c r="E105" s="93" t="s">
        <v>189</v>
      </c>
      <c r="F105" s="60"/>
      <c r="G105" s="60"/>
      <c r="H105" s="60"/>
      <c r="I105" s="60"/>
      <c r="J105" s="60"/>
      <c r="K105" s="60"/>
      <c r="L105" s="60"/>
      <c r="M105" s="60"/>
      <c r="N105" s="60"/>
      <c r="O105" s="60"/>
      <c r="P105" s="61"/>
      <c r="Q105" s="55"/>
    </row>
    <row r="106" spans="1:17" x14ac:dyDescent="0.25">
      <c r="A106" s="84"/>
      <c r="B106" s="92" t="s">
        <v>160</v>
      </c>
      <c r="C106" s="30">
        <f>IF(Vin_eff&lt;Vout, 2/3*C_bst_snubber*(Vout+BST_HS_Vd)*(Vout+BST_HS_Vd)*fsw*1000, 2/3*C_buck_snubber*(Vin_eff+BUCK_LS_Vd)*(Vin_eff+BUCK_LS_Vd)*fsw*1000)</f>
        <v>0</v>
      </c>
      <c r="D106" s="76" t="s">
        <v>10</v>
      </c>
      <c r="E106" s="93" t="s">
        <v>190</v>
      </c>
      <c r="F106" s="60"/>
      <c r="G106" s="60"/>
      <c r="H106" s="60"/>
      <c r="I106" s="60"/>
      <c r="J106" s="60"/>
      <c r="K106" s="60"/>
      <c r="L106" s="60"/>
      <c r="M106" s="60"/>
      <c r="N106" s="60"/>
      <c r="O106" s="60"/>
      <c r="P106" s="61"/>
      <c r="Q106" s="55"/>
    </row>
    <row r="107" spans="1:17" x14ac:dyDescent="0.25">
      <c r="A107" s="84"/>
      <c r="B107" s="92" t="s">
        <v>188</v>
      </c>
      <c r="C107" s="30">
        <f>IF(Vin_eff&lt;Vout, 1000*ESR*(G107+H107), 0)</f>
        <v>2.2347156573925061E-5</v>
      </c>
      <c r="D107" s="88" t="s">
        <v>10</v>
      </c>
      <c r="E107" s="93" t="s">
        <v>191</v>
      </c>
      <c r="F107" s="111">
        <f>ESR*Cout_c*Cout_e/(Cout_c+Cout_e)</f>
        <v>9.9612403100775185E-11</v>
      </c>
      <c r="G107" s="111">
        <f>(fsw*(Cout_e/(Cout_c+Cout_e))^2*(Ioutmax^2*(Vout-Vin_eff)/Vout/fsw+2*Ioutmax*((1-EXP((-Vin_eff/Vout)/tou/fsw))/(1-EXP(-1/tou/fsw))*(ILpeak+ILvalley)/2*tou*(EXP(-1/tou*(1-Vin_eff/Vout)/fsw)-1))-((1-EXP((-Vin_eff/Vout)/tou/fsw))/(1-EXP(-1/tou/fsw))*(ILpeak+ILvalley)/2)^2*tou/2*(EXP(-2/tou*(1-Vin_eff/Vout)/fsw)-1)))</f>
        <v>1.5010047208404952E-5</v>
      </c>
      <c r="H107" s="111">
        <f>(fsw*(Cout_e/(Cout_c+Cout_e))^2*((((ILpeak+ILvalley)/2-Ioutmax)^2*Vin_eff/Vout/fsw+2*((ILpeak+ILvalley)/2-Ioutmax)*((1-EXP(-(1-Vin_eff/Vout)/tou/fsw))/(1-EXP(-1/tou/fsw))*(ILpeak+ILvalley)/2*tou*(EXP(-1/tou*(Vin_eff/Vout)/fsw)-1))-((1-EXP(-(1-Vin_eff/Vout)/tou/fsw))/(1-EXP(-1/tou/fsw))*(ILpeak+ILvalley)/2)^2*tou/2*(EXP(-2/tou*(1-Vin_eff/Vout/fsw))-1))))</f>
        <v>7.3371093655201075E-6</v>
      </c>
      <c r="I107" s="60"/>
      <c r="J107" s="60"/>
      <c r="K107" s="60"/>
      <c r="L107" s="60"/>
      <c r="M107" s="60"/>
      <c r="N107" s="60"/>
      <c r="O107" s="60"/>
      <c r="P107" s="61"/>
      <c r="Q107" s="55"/>
    </row>
    <row r="108" spans="1:17" ht="13" x14ac:dyDescent="0.3">
      <c r="A108" s="84"/>
      <c r="B108" s="87" t="s">
        <v>206</v>
      </c>
      <c r="C108" s="31">
        <f>IF(Vin_eff&lt;Vout, Vout*Ioutmax/(Vout*Ioutmax+(C101+C102+C103+C104+C105+C106+C107)/1000), Vout*Ioutmax/(Vout*Ioutmax+(C101+C102+C103+C104+C105+C106)/1000))</f>
        <v>0.93264987739238725</v>
      </c>
      <c r="D108" s="88"/>
      <c r="E108" s="93" t="s">
        <v>168</v>
      </c>
      <c r="F108" s="60"/>
      <c r="G108" s="60"/>
      <c r="H108" s="60"/>
      <c r="I108" s="60"/>
      <c r="J108" s="60"/>
      <c r="K108" s="60"/>
      <c r="L108" s="60"/>
      <c r="M108" s="60"/>
      <c r="N108" s="60"/>
      <c r="O108" s="60"/>
      <c r="P108" s="61"/>
      <c r="Q108" s="55"/>
    </row>
    <row r="109" spans="1:17" ht="25" x14ac:dyDescent="0.25">
      <c r="A109" s="84"/>
      <c r="B109" s="75" t="s">
        <v>199</v>
      </c>
      <c r="C109" s="25">
        <v>33</v>
      </c>
      <c r="D109" s="76" t="s">
        <v>114</v>
      </c>
      <c r="E109" s="77" t="s">
        <v>238</v>
      </c>
      <c r="F109" s="60"/>
      <c r="G109" s="60"/>
      <c r="H109" s="60"/>
      <c r="I109" s="60"/>
      <c r="J109" s="60"/>
      <c r="K109" s="60"/>
      <c r="L109" s="60"/>
      <c r="M109" s="60"/>
      <c r="N109" s="60"/>
      <c r="O109" s="60"/>
      <c r="P109" s="61"/>
      <c r="Q109" s="55"/>
    </row>
    <row r="110" spans="1:17" ht="25.5" thickBot="1" x14ac:dyDescent="0.3">
      <c r="A110" s="84"/>
      <c r="B110" s="94" t="s">
        <v>243</v>
      </c>
      <c r="C110" s="32">
        <f>C109*(C104)/1000</f>
        <v>34.773428227522551</v>
      </c>
      <c r="D110" s="95" t="s">
        <v>71</v>
      </c>
      <c r="E110" s="96" t="s">
        <v>200</v>
      </c>
      <c r="F110" s="97"/>
      <c r="G110" s="97"/>
      <c r="H110" s="97"/>
      <c r="I110" s="97"/>
      <c r="J110" s="97"/>
      <c r="K110" s="97"/>
      <c r="L110" s="97"/>
      <c r="M110" s="97"/>
      <c r="N110" s="97"/>
      <c r="O110" s="97"/>
      <c r="P110" s="98"/>
      <c r="Q110" s="55"/>
    </row>
    <row r="111" spans="1:17" ht="13" thickTop="1" x14ac:dyDescent="0.25">
      <c r="A111" s="84"/>
      <c r="B111" s="99"/>
      <c r="C111" s="100"/>
      <c r="D111" s="99"/>
      <c r="E111" s="101"/>
      <c r="F111" s="102"/>
      <c r="G111" s="102"/>
      <c r="H111" s="102"/>
      <c r="I111" s="102"/>
      <c r="J111" s="102"/>
      <c r="K111" s="102"/>
      <c r="L111" s="102"/>
      <c r="M111" s="102"/>
      <c r="N111" s="102"/>
      <c r="O111" s="102"/>
      <c r="P111" s="102"/>
      <c r="Q111" s="55"/>
    </row>
    <row r="114" spans="3:8" x14ac:dyDescent="0.25">
      <c r="D114" s="105"/>
      <c r="H114" s="107"/>
    </row>
    <row r="115" spans="3:8" x14ac:dyDescent="0.25">
      <c r="C115" s="106"/>
    </row>
  </sheetData>
  <sheetProtection algorithmName="SHA-512" hashValue="UiQctArKtGj8KRDGWaLxOS7E2ph4mZlHjtM/t6XzsTlC2XuOLr992efqOK2hxzgZCY+P/SkzvFMFMID1IefMgQ==" saltValue="YugrZx0hYzUQd9lzii/LGg=="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E59:E60"/>
    <mergeCell ref="F12:P12"/>
    <mergeCell ref="B76:E76"/>
    <mergeCell ref="F58:P58"/>
    <mergeCell ref="B13:E13"/>
    <mergeCell ref="B58:E58"/>
    <mergeCell ref="F31:P31"/>
    <mergeCell ref="B46:B47"/>
    <mergeCell ref="C46:C47"/>
    <mergeCell ref="D46:D47"/>
    <mergeCell ref="E46:E47"/>
    <mergeCell ref="F46:F47"/>
    <mergeCell ref="G46:G47"/>
    <mergeCell ref="P46:P47"/>
    <mergeCell ref="B34:B35"/>
    <mergeCell ref="C34:C35"/>
    <mergeCell ref="D34:D35"/>
    <mergeCell ref="B7:J7"/>
    <mergeCell ref="B2:P2"/>
    <mergeCell ref="B3:P3"/>
    <mergeCell ref="B4:P4"/>
    <mergeCell ref="B6:P6"/>
    <mergeCell ref="E34:E35"/>
    <mergeCell ref="F34:F35"/>
    <mergeCell ref="G34:G35"/>
    <mergeCell ref="P34:P35"/>
    <mergeCell ref="B36:B37"/>
    <mergeCell ref="C36:C37"/>
    <mergeCell ref="D36:D37"/>
    <mergeCell ref="E36:E37"/>
    <mergeCell ref="F36:F37"/>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48:G49"/>
    <mergeCell ref="P48:P49"/>
    <mergeCell ref="B48:B49"/>
    <mergeCell ref="C48:C49"/>
    <mergeCell ref="D48:D49"/>
    <mergeCell ref="E48:E49"/>
    <mergeCell ref="F48:F49"/>
  </mergeCells>
  <phoneticPr fontId="2" type="noConversion"/>
  <conditionalFormatting sqref="C64">
    <cfRule type="expression" dxfId="11" priority="9">
      <formula>$C$61="Boost"</formula>
    </cfRule>
    <cfRule type="expression" dxfId="10" priority="10">
      <formula>$C$61="Buck"</formula>
    </cfRule>
  </conditionalFormatting>
  <conditionalFormatting sqref="C24">
    <cfRule type="expression" dxfId="9" priority="7">
      <formula>#REF!="Disable"</formula>
    </cfRule>
    <cfRule type="expression" dxfId="8" priority="8">
      <formula>#REF!="Enable"</formula>
    </cfRule>
  </conditionalFormatting>
  <conditionalFormatting sqref="C57">
    <cfRule type="expression" dxfId="7" priority="5">
      <formula>#REF!="External"</formula>
    </cfRule>
    <cfRule type="expression" dxfId="6" priority="6">
      <formula>#REF!="Internal"</formula>
    </cfRule>
  </conditionalFormatting>
  <conditionalFormatting sqref="C56">
    <cfRule type="expression" dxfId="5" priority="3">
      <formula>#REF!="External"</formula>
    </cfRule>
    <cfRule type="expression" dxfId="4" priority="4">
      <formula>#REF!="Internal"</formula>
    </cfRule>
  </conditionalFormatting>
  <conditionalFormatting sqref="C22">
    <cfRule type="expression" dxfId="3" priority="26" stopIfTrue="1">
      <formula>#REF!="External"</formula>
    </cfRule>
    <cfRule type="expression" dxfId="2" priority="27" stopIfTrue="1">
      <formula>#REF!="Internal"</formula>
    </cfRule>
  </conditionalFormatting>
  <conditionalFormatting sqref="C23">
    <cfRule type="expression" dxfId="1" priority="28">
      <formula>#REF!="External"</formula>
    </cfRule>
    <cfRule type="expression" dxfId="0" priority="29">
      <formula>#REF!="Internal"</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127000</xdr:colOff>
                <xdr:row>14</xdr:row>
                <xdr:rowOff>38100</xdr:rowOff>
              </from>
              <to>
                <xdr:col>15</xdr:col>
                <xdr:colOff>279400</xdr:colOff>
                <xdr:row>31</xdr:row>
                <xdr:rowOff>304800</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5" x14ac:dyDescent="0.25"/>
  <cols>
    <col min="1" max="1" width="4" bestFit="1" customWidth="1"/>
    <col min="2" max="2" width="9.7265625" customWidth="1"/>
    <col min="3" max="3" width="10.54296875" bestFit="1" customWidth="1"/>
    <col min="5" max="5" width="8" customWidth="1"/>
    <col min="7" max="7" width="7.81640625" customWidth="1"/>
    <col min="8" max="9" width="8.26953125" customWidth="1"/>
    <col min="10" max="10" width="9.453125" customWidth="1"/>
    <col min="11" max="11" width="9.54296875" customWidth="1"/>
    <col min="13" max="14" width="8.453125" customWidth="1"/>
    <col min="15" max="16" width="9.54296875" customWidth="1"/>
    <col min="17" max="17" width="10" customWidth="1"/>
    <col min="18" max="18" width="10.7265625" customWidth="1"/>
    <col min="19" max="20" width="9.453125" customWidth="1"/>
    <col min="21" max="23" width="10" customWidth="1"/>
    <col min="24" max="24" width="10.1796875" customWidth="1"/>
    <col min="25" max="26" width="10" customWidth="1"/>
    <col min="27" max="30" width="10.26953125" customWidth="1"/>
    <col min="32" max="32" width="15.7265625" customWidth="1"/>
    <col min="33" max="33" width="12.26953125" bestFit="1" customWidth="1"/>
    <col min="34" max="34" width="5.54296875" customWidth="1"/>
  </cols>
  <sheetData>
    <row r="1" spans="1:34" ht="14" thickTop="1" thickBot="1" x14ac:dyDescent="0.35">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5.5" thickTop="1" x14ac:dyDescent="0.25">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x14ac:dyDescent="0.25">
      <c r="A3" s="4">
        <v>1</v>
      </c>
      <c r="B3" s="20">
        <f>10*10^A3</f>
        <v>100</v>
      </c>
      <c r="C3" s="14">
        <f t="shared" ref="C3:C43" si="0">20*LOG(SQRT((B3/fzRHP)^2+1))</f>
        <v>2.6783522396547075E-6</v>
      </c>
      <c r="D3" s="5">
        <f t="shared" ref="D3:D43" si="1">-180/PI()*ATAN(B3/fzRHP)</f>
        <v>-4.4995004600740178E-2</v>
      </c>
      <c r="E3" s="5">
        <f t="shared" ref="E3:E43" si="2">20*LOG(1/SQRT((B3/fp)^2+1))</f>
        <v>-1.0259186127809881E-2</v>
      </c>
      <c r="F3" s="5">
        <f t="shared" ref="F3:F43" si="3">-180/PI()*ATAN(B3/fp)</f>
        <v>-2.7842064467128926</v>
      </c>
      <c r="G3" s="5">
        <f t="shared" ref="G3:G43" si="4">20*LOG(SQRT((B3/fz_ESR)^2+1))</f>
        <v>1.7357894397959149E-14</v>
      </c>
      <c r="H3" s="5">
        <f t="shared" ref="H3:H43" si="5">180/PI()*ATAN(B3/fz_ESR)</f>
        <v>3.5999999999999948E-6</v>
      </c>
      <c r="I3" s="5">
        <f t="shared" ref="I3:I43" si="6">20*LOG(1/SQRT((B3/(1/2/PI()/ESR/(Cout_c*Cout_e/(Cout_c+Cout_e))))^2+1))</f>
        <v>-1.7357894397959187E-14</v>
      </c>
      <c r="J3" s="17">
        <f t="shared" ref="J3:J43" si="7">-180/PI()*ATAN(B3/(1/2/PI()/(ESR)/(Cout_c*Cout_e/(Cout_c+Cout_e))))</f>
        <v>-3.5860465116279025E-6</v>
      </c>
      <c r="K3" s="14">
        <f t="shared" ref="K3:K43" si="8">20*LOG(1/SQRT((B3/(1/2/PI()/10000000/(Ccomp+Cp+0.000000000003)))^2+1))</f>
        <v>-46.36104483645984</v>
      </c>
      <c r="L3" s="5">
        <f t="shared" ref="L3:L43" si="9">-180/PI()*ATAN(B3/(1/2/PI()/10000000/(Ccomp+Cp+0.000000000003)))</f>
        <v>-89.724531424169285</v>
      </c>
      <c r="M3" s="5">
        <f t="shared" ref="M3:M43" si="10">20*LOG(SQRT((B3/fz_comp)^2+1))</f>
        <v>8.3016438795254985E-2</v>
      </c>
      <c r="N3" s="5">
        <f t="shared" ref="N3:N43" si="11">180/PI()*ATAN(B3/fz_comp)</f>
        <v>7.9089804751487147</v>
      </c>
      <c r="O3" s="5">
        <f t="shared" ref="O3:O43" si="12">20*LOG(1/SQRT((B3/fp_comp2)^2+1))</f>
        <v>-8.1144900770394756E-7</v>
      </c>
      <c r="P3" s="17">
        <f t="shared" ref="P3:P43" si="13">-180/PI()*ATAN(B3/fp_comp2)</f>
        <v>-2.4766297584497176E-2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-1.7303980388416334E-5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-0.2253601321175005</v>
      </c>
      <c r="W3" s="14">
        <v>0</v>
      </c>
      <c r="X3" s="17">
        <f t="shared" ref="X3:X43" si="18">IF(B3&lt;fsw, -180*B3*1/2/fsw, -90)</f>
        <v>-7.4999999999999997E-3</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31.27875490333939</v>
      </c>
      <c r="AB3" s="5">
        <f t="shared" ref="AB3:AB43" si="20">IF(Op_mode="Boost", D3+F3+H3+J3+180+L3+N3+R3+T3+V3+X3+Z3, F3+H3+J3+180+L3+N3+R3+T3+V3+Z3)</f>
        <v>95.263146369817633</v>
      </c>
      <c r="AC3" s="5">
        <f>AA3+O3</f>
        <v>31.278754091890381</v>
      </c>
      <c r="AD3" s="6">
        <f>AB3+P3</f>
        <v>95.238380072233142</v>
      </c>
      <c r="AF3" t="s">
        <v>142</v>
      </c>
      <c r="AG3">
        <v>3.0000000000000001E-5</v>
      </c>
      <c r="AH3" t="s">
        <v>124</v>
      </c>
    </row>
    <row r="4" spans="1:34" ht="13" x14ac:dyDescent="0.3">
      <c r="A4" s="4">
        <v>1.1000000000000001</v>
      </c>
      <c r="B4" s="21">
        <f t="shared" ref="B4:B43" si="21">10*10^A4</f>
        <v>125.8925411794168</v>
      </c>
      <c r="C4" s="14">
        <f t="shared" si="0"/>
        <v>4.2449014670985008E-6</v>
      </c>
      <c r="D4" s="5">
        <f t="shared" si="1"/>
        <v>-5.6645347884794015E-2</v>
      </c>
      <c r="E4" s="5">
        <f t="shared" si="2"/>
        <v>-1.6248500610267474E-2</v>
      </c>
      <c r="F4" s="5">
        <f t="shared" si="3"/>
        <v>-3.503496675140068</v>
      </c>
      <c r="G4" s="5">
        <f t="shared" si="4"/>
        <v>2.7001169063491996E-14</v>
      </c>
      <c r="H4" s="5">
        <f t="shared" si="5"/>
        <v>4.5321314824589951E-6</v>
      </c>
      <c r="I4" s="5">
        <f t="shared" si="6"/>
        <v>-2.7001169063492082E-14</v>
      </c>
      <c r="J4" s="17">
        <f t="shared" si="7"/>
        <v>-4.5145650813641935E-6</v>
      </c>
      <c r="K4" s="14">
        <f t="shared" si="8"/>
        <v>-48.361007789016142</v>
      </c>
      <c r="L4" s="5">
        <f t="shared" si="9"/>
        <v>-89.781186910243477</v>
      </c>
      <c r="M4" s="5">
        <f t="shared" si="10"/>
        <v>0.13084669949950584</v>
      </c>
      <c r="N4" s="5">
        <f t="shared" si="11"/>
        <v>9.9202114771456547</v>
      </c>
      <c r="O4" s="5">
        <f t="shared" si="12"/>
        <v>-1.2860599406289912E-6</v>
      </c>
      <c r="P4" s="17">
        <f t="shared" si="13"/>
        <v>-3.1178920249402508E-2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-2.742506155056221E-5</v>
      </c>
      <c r="V4" s="17">
        <f t="shared" si="17"/>
        <v>-0.28371169440890004</v>
      </c>
      <c r="W4" s="14">
        <v>0</v>
      </c>
      <c r="X4" s="17">
        <f t="shared" si="18"/>
        <v>-9.4419405884562588E-3</v>
      </c>
      <c r="Y4" s="14">
        <f t="shared" ref="Y4:Y43" si="24">20*LOG(1/SQRT((B4/(1/2/PI()/30000/0.000000000005))^2+1))</f>
        <v>-6.1140159101059486E-8</v>
      </c>
      <c r="Z4" s="17">
        <f t="shared" ref="Z4:Z43" si="25">-180/PI()*ATAN(B4/(1/2/PI()/30000/0.000000000005))</f>
        <v>-6.7981971917867381E-3</v>
      </c>
      <c r="AA4" s="5">
        <f t="shared" si="19"/>
        <v>29.320658763407966</v>
      </c>
      <c r="AB4" s="5">
        <f t="shared" si="20"/>
        <v>96.462933049321549</v>
      </c>
      <c r="AC4" s="5">
        <f t="shared" ref="AC4:AC43" si="26">AA4+O4</f>
        <v>29.320657477348025</v>
      </c>
      <c r="AD4" s="6">
        <f t="shared" ref="AD4:AD43" si="27">AB4+P4</f>
        <v>96.431754129072146</v>
      </c>
      <c r="AF4" t="s">
        <v>140</v>
      </c>
      <c r="AG4">
        <v>100000</v>
      </c>
      <c r="AH4" s="12" t="s">
        <v>49</v>
      </c>
    </row>
    <row r="5" spans="1:34" x14ac:dyDescent="0.25">
      <c r="A5" s="4">
        <v>1.2</v>
      </c>
      <c r="B5" s="21">
        <f t="shared" si="21"/>
        <v>158.48931924611136</v>
      </c>
      <c r="C5" s="14">
        <f t="shared" si="0"/>
        <v>6.7277135161862603E-6</v>
      </c>
      <c r="D5" s="5">
        <f t="shared" si="1"/>
        <v>-7.1312254322616911E-2</v>
      </c>
      <c r="E5" s="5">
        <f t="shared" si="2"/>
        <v>-2.5724037418713191E-2</v>
      </c>
      <c r="F5" s="5">
        <f t="shared" si="3"/>
        <v>-4.4074323496707937</v>
      </c>
      <c r="G5" s="5">
        <f t="shared" si="4"/>
        <v>4.2430408528344531E-14</v>
      </c>
      <c r="H5" s="5">
        <f t="shared" si="5"/>
        <v>5.7056154928599891E-6</v>
      </c>
      <c r="I5" s="5">
        <f t="shared" si="6"/>
        <v>-4.2430408528344739E-14</v>
      </c>
      <c r="J5" s="17">
        <f t="shared" si="7"/>
        <v>-5.6835007041279747E-6</v>
      </c>
      <c r="K5" s="14">
        <f t="shared" si="8"/>
        <v>-50.360984413496837</v>
      </c>
      <c r="L5" s="5">
        <f t="shared" si="9"/>
        <v>-89.826190272840378</v>
      </c>
      <c r="M5" s="5">
        <f t="shared" si="10"/>
        <v>0.20558976685807143</v>
      </c>
      <c r="N5" s="5">
        <f t="shared" si="11"/>
        <v>12.416998832868652</v>
      </c>
      <c r="O5" s="5">
        <f t="shared" si="12"/>
        <v>-2.0382674653336463E-6</v>
      </c>
      <c r="P5" s="17">
        <f t="shared" si="13"/>
        <v>-3.9251932748102861E-2</v>
      </c>
      <c r="Q5" s="5">
        <f t="shared" si="22"/>
        <v>-2.0844350508270566E-5</v>
      </c>
      <c r="R5" s="5">
        <f t="shared" si="23"/>
        <v>-0.12552334002254481</v>
      </c>
      <c r="S5" s="14">
        <f t="shared" si="14"/>
        <v>1.6876573537434375E-4</v>
      </c>
      <c r="T5" s="5">
        <f t="shared" si="15"/>
        <v>0.35716690333929518</v>
      </c>
      <c r="U5" s="5">
        <f t="shared" si="16"/>
        <v>-4.3466046631717958E-5</v>
      </c>
      <c r="V5" s="17">
        <f t="shared" si="17"/>
        <v>-0.35717205581143063</v>
      </c>
      <c r="W5" s="14">
        <v>0</v>
      </c>
      <c r="X5" s="17">
        <f t="shared" si="18"/>
        <v>-1.1886698943458352E-2</v>
      </c>
      <c r="Y5" s="14">
        <f t="shared" si="24"/>
        <v>-9.6900620560394827E-8</v>
      </c>
      <c r="Z5" s="17">
        <f t="shared" si="25"/>
        <v>-8.5584231756376181E-3</v>
      </c>
      <c r="AA5" s="5">
        <f t="shared" si="19"/>
        <v>27.385990664092677</v>
      </c>
      <c r="AB5" s="5">
        <f t="shared" si="20"/>
        <v>97.966090363535869</v>
      </c>
      <c r="AC5" s="5">
        <f t="shared" si="26"/>
        <v>27.385988625825213</v>
      </c>
      <c r="AD5" s="6">
        <f t="shared" si="27"/>
        <v>97.926838430787768</v>
      </c>
      <c r="AF5" t="s">
        <v>141</v>
      </c>
      <c r="AG5">
        <v>6.2599999999999996E-11</v>
      </c>
      <c r="AH5" t="s">
        <v>9</v>
      </c>
    </row>
    <row r="6" spans="1:34" x14ac:dyDescent="0.25">
      <c r="A6" s="4">
        <v>1.3</v>
      </c>
      <c r="B6" s="21">
        <f t="shared" si="21"/>
        <v>199.52623149688804</v>
      </c>
      <c r="C6" s="14">
        <f t="shared" si="0"/>
        <v>1.0662702522113515E-5</v>
      </c>
      <c r="D6" s="5">
        <f t="shared" si="1"/>
        <v>-8.9776782024535137E-2</v>
      </c>
      <c r="E6" s="5">
        <f t="shared" si="2"/>
        <v>-4.0699530901480083E-2</v>
      </c>
      <c r="F6" s="5">
        <f t="shared" si="3"/>
        <v>-5.5422480973388586</v>
      </c>
      <c r="G6" s="5">
        <f t="shared" si="4"/>
        <v>6.9431577591836395E-14</v>
      </c>
      <c r="H6" s="5">
        <f t="shared" si="5"/>
        <v>7.1829443338879312E-6</v>
      </c>
      <c r="I6" s="5">
        <f t="shared" si="6"/>
        <v>-6.7502922658730367E-14</v>
      </c>
      <c r="J6" s="17">
        <f t="shared" si="7"/>
        <v>-7.1551034643767393E-6</v>
      </c>
      <c r="K6" s="14">
        <f t="shared" si="8"/>
        <v>-52.360969664476514</v>
      </c>
      <c r="L6" s="5">
        <f t="shared" si="9"/>
        <v>-89.861937869956961</v>
      </c>
      <c r="M6" s="5">
        <f t="shared" si="10"/>
        <v>0.32147602122617702</v>
      </c>
      <c r="N6" s="5">
        <f t="shared" si="11"/>
        <v>15.492537625064037</v>
      </c>
      <c r="O6" s="5">
        <f t="shared" si="12"/>
        <v>-3.2304357887189686E-6</v>
      </c>
      <c r="P6" s="17">
        <f t="shared" si="13"/>
        <v>-4.9415251077012654E-2</v>
      </c>
      <c r="Q6" s="5">
        <f t="shared" si="22"/>
        <v>-3.30360228520592E-5</v>
      </c>
      <c r="R6" s="5">
        <f t="shared" si="23"/>
        <v>-0.15802437465688313</v>
      </c>
      <c r="S6" s="14">
        <f t="shared" si="14"/>
        <v>2.6747262549834858E-4</v>
      </c>
      <c r="T6" s="5">
        <f t="shared" si="15"/>
        <v>0.44964308431875261</v>
      </c>
      <c r="U6" s="5">
        <f t="shared" si="16"/>
        <v>-6.8889677600014371E-5</v>
      </c>
      <c r="V6" s="17">
        <f t="shared" si="17"/>
        <v>-0.44965336470531486</v>
      </c>
      <c r="W6" s="14">
        <v>0</v>
      </c>
      <c r="X6" s="17">
        <f t="shared" si="18"/>
        <v>-1.4964467362266603E-2</v>
      </c>
      <c r="Y6" s="14">
        <f t="shared" si="24"/>
        <v>-1.535771340734222E-7</v>
      </c>
      <c r="Z6" s="17">
        <f t="shared" si="25"/>
        <v>-1.0774416373828727E-2</v>
      </c>
      <c r="AA6" s="5">
        <f t="shared" si="19"/>
        <v>25.486981143897651</v>
      </c>
      <c r="AB6" s="5">
        <f t="shared" si="20"/>
        <v>99.814801364805007</v>
      </c>
      <c r="AC6" s="5">
        <f t="shared" si="26"/>
        <v>25.486977913461864</v>
      </c>
      <c r="AD6" s="6">
        <f t="shared" si="27"/>
        <v>99.765386113727999</v>
      </c>
      <c r="AF6" t="s">
        <v>143</v>
      </c>
      <c r="AG6">
        <f>0.1*MIN(Vin, Vout)</f>
        <v>1</v>
      </c>
      <c r="AH6" t="s">
        <v>3</v>
      </c>
    </row>
    <row r="7" spans="1:34" x14ac:dyDescent="0.25">
      <c r="A7" s="4">
        <v>1.4</v>
      </c>
      <c r="B7" s="21">
        <f t="shared" si="21"/>
        <v>251.188643150958</v>
      </c>
      <c r="C7" s="14">
        <f t="shared" si="0"/>
        <v>1.6899232505683291E-5</v>
      </c>
      <c r="D7" s="5">
        <f t="shared" si="1"/>
        <v>-0.11302221817925764</v>
      </c>
      <c r="E7" s="5">
        <f t="shared" si="2"/>
        <v>-6.432881603922104E-2</v>
      </c>
      <c r="F7" s="5">
        <f t="shared" si="3"/>
        <v>-6.9646139858408169</v>
      </c>
      <c r="G7" s="5">
        <f t="shared" si="4"/>
        <v>1.0800467625396748E-13</v>
      </c>
      <c r="H7" s="5">
        <f t="shared" si="5"/>
        <v>9.0427911534344106E-6</v>
      </c>
      <c r="I7" s="5">
        <f t="shared" si="6"/>
        <v>-1.0800467625396883E-13</v>
      </c>
      <c r="J7" s="17">
        <f t="shared" si="7"/>
        <v>-9.0077415753203266E-6</v>
      </c>
      <c r="K7" s="14">
        <f t="shared" si="8"/>
        <v>-54.360960358448047</v>
      </c>
      <c r="L7" s="5">
        <f t="shared" si="9"/>
        <v>-89.890333273629622</v>
      </c>
      <c r="M7" s="5">
        <f t="shared" si="10"/>
        <v>0.49903486506006089</v>
      </c>
      <c r="N7" s="5">
        <f t="shared" si="11"/>
        <v>19.236655473630037</v>
      </c>
      <c r="O7" s="5">
        <f t="shared" si="12"/>
        <v>-5.1198945768084977E-6</v>
      </c>
      <c r="P7" s="17">
        <f t="shared" si="13"/>
        <v>-6.2210106289246662E-2</v>
      </c>
      <c r="Q7" s="5">
        <f t="shared" si="22"/>
        <v>-5.2358451248504887E-5</v>
      </c>
      <c r="R7" s="5">
        <f t="shared" si="23"/>
        <v>-0.19894060589872517</v>
      </c>
      <c r="S7" s="14">
        <f t="shared" si="14"/>
        <v>4.2390790845322254E-4</v>
      </c>
      <c r="T7" s="5">
        <f t="shared" si="15"/>
        <v>0.56606030837128074</v>
      </c>
      <c r="U7" s="5">
        <f t="shared" si="16"/>
        <v>-1.0918437907653994E-4</v>
      </c>
      <c r="V7" s="17">
        <f t="shared" si="17"/>
        <v>-0.56608081997459114</v>
      </c>
      <c r="W7" s="14">
        <v>0</v>
      </c>
      <c r="X7" s="17">
        <f t="shared" si="18"/>
        <v>-1.8839148236321851E-2</v>
      </c>
      <c r="Y7" s="14">
        <f t="shared" si="24"/>
        <v>-2.4340335245430343E-7</v>
      </c>
      <c r="Z7" s="17">
        <f t="shared" si="25"/>
        <v>-1.3564186476746985E-2</v>
      </c>
      <c r="AA7" s="5">
        <f t="shared" si="19"/>
        <v>23.641022973479103</v>
      </c>
      <c r="AB7" s="5">
        <f t="shared" si="20"/>
        <v>102.03732157881483</v>
      </c>
      <c r="AC7" s="5">
        <f t="shared" si="26"/>
        <v>23.641017853584525</v>
      </c>
      <c r="AD7" s="6">
        <f t="shared" si="27"/>
        <v>101.97511147252558</v>
      </c>
    </row>
    <row r="8" spans="1:34" x14ac:dyDescent="0.25">
      <c r="A8" s="4">
        <v>1.5</v>
      </c>
      <c r="B8" s="21">
        <f t="shared" si="21"/>
        <v>316.22776601683802</v>
      </c>
      <c r="C8" s="14">
        <f t="shared" si="0"/>
        <v>2.6783448078172335E-5</v>
      </c>
      <c r="D8" s="5">
        <f t="shared" si="1"/>
        <v>-0.14228643461869314</v>
      </c>
      <c r="E8" s="5">
        <f t="shared" si="2"/>
        <v>-0.10151733660243153</v>
      </c>
      <c r="F8" s="5">
        <f t="shared" si="3"/>
        <v>-8.7428751958439914</v>
      </c>
      <c r="G8" s="5">
        <f t="shared" si="4"/>
        <v>1.7165028904648342E-13</v>
      </c>
      <c r="H8" s="5">
        <f t="shared" si="5"/>
        <v>1.1384199576606018E-5</v>
      </c>
      <c r="I8" s="5">
        <f t="shared" si="6"/>
        <v>-1.6972163411338019E-13</v>
      </c>
      <c r="J8" s="17">
        <f t="shared" si="7"/>
        <v>-1.1340074772045533E-5</v>
      </c>
      <c r="K8" s="14">
        <f t="shared" si="8"/>
        <v>-56.360954486730776</v>
      </c>
      <c r="L8" s="5">
        <f t="shared" si="9"/>
        <v>-89.912888583575636</v>
      </c>
      <c r="M8" s="5">
        <f t="shared" si="10"/>
        <v>0.76637194096382477</v>
      </c>
      <c r="N8" s="5">
        <f t="shared" si="11"/>
        <v>23.716243949161061</v>
      </c>
      <c r="O8" s="5">
        <f t="shared" si="12"/>
        <v>-8.1144832635737801E-6</v>
      </c>
      <c r="P8" s="17">
        <f t="shared" si="13"/>
        <v>-7.8317865677116114E-2</v>
      </c>
      <c r="Q8" s="5">
        <f t="shared" si="22"/>
        <v>-8.298226038036435E-5</v>
      </c>
      <c r="R8" s="5">
        <f t="shared" si="23"/>
        <v>-0.2504507955260869</v>
      </c>
      <c r="S8" s="14">
        <f t="shared" si="14"/>
        <v>6.7182958160482906E-4</v>
      </c>
      <c r="T8" s="5">
        <f t="shared" si="15"/>
        <v>0.7126141463447041</v>
      </c>
      <c r="U8" s="5">
        <f t="shared" si="16"/>
        <v>-1.7304959304981297E-4</v>
      </c>
      <c r="V8" s="17">
        <f t="shared" si="17"/>
        <v>-0.71265507090476299</v>
      </c>
      <c r="W8" s="14">
        <v>0</v>
      </c>
      <c r="X8" s="17">
        <f t="shared" si="18"/>
        <v>-2.3717082451262854E-2</v>
      </c>
      <c r="Y8" s="14">
        <f t="shared" si="24"/>
        <v>-3.8576830887491155E-7</v>
      </c>
      <c r="Z8" s="17">
        <f t="shared" si="25"/>
        <v>-1.7076298859300319E-2</v>
      </c>
      <c r="AA8" s="5">
        <f t="shared" si="19"/>
        <v>21.871340575037596</v>
      </c>
      <c r="AB8" s="5">
        <f t="shared" si="20"/>
        <v>104.62690867785084</v>
      </c>
      <c r="AC8" s="5">
        <f t="shared" si="26"/>
        <v>21.871332460554331</v>
      </c>
      <c r="AD8" s="6">
        <f t="shared" si="27"/>
        <v>104.54859081217371</v>
      </c>
    </row>
    <row r="9" spans="1:34" x14ac:dyDescent="0.25">
      <c r="A9" s="4">
        <v>1.6</v>
      </c>
      <c r="B9" s="21">
        <f t="shared" si="21"/>
        <v>398.10717055349755</v>
      </c>
      <c r="C9" s="14">
        <f t="shared" si="0"/>
        <v>4.2448827972651857E-5</v>
      </c>
      <c r="D9" s="5">
        <f t="shared" si="1"/>
        <v>-0.17912779291819148</v>
      </c>
      <c r="E9" s="5">
        <f t="shared" si="2"/>
        <v>-0.15981253465235459</v>
      </c>
      <c r="F9" s="5">
        <f t="shared" si="3"/>
        <v>-10.957294043484668</v>
      </c>
      <c r="G9" s="5">
        <f t="shared" si="4"/>
        <v>2.7194034556802272E-13</v>
      </c>
      <c r="H9" s="5">
        <f t="shared" si="5"/>
        <v>1.433185813992561E-5</v>
      </c>
      <c r="I9" s="5">
        <f t="shared" si="6"/>
        <v>-2.700116906349246E-13</v>
      </c>
      <c r="J9" s="17">
        <f t="shared" si="7"/>
        <v>-1.4276308302173967E-5</v>
      </c>
      <c r="K9" s="14">
        <f t="shared" si="8"/>
        <v>-58.360950781923563</v>
      </c>
      <c r="L9" s="5">
        <f t="shared" si="9"/>
        <v>-89.930804922691365</v>
      </c>
      <c r="M9" s="5">
        <f t="shared" si="10"/>
        <v>1.1590002421495029</v>
      </c>
      <c r="N9" s="5">
        <f t="shared" si="11"/>
        <v>28.945023093434514</v>
      </c>
      <c r="O9" s="5">
        <f t="shared" si="12"/>
        <v>-1.2860582256458602E-5</v>
      </c>
      <c r="P9" s="17">
        <f t="shared" si="13"/>
        <v>-9.8596315382059055E-2</v>
      </c>
      <c r="Q9" s="5">
        <f t="shared" si="22"/>
        <v>-1.3151728467446024E-4</v>
      </c>
      <c r="R9" s="5">
        <f t="shared" si="23"/>
        <v>-0.31529769633857607</v>
      </c>
      <c r="S9" s="14">
        <f t="shared" si="14"/>
        <v>1.0647299653402055E-3</v>
      </c>
      <c r="T9" s="5">
        <f t="shared" si="15"/>
        <v>0.89710100333404108</v>
      </c>
      <c r="U9" s="5">
        <f t="shared" si="16"/>
        <v>-2.7427520408611523E-4</v>
      </c>
      <c r="V9" s="17">
        <f t="shared" si="17"/>
        <v>-0.89718265392138352</v>
      </c>
      <c r="W9" s="14">
        <v>0</v>
      </c>
      <c r="X9" s="17">
        <f t="shared" si="18"/>
        <v>-2.9858037791512318E-2</v>
      </c>
      <c r="Y9" s="14">
        <f t="shared" si="24"/>
        <v>-6.1140154962446974E-7</v>
      </c>
      <c r="Z9" s="17">
        <f t="shared" si="25"/>
        <v>-2.149778620106645E-2</v>
      </c>
      <c r="AA9" s="5">
        <f t="shared" si="19"/>
        <v>20.205935962475625</v>
      </c>
      <c r="AB9" s="5">
        <f t="shared" si="20"/>
        <v>107.51106121897163</v>
      </c>
      <c r="AC9" s="5">
        <f t="shared" si="26"/>
        <v>20.205923101893369</v>
      </c>
      <c r="AD9" s="6">
        <f t="shared" si="27"/>
        <v>107.41246490358958</v>
      </c>
    </row>
    <row r="10" spans="1:34" x14ac:dyDescent="0.25">
      <c r="A10" s="4">
        <v>1.7</v>
      </c>
      <c r="B10" s="21">
        <f t="shared" si="21"/>
        <v>501.18723362727235</v>
      </c>
      <c r="C10" s="14">
        <f t="shared" si="0"/>
        <v>6.7276666176464088E-5</v>
      </c>
      <c r="D10" s="5">
        <f t="shared" si="1"/>
        <v>-0.22550810073236474</v>
      </c>
      <c r="E10" s="5">
        <f t="shared" si="2"/>
        <v>-0.25063064554820891</v>
      </c>
      <c r="F10" s="5">
        <f t="shared" si="3"/>
        <v>-13.697994739085848</v>
      </c>
      <c r="G10" s="5">
        <f t="shared" si="4"/>
        <v>4.3201870501586185E-13</v>
      </c>
      <c r="H10" s="5">
        <f t="shared" si="5"/>
        <v>1.8042740410581205E-5</v>
      </c>
      <c r="I10" s="5">
        <f t="shared" si="6"/>
        <v>-4.2816139514967003E-13</v>
      </c>
      <c r="J10" s="17">
        <f t="shared" si="7"/>
        <v>-1.7972807308214619E-5</v>
      </c>
      <c r="K10" s="14">
        <f t="shared" si="8"/>
        <v>-60.360948444346604</v>
      </c>
      <c r="L10" s="5">
        <f t="shared" si="9"/>
        <v>-89.945036386528486</v>
      </c>
      <c r="M10" s="5">
        <f t="shared" si="10"/>
        <v>1.7165966921769735</v>
      </c>
      <c r="N10" s="5">
        <f t="shared" si="11"/>
        <v>34.847775736150879</v>
      </c>
      <c r="O10" s="5">
        <f t="shared" si="12"/>
        <v>-2.0382631617301202E-5</v>
      </c>
      <c r="P10" s="17">
        <f t="shared" si="13"/>
        <v>-0.12412533528133864</v>
      </c>
      <c r="Q10" s="5">
        <f t="shared" si="22"/>
        <v>-2.0843900322962698E-4</v>
      </c>
      <c r="R10" s="5">
        <f t="shared" si="23"/>
        <v>-0.39693393869951704</v>
      </c>
      <c r="S10" s="14">
        <f t="shared" si="14"/>
        <v>1.687362307627383E-3</v>
      </c>
      <c r="T10" s="5">
        <f t="shared" si="15"/>
        <v>1.1293292771845249</v>
      </c>
      <c r="U10" s="5">
        <f t="shared" si="16"/>
        <v>-4.347222272356183E-4</v>
      </c>
      <c r="V10" s="17">
        <f t="shared" si="17"/>
        <v>-1.1294921768375084</v>
      </c>
      <c r="W10" s="14">
        <v>0</v>
      </c>
      <c r="X10" s="17">
        <f t="shared" si="18"/>
        <v>-3.7589042522045424E-2</v>
      </c>
      <c r="Y10" s="14">
        <f t="shared" si="24"/>
        <v>-9.6900611538725013E-7</v>
      </c>
      <c r="Z10" s="17">
        <f t="shared" si="25"/>
        <v>-2.7064108603007456E-2</v>
      </c>
      <c r="AA10" s="5">
        <f t="shared" si="19"/>
        <v>18.673126373018416</v>
      </c>
      <c r="AB10" s="5">
        <f t="shared" si="20"/>
        <v>110.51748659025972</v>
      </c>
      <c r="AC10" s="5">
        <f t="shared" si="26"/>
        <v>18.673105990386798</v>
      </c>
      <c r="AD10" s="6">
        <f t="shared" si="27"/>
        <v>110.39336125497839</v>
      </c>
    </row>
    <row r="11" spans="1:34" x14ac:dyDescent="0.25">
      <c r="A11" s="4">
        <v>1.8</v>
      </c>
      <c r="B11" s="21">
        <f t="shared" si="21"/>
        <v>630.95734448019368</v>
      </c>
      <c r="C11" s="14">
        <f t="shared" si="0"/>
        <v>1.0662584719028229E-4</v>
      </c>
      <c r="D11" s="5">
        <f t="shared" si="1"/>
        <v>-0.2838970211590458</v>
      </c>
      <c r="E11" s="5">
        <f t="shared" si="2"/>
        <v>-0.39078700468183841</v>
      </c>
      <c r="F11" s="5">
        <f t="shared" si="3"/>
        <v>-17.058435719103567</v>
      </c>
      <c r="G11" s="5">
        <f t="shared" si="4"/>
        <v>6.8274384631970036E-13</v>
      </c>
      <c r="H11" s="5">
        <f t="shared" si="5"/>
        <v>2.2714464401285778E-5</v>
      </c>
      <c r="I11" s="5">
        <f t="shared" si="6"/>
        <v>-6.769578815204339E-13</v>
      </c>
      <c r="J11" s="17">
        <f t="shared" si="7"/>
        <v>-2.2626423841590883E-5</v>
      </c>
      <c r="K11" s="14">
        <f t="shared" si="8"/>
        <v>-62.360946969434607</v>
      </c>
      <c r="L11" s="5">
        <f t="shared" si="9"/>
        <v>-89.956340844994742</v>
      </c>
      <c r="M11" s="5">
        <f t="shared" si="10"/>
        <v>2.4755872272837958</v>
      </c>
      <c r="N11" s="5">
        <f t="shared" si="11"/>
        <v>41.235656539569575</v>
      </c>
      <c r="O11" s="5">
        <f t="shared" si="12"/>
        <v>-3.2304249757181599E-5</v>
      </c>
      <c r="P11" s="17">
        <f t="shared" si="13"/>
        <v>-0.15626439584823129</v>
      </c>
      <c r="Q11" s="5">
        <f t="shared" si="22"/>
        <v>-3.3034892060042185E-4</v>
      </c>
      <c r="R11" s="5">
        <f t="shared" si="23"/>
        <v>-0.49970554646103144</v>
      </c>
      <c r="S11" s="14">
        <f t="shared" si="14"/>
        <v>2.6739852561500342E-3</v>
      </c>
      <c r="T11" s="5">
        <f t="shared" si="15"/>
        <v>1.4216336592600793</v>
      </c>
      <c r="U11" s="5">
        <f t="shared" si="16"/>
        <v>-6.8905190139103548E-4</v>
      </c>
      <c r="V11" s="17">
        <f t="shared" si="17"/>
        <v>-1.4219586403654494</v>
      </c>
      <c r="W11" s="14">
        <v>0</v>
      </c>
      <c r="X11" s="17">
        <f t="shared" si="18"/>
        <v>-4.7321800836014526E-2</v>
      </c>
      <c r="Y11" s="14">
        <f t="shared" si="24"/>
        <v>-1.5357710945554844E-6</v>
      </c>
      <c r="Z11" s="17">
        <f t="shared" si="25"/>
        <v>-3.4071692585736599E-2</v>
      </c>
      <c r="AA11" s="5">
        <f t="shared" si="19"/>
        <v>17.292611189676641</v>
      </c>
      <c r="AB11" s="5">
        <f t="shared" si="20"/>
        <v>113.35555902136461</v>
      </c>
      <c r="AC11" s="5">
        <f t="shared" si="26"/>
        <v>17.292578885426884</v>
      </c>
      <c r="AD11" s="6">
        <f t="shared" si="27"/>
        <v>113.19929462551639</v>
      </c>
    </row>
    <row r="12" spans="1:34" x14ac:dyDescent="0.25">
      <c r="A12" s="4">
        <v>1.9</v>
      </c>
      <c r="B12" s="21">
        <f t="shared" si="21"/>
        <v>794.32823472428197</v>
      </c>
      <c r="C12" s="14">
        <f t="shared" si="0"/>
        <v>1.6898936602005257E-4</v>
      </c>
      <c r="D12" s="5">
        <f t="shared" si="1"/>
        <v>-0.35740346351927299</v>
      </c>
      <c r="E12" s="5">
        <f t="shared" si="2"/>
        <v>-0.60405074130576453</v>
      </c>
      <c r="F12" s="5">
        <f t="shared" si="3"/>
        <v>-21.121374542670946</v>
      </c>
      <c r="G12" s="5">
        <f t="shared" si="4"/>
        <v>1.0819754174727206E-12</v>
      </c>
      <c r="H12" s="5">
        <f t="shared" si="5"/>
        <v>2.8595816450071772E-5</v>
      </c>
      <c r="I12" s="5">
        <f t="shared" si="6"/>
        <v>-1.0723321428073214E-12</v>
      </c>
      <c r="J12" s="17">
        <f t="shared" si="7"/>
        <v>-2.8484979952203301E-5</v>
      </c>
      <c r="K12" s="14">
        <f t="shared" si="8"/>
        <v>-64.360946038827805</v>
      </c>
      <c r="L12" s="5">
        <f t="shared" si="9"/>
        <v>-89.965320297998062</v>
      </c>
      <c r="M12" s="5">
        <f t="shared" si="10"/>
        <v>3.459011030195291</v>
      </c>
      <c r="N12" s="5">
        <f t="shared" si="11"/>
        <v>47.816648406976107</v>
      </c>
      <c r="O12" s="5">
        <f t="shared" si="12"/>
        <v>-5.1198674152916942E-5</v>
      </c>
      <c r="P12" s="17">
        <f t="shared" si="13"/>
        <v>-0.19672493360079915</v>
      </c>
      <c r="Q12" s="5">
        <f t="shared" si="22"/>
        <v>-5.2355610920028282E-4</v>
      </c>
      <c r="R12" s="5">
        <f t="shared" si="23"/>
        <v>-0.62908268187008598</v>
      </c>
      <c r="S12" s="14">
        <f t="shared" si="14"/>
        <v>4.2372182709462768E-3</v>
      </c>
      <c r="T12" s="5">
        <f t="shared" si="15"/>
        <v>1.7895159935178246</v>
      </c>
      <c r="U12" s="5">
        <f t="shared" si="16"/>
        <v>-1.0922334041238062E-3</v>
      </c>
      <c r="V12" s="17">
        <f t="shared" si="17"/>
        <v>-1.790164269289499</v>
      </c>
      <c r="W12" s="14">
        <v>0</v>
      </c>
      <c r="X12" s="17">
        <f t="shared" si="18"/>
        <v>-5.9574617604321152E-2</v>
      </c>
      <c r="Y12" s="14">
        <f t="shared" si="24"/>
        <v>-2.4340329028339434E-6</v>
      </c>
      <c r="Z12" s="17">
        <f t="shared" si="25"/>
        <v>-4.2893716661751957E-2</v>
      </c>
      <c r="AA12" s="5">
        <f t="shared" si="19"/>
        <v>16.063800496151501</v>
      </c>
      <c r="AB12" s="5">
        <f t="shared" si="20"/>
        <v>115.64035092171648</v>
      </c>
      <c r="AC12" s="5">
        <f t="shared" si="26"/>
        <v>16.063749297477347</v>
      </c>
      <c r="AD12" s="6">
        <f t="shared" si="27"/>
        <v>115.44362598811567</v>
      </c>
    </row>
    <row r="13" spans="1:34" x14ac:dyDescent="0.25">
      <c r="A13" s="4">
        <v>2</v>
      </c>
      <c r="B13" s="20">
        <f t="shared" si="21"/>
        <v>1000</v>
      </c>
      <c r="C13" s="14">
        <f t="shared" si="0"/>
        <v>2.6782704812850058E-4</v>
      </c>
      <c r="D13" s="5">
        <f t="shared" si="1"/>
        <v>-0.44994088916764519</v>
      </c>
      <c r="E13" s="5">
        <f t="shared" si="2"/>
        <v>-0.92196131494544908</v>
      </c>
      <c r="F13" s="5">
        <f t="shared" si="3"/>
        <v>-25.934514021476488</v>
      </c>
      <c r="G13" s="5">
        <f t="shared" si="4"/>
        <v>1.7145742355315752E-12</v>
      </c>
      <c r="H13" s="5">
        <f t="shared" si="5"/>
        <v>3.5999999999995258E-5</v>
      </c>
      <c r="I13" s="5">
        <f t="shared" si="6"/>
        <v>-1.7010736510001652E-12</v>
      </c>
      <c r="J13" s="17">
        <f t="shared" si="7"/>
        <v>-3.5860465116274385E-5</v>
      </c>
      <c r="K13" s="14">
        <f t="shared" si="8"/>
        <v>-66.360945451654487</v>
      </c>
      <c r="L13" s="5">
        <f t="shared" si="9"/>
        <v>-89.972452932286572</v>
      </c>
      <c r="M13" s="5">
        <f t="shared" si="10"/>
        <v>4.6685438900160117</v>
      </c>
      <c r="N13" s="5">
        <f t="shared" si="11"/>
        <v>54.252437612455154</v>
      </c>
      <c r="O13" s="5">
        <f t="shared" si="12"/>
        <v>-8.1144150375338708E-5</v>
      </c>
      <c r="P13" s="17">
        <f t="shared" si="13"/>
        <v>-0.24766144881662255</v>
      </c>
      <c r="Q13" s="5">
        <f t="shared" si="22"/>
        <v>-8.2975126166051334E-4</v>
      </c>
      <c r="R13" s="5">
        <f t="shared" si="23"/>
        <v>-0.79194956183949483</v>
      </c>
      <c r="S13" s="14">
        <f t="shared" si="14"/>
        <v>6.71362361830117E-3</v>
      </c>
      <c r="T13" s="5">
        <f t="shared" si="15"/>
        <v>2.2524389227607688</v>
      </c>
      <c r="U13" s="5">
        <f t="shared" si="16"/>
        <v>-1.7314744199106006E-3</v>
      </c>
      <c r="V13" s="17">
        <f t="shared" si="17"/>
        <v>-2.2537319390869874</v>
      </c>
      <c r="W13" s="14">
        <v>0</v>
      </c>
      <c r="X13" s="17">
        <f t="shared" si="18"/>
        <v>-7.4999999999999997E-2</v>
      </c>
      <c r="Y13" s="14">
        <f t="shared" si="24"/>
        <v>-3.8576815424639383E-6</v>
      </c>
      <c r="Z13" s="17">
        <f t="shared" si="25"/>
        <v>-5.3999984011249391E-2</v>
      </c>
      <c r="AA13" s="5">
        <f t="shared" si="19"/>
        <v>14.957051752718442</v>
      </c>
      <c r="AB13" s="5">
        <f t="shared" si="20"/>
        <v>116.97328734688237</v>
      </c>
      <c r="AC13" s="5">
        <f t="shared" si="26"/>
        <v>14.956970608568067</v>
      </c>
      <c r="AD13" s="6">
        <f t="shared" si="27"/>
        <v>116.72562589806574</v>
      </c>
    </row>
    <row r="14" spans="1:34" x14ac:dyDescent="0.25">
      <c r="A14" s="4">
        <v>2.1</v>
      </c>
      <c r="B14" s="21">
        <f t="shared" si="21"/>
        <v>1258.9254117941678</v>
      </c>
      <c r="C14" s="14">
        <f t="shared" si="0"/>
        <v>4.2446961021776035E-4</v>
      </c>
      <c r="D14" s="5">
        <f t="shared" si="1"/>
        <v>-0.56643520894999166</v>
      </c>
      <c r="E14" s="5">
        <f t="shared" si="2"/>
        <v>-1.3825099465397994</v>
      </c>
      <c r="F14" s="5">
        <f t="shared" si="3"/>
        <v>-31.476584041890106</v>
      </c>
      <c r="G14" s="5">
        <f t="shared" si="4"/>
        <v>2.7174748007467378E-12</v>
      </c>
      <c r="H14" s="5">
        <f t="shared" si="5"/>
        <v>4.5321314824580585E-5</v>
      </c>
      <c r="I14" s="5">
        <f t="shared" si="6"/>
        <v>-2.6962595964834091E-12</v>
      </c>
      <c r="J14" s="17">
        <f t="shared" si="7"/>
        <v>-4.5145650813632677E-5</v>
      </c>
      <c r="K14" s="14">
        <f t="shared" si="8"/>
        <v>-68.360945081173142</v>
      </c>
      <c r="L14" s="5">
        <f t="shared" si="9"/>
        <v>-89.97811858570914</v>
      </c>
      <c r="M14" s="5">
        <f t="shared" si="10"/>
        <v>6.0838720681484739</v>
      </c>
      <c r="N14" s="5">
        <f t="shared" si="11"/>
        <v>60.239803956470034</v>
      </c>
      <c r="O14" s="5">
        <f t="shared" si="12"/>
        <v>-1.2860410883856153E-4</v>
      </c>
      <c r="P14" s="17">
        <f t="shared" si="13"/>
        <v>-0.31178615569208329</v>
      </c>
      <c r="Q14" s="5">
        <f t="shared" si="22"/>
        <v>-1.3149936580596211E-3</v>
      </c>
      <c r="R14" s="5">
        <f t="shared" si="23"/>
        <v>-0.99696829552674737</v>
      </c>
      <c r="S14" s="14">
        <f t="shared" si="14"/>
        <v>1.0635571396248425E-2</v>
      </c>
      <c r="T14" s="5">
        <f t="shared" si="15"/>
        <v>2.8347989096976138</v>
      </c>
      <c r="U14" s="5">
        <f t="shared" si="16"/>
        <v>-2.7452091980810635E-3</v>
      </c>
      <c r="V14" s="17">
        <f t="shared" si="17"/>
        <v>-2.8373773508530911</v>
      </c>
      <c r="W14" s="14">
        <v>0</v>
      </c>
      <c r="X14" s="17">
        <f t="shared" si="18"/>
        <v>-9.4419405884562588E-2</v>
      </c>
      <c r="Y14" s="14">
        <f t="shared" si="24"/>
        <v>-6.1140116286050641E-6</v>
      </c>
      <c r="Z14" s="17">
        <f t="shared" si="25"/>
        <v>-6.7981940335143445E-2</v>
      </c>
      <c r="AA14" s="5">
        <f t="shared" si="19"/>
        <v>13.914409026573281</v>
      </c>
      <c r="AB14" s="5">
        <f t="shared" si="20"/>
        <v>117.05671821268287</v>
      </c>
      <c r="AC14" s="5">
        <f t="shared" si="26"/>
        <v>13.914280422464444</v>
      </c>
      <c r="AD14" s="6">
        <f t="shared" si="27"/>
        <v>116.74493205699078</v>
      </c>
    </row>
    <row r="15" spans="1:34" x14ac:dyDescent="0.25">
      <c r="A15" s="4">
        <v>2.2000000000000002</v>
      </c>
      <c r="B15" s="21">
        <f t="shared" si="21"/>
        <v>1584.8931924611154</v>
      </c>
      <c r="C15" s="14">
        <f t="shared" si="0"/>
        <v>6.7271976805540921E-4</v>
      </c>
      <c r="D15" s="5">
        <f t="shared" si="1"/>
        <v>-0.71308609125004152</v>
      </c>
      <c r="E15" s="5">
        <f t="shared" si="2"/>
        <v>-2.0250889290061012</v>
      </c>
      <c r="F15" s="5">
        <f t="shared" si="3"/>
        <v>-37.623703861400735</v>
      </c>
      <c r="G15" s="5">
        <f t="shared" si="4"/>
        <v>4.3066864656259128E-12</v>
      </c>
      <c r="H15" s="5">
        <f t="shared" si="5"/>
        <v>5.7056154928581287E-5</v>
      </c>
      <c r="I15" s="5">
        <f t="shared" si="6"/>
        <v>-4.27389933176522E-12</v>
      </c>
      <c r="J15" s="17">
        <f t="shared" si="7"/>
        <v>-5.6835007041261373E-5</v>
      </c>
      <c r="K15" s="14">
        <f t="shared" si="8"/>
        <v>-70.360944847415198</v>
      </c>
      <c r="L15" s="5">
        <f t="shared" si="9"/>
        <v>-89.982618974501236</v>
      </c>
      <c r="M15" s="5">
        <f t="shared" si="10"/>
        <v>7.6698631630336838</v>
      </c>
      <c r="N15" s="5">
        <f t="shared" si="11"/>
        <v>65.573233117832686</v>
      </c>
      <c r="O15" s="5">
        <f t="shared" si="12"/>
        <v>-2.0382201154634818E-4</v>
      </c>
      <c r="P15" s="17">
        <f t="shared" si="13"/>
        <v>-0.39251324837573853</v>
      </c>
      <c r="Q15" s="5">
        <f t="shared" si="22"/>
        <v>-2.0839399890951221E-3</v>
      </c>
      <c r="R15" s="5">
        <f t="shared" si="23"/>
        <v>-1.2550346452872989</v>
      </c>
      <c r="S15" s="14">
        <f t="shared" si="14"/>
        <v>1.6844193916419007E-2</v>
      </c>
      <c r="T15" s="5">
        <f t="shared" si="15"/>
        <v>3.5670994346331484</v>
      </c>
      <c r="U15" s="5">
        <f t="shared" si="16"/>
        <v>-4.3533915967199511E-3</v>
      </c>
      <c r="V15" s="17">
        <f t="shared" si="17"/>
        <v>-3.5722394732837124</v>
      </c>
      <c r="W15" s="14">
        <v>0</v>
      </c>
      <c r="X15" s="17">
        <f t="shared" si="18"/>
        <v>-0.11886698943458367</v>
      </c>
      <c r="Y15" s="14">
        <f t="shared" si="24"/>
        <v>-9.6900514205164675E-6</v>
      </c>
      <c r="Z15" s="17">
        <f t="shared" si="25"/>
        <v>-8.5584168740588856E-2</v>
      </c>
      <c r="AA15" s="5">
        <f t="shared" si="19"/>
        <v>12.861897540658688</v>
      </c>
      <c r="AB15" s="5">
        <f t="shared" si="20"/>
        <v>115.78919856971551</v>
      </c>
      <c r="AC15" s="5">
        <f t="shared" si="26"/>
        <v>12.861693718647143</v>
      </c>
      <c r="AD15" s="6">
        <f t="shared" si="27"/>
        <v>115.39668532133977</v>
      </c>
    </row>
    <row r="16" spans="1:34" x14ac:dyDescent="0.25">
      <c r="A16" s="7">
        <v>2.2999999999999998</v>
      </c>
      <c r="B16" s="22">
        <f t="shared" si="21"/>
        <v>1995.2623149688802</v>
      </c>
      <c r="C16" s="14">
        <f t="shared" si="0"/>
        <v>1.0661406880707333E-3</v>
      </c>
      <c r="D16" s="8">
        <f t="shared" si="1"/>
        <v>-0.89769509298380945</v>
      </c>
      <c r="E16" s="5">
        <f t="shared" si="2"/>
        <v>-2.8814774047066534</v>
      </c>
      <c r="F16" s="8">
        <f t="shared" si="3"/>
        <v>-44.137373285933698</v>
      </c>
      <c r="G16" s="5">
        <f t="shared" si="4"/>
        <v>6.8255098082614841E-12</v>
      </c>
      <c r="H16" s="5">
        <f t="shared" si="5"/>
        <v>7.1829443338842044E-5</v>
      </c>
      <c r="I16" s="5">
        <f t="shared" si="6"/>
        <v>-6.7734361250729293E-12</v>
      </c>
      <c r="J16" s="17">
        <f t="shared" si="7"/>
        <v>-7.1551034643730559E-5</v>
      </c>
      <c r="K16" s="14">
        <f t="shared" si="8"/>
        <v>-72.360944699923891</v>
      </c>
      <c r="L16" s="5">
        <f t="shared" si="9"/>
        <v>-89.986193760541568</v>
      </c>
      <c r="M16" s="5">
        <f t="shared" si="10"/>
        <v>9.38675453943649</v>
      </c>
      <c r="N16" s="8">
        <f t="shared" si="11"/>
        <v>70.162036188577432</v>
      </c>
      <c r="O16" s="5">
        <f t="shared" si="12"/>
        <v>-3.2303168504387871E-4</v>
      </c>
      <c r="P16" s="17">
        <f t="shared" si="13"/>
        <v>-0.49414038156219414</v>
      </c>
      <c r="Q16" s="5">
        <f t="shared" si="22"/>
        <v>-3.302358981219515E-3</v>
      </c>
      <c r="R16" s="5">
        <f t="shared" si="23"/>
        <v>-1.5798472457547021</v>
      </c>
      <c r="S16" s="14">
        <f t="shared" si="14"/>
        <v>2.6666052486810102E-2</v>
      </c>
      <c r="T16" s="5">
        <f t="shared" si="15"/>
        <v>4.4873257931958337</v>
      </c>
      <c r="U16" s="5">
        <f t="shared" si="16"/>
        <v>-6.9060046045996146E-3</v>
      </c>
      <c r="V16" s="17">
        <f t="shared" si="17"/>
        <v>-4.4975669180968829</v>
      </c>
      <c r="W16" s="14">
        <v>0</v>
      </c>
      <c r="X16" s="17">
        <f t="shared" si="18"/>
        <v>-0.14964467362266601</v>
      </c>
      <c r="Y16" s="14">
        <f t="shared" si="24"/>
        <v>-1.5357686507960409E-5</v>
      </c>
      <c r="Z16" s="17">
        <f t="shared" si="25"/>
        <v>-0.10774403800536084</v>
      </c>
      <c r="AA16" s="5">
        <f t="shared" si="19"/>
        <v>11.728839168707585</v>
      </c>
      <c r="AB16" s="5">
        <f t="shared" si="20"/>
        <v>113.29329724524327</v>
      </c>
      <c r="AC16" s="5">
        <f t="shared" si="26"/>
        <v>11.728516137022542</v>
      </c>
      <c r="AD16" s="6">
        <f t="shared" si="27"/>
        <v>112.79915686368108</v>
      </c>
    </row>
    <row r="17" spans="1:30" x14ac:dyDescent="0.25">
      <c r="A17" s="4">
        <v>2.4</v>
      </c>
      <c r="B17" s="21">
        <f t="shared" si="21"/>
        <v>2511.8864315095807</v>
      </c>
      <c r="C17" s="14">
        <f t="shared" si="0"/>
        <v>1.6895978317449036E-3</v>
      </c>
      <c r="D17" s="5">
        <f t="shared" si="1"/>
        <v>-1.1300770844523722</v>
      </c>
      <c r="E17" s="5">
        <f t="shared" si="2"/>
        <v>-3.9659164689368005</v>
      </c>
      <c r="F17" s="5">
        <f t="shared" si="3"/>
        <v>-50.695763269398498</v>
      </c>
      <c r="G17" s="5">
        <f t="shared" si="4"/>
        <v>1.0817825519788037E-11</v>
      </c>
      <c r="H17" s="5">
        <f t="shared" si="5"/>
        <v>9.0427911534269811E-5</v>
      </c>
      <c r="I17" s="5">
        <f t="shared" si="6"/>
        <v>-1.0734893357677826E-11</v>
      </c>
      <c r="J17" s="17">
        <f t="shared" si="7"/>
        <v>-9.0077415753129825E-5</v>
      </c>
      <c r="K17" s="14">
        <f t="shared" si="8"/>
        <v>-74.360944606863171</v>
      </c>
      <c r="L17" s="5">
        <f t="shared" si="9"/>
        <v>-89.989033314104475</v>
      </c>
      <c r="M17" s="5">
        <f t="shared" si="10"/>
        <v>11.198136958312539</v>
      </c>
      <c r="N17" s="5">
        <f t="shared" si="11"/>
        <v>74.009262576577285</v>
      </c>
      <c r="O17" s="5">
        <f t="shared" si="12"/>
        <v>-5.1195958257715783E-4</v>
      </c>
      <c r="P17" s="17">
        <f t="shared" si="13"/>
        <v>-0.62207686257896588</v>
      </c>
      <c r="Q17" s="5">
        <f t="shared" si="22"/>
        <v>-5.2327230211146047E-3</v>
      </c>
      <c r="R17" s="5">
        <f t="shared" si="23"/>
        <v>-1.9886151489575756</v>
      </c>
      <c r="S17" s="14">
        <f t="shared" si="14"/>
        <v>4.2187291359481863E-2</v>
      </c>
      <c r="T17" s="5">
        <f t="shared" si="15"/>
        <v>5.6424754788682518</v>
      </c>
      <c r="U17" s="5">
        <f t="shared" si="16"/>
        <v>-1.0961188077414679E-2</v>
      </c>
      <c r="V17" s="17">
        <f t="shared" si="17"/>
        <v>-5.6628632076990773</v>
      </c>
      <c r="W17" s="14">
        <v>0</v>
      </c>
      <c r="X17" s="17">
        <f t="shared" si="18"/>
        <v>-0.18839148236321857</v>
      </c>
      <c r="Y17" s="14">
        <f t="shared" si="24"/>
        <v>-2.4340267629658012E-5</v>
      </c>
      <c r="Z17" s="17">
        <f t="shared" si="25"/>
        <v>-0.13564161389761448</v>
      </c>
      <c r="AA17" s="5">
        <f t="shared" si="19"/>
        <v>10.465932782336747</v>
      </c>
      <c r="AB17" s="5">
        <f t="shared" si="20"/>
        <v>109.86135328506847</v>
      </c>
      <c r="AC17" s="5">
        <f t="shared" si="26"/>
        <v>10.465420822754171</v>
      </c>
      <c r="AD17" s="6">
        <f t="shared" si="27"/>
        <v>109.23927642248951</v>
      </c>
    </row>
    <row r="18" spans="1:30" x14ac:dyDescent="0.25">
      <c r="A18" s="4">
        <v>2.5</v>
      </c>
      <c r="B18" s="21">
        <f t="shared" si="21"/>
        <v>3162.2776601683827</v>
      </c>
      <c r="C18" s="14">
        <f t="shared" si="0"/>
        <v>2.6775275177561633E-3</v>
      </c>
      <c r="D18" s="5">
        <f t="shared" si="1"/>
        <v>-1.4225748788420975</v>
      </c>
      <c r="E18" s="5">
        <f t="shared" si="2"/>
        <v>-5.2699245737241469</v>
      </c>
      <c r="F18" s="5">
        <f t="shared" si="3"/>
        <v>-56.966135780629436</v>
      </c>
      <c r="G18" s="5">
        <f t="shared" si="4"/>
        <v>1.7145742355300521E-11</v>
      </c>
      <c r="H18" s="5">
        <f t="shared" si="5"/>
        <v>1.1384199576591193E-4</v>
      </c>
      <c r="I18" s="5">
        <f t="shared" si="6"/>
        <v>-1.7012665164949752E-11</v>
      </c>
      <c r="J18" s="17">
        <f t="shared" si="7"/>
        <v>-1.1340074772030882E-4</v>
      </c>
      <c r="K18" s="14">
        <f t="shared" si="8"/>
        <v>-76.360944548145838</v>
      </c>
      <c r="L18" s="5">
        <f t="shared" si="9"/>
        <v>-89.991288851712568</v>
      </c>
      <c r="M18" s="5">
        <f t="shared" si="10"/>
        <v>13.074769403148505</v>
      </c>
      <c r="N18" s="5">
        <f t="shared" si="11"/>
        <v>77.176216650773753</v>
      </c>
      <c r="O18" s="5">
        <f t="shared" si="12"/>
        <v>-8.113732869763833E-4</v>
      </c>
      <c r="P18" s="17">
        <f t="shared" si="13"/>
        <v>-0.78313037281498388</v>
      </c>
      <c r="Q18" s="5">
        <f t="shared" si="22"/>
        <v>-8.2903873858568566E-3</v>
      </c>
      <c r="R18" s="5">
        <f t="shared" si="23"/>
        <v>-2.5029305556209982</v>
      </c>
      <c r="S18" s="14">
        <f t="shared" si="14"/>
        <v>6.6673731674115236E-2</v>
      </c>
      <c r="T18" s="5">
        <f t="shared" si="15"/>
        <v>7.0900957812013239</v>
      </c>
      <c r="U18" s="5">
        <f t="shared" si="16"/>
        <v>-1.7412165846985194E-2</v>
      </c>
      <c r="V18" s="17">
        <f t="shared" si="17"/>
        <v>-7.130630018414605</v>
      </c>
      <c r="W18" s="14">
        <v>0</v>
      </c>
      <c r="X18" s="17">
        <f t="shared" si="18"/>
        <v>-0.23717082451262869</v>
      </c>
      <c r="Y18" s="14">
        <f t="shared" si="24"/>
        <v>-3.8576661238921431E-5</v>
      </c>
      <c r="Z18" s="17">
        <f t="shared" si="25"/>
        <v>-0.1707624880428292</v>
      </c>
      <c r="AA18" s="5">
        <f t="shared" si="19"/>
        <v>9.0545086725754711</v>
      </c>
      <c r="AB18" s="5">
        <f t="shared" si="20"/>
        <v>105.84481947544796</v>
      </c>
      <c r="AC18" s="5">
        <f t="shared" si="26"/>
        <v>9.0536972992884941</v>
      </c>
      <c r="AD18" s="6">
        <f t="shared" si="27"/>
        <v>105.06168910263298</v>
      </c>
    </row>
    <row r="19" spans="1:30" x14ac:dyDescent="0.25">
      <c r="A19" s="4">
        <v>2.6</v>
      </c>
      <c r="B19" s="21">
        <f t="shared" si="21"/>
        <v>3981.071705534976</v>
      </c>
      <c r="C19" s="14">
        <f t="shared" si="0"/>
        <v>4.2428303554928135E-3</v>
      </c>
      <c r="D19" s="5">
        <f t="shared" si="1"/>
        <v>-1.7907004920511032</v>
      </c>
      <c r="E19" s="5">
        <f t="shared" si="2"/>
        <v>-6.7654392467929201</v>
      </c>
      <c r="F19" s="5">
        <f t="shared" si="3"/>
        <v>-62.683170686088971</v>
      </c>
      <c r="G19" s="5">
        <f t="shared" si="4"/>
        <v>2.7174748007429121E-11</v>
      </c>
      <c r="H19" s="5">
        <f t="shared" si="5"/>
        <v>1.4331858139896022E-4</v>
      </c>
      <c r="I19" s="5">
        <f t="shared" si="6"/>
        <v>-2.6962595964871755E-11</v>
      </c>
      <c r="J19" s="17">
        <f t="shared" si="7"/>
        <v>-1.4276308302144718E-4</v>
      </c>
      <c r="K19" s="14">
        <f t="shared" si="8"/>
        <v>-78.360944511097699</v>
      </c>
      <c r="L19" s="5">
        <f t="shared" si="9"/>
        <v>-89.993080488938745</v>
      </c>
      <c r="M19" s="5">
        <f t="shared" si="10"/>
        <v>14.99508708467495</v>
      </c>
      <c r="N19" s="5">
        <f t="shared" si="11"/>
        <v>79.750872962237423</v>
      </c>
      <c r="O19" s="5">
        <f t="shared" si="12"/>
        <v>-1.2858697492881938E-3</v>
      </c>
      <c r="P19" s="17">
        <f t="shared" si="13"/>
        <v>-0.98586682104105505</v>
      </c>
      <c r="Q19" s="5">
        <f t="shared" si="22"/>
        <v>-1.3132053444384607E-2</v>
      </c>
      <c r="R19" s="5">
        <f t="shared" si="23"/>
        <v>-3.1498317638413829</v>
      </c>
      <c r="S19" s="14">
        <f t="shared" si="14"/>
        <v>0.10520152134001419</v>
      </c>
      <c r="T19" s="5">
        <f t="shared" si="15"/>
        <v>8.8994764017017314</v>
      </c>
      <c r="U19" s="5">
        <f t="shared" si="16"/>
        <v>-2.7696105841281148E-2</v>
      </c>
      <c r="V19" s="17">
        <f t="shared" si="17"/>
        <v>-8.979899634137368</v>
      </c>
      <c r="W19" s="14">
        <v>0</v>
      </c>
      <c r="X19" s="17">
        <f t="shared" si="18"/>
        <v>-0.29858037791512321</v>
      </c>
      <c r="Y19" s="14">
        <f t="shared" si="24"/>
        <v>-6.1139728964450081E-5</v>
      </c>
      <c r="Z19" s="17">
        <f t="shared" si="25"/>
        <v>-0.21497686328490972</v>
      </c>
      <c r="AA19" s="5">
        <f t="shared" si="19"/>
        <v>7.5042566414644511</v>
      </c>
      <c r="AB19" s="5">
        <f t="shared" si="20"/>
        <v>101.54010961317994</v>
      </c>
      <c r="AC19" s="5">
        <f t="shared" si="26"/>
        <v>7.5029707717151632</v>
      </c>
      <c r="AD19" s="6">
        <f t="shared" si="27"/>
        <v>100.55424279213888</v>
      </c>
    </row>
    <row r="20" spans="1:30" x14ac:dyDescent="0.25">
      <c r="A20" s="4">
        <v>2.7</v>
      </c>
      <c r="B20" s="21">
        <f t="shared" si="21"/>
        <v>5011.8723362727269</v>
      </c>
      <c r="C20" s="14">
        <f t="shared" si="0"/>
        <v>6.7225130991911001E-3</v>
      </c>
      <c r="D20" s="5">
        <f t="shared" si="1"/>
        <v>-2.2539292674450961</v>
      </c>
      <c r="E20" s="5">
        <f t="shared" si="2"/>
        <v>-8.4140672821029803</v>
      </c>
      <c r="F20" s="5">
        <f t="shared" si="3"/>
        <v>-67.692692554047298</v>
      </c>
      <c r="G20" s="5">
        <f t="shared" si="4"/>
        <v>4.3066864656163036E-11</v>
      </c>
      <c r="H20" s="5">
        <f t="shared" si="5"/>
        <v>1.8042740410522174E-4</v>
      </c>
      <c r="I20" s="5">
        <f t="shared" si="6"/>
        <v>-4.2735136007880597E-11</v>
      </c>
      <c r="J20" s="17">
        <f t="shared" si="7"/>
        <v>-1.797280730815627E-4</v>
      </c>
      <c r="K20" s="14">
        <f t="shared" si="8"/>
        <v>-80.360944487721895</v>
      </c>
      <c r="L20" s="5">
        <f t="shared" si="9"/>
        <v>-89.994503636983694</v>
      </c>
      <c r="M20" s="5">
        <f t="shared" si="10"/>
        <v>16.944048148093696</v>
      </c>
      <c r="N20" s="5">
        <f t="shared" si="11"/>
        <v>81.826762200027574</v>
      </c>
      <c r="O20" s="5">
        <f t="shared" si="12"/>
        <v>-2.0377897857793443E-3</v>
      </c>
      <c r="P20" s="17">
        <f t="shared" si="13"/>
        <v>-1.2410611638156577</v>
      </c>
      <c r="Q20" s="5">
        <f t="shared" si="22"/>
        <v>-2.0794537616627883E-2</v>
      </c>
      <c r="R20" s="5">
        <f t="shared" si="23"/>
        <v>-3.9630705996733835</v>
      </c>
      <c r="S20" s="14">
        <f t="shared" si="14"/>
        <v>0.1655723436146086</v>
      </c>
      <c r="T20" s="5">
        <f t="shared" si="15"/>
        <v>11.151768288446663</v>
      </c>
      <c r="U20" s="5">
        <f t="shared" si="16"/>
        <v>-4.4144068546598053E-2</v>
      </c>
      <c r="V20" s="17">
        <f t="shared" si="17"/>
        <v>-11.310820971852026</v>
      </c>
      <c r="W20" s="14">
        <v>0</v>
      </c>
      <c r="X20" s="17">
        <f t="shared" si="18"/>
        <v>-0.37589042522045452</v>
      </c>
      <c r="Y20" s="14">
        <f t="shared" si="24"/>
        <v>-9.6899541286150974E-5</v>
      </c>
      <c r="Z20" s="17">
        <f t="shared" si="25"/>
        <v>-0.27063909332015651</v>
      </c>
      <c r="AA20" s="5">
        <f t="shared" si="19"/>
        <v>5.8432939912774753</v>
      </c>
      <c r="AB20" s="5">
        <f t="shared" si="20"/>
        <v>97.116984639263137</v>
      </c>
      <c r="AC20" s="5">
        <f t="shared" si="26"/>
        <v>5.8412562014916958</v>
      </c>
      <c r="AD20" s="6">
        <f t="shared" si="27"/>
        <v>95.875923475447479</v>
      </c>
    </row>
    <row r="21" spans="1:30" x14ac:dyDescent="0.25">
      <c r="A21" s="4">
        <v>2.8</v>
      </c>
      <c r="B21" s="21">
        <f t="shared" si="21"/>
        <v>6309.5734448019321</v>
      </c>
      <c r="C21" s="14">
        <f t="shared" si="0"/>
        <v>1.0649647548207183E-2</v>
      </c>
      <c r="D21" s="5">
        <f t="shared" si="1"/>
        <v>-2.8366734477843729</v>
      </c>
      <c r="E21" s="5">
        <f t="shared" si="2"/>
        <v>-10.176785596928216</v>
      </c>
      <c r="F21" s="5">
        <f t="shared" si="3"/>
        <v>-71.949412575551349</v>
      </c>
      <c r="G21" s="5">
        <f t="shared" si="4"/>
        <v>6.8255098082373482E-11</v>
      </c>
      <c r="H21" s="5">
        <f t="shared" si="5"/>
        <v>2.2714464401167952E-4</v>
      </c>
      <c r="I21" s="5">
        <f t="shared" si="6"/>
        <v>-6.7728575286167624E-11</v>
      </c>
      <c r="J21" s="17">
        <f t="shared" si="7"/>
        <v>-2.2626423841474422E-4</v>
      </c>
      <c r="K21" s="14">
        <f t="shared" si="8"/>
        <v>-82.360944472972761</v>
      </c>
      <c r="L21" s="5">
        <f t="shared" si="9"/>
        <v>-89.995634083662921</v>
      </c>
      <c r="M21" s="5">
        <f t="shared" si="10"/>
        <v>18.911533370498038</v>
      </c>
      <c r="N21" s="5">
        <f t="shared" si="11"/>
        <v>83.491508087626627</v>
      </c>
      <c r="O21" s="5">
        <f t="shared" si="12"/>
        <v>-3.2292361286098644E-3</v>
      </c>
      <c r="P21" s="17">
        <f t="shared" si="13"/>
        <v>-1.5622605547709785</v>
      </c>
      <c r="Q21" s="5">
        <f t="shared" si="22"/>
        <v>-3.2911131508391096E-2</v>
      </c>
      <c r="R21" s="5">
        <f t="shared" si="23"/>
        <v>-4.9845687419598743</v>
      </c>
      <c r="S21" s="14">
        <f t="shared" si="14"/>
        <v>0.25956714409122583</v>
      </c>
      <c r="T21" s="5">
        <f t="shared" si="15"/>
        <v>13.937669267292851</v>
      </c>
      <c r="U21" s="5">
        <f t="shared" si="16"/>
        <v>-7.0581587144093974E-2</v>
      </c>
      <c r="V21" s="17">
        <f t="shared" si="17"/>
        <v>-14.250652438578976</v>
      </c>
      <c r="W21" s="14">
        <v>0</v>
      </c>
      <c r="X21" s="17">
        <f t="shared" si="18"/>
        <v>-0.47321800836014494</v>
      </c>
      <c r="Y21" s="14">
        <f t="shared" si="24"/>
        <v>-1.5357442126543266E-4</v>
      </c>
      <c r="Z21" s="17">
        <f t="shared" si="25"/>
        <v>-0.34071294990980416</v>
      </c>
      <c r="AA21" s="5">
        <f t="shared" si="19"/>
        <v>4.1073720611622999</v>
      </c>
      <c r="AB21" s="5">
        <f t="shared" si="20"/>
        <v>92.598305989517613</v>
      </c>
      <c r="AC21" s="5">
        <f t="shared" si="26"/>
        <v>4.1041428250336898</v>
      </c>
      <c r="AD21" s="6">
        <f t="shared" si="27"/>
        <v>91.03604543474664</v>
      </c>
    </row>
    <row r="22" spans="1:30" x14ac:dyDescent="0.25">
      <c r="A22" s="4">
        <v>2.9</v>
      </c>
      <c r="B22" s="21">
        <f t="shared" si="21"/>
        <v>7943.2823472428208</v>
      </c>
      <c r="C22" s="14">
        <f t="shared" si="0"/>
        <v>1.6866471222621162E-2</v>
      </c>
      <c r="D22" s="5">
        <f t="shared" si="1"/>
        <v>-3.5694559647612083</v>
      </c>
      <c r="E22" s="5">
        <f t="shared" si="2"/>
        <v>-12.02011323647157</v>
      </c>
      <c r="F22" s="5">
        <f t="shared" si="3"/>
        <v>-75.486526832060306</v>
      </c>
      <c r="G22" s="5">
        <f t="shared" si="4"/>
        <v>1.0817825519727409E-10</v>
      </c>
      <c r="H22" s="5">
        <f t="shared" si="5"/>
        <v>2.8595816449836713E-4</v>
      </c>
      <c r="I22" s="5">
        <f t="shared" si="6"/>
        <v>-1.0734121895764276E-10</v>
      </c>
      <c r="J22" s="17">
        <f t="shared" si="7"/>
        <v>-2.8484979951970971E-4</v>
      </c>
      <c r="K22" s="14">
        <f t="shared" si="8"/>
        <v>-84.360944463666684</v>
      </c>
      <c r="L22" s="5">
        <f t="shared" si="9"/>
        <v>-89.996532029380546</v>
      </c>
      <c r="M22" s="5">
        <f t="shared" si="10"/>
        <v>20.890891968009917</v>
      </c>
      <c r="N22" s="5">
        <f t="shared" si="11"/>
        <v>84.821912506929394</v>
      </c>
      <c r="O22" s="5">
        <f t="shared" si="12"/>
        <v>-5.1168820405957903E-3</v>
      </c>
      <c r="P22" s="17">
        <f t="shared" si="13"/>
        <v>-1.966484546534542</v>
      </c>
      <c r="Q22" s="5">
        <f t="shared" si="22"/>
        <v>-5.2045660904162988E-2</v>
      </c>
      <c r="R22" s="5">
        <f t="shared" si="23"/>
        <v>-6.2659790782400488</v>
      </c>
      <c r="S22" s="14">
        <f t="shared" si="14"/>
        <v>0.40449308178000021</v>
      </c>
      <c r="T22" s="5">
        <f t="shared" si="15"/>
        <v>17.350425989038623</v>
      </c>
      <c r="U22" s="5">
        <f t="shared" si="16"/>
        <v>-0.11338957713736558</v>
      </c>
      <c r="V22" s="17">
        <f t="shared" si="17"/>
        <v>-17.961565504547881</v>
      </c>
      <c r="W22" s="14">
        <v>0</v>
      </c>
      <c r="X22" s="17">
        <f t="shared" si="18"/>
        <v>-0.59574617604321156</v>
      </c>
      <c r="Y22" s="14">
        <f t="shared" si="24"/>
        <v>-2.4339653776593397E-4</v>
      </c>
      <c r="Z22" s="17">
        <f t="shared" si="25"/>
        <v>-0.4289292336586128</v>
      </c>
      <c r="AA22" s="5">
        <f t="shared" si="19"/>
        <v>2.3325134482948711</v>
      </c>
      <c r="AB22" s="5">
        <f t="shared" si="20"/>
        <v>87.867604785641205</v>
      </c>
      <c r="AC22" s="5">
        <f t="shared" si="26"/>
        <v>2.3273965662542753</v>
      </c>
      <c r="AD22" s="6">
        <f t="shared" si="27"/>
        <v>85.90112023910666</v>
      </c>
    </row>
    <row r="23" spans="1:30" x14ac:dyDescent="0.25">
      <c r="A23" s="4">
        <v>3</v>
      </c>
      <c r="B23" s="20">
        <f t="shared" si="21"/>
        <v>10000</v>
      </c>
      <c r="C23" s="14">
        <f t="shared" si="0"/>
        <v>2.6701279825989136E-2</v>
      </c>
      <c r="D23" s="5">
        <f t="shared" si="1"/>
        <v>-4.4902857826466311</v>
      </c>
      <c r="E23" s="5">
        <f t="shared" si="2"/>
        <v>-13.918270101351823</v>
      </c>
      <c r="F23" s="5">
        <f t="shared" si="3"/>
        <v>-78.380427621874233</v>
      </c>
      <c r="G23" s="5">
        <f t="shared" si="4"/>
        <v>1.7145356624161606E-10</v>
      </c>
      <c r="H23" s="5">
        <f t="shared" si="5"/>
        <v>3.5999999999526255E-4</v>
      </c>
      <c r="I23" s="5">
        <f t="shared" si="6"/>
        <v>-1.7012665165099701E-10</v>
      </c>
      <c r="J23" s="17">
        <f t="shared" si="7"/>
        <v>-3.5860465115810812E-4</v>
      </c>
      <c r="K23" s="14">
        <f t="shared" si="8"/>
        <v>-86.360944457794943</v>
      </c>
      <c r="L23" s="5">
        <f t="shared" si="9"/>
        <v>-89.997245293018523</v>
      </c>
      <c r="M23" s="5">
        <f t="shared" si="10"/>
        <v>22.87781746340421</v>
      </c>
      <c r="N23" s="5">
        <f t="shared" si="11"/>
        <v>85.882765636148903</v>
      </c>
      <c r="O23" s="5">
        <f t="shared" si="12"/>
        <v>-8.1069195915597549E-3</v>
      </c>
      <c r="P23" s="17">
        <f t="shared" si="13"/>
        <v>-2.4750891692489043</v>
      </c>
      <c r="Q23" s="5">
        <f t="shared" si="22"/>
        <v>-8.2200208034019451E-2</v>
      </c>
      <c r="R23" s="5">
        <f t="shared" si="23"/>
        <v>-7.8701265958336517</v>
      </c>
      <c r="S23" s="14">
        <f t="shared" si="14"/>
        <v>0.62471589375774927</v>
      </c>
      <c r="T23" s="5">
        <f t="shared" si="15"/>
        <v>21.471073927769854</v>
      </c>
      <c r="U23" s="5">
        <f t="shared" si="16"/>
        <v>-0.18343432965305251</v>
      </c>
      <c r="V23" s="17">
        <f t="shared" si="17"/>
        <v>-22.650442147502211</v>
      </c>
      <c r="W23" s="14">
        <v>0</v>
      </c>
      <c r="X23" s="17">
        <f t="shared" si="18"/>
        <v>-0.75</v>
      </c>
      <c r="Y23" s="14">
        <f t="shared" si="24"/>
        <v>-3.8575119349709068E-4</v>
      </c>
      <c r="Z23" s="17">
        <f t="shared" si="25"/>
        <v>-0.53998401209295088</v>
      </c>
      <c r="AA23" s="5">
        <f t="shared" si="19"/>
        <v>0.55099805096098109</v>
      </c>
      <c r="AB23" s="5">
        <f t="shared" si="20"/>
        <v>82.675329506299406</v>
      </c>
      <c r="AC23" s="5">
        <f t="shared" si="26"/>
        <v>0.54289113136942135</v>
      </c>
      <c r="AD23" s="6">
        <f t="shared" si="27"/>
        <v>80.200240337050502</v>
      </c>
    </row>
    <row r="24" spans="1:30" x14ac:dyDescent="0.25">
      <c r="A24" s="4">
        <v>3.1</v>
      </c>
      <c r="B24" s="21">
        <f t="shared" si="21"/>
        <v>12589.25411794168</v>
      </c>
      <c r="C24" s="14">
        <f t="shared" si="0"/>
        <v>4.2242923618681816E-2</v>
      </c>
      <c r="D24" s="5">
        <f t="shared" si="1"/>
        <v>-5.6461885820622806</v>
      </c>
      <c r="E24" s="5">
        <f t="shared" si="2"/>
        <v>-15.852760458359727</v>
      </c>
      <c r="F24" s="5">
        <f t="shared" si="3"/>
        <v>-80.723510580362316</v>
      </c>
      <c r="G24" s="5">
        <f t="shared" si="4"/>
        <v>2.7173397948593403E-10</v>
      </c>
      <c r="H24" s="5">
        <f t="shared" si="5"/>
        <v>4.5321314823644813E-4</v>
      </c>
      <c r="I24" s="5">
        <f t="shared" si="6"/>
        <v>-2.6963174561728343E-10</v>
      </c>
      <c r="J24" s="17">
        <f t="shared" si="7"/>
        <v>-4.514565081270774E-4</v>
      </c>
      <c r="K24" s="14">
        <f t="shared" si="8"/>
        <v>-88.360944454090145</v>
      </c>
      <c r="L24" s="5">
        <f t="shared" si="9"/>
        <v>-89.997811858465596</v>
      </c>
      <c r="M24" s="5">
        <f t="shared" si="10"/>
        <v>24.869547710111249</v>
      </c>
      <c r="N24" s="5">
        <f t="shared" si="11"/>
        <v>86.727486835545449</v>
      </c>
      <c r="O24" s="5">
        <f t="shared" si="12"/>
        <v>-1.2841596996053686E-2</v>
      </c>
      <c r="P24" s="17">
        <f t="shared" si="13"/>
        <v>-3.1148201564252771</v>
      </c>
      <c r="Q24" s="5">
        <f t="shared" si="22"/>
        <v>-0.12956716177017313</v>
      </c>
      <c r="R24" s="5">
        <f t="shared" si="23"/>
        <v>-9.8718305101423525</v>
      </c>
      <c r="S24" s="14">
        <f t="shared" si="14"/>
        <v>0.95236736694601143</v>
      </c>
      <c r="T24" s="5">
        <f t="shared" si="15"/>
        <v>26.343226364159168</v>
      </c>
      <c r="U24" s="5">
        <f t="shared" si="16"/>
        <v>-0.29965030553785804</v>
      </c>
      <c r="V24" s="17">
        <f t="shared" si="17"/>
        <v>-28.579555159076083</v>
      </c>
      <c r="W24" s="14">
        <v>0</v>
      </c>
      <c r="X24" s="17">
        <f t="shared" si="18"/>
        <v>-0.94419405884562602</v>
      </c>
      <c r="Y24" s="14">
        <f t="shared" si="24"/>
        <v>-6.1135856061658679E-4</v>
      </c>
      <c r="Z24" s="17">
        <f t="shared" si="25"/>
        <v>-0.67978782329471155</v>
      </c>
      <c r="AA24" s="5">
        <f t="shared" si="19"/>
        <v>-1.2123774756414494</v>
      </c>
      <c r="AB24" s="5">
        <f t="shared" si="20"/>
        <v>76.627836384095744</v>
      </c>
      <c r="AC24" s="5">
        <f t="shared" si="26"/>
        <v>-1.225219072637503</v>
      </c>
      <c r="AD24" s="6">
        <f t="shared" si="27"/>
        <v>73.513016227670462</v>
      </c>
    </row>
    <row r="25" spans="1:30" x14ac:dyDescent="0.25">
      <c r="A25" s="4">
        <v>3.2</v>
      </c>
      <c r="B25" s="21">
        <f t="shared" si="21"/>
        <v>15848.931924611155</v>
      </c>
      <c r="C25" s="14">
        <f t="shared" si="0"/>
        <v>6.6761406810597279E-2</v>
      </c>
      <c r="D25" s="5">
        <f t="shared" si="1"/>
        <v>-7.0947440022527521</v>
      </c>
      <c r="E25" s="5">
        <f t="shared" si="2"/>
        <v>-17.810912376549123</v>
      </c>
      <c r="F25" s="5">
        <f t="shared" si="3"/>
        <v>-82.607648852466767</v>
      </c>
      <c r="G25" s="5">
        <f t="shared" si="4"/>
        <v>4.3066864655202118E-10</v>
      </c>
      <c r="H25" s="5">
        <f t="shared" si="5"/>
        <v>5.7056154926714156E-4</v>
      </c>
      <c r="I25" s="5">
        <f t="shared" si="6"/>
        <v>-4.2733785950373529E-10</v>
      </c>
      <c r="J25" s="17">
        <f t="shared" si="7"/>
        <v>-5.6835007039415851E-4</v>
      </c>
      <c r="K25" s="14">
        <f t="shared" si="8"/>
        <v>-90.360944451752573</v>
      </c>
      <c r="L25" s="5">
        <f t="shared" si="9"/>
        <v>-89.998261897397342</v>
      </c>
      <c r="M25" s="5">
        <f t="shared" si="10"/>
        <v>26.864321734488993</v>
      </c>
      <c r="N25" s="5">
        <f t="shared" si="11"/>
        <v>87.399507154370752</v>
      </c>
      <c r="O25" s="5">
        <f t="shared" si="12"/>
        <v>-2.0334997713681191E-2</v>
      </c>
      <c r="P25" s="17">
        <f t="shared" si="13"/>
        <v>-3.9190704380753512</v>
      </c>
      <c r="Q25" s="5">
        <f t="shared" si="22"/>
        <v>-0.20359627491361529</v>
      </c>
      <c r="R25" s="5">
        <f t="shared" si="23"/>
        <v>-12.357125151353884</v>
      </c>
      <c r="S25" s="14">
        <f t="shared" si="14"/>
        <v>1.4257873001250014</v>
      </c>
      <c r="T25" s="5">
        <f t="shared" si="15"/>
        <v>31.938667423320322</v>
      </c>
      <c r="U25" s="5">
        <f t="shared" si="16"/>
        <v>-0.49564534345930361</v>
      </c>
      <c r="V25" s="17">
        <f t="shared" si="17"/>
        <v>-36.072295937501622</v>
      </c>
      <c r="W25" s="14">
        <v>0</v>
      </c>
      <c r="X25" s="17">
        <f t="shared" si="18"/>
        <v>-1.1886698943458365</v>
      </c>
      <c r="Y25" s="14">
        <f t="shared" si="24"/>
        <v>-9.6889813583300581E-4</v>
      </c>
      <c r="Z25" s="17">
        <f t="shared" si="25"/>
        <v>-0.85577868005241375</v>
      </c>
      <c r="AA25" s="5">
        <f t="shared" si="19"/>
        <v>-2.9481986413834971</v>
      </c>
      <c r="AB25" s="5">
        <f t="shared" si="20"/>
        <v>69.163652373799337</v>
      </c>
      <c r="AC25" s="5">
        <f t="shared" si="26"/>
        <v>-2.9685336390971782</v>
      </c>
      <c r="AD25" s="6">
        <f t="shared" si="27"/>
        <v>65.244581935723986</v>
      </c>
    </row>
    <row r="26" spans="1:30" x14ac:dyDescent="0.25">
      <c r="A26" s="7">
        <v>3.3</v>
      </c>
      <c r="B26" s="22">
        <f t="shared" si="21"/>
        <v>19952.623149688803</v>
      </c>
      <c r="C26" s="14">
        <f t="shared" si="0"/>
        <v>0.10533924900006056</v>
      </c>
      <c r="D26" s="8">
        <f t="shared" si="1"/>
        <v>-8.9052764484223577</v>
      </c>
      <c r="E26" s="5">
        <f t="shared" si="2"/>
        <v>-19.784299021462665</v>
      </c>
      <c r="F26" s="8">
        <f t="shared" si="3"/>
        <v>-84.116018322752083</v>
      </c>
      <c r="G26" s="5">
        <f t="shared" si="4"/>
        <v>6.8256641003906235E-10</v>
      </c>
      <c r="H26" s="5">
        <f t="shared" si="5"/>
        <v>7.1829443335116622E-4</v>
      </c>
      <c r="I26" s="5">
        <f t="shared" si="6"/>
        <v>-6.7728382423050825E-10</v>
      </c>
      <c r="J26" s="17">
        <f t="shared" si="7"/>
        <v>-7.1551034640048288E-4</v>
      </c>
      <c r="K26" s="14">
        <f t="shared" si="8"/>
        <v>-92.360944450277657</v>
      </c>
      <c r="L26" s="5">
        <f t="shared" si="9"/>
        <v>-89.998619376027705</v>
      </c>
      <c r="M26" s="5">
        <f t="shared" si="10"/>
        <v>28.861021128188305</v>
      </c>
      <c r="N26" s="8">
        <f t="shared" si="11"/>
        <v>87.933831633267914</v>
      </c>
      <c r="O26" s="5">
        <f t="shared" si="12"/>
        <v>-3.2184816685913907E-2</v>
      </c>
      <c r="P26" s="17">
        <f t="shared" si="13"/>
        <v>-4.9293284487045765</v>
      </c>
      <c r="Q26" s="5">
        <f t="shared" si="22"/>
        <v>-0.31839935762967708</v>
      </c>
      <c r="R26" s="5">
        <f t="shared" si="23"/>
        <v>-15.419136699584552</v>
      </c>
      <c r="S26" s="14">
        <f t="shared" si="14"/>
        <v>2.0841379451638131</v>
      </c>
      <c r="T26" s="5">
        <f t="shared" si="15"/>
        <v>38.124515819904452</v>
      </c>
      <c r="U26" s="5">
        <f t="shared" si="16"/>
        <v>-0.83106828468100458</v>
      </c>
      <c r="V26" s="17">
        <f t="shared" si="17"/>
        <v>-45.49446045584142</v>
      </c>
      <c r="W26" s="14">
        <v>0</v>
      </c>
      <c r="X26" s="17">
        <f t="shared" si="18"/>
        <v>-1.4964467362266602</v>
      </c>
      <c r="Y26" s="14">
        <f t="shared" si="24"/>
        <v>-1.5354998871882511E-3</v>
      </c>
      <c r="Z26" s="17">
        <f t="shared" si="25"/>
        <v>-1.0773146737951071</v>
      </c>
      <c r="AA26" s="5">
        <f t="shared" si="19"/>
        <v>-4.6787500295817015</v>
      </c>
      <c r="AB26" s="5">
        <f t="shared" si="20"/>
        <v>59.551077524609447</v>
      </c>
      <c r="AC26" s="5">
        <f t="shared" si="26"/>
        <v>-4.7109348462676151</v>
      </c>
      <c r="AD26" s="6">
        <f t="shared" si="27"/>
        <v>54.621749075904873</v>
      </c>
    </row>
    <row r="27" spans="1:30" x14ac:dyDescent="0.25">
      <c r="A27" s="4">
        <v>3.4</v>
      </c>
      <c r="B27" s="21">
        <f t="shared" si="21"/>
        <v>25118.864315095812</v>
      </c>
      <c r="C27" s="14">
        <f t="shared" si="0"/>
        <v>0.16578761197833383</v>
      </c>
      <c r="D27" s="5">
        <f t="shared" si="1"/>
        <v>-11.158969250677604</v>
      </c>
      <c r="E27" s="5">
        <f t="shared" si="2"/>
        <v>-21.767422827341623</v>
      </c>
      <c r="F27" s="5">
        <f t="shared" si="3"/>
        <v>-85.320122361611908</v>
      </c>
      <c r="G27" s="5">
        <f t="shared" si="4"/>
        <v>1.0817941238417094E-9</v>
      </c>
      <c r="H27" s="5">
        <f t="shared" si="5"/>
        <v>9.0427911526836627E-4</v>
      </c>
      <c r="I27" s="5">
        <f t="shared" si="6"/>
        <v>-1.0734237615657218E-9</v>
      </c>
      <c r="J27" s="17">
        <f t="shared" si="7"/>
        <v>-9.0077415745782729E-4</v>
      </c>
      <c r="K27" s="14">
        <f t="shared" si="8"/>
        <v>-94.360944449347031</v>
      </c>
      <c r="L27" s="5">
        <f t="shared" si="9"/>
        <v>-89.998903331397202</v>
      </c>
      <c r="M27" s="5">
        <f t="shared" si="10"/>
        <v>30.858937294990064</v>
      </c>
      <c r="N27" s="5">
        <f t="shared" si="11"/>
        <v>88.358521574240427</v>
      </c>
      <c r="O27" s="5">
        <f t="shared" si="12"/>
        <v>-5.0899534694477867E-2</v>
      </c>
      <c r="P27" s="17">
        <f t="shared" si="13"/>
        <v>-6.1967380431561034</v>
      </c>
      <c r="Q27" s="5">
        <f t="shared" si="22"/>
        <v>-0.49435315656678225</v>
      </c>
      <c r="R27" s="5">
        <f t="shared" si="23"/>
        <v>-19.147934569609838</v>
      </c>
      <c r="S27" s="14">
        <f t="shared" si="14"/>
        <v>2.9581587819233728</v>
      </c>
      <c r="T27" s="5">
        <f t="shared" si="15"/>
        <v>44.653973496748613</v>
      </c>
      <c r="U27" s="5">
        <f t="shared" si="16"/>
        <v>-1.4073005865653601</v>
      </c>
      <c r="V27" s="17">
        <f t="shared" si="17"/>
        <v>-57.162572833806905</v>
      </c>
      <c r="W27" s="14">
        <v>0</v>
      </c>
      <c r="X27" s="17">
        <f t="shared" si="18"/>
        <v>-1.8839148236321859</v>
      </c>
      <c r="Y27" s="14">
        <f t="shared" si="24"/>
        <v>-2.4333517528940802E-3</v>
      </c>
      <c r="Z27" s="17">
        <f t="shared" si="25"/>
        <v>-1.3561653534395415</v>
      </c>
      <c r="AA27" s="5">
        <f t="shared" si="19"/>
        <v>-6.4825724206745097</v>
      </c>
      <c r="AB27" s="5">
        <f t="shared" si="20"/>
        <v>46.983916051771672</v>
      </c>
      <c r="AC27" s="5">
        <f t="shared" si="26"/>
        <v>-6.5334719553689879</v>
      </c>
      <c r="AD27" s="6">
        <f t="shared" si="27"/>
        <v>40.78717800861557</v>
      </c>
    </row>
    <row r="28" spans="1:30" x14ac:dyDescent="0.25">
      <c r="A28" s="4">
        <v>3.5</v>
      </c>
      <c r="B28" s="21">
        <f t="shared" si="21"/>
        <v>31622.776601683803</v>
      </c>
      <c r="C28" s="14">
        <f t="shared" si="0"/>
        <v>0.25990101209436145</v>
      </c>
      <c r="D28" s="5">
        <f t="shared" si="1"/>
        <v>-13.946540523530739</v>
      </c>
      <c r="E28" s="5">
        <f t="shared" si="2"/>
        <v>-23.756740827043068</v>
      </c>
      <c r="F28" s="5">
        <f t="shared" si="3"/>
        <v>-86.279589825880294</v>
      </c>
      <c r="G28" s="5">
        <f t="shared" si="4"/>
        <v>1.7145260189891997E-9</v>
      </c>
      <c r="H28" s="5">
        <f t="shared" si="5"/>
        <v>1.1384199575108069E-3</v>
      </c>
      <c r="I28" s="5">
        <f t="shared" si="6"/>
        <v>-1.7012607306951185E-9</v>
      </c>
      <c r="J28" s="17">
        <f t="shared" si="7"/>
        <v>-1.1340074770564933E-3</v>
      </c>
      <c r="K28" s="14">
        <f t="shared" si="8"/>
        <v>-96.360944448759867</v>
      </c>
      <c r="L28" s="5">
        <f t="shared" si="9"/>
        <v>-89.999128885164609</v>
      </c>
      <c r="M28" s="5">
        <f t="shared" si="10"/>
        <v>32.857621970479713</v>
      </c>
      <c r="N28" s="5">
        <f t="shared" si="11"/>
        <v>88.69599568901603</v>
      </c>
      <c r="O28" s="5">
        <f t="shared" si="12"/>
        <v>-8.0396152575778049E-2</v>
      </c>
      <c r="P28" s="17">
        <f t="shared" si="13"/>
        <v>-7.7835538778025137</v>
      </c>
      <c r="Q28" s="5">
        <f t="shared" si="22"/>
        <v>-0.75939306477023416</v>
      </c>
      <c r="R28" s="5">
        <f t="shared" si="23"/>
        <v>-23.611191258808496</v>
      </c>
      <c r="S28" s="14">
        <f t="shared" si="14"/>
        <v>4.0603993223843915</v>
      </c>
      <c r="T28" s="5">
        <f t="shared" si="15"/>
        <v>51.201378736991217</v>
      </c>
      <c r="U28" s="5">
        <f t="shared" si="16"/>
        <v>-2.3761233988484687</v>
      </c>
      <c r="V28" s="17">
        <f t="shared" si="17"/>
        <v>-71.106825555693419</v>
      </c>
      <c r="W28" s="14">
        <v>0</v>
      </c>
      <c r="X28" s="17">
        <f t="shared" si="18"/>
        <v>-2.3717082451262854</v>
      </c>
      <c r="Y28" s="14">
        <f t="shared" si="24"/>
        <v>-3.8559709495343516E-3</v>
      </c>
      <c r="Z28" s="17">
        <f t="shared" si="25"/>
        <v>-1.7071245968306352</v>
      </c>
      <c r="AA28" s="5">
        <f t="shared" si="19"/>
        <v>-8.5121371434004089</v>
      </c>
      <c r="AB28" s="5">
        <f t="shared" si="20"/>
        <v>30.875269947453209</v>
      </c>
      <c r="AC28" s="5">
        <f t="shared" si="26"/>
        <v>-8.5925332959761871</v>
      </c>
      <c r="AD28" s="6">
        <f t="shared" si="27"/>
        <v>23.091716069650694</v>
      </c>
    </row>
    <row r="29" spans="1:30" x14ac:dyDescent="0.25">
      <c r="A29" s="4">
        <v>3.6</v>
      </c>
      <c r="B29" s="21">
        <f t="shared" si="21"/>
        <v>39810.717055349771</v>
      </c>
      <c r="C29" s="14">
        <f t="shared" si="0"/>
        <v>0.40500484999683806</v>
      </c>
      <c r="D29" s="5">
        <f t="shared" si="1"/>
        <v>-17.361227478236881</v>
      </c>
      <c r="E29" s="5">
        <f t="shared" si="2"/>
        <v>-25.74998739672737</v>
      </c>
      <c r="F29" s="5">
        <f t="shared" si="3"/>
        <v>-87.043240226735008</v>
      </c>
      <c r="G29" s="5">
        <f t="shared" si="4"/>
        <v>2.7173397944767922E-9</v>
      </c>
      <c r="H29" s="5">
        <f t="shared" si="5"/>
        <v>1.433185813693681E-3</v>
      </c>
      <c r="I29" s="5">
        <f t="shared" si="6"/>
        <v>-2.6963174565494863E-9</v>
      </c>
      <c r="J29" s="17">
        <f t="shared" si="7"/>
        <v>-1.4276308299219786E-3</v>
      </c>
      <c r="K29" s="14">
        <f t="shared" si="8"/>
        <v>-98.360944448389375</v>
      </c>
      <c r="L29" s="5">
        <f t="shared" si="9"/>
        <v>-89.999308048890541</v>
      </c>
      <c r="M29" s="5">
        <f t="shared" si="10"/>
        <v>34.856791851800914</v>
      </c>
      <c r="N29" s="5">
        <f t="shared" si="11"/>
        <v>88.964126556366011</v>
      </c>
      <c r="O29" s="5">
        <f t="shared" si="12"/>
        <v>-0.12673860819547886</v>
      </c>
      <c r="P29" s="17">
        <f t="shared" si="13"/>
        <v>-9.7640114173187857</v>
      </c>
      <c r="Q29" s="5">
        <f t="shared" si="22"/>
        <v>-1.1488919197553591</v>
      </c>
      <c r="R29" s="5">
        <f t="shared" si="23"/>
        <v>-28.824157997824511</v>
      </c>
      <c r="S29" s="14">
        <f t="shared" si="14"/>
        <v>5.3806221878008467</v>
      </c>
      <c r="T29" s="5">
        <f t="shared" si="15"/>
        <v>57.436688240465173</v>
      </c>
      <c r="U29" s="5">
        <f t="shared" si="16"/>
        <v>-3.9093355249965378</v>
      </c>
      <c r="V29" s="17">
        <f t="shared" si="17"/>
        <v>-86.718730518296795</v>
      </c>
      <c r="W29" s="14">
        <v>0</v>
      </c>
      <c r="X29" s="17">
        <f t="shared" si="18"/>
        <v>-2.9858037791512326</v>
      </c>
      <c r="Y29" s="14">
        <f t="shared" si="24"/>
        <v>-6.1097162988863829E-3</v>
      </c>
      <c r="Z29" s="17">
        <f t="shared" si="25"/>
        <v>-2.1487707497674631</v>
      </c>
      <c r="AA29" s="5">
        <f t="shared" si="19"/>
        <v>-10.965851854548863</v>
      </c>
      <c r="AB29" s="5">
        <f t="shared" si="20"/>
        <v>11.319581552912519</v>
      </c>
      <c r="AC29" s="5">
        <f t="shared" si="26"/>
        <v>-11.092590462744342</v>
      </c>
      <c r="AD29" s="6">
        <f t="shared" si="27"/>
        <v>1.555570135593733</v>
      </c>
    </row>
    <row r="30" spans="1:30" x14ac:dyDescent="0.25">
      <c r="A30" s="4">
        <v>3.7</v>
      </c>
      <c r="B30" s="21">
        <f t="shared" si="21"/>
        <v>50118.723362727324</v>
      </c>
      <c r="C30" s="14">
        <f t="shared" si="0"/>
        <v>0.62548686480502402</v>
      </c>
      <c r="D30" s="5">
        <f t="shared" si="1"/>
        <v>-21.483999458824929</v>
      </c>
      <c r="E30" s="5">
        <f t="shared" si="2"/>
        <v>-27.745720860401342</v>
      </c>
      <c r="F30" s="5">
        <f t="shared" si="3"/>
        <v>-87.650592774441563</v>
      </c>
      <c r="G30" s="5">
        <f t="shared" si="4"/>
        <v>4.3066941791790263E-9</v>
      </c>
      <c r="H30" s="5">
        <f t="shared" si="5"/>
        <v>1.8042740404617789E-3</v>
      </c>
      <c r="I30" s="5">
        <f t="shared" si="6"/>
        <v>-4.2733728100186595E-9</v>
      </c>
      <c r="J30" s="17">
        <f t="shared" si="7"/>
        <v>-1.7972807302320275E-3</v>
      </c>
      <c r="K30" s="14">
        <f t="shared" si="8"/>
        <v>-100.36094444815564</v>
      </c>
      <c r="L30" s="5">
        <f t="shared" si="9"/>
        <v>-89.99945036369671</v>
      </c>
      <c r="M30" s="5">
        <f t="shared" si="10"/>
        <v>36.856268000670909</v>
      </c>
      <c r="N30" s="5">
        <f t="shared" si="11"/>
        <v>89.177143390964559</v>
      </c>
      <c r="O30" s="5">
        <f t="shared" si="12"/>
        <v>-0.19918828635640556</v>
      </c>
      <c r="P30" s="17">
        <f t="shared" si="13"/>
        <v>-12.22365877473357</v>
      </c>
      <c r="Q30" s="5">
        <f t="shared" si="22"/>
        <v>-1.7024999496285151</v>
      </c>
      <c r="R30" s="5">
        <f t="shared" si="23"/>
        <v>-34.713888015181389</v>
      </c>
      <c r="S30" s="14">
        <f t="shared" si="14"/>
        <v>6.8895792197809245</v>
      </c>
      <c r="T30" s="5">
        <f t="shared" si="15"/>
        <v>63.102334182848118</v>
      </c>
      <c r="U30" s="5">
        <f t="shared" si="16"/>
        <v>-6.1086823671318058</v>
      </c>
      <c r="V30" s="17">
        <f t="shared" si="17"/>
        <v>-102.65458718055925</v>
      </c>
      <c r="W30" s="14">
        <v>0</v>
      </c>
      <c r="X30" s="17">
        <f t="shared" si="18"/>
        <v>-3.758904252204549</v>
      </c>
      <c r="Y30" s="14">
        <f t="shared" si="24"/>
        <v>-9.6792679566549498E-3</v>
      </c>
      <c r="Z30" s="17">
        <f t="shared" si="25"/>
        <v>-2.7044008864695801</v>
      </c>
      <c r="AA30" s="5">
        <f t="shared" si="19"/>
        <v>-13.989194545984743</v>
      </c>
      <c r="AB30" s="5">
        <f t="shared" si="20"/>
        <v>-10.68633836425505</v>
      </c>
      <c r="AC30" s="5">
        <f t="shared" si="26"/>
        <v>-14.188382832341148</v>
      </c>
      <c r="AD30" s="6">
        <f t="shared" si="27"/>
        <v>-22.909997138988622</v>
      </c>
    </row>
    <row r="31" spans="1:30" x14ac:dyDescent="0.25">
      <c r="A31" s="4">
        <v>3.8</v>
      </c>
      <c r="B31" s="21">
        <f t="shared" si="21"/>
        <v>63095.734448019386</v>
      </c>
      <c r="C31" s="14">
        <f t="shared" si="0"/>
        <v>0.95350043192467937</v>
      </c>
      <c r="D31" s="5">
        <f t="shared" si="1"/>
        <v>-26.358315526976934</v>
      </c>
      <c r="E31" s="5">
        <f t="shared" si="2"/>
        <v>-29.743026699724616</v>
      </c>
      <c r="F31" s="5">
        <f t="shared" si="3"/>
        <v>-88.133413494093844</v>
      </c>
      <c r="G31" s="5">
        <f t="shared" si="4"/>
        <v>6.8256505973923757E-9</v>
      </c>
      <c r="H31" s="5">
        <f t="shared" si="5"/>
        <v>2.2714464389387138E-3</v>
      </c>
      <c r="I31" s="5">
        <f t="shared" si="6"/>
        <v>-6.772840173336527E-9</v>
      </c>
      <c r="J31" s="17">
        <f t="shared" si="7"/>
        <v>-2.2626423829830065E-3</v>
      </c>
      <c r="K31" s="14">
        <f t="shared" si="8"/>
        <v>-102.36094444800814</v>
      </c>
      <c r="L31" s="5">
        <f t="shared" si="9"/>
        <v>-89.999563408365461</v>
      </c>
      <c r="M31" s="5">
        <f t="shared" si="10"/>
        <v>38.855937440438019</v>
      </c>
      <c r="N31" s="5">
        <f t="shared" si="11"/>
        <v>89.346365178498431</v>
      </c>
      <c r="O31" s="5">
        <f t="shared" si="12"/>
        <v>-0.31159354457356325</v>
      </c>
      <c r="P31" s="17">
        <f t="shared" si="13"/>
        <v>-15.25545065613673</v>
      </c>
      <c r="Q31" s="5">
        <f t="shared" si="22"/>
        <v>-2.4568177055581373</v>
      </c>
      <c r="R31" s="5">
        <f t="shared" si="23"/>
        <v>-41.094052585212204</v>
      </c>
      <c r="S31" s="14">
        <f t="shared" si="14"/>
        <v>8.5485081303002488</v>
      </c>
      <c r="T31" s="5">
        <f t="shared" si="15"/>
        <v>68.053275016491853</v>
      </c>
      <c r="U31" s="5">
        <f t="shared" si="16"/>
        <v>-8.928601642967795</v>
      </c>
      <c r="V31" s="17">
        <f t="shared" si="17"/>
        <v>-117.39963026550537</v>
      </c>
      <c r="W31" s="14">
        <v>0</v>
      </c>
      <c r="X31" s="17">
        <f t="shared" si="18"/>
        <v>-4.7321800836014534</v>
      </c>
      <c r="Y31" s="14">
        <f t="shared" si="24"/>
        <v>-1.5330623196755964E-2</v>
      </c>
      <c r="Z31" s="17">
        <f t="shared" si="25"/>
        <v>-3.4031619653639114</v>
      </c>
      <c r="AA31" s="5">
        <f t="shared" si="19"/>
        <v>-17.579776854740643</v>
      </c>
      <c r="AB31" s="5">
        <f t="shared" si="20"/>
        <v>-33.720668330072947</v>
      </c>
      <c r="AC31" s="5">
        <f t="shared" si="26"/>
        <v>-17.891370399314205</v>
      </c>
      <c r="AD31" s="6">
        <f t="shared" si="27"/>
        <v>-48.976118986209677</v>
      </c>
    </row>
    <row r="32" spans="1:30" x14ac:dyDescent="0.25">
      <c r="A32" s="4">
        <v>3.9</v>
      </c>
      <c r="B32" s="21">
        <f t="shared" si="21"/>
        <v>79432.82347242815</v>
      </c>
      <c r="C32" s="14">
        <f t="shared" si="0"/>
        <v>1.4273975340168812</v>
      </c>
      <c r="D32" s="5">
        <f t="shared" si="1"/>
        <v>-31.955700742885718</v>
      </c>
      <c r="E32" s="5">
        <f t="shared" si="2"/>
        <v>-31.741325938901884</v>
      </c>
      <c r="F32" s="5">
        <f t="shared" si="3"/>
        <v>-88.51712405411449</v>
      </c>
      <c r="G32" s="5">
        <f t="shared" si="4"/>
        <v>1.081792580311465E-8</v>
      </c>
      <c r="H32" s="5">
        <f t="shared" si="5"/>
        <v>2.8595816426330834E-3</v>
      </c>
      <c r="I32" s="5">
        <f t="shared" si="6"/>
        <v>-1.0734229907007013E-8</v>
      </c>
      <c r="J32" s="17">
        <f t="shared" si="7"/>
        <v>-2.8484979928737352E-3</v>
      </c>
      <c r="K32" s="14">
        <f t="shared" si="8"/>
        <v>-104.36094444791507</v>
      </c>
      <c r="L32" s="5">
        <f t="shared" si="9"/>
        <v>-89.999653202937637</v>
      </c>
      <c r="M32" s="5">
        <f t="shared" si="10"/>
        <v>40.855728858084717</v>
      </c>
      <c r="N32" s="5">
        <f t="shared" si="11"/>
        <v>89.480791093866728</v>
      </c>
      <c r="O32" s="5">
        <f t="shared" si="12"/>
        <v>-0.48399070750001294</v>
      </c>
      <c r="P32" s="17">
        <f t="shared" si="13"/>
        <v>-18.949966851806025</v>
      </c>
      <c r="Q32" s="5">
        <f t="shared" si="22"/>
        <v>-3.4352776927370501</v>
      </c>
      <c r="R32" s="5">
        <f t="shared" si="23"/>
        <v>-47.674421686569886</v>
      </c>
      <c r="S32" s="14">
        <f t="shared" si="14"/>
        <v>10.318654123875486</v>
      </c>
      <c r="T32" s="5">
        <f t="shared" si="15"/>
        <v>72.251658554835927</v>
      </c>
      <c r="U32" s="5">
        <f t="shared" si="16"/>
        <v>-12.212836821343293</v>
      </c>
      <c r="V32" s="17">
        <f t="shared" si="17"/>
        <v>-130.022255395028</v>
      </c>
      <c r="W32" s="14">
        <v>0</v>
      </c>
      <c r="X32" s="17">
        <f t="shared" si="18"/>
        <v>-5.9574617604321105</v>
      </c>
      <c r="Y32" s="14">
        <f t="shared" si="24"/>
        <v>-2.4272381071907167E-2</v>
      </c>
      <c r="Z32" s="17">
        <f t="shared" si="25"/>
        <v>-4.281385945012568</v>
      </c>
      <c r="AA32" s="5">
        <f t="shared" si="19"/>
        <v>-21.605878503909405</v>
      </c>
      <c r="AB32" s="5">
        <f t="shared" si="20"/>
        <v>-56.675542054627989</v>
      </c>
      <c r="AC32" s="5">
        <f t="shared" si="26"/>
        <v>-22.089869211409418</v>
      </c>
      <c r="AD32" s="6">
        <f t="shared" si="27"/>
        <v>-75.625508906434021</v>
      </c>
    </row>
    <row r="33" spans="1:30" x14ac:dyDescent="0.25">
      <c r="A33" s="4">
        <v>4</v>
      </c>
      <c r="B33" s="20">
        <f t="shared" si="21"/>
        <v>100000</v>
      </c>
      <c r="C33" s="14">
        <f t="shared" si="0"/>
        <v>2.0863308751285947</v>
      </c>
      <c r="D33" s="5">
        <f t="shared" si="1"/>
        <v>-38.142941990859484</v>
      </c>
      <c r="E33" s="5">
        <f t="shared" si="2"/>
        <v>-33.740252488567826</v>
      </c>
      <c r="F33" s="5">
        <f t="shared" si="3"/>
        <v>-88.822012709724234</v>
      </c>
      <c r="G33" s="5">
        <f t="shared" si="4"/>
        <v>1.7145258246007546E-8</v>
      </c>
      <c r="H33" s="5">
        <f t="shared" si="5"/>
        <v>3.5999999952625898E-3</v>
      </c>
      <c r="I33" s="5">
        <f t="shared" si="6"/>
        <v>-1.7012607321945959E-8</v>
      </c>
      <c r="J33" s="17">
        <f t="shared" si="7"/>
        <v>-3.5860465069453701E-3</v>
      </c>
      <c r="K33" s="14">
        <f t="shared" si="8"/>
        <v>-106.36094444785635</v>
      </c>
      <c r="L33" s="5">
        <f t="shared" si="9"/>
        <v>-89.999724529301645</v>
      </c>
      <c r="M33" s="5">
        <f t="shared" si="10"/>
        <v>42.855597246362329</v>
      </c>
      <c r="N33" s="5">
        <f t="shared" si="11"/>
        <v>89.587573539965888</v>
      </c>
      <c r="O33" s="5">
        <f t="shared" si="12"/>
        <v>-0.74393293354332357</v>
      </c>
      <c r="P33" s="17">
        <f t="shared" si="13"/>
        <v>-23.376581745119719</v>
      </c>
      <c r="Q33" s="5">
        <f t="shared" si="22"/>
        <v>-4.6400571362863383</v>
      </c>
      <c r="R33" s="5">
        <f t="shared" si="23"/>
        <v>-54.116835785734267</v>
      </c>
      <c r="S33" s="14">
        <f t="shared" si="14"/>
        <v>12.167105903024449</v>
      </c>
      <c r="T33" s="5">
        <f t="shared" si="15"/>
        <v>75.735281312304636</v>
      </c>
      <c r="U33" s="5">
        <f t="shared" si="16"/>
        <v>-15.794180037234572</v>
      </c>
      <c r="V33" s="17">
        <f t="shared" si="17"/>
        <v>-140.33260190301968</v>
      </c>
      <c r="W33" s="14">
        <v>0</v>
      </c>
      <c r="X33" s="17">
        <f t="shared" si="18"/>
        <v>-7.5</v>
      </c>
      <c r="Y33" s="14">
        <f t="shared" si="24"/>
        <v>-3.8406508311962344E-2</v>
      </c>
      <c r="Z33" s="17">
        <f t="shared" si="25"/>
        <v>-5.3840959173935685</v>
      </c>
      <c r="AA33" s="5">
        <f t="shared" si="19"/>
        <v>-25.897808331610001</v>
      </c>
      <c r="AB33" s="5">
        <f t="shared" si="20"/>
        <v>-78.97534403027403</v>
      </c>
      <c r="AC33" s="5">
        <f t="shared" si="26"/>
        <v>-26.641741265153325</v>
      </c>
      <c r="AD33" s="6">
        <f t="shared" si="27"/>
        <v>-102.35192577539375</v>
      </c>
    </row>
    <row r="34" spans="1:30" x14ac:dyDescent="0.25">
      <c r="A34" s="4">
        <v>4.0999999999999996</v>
      </c>
      <c r="B34" s="21">
        <f t="shared" si="21"/>
        <v>125892.54117941672</v>
      </c>
      <c r="C34" s="14">
        <f t="shared" si="0"/>
        <v>2.9610005604788281</v>
      </c>
      <c r="D34" s="5">
        <f t="shared" si="1"/>
        <v>-44.672940580876336</v>
      </c>
      <c r="E34" s="5">
        <f t="shared" si="2"/>
        <v>-35.739575050651446</v>
      </c>
      <c r="F34" s="5">
        <f t="shared" si="3"/>
        <v>-89.064242779256006</v>
      </c>
      <c r="G34" s="5">
        <f t="shared" si="4"/>
        <v>2.7173403692477887E-8</v>
      </c>
      <c r="H34" s="5">
        <f t="shared" si="5"/>
        <v>4.5321314730066252E-3</v>
      </c>
      <c r="I34" s="5">
        <f t="shared" si="6"/>
        <v>-2.6963164959885364E-8</v>
      </c>
      <c r="J34" s="17">
        <f t="shared" si="7"/>
        <v>-4.514565072021309E-3</v>
      </c>
      <c r="K34" s="14">
        <f t="shared" si="8"/>
        <v>-108.36094444781929</v>
      </c>
      <c r="L34" s="5">
        <f t="shared" si="9"/>
        <v>-89.999781185846459</v>
      </c>
      <c r="M34" s="5">
        <f t="shared" si="10"/>
        <v>44.855514202927232</v>
      </c>
      <c r="N34" s="5">
        <f t="shared" si="11"/>
        <v>89.672395929953296</v>
      </c>
      <c r="O34" s="5">
        <f t="shared" si="12"/>
        <v>-1.1264731917789346</v>
      </c>
      <c r="P34" s="17">
        <f t="shared" si="13"/>
        <v>-28.553921465000261</v>
      </c>
      <c r="Q34" s="5">
        <f t="shared" si="22"/>
        <v>-6.0512646860105228</v>
      </c>
      <c r="R34" s="5">
        <f t="shared" si="23"/>
        <v>-60.116510881720551</v>
      </c>
      <c r="S34" s="14">
        <f t="shared" si="14"/>
        <v>14.068690800228401</v>
      </c>
      <c r="T34" s="5">
        <f t="shared" si="15"/>
        <v>78.582628650439531</v>
      </c>
      <c r="U34" s="5">
        <f t="shared" si="16"/>
        <v>-19.550428109722983</v>
      </c>
      <c r="V34" s="17">
        <f t="shared" si="17"/>
        <v>-148.56881248956543</v>
      </c>
      <c r="W34" s="14">
        <v>0</v>
      </c>
      <c r="X34" s="17">
        <f t="shared" si="18"/>
        <v>-9.4419405884562533</v>
      </c>
      <c r="Y34" s="14">
        <f t="shared" si="24"/>
        <v>-6.071378943837262E-2</v>
      </c>
      <c r="Z34" s="17">
        <f t="shared" si="25"/>
        <v>-6.7665622434197772</v>
      </c>
      <c r="AA34" s="5">
        <f t="shared" si="19"/>
        <v>-30.310722257798894</v>
      </c>
      <c r="AB34" s="5">
        <f t="shared" si="20"/>
        <v>-100.37574860234699</v>
      </c>
      <c r="AC34" s="5">
        <f t="shared" si="26"/>
        <v>-31.437195449577828</v>
      </c>
      <c r="AD34" s="6">
        <f t="shared" si="27"/>
        <v>-128.92967006734725</v>
      </c>
    </row>
    <row r="35" spans="1:30" x14ac:dyDescent="0.25">
      <c r="A35" s="4">
        <v>4.2</v>
      </c>
      <c r="B35" s="21">
        <f t="shared" si="21"/>
        <v>158489.31924611147</v>
      </c>
      <c r="C35" s="14">
        <f t="shared" si="0"/>
        <v>4.0638934081368037</v>
      </c>
      <c r="D35" s="5">
        <f t="shared" si="1"/>
        <v>-51.219903126350026</v>
      </c>
      <c r="E35" s="5">
        <f t="shared" si="2"/>
        <v>-37.7391475618453</v>
      </c>
      <c r="F35" s="5">
        <f t="shared" si="3"/>
        <v>-89.256677229261285</v>
      </c>
      <c r="G35" s="5">
        <f t="shared" si="4"/>
        <v>4.3066941695698476E-8</v>
      </c>
      <c r="H35" s="5">
        <f t="shared" si="5"/>
        <v>5.7056154740000422E-3</v>
      </c>
      <c r="I35" s="5">
        <f t="shared" si="6"/>
        <v>-4.2733737838071897E-8</v>
      </c>
      <c r="J35" s="17">
        <f t="shared" si="7"/>
        <v>-5.683500685486482E-3</v>
      </c>
      <c r="K35" s="14">
        <f t="shared" si="8"/>
        <v>-110.36094444779593</v>
      </c>
      <c r="L35" s="5">
        <f t="shared" si="9"/>
        <v>-89.999826189739693</v>
      </c>
      <c r="M35" s="5">
        <f t="shared" si="10"/>
        <v>46.855461805244907</v>
      </c>
      <c r="N35" s="5">
        <f t="shared" si="11"/>
        <v>89.739773790805572</v>
      </c>
      <c r="O35" s="5">
        <f t="shared" si="12"/>
        <v>-1.6711891390998088</v>
      </c>
      <c r="P35" s="17">
        <f t="shared" si="13"/>
        <v>-34.41409035922613</v>
      </c>
      <c r="Q35" s="5">
        <f t="shared" si="22"/>
        <v>-7.6339808562719016</v>
      </c>
      <c r="R35" s="5">
        <f t="shared" si="23"/>
        <v>-65.465461788190765</v>
      </c>
      <c r="S35" s="14">
        <f t="shared" si="14"/>
        <v>16.005427605745226</v>
      </c>
      <c r="T35" s="5">
        <f t="shared" si="15"/>
        <v>80.886523372699529</v>
      </c>
      <c r="U35" s="5">
        <f t="shared" si="16"/>
        <v>-23.406842012470928</v>
      </c>
      <c r="V35" s="17">
        <f t="shared" si="17"/>
        <v>-155.0943001983479</v>
      </c>
      <c r="W35" s="14">
        <v>0</v>
      </c>
      <c r="X35" s="17">
        <f t="shared" si="18"/>
        <v>-11.886698943458359</v>
      </c>
      <c r="Y35" s="14">
        <f t="shared" si="24"/>
        <v>-9.5835405384645175E-2</v>
      </c>
      <c r="Z35" s="17">
        <f t="shared" si="25"/>
        <v>-8.4956096281859264</v>
      </c>
      <c r="AA35" s="5">
        <f t="shared" si="19"/>
        <v>-34.744969202309541</v>
      </c>
      <c r="AB35" s="5">
        <f t="shared" si="20"/>
        <v>-120.79215782524032</v>
      </c>
      <c r="AC35" s="5">
        <f t="shared" si="26"/>
        <v>-36.41615834140935</v>
      </c>
      <c r="AD35" s="6">
        <f t="shared" si="27"/>
        <v>-155.20624818446646</v>
      </c>
    </row>
    <row r="36" spans="1:30" x14ac:dyDescent="0.25">
      <c r="A36" s="4">
        <v>4.3</v>
      </c>
      <c r="B36" s="21">
        <f t="shared" si="21"/>
        <v>199526.23149688792</v>
      </c>
      <c r="C36" s="14">
        <f t="shared" si="0"/>
        <v>5.3847080308563253</v>
      </c>
      <c r="D36" s="5">
        <f t="shared" si="1"/>
        <v>-57.453894720119173</v>
      </c>
      <c r="E36" s="5">
        <f t="shared" si="2"/>
        <v>-39.738877812990765</v>
      </c>
      <c r="F36" s="5">
        <f t="shared" si="3"/>
        <v>-89.409545510827911</v>
      </c>
      <c r="G36" s="5">
        <f t="shared" si="4"/>
        <v>6.8256503803897157E-8</v>
      </c>
      <c r="H36" s="5">
        <f t="shared" si="5"/>
        <v>7.1829442962573781E-3</v>
      </c>
      <c r="I36" s="5">
        <f t="shared" si="6"/>
        <v>-6.7728408721308701E-8</v>
      </c>
      <c r="J36" s="17">
        <f t="shared" si="7"/>
        <v>-7.1551034271820574E-3</v>
      </c>
      <c r="K36" s="14">
        <f t="shared" si="8"/>
        <v>-112.36094444778118</v>
      </c>
      <c r="L36" s="5">
        <f t="shared" si="9"/>
        <v>-89.999861937602745</v>
      </c>
      <c r="M36" s="5">
        <f t="shared" si="10"/>
        <v>48.855428744217122</v>
      </c>
      <c r="N36" s="5">
        <f t="shared" si="11"/>
        <v>89.793294450100035</v>
      </c>
      <c r="O36" s="5">
        <f t="shared" si="12"/>
        <v>-2.4150554086991667</v>
      </c>
      <c r="P36" s="17">
        <f t="shared" si="13"/>
        <v>-40.776424223659369</v>
      </c>
      <c r="Q36" s="5">
        <f t="shared" si="22"/>
        <v>-9.3484445148987092</v>
      </c>
      <c r="R36" s="5">
        <f t="shared" si="23"/>
        <v>-70.070638456918203</v>
      </c>
      <c r="S36" s="14">
        <f t="shared" si="14"/>
        <v>17.96503179374006</v>
      </c>
      <c r="T36" s="5">
        <f t="shared" si="15"/>
        <v>82.73836633410501</v>
      </c>
      <c r="U36" s="5">
        <f t="shared" si="16"/>
        <v>-27.320862960206718</v>
      </c>
      <c r="V36" s="17">
        <f t="shared" si="17"/>
        <v>-160.25467098147217</v>
      </c>
      <c r="W36" s="14">
        <v>0</v>
      </c>
      <c r="X36" s="17">
        <f t="shared" si="18"/>
        <v>-14.964467362266593</v>
      </c>
      <c r="Y36" s="14">
        <f t="shared" si="24"/>
        <v>-0.15092407031784399</v>
      </c>
      <c r="Z36" s="17">
        <f t="shared" si="25"/>
        <v>-10.65004171398151</v>
      </c>
      <c r="AA36" s="5">
        <f t="shared" si="19"/>
        <v>-39.147886974854579</v>
      </c>
      <c r="AB36" s="5">
        <f t="shared" si="20"/>
        <v>-140.27143205811419</v>
      </c>
      <c r="AC36" s="5">
        <f t="shared" si="26"/>
        <v>-41.562942383553747</v>
      </c>
      <c r="AD36" s="6">
        <f t="shared" si="27"/>
        <v>-181.04785628177356</v>
      </c>
    </row>
    <row r="37" spans="1:30" x14ac:dyDescent="0.25">
      <c r="A37" s="4">
        <v>4.4000000000000004</v>
      </c>
      <c r="B37" s="21">
        <f t="shared" si="21"/>
        <v>251188.64315095858</v>
      </c>
      <c r="C37" s="14">
        <f t="shared" si="0"/>
        <v>6.8941539083194581</v>
      </c>
      <c r="D37" s="5">
        <f t="shared" si="1"/>
        <v>-63.117637017244547</v>
      </c>
      <c r="E37" s="5">
        <f t="shared" si="2"/>
        <v>-41.738707604348654</v>
      </c>
      <c r="F37" s="5">
        <f t="shared" si="3"/>
        <v>-89.530979200614311</v>
      </c>
      <c r="G37" s="5">
        <f t="shared" si="4"/>
        <v>1.0817926899677788E-7</v>
      </c>
      <c r="H37" s="5">
        <f t="shared" si="5"/>
        <v>9.0427910783516165E-3</v>
      </c>
      <c r="I37" s="5">
        <f t="shared" si="6"/>
        <v>-1.0734229484538554E-7</v>
      </c>
      <c r="J37" s="17">
        <f t="shared" si="7"/>
        <v>-9.0077415011072109E-3</v>
      </c>
      <c r="K37" s="14">
        <f t="shared" si="8"/>
        <v>-114.3609444477719</v>
      </c>
      <c r="L37" s="5">
        <f t="shared" si="9"/>
        <v>-89.999890333139703</v>
      </c>
      <c r="M37" s="5">
        <f t="shared" si="10"/>
        <v>50.855407883989358</v>
      </c>
      <c r="N37" s="5">
        <f t="shared" si="11"/>
        <v>89.835807682554773</v>
      </c>
      <c r="O37" s="5">
        <f t="shared" si="12"/>
        <v>-3.3823729646023621</v>
      </c>
      <c r="P37" s="17">
        <f t="shared" si="13"/>
        <v>-47.354804278604156</v>
      </c>
      <c r="Q37" s="5">
        <f t="shared" si="22"/>
        <v>-11.158118580733529</v>
      </c>
      <c r="R37" s="5">
        <f t="shared" si="23"/>
        <v>-73.933425333650433</v>
      </c>
      <c r="S37" s="14">
        <f t="shared" si="14"/>
        <v>19.93934906278151</v>
      </c>
      <c r="T37" s="5">
        <f t="shared" si="15"/>
        <v>84.220477918408861</v>
      </c>
      <c r="U37" s="5">
        <f t="shared" si="16"/>
        <v>-31.268593307795911</v>
      </c>
      <c r="V37" s="17">
        <f t="shared" si="17"/>
        <v>-164.33718430290475</v>
      </c>
      <c r="W37" s="14">
        <v>0</v>
      </c>
      <c r="X37" s="17">
        <f t="shared" si="18"/>
        <v>-18.839148236321893</v>
      </c>
      <c r="Y37" s="14">
        <f t="shared" si="24"/>
        <v>-0.23682710262829465</v>
      </c>
      <c r="Z37" s="17">
        <f t="shared" si="25"/>
        <v>-13.318976409682179</v>
      </c>
      <c r="AA37" s="5">
        <f t="shared" si="19"/>
        <v>-43.507281925351968</v>
      </c>
      <c r="AB37" s="5">
        <f t="shared" si="20"/>
        <v>-159.02092018301693</v>
      </c>
      <c r="AC37" s="5">
        <f t="shared" si="26"/>
        <v>-46.889654889954329</v>
      </c>
      <c r="AD37" s="6">
        <f t="shared" si="27"/>
        <v>-206.37572446162108</v>
      </c>
    </row>
    <row r="38" spans="1:30" x14ac:dyDescent="0.25">
      <c r="A38" s="4">
        <v>4.5</v>
      </c>
      <c r="B38" s="21">
        <f t="shared" si="21"/>
        <v>316227.76601683837</v>
      </c>
      <c r="C38" s="14">
        <f t="shared" si="0"/>
        <v>8.5534563612287222</v>
      </c>
      <c r="D38" s="5">
        <f t="shared" si="1"/>
        <v>-68.066423035065625</v>
      </c>
      <c r="E38" s="5">
        <f t="shared" si="2"/>
        <v>-43.738600206523344</v>
      </c>
      <c r="F38" s="5">
        <f t="shared" si="3"/>
        <v>-89.627440465324355</v>
      </c>
      <c r="G38" s="5">
        <f t="shared" si="4"/>
        <v>1.7145258672308797E-7</v>
      </c>
      <c r="H38" s="5">
        <f t="shared" si="5"/>
        <v>1.1384199426796122E-2</v>
      </c>
      <c r="I38" s="5">
        <f t="shared" si="6"/>
        <v>-1.7012607182595471E-7</v>
      </c>
      <c r="J38" s="17">
        <f t="shared" si="7"/>
        <v>-1.134007462397087E-2</v>
      </c>
      <c r="K38" s="14">
        <f t="shared" si="8"/>
        <v>-116.36094444776602</v>
      </c>
      <c r="L38" s="5">
        <f t="shared" si="9"/>
        <v>-89.999912888516462</v>
      </c>
      <c r="M38" s="5">
        <f t="shared" si="10"/>
        <v>52.85539472202386</v>
      </c>
      <c r="N38" s="5">
        <f t="shared" si="11"/>
        <v>89.86957727457299</v>
      </c>
      <c r="O38" s="5">
        <f t="shared" si="12"/>
        <v>-4.5764434159746257</v>
      </c>
      <c r="P38" s="17">
        <f t="shared" si="13"/>
        <v>-53.811563250987668</v>
      </c>
      <c r="Q38" s="5">
        <f t="shared" si="22"/>
        <v>-13.033592463019355</v>
      </c>
      <c r="R38" s="5">
        <f t="shared" si="23"/>
        <v>-77.114232996407623</v>
      </c>
      <c r="S38" s="14">
        <f t="shared" si="14"/>
        <v>21.923065858268874</v>
      </c>
      <c r="T38" s="5">
        <f t="shared" si="15"/>
        <v>85.403414923988436</v>
      </c>
      <c r="U38" s="5">
        <f t="shared" si="16"/>
        <v>-35.236436986697619</v>
      </c>
      <c r="V38" s="17">
        <f t="shared" si="17"/>
        <v>-167.57011961743234</v>
      </c>
      <c r="W38" s="14">
        <v>0</v>
      </c>
      <c r="X38" s="17">
        <f t="shared" si="18"/>
        <v>-23.717082451262879</v>
      </c>
      <c r="Y38" s="14">
        <f t="shared" si="24"/>
        <v>-0.36958658151584989</v>
      </c>
      <c r="Z38" s="17">
        <f t="shared" si="25"/>
        <v>-16.596037696673623</v>
      </c>
      <c r="AA38" s="5">
        <f t="shared" si="19"/>
        <v>-47.840245480675179</v>
      </c>
      <c r="AB38" s="5">
        <f t="shared" si="20"/>
        <v>-177.41821282731865</v>
      </c>
      <c r="AC38" s="5">
        <f t="shared" si="26"/>
        <v>-52.416688896649802</v>
      </c>
      <c r="AD38" s="6">
        <f t="shared" si="27"/>
        <v>-231.22977607830632</v>
      </c>
    </row>
    <row r="39" spans="1:30" x14ac:dyDescent="0.25">
      <c r="A39" s="4">
        <v>4.5999999999999996</v>
      </c>
      <c r="B39" s="21">
        <f t="shared" si="21"/>
        <v>398107.17055349739</v>
      </c>
      <c r="C39" s="14">
        <f t="shared" si="0"/>
        <v>10.323871136869149</v>
      </c>
      <c r="D39" s="5">
        <f t="shared" si="1"/>
        <v>-72.262669694452043</v>
      </c>
      <c r="E39" s="5">
        <f t="shared" si="2"/>
        <v>-45.738532441710127</v>
      </c>
      <c r="F39" s="5">
        <f t="shared" si="3"/>
        <v>-89.704063903282758</v>
      </c>
      <c r="G39" s="5">
        <f t="shared" si="4"/>
        <v>2.7173403309929585E-7</v>
      </c>
      <c r="H39" s="5">
        <f t="shared" si="5"/>
        <v>1.4331857841015547E-2</v>
      </c>
      <c r="I39" s="5">
        <f t="shared" si="6"/>
        <v>-2.6963164854373338E-7</v>
      </c>
      <c r="J39" s="17">
        <f t="shared" si="7"/>
        <v>-1.4276308006726145E-2</v>
      </c>
      <c r="K39" s="14">
        <f t="shared" si="8"/>
        <v>-118.36094444776229</v>
      </c>
      <c r="L39" s="5">
        <f t="shared" si="9"/>
        <v>-89.999930804889061</v>
      </c>
      <c r="M39" s="5">
        <f t="shared" si="10"/>
        <v>54.855386417364535</v>
      </c>
      <c r="N39" s="5">
        <f t="shared" si="11"/>
        <v>89.896401480709287</v>
      </c>
      <c r="O39" s="5">
        <f t="shared" si="12"/>
        <v>-5.9783366469861123</v>
      </c>
      <c r="P39" s="17">
        <f t="shared" si="13"/>
        <v>-59.838518853032845</v>
      </c>
      <c r="Q39" s="5">
        <f t="shared" si="22"/>
        <v>-14.953143982365336</v>
      </c>
      <c r="R39" s="5">
        <f t="shared" si="23"/>
        <v>-79.700721489836283</v>
      </c>
      <c r="S39" s="14">
        <f t="shared" si="14"/>
        <v>23.91276034882257</v>
      </c>
      <c r="T39" s="5">
        <f t="shared" si="15"/>
        <v>86.345911509455334</v>
      </c>
      <c r="U39" s="5">
        <f t="shared" si="16"/>
        <v>-39.216484521322286</v>
      </c>
      <c r="V39" s="17">
        <f t="shared" si="17"/>
        <v>-170.13262733434109</v>
      </c>
      <c r="W39" s="14">
        <v>0</v>
      </c>
      <c r="X39" s="17">
        <f t="shared" si="18"/>
        <v>-29.858037791512306</v>
      </c>
      <c r="Y39" s="14">
        <f t="shared" si="24"/>
        <v>-0.57202058266375577</v>
      </c>
      <c r="Z39" s="17">
        <f t="shared" si="25"/>
        <v>-20.566450991810179</v>
      </c>
      <c r="AA39" s="5">
        <f t="shared" si="19"/>
        <v>-52.182109808666112</v>
      </c>
      <c r="AB39" s="5">
        <f t="shared" si="20"/>
        <v>-195.98213347012478</v>
      </c>
      <c r="AC39" s="5">
        <f t="shared" si="26"/>
        <v>-58.160446455652227</v>
      </c>
      <c r="AD39" s="6">
        <f t="shared" si="27"/>
        <v>-255.82065232315762</v>
      </c>
    </row>
    <row r="40" spans="1:30" x14ac:dyDescent="0.25">
      <c r="A40" s="4">
        <v>4.7</v>
      </c>
      <c r="B40" s="21">
        <f t="shared" si="21"/>
        <v>501187.23362727294</v>
      </c>
      <c r="C40" s="14">
        <f t="shared" si="0"/>
        <v>12.172508063501301</v>
      </c>
      <c r="D40" s="5">
        <f t="shared" si="1"/>
        <v>-75.74433817603034</v>
      </c>
      <c r="E40" s="5">
        <f t="shared" si="2"/>
        <v>-47.738489684459495</v>
      </c>
      <c r="F40" s="5">
        <f t="shared" si="3"/>
        <v>-89.764928831259908</v>
      </c>
      <c r="G40" s="5">
        <f t="shared" si="4"/>
        <v>4.3066941120511598E-7</v>
      </c>
      <c r="H40" s="5">
        <f t="shared" si="5"/>
        <v>1.8042739814177259E-2</v>
      </c>
      <c r="I40" s="5">
        <f t="shared" si="6"/>
        <v>-4.2733735891195766E-7</v>
      </c>
      <c r="J40" s="17">
        <f t="shared" si="7"/>
        <v>-1.7972806718718759E-2</v>
      </c>
      <c r="K40" s="14">
        <f t="shared" si="8"/>
        <v>-120.36094444775998</v>
      </c>
      <c r="L40" s="5">
        <f t="shared" si="9"/>
        <v>-89.999945036369667</v>
      </c>
      <c r="M40" s="5">
        <f t="shared" si="10"/>
        <v>56.855381177470584</v>
      </c>
      <c r="N40" s="5">
        <f t="shared" si="11"/>
        <v>89.917708737956133</v>
      </c>
      <c r="O40" s="5">
        <f t="shared" si="12"/>
        <v>-7.553629540830892</v>
      </c>
      <c r="P40" s="17">
        <f t="shared" si="13"/>
        <v>-65.222167736565297</v>
      </c>
      <c r="Q40" s="5">
        <f t="shared" si="22"/>
        <v>-16.901606785745479</v>
      </c>
      <c r="R40" s="5">
        <f t="shared" si="23"/>
        <v>-81.786452230016096</v>
      </c>
      <c r="S40" s="14">
        <f t="shared" si="14"/>
        <v>25.906245406886388</v>
      </c>
      <c r="T40" s="5">
        <f t="shared" si="15"/>
        <v>87.096001944354953</v>
      </c>
      <c r="U40" s="5">
        <f t="shared" si="16"/>
        <v>-43.204031685547115</v>
      </c>
      <c r="V40" s="17">
        <f t="shared" si="17"/>
        <v>-172.1651703363485</v>
      </c>
      <c r="W40" s="14">
        <v>0</v>
      </c>
      <c r="X40" s="17">
        <f t="shared" si="18"/>
        <v>-37.589042522045474</v>
      </c>
      <c r="Y40" s="14">
        <f t="shared" si="24"/>
        <v>-0.87469752374367771</v>
      </c>
      <c r="Z40" s="17">
        <f t="shared" si="25"/>
        <v>-25.284075402004209</v>
      </c>
      <c r="AA40" s="5">
        <f t="shared" si="19"/>
        <v>-56.57863721406639</v>
      </c>
      <c r="AB40" s="5">
        <f t="shared" si="20"/>
        <v>-215.32017191866765</v>
      </c>
      <c r="AC40" s="5">
        <f t="shared" si="26"/>
        <v>-64.132266754897287</v>
      </c>
      <c r="AD40" s="6">
        <f t="shared" si="27"/>
        <v>-280.54233965523292</v>
      </c>
    </row>
    <row r="41" spans="1:30" x14ac:dyDescent="0.25">
      <c r="A41" s="4">
        <v>4.8</v>
      </c>
      <c r="B41" s="21">
        <f t="shared" si="21"/>
        <v>630957.34448019345</v>
      </c>
      <c r="C41" s="14">
        <f t="shared" si="0"/>
        <v>14.07421669745413</v>
      </c>
      <c r="D41" s="5">
        <f t="shared" si="1"/>
        <v>-78.589987554754529</v>
      </c>
      <c r="E41" s="5">
        <f t="shared" si="2"/>
        <v>-49.738462706241563</v>
      </c>
      <c r="F41" s="5">
        <f t="shared" si="3"/>
        <v>-89.813275946858752</v>
      </c>
      <c r="G41" s="5">
        <f t="shared" si="4"/>
        <v>6.8256499847256806E-7</v>
      </c>
      <c r="H41" s="5">
        <f t="shared" si="5"/>
        <v>2.2714463211303455E-2</v>
      </c>
      <c r="I41" s="5">
        <f t="shared" si="6"/>
        <v>-6.7728405022556976E-7</v>
      </c>
      <c r="J41" s="17">
        <f t="shared" si="7"/>
        <v>-2.2626422665392006E-2</v>
      </c>
      <c r="K41" s="14">
        <f t="shared" si="8"/>
        <v>-122.36094444775847</v>
      </c>
      <c r="L41" s="5">
        <f t="shared" si="9"/>
        <v>-89.999956340836547</v>
      </c>
      <c r="M41" s="5">
        <f t="shared" si="10"/>
        <v>58.855377871317742</v>
      </c>
      <c r="N41" s="5">
        <f t="shared" si="11"/>
        <v>89.934633710500322</v>
      </c>
      <c r="O41" s="5">
        <f t="shared" si="12"/>
        <v>-9.2625784654014041</v>
      </c>
      <c r="P41" s="17">
        <f t="shared" si="13"/>
        <v>-69.864119226994418</v>
      </c>
      <c r="Q41" s="5">
        <f t="shared" si="22"/>
        <v>-18.868771490191396</v>
      </c>
      <c r="R41" s="5">
        <f t="shared" si="23"/>
        <v>-83.459246928609076</v>
      </c>
      <c r="S41" s="14">
        <f t="shared" si="14"/>
        <v>27.902129722101808</v>
      </c>
      <c r="T41" s="5">
        <f t="shared" si="15"/>
        <v>87.692543358697279</v>
      </c>
      <c r="U41" s="5">
        <f t="shared" si="16"/>
        <v>-47.196229307289038</v>
      </c>
      <c r="V41" s="17">
        <f t="shared" si="17"/>
        <v>-173.77815411962979</v>
      </c>
      <c r="W41" s="14">
        <v>0</v>
      </c>
      <c r="X41" s="17">
        <f t="shared" si="18"/>
        <v>-47.321800836014511</v>
      </c>
      <c r="Y41" s="14">
        <f t="shared" si="24"/>
        <v>-1.3149818237897504</v>
      </c>
      <c r="Z41" s="17">
        <f t="shared" si="25"/>
        <v>-30.738395398521529</v>
      </c>
      <c r="AA41" s="5">
        <f t="shared" si="19"/>
        <v>-61.080667217116556</v>
      </c>
      <c r="AB41" s="5">
        <f t="shared" si="20"/>
        <v>-236.07355201548123</v>
      </c>
      <c r="AC41" s="5">
        <f t="shared" si="26"/>
        <v>-70.34324568251796</v>
      </c>
      <c r="AD41" s="6">
        <f t="shared" si="27"/>
        <v>-305.93767124247563</v>
      </c>
    </row>
    <row r="42" spans="1:30" x14ac:dyDescent="0.25">
      <c r="A42" s="4">
        <v>4.9000000000000004</v>
      </c>
      <c r="B42" s="21">
        <f t="shared" si="21"/>
        <v>794328.2347242824</v>
      </c>
      <c r="C42" s="14">
        <f t="shared" si="0"/>
        <v>16.011034534921354</v>
      </c>
      <c r="D42" s="5">
        <f t="shared" si="1"/>
        <v>-80.892454475116921</v>
      </c>
      <c r="E42" s="5">
        <f t="shared" si="2"/>
        <v>-51.738445684050603</v>
      </c>
      <c r="F42" s="5">
        <f t="shared" si="3"/>
        <v>-89.851679618706868</v>
      </c>
      <c r="G42" s="5">
        <f t="shared" si="4"/>
        <v>1.0817925695496662E-6</v>
      </c>
      <c r="H42" s="5">
        <f t="shared" si="5"/>
        <v>2.8595814075745046E-2</v>
      </c>
      <c r="I42" s="5">
        <f t="shared" si="6"/>
        <v>-1.0734228326415146E-6</v>
      </c>
      <c r="J42" s="17">
        <f t="shared" si="7"/>
        <v>-2.8484977605378152E-2</v>
      </c>
      <c r="K42" s="14">
        <f t="shared" si="8"/>
        <v>-124.36094444775756</v>
      </c>
      <c r="L42" s="5">
        <f t="shared" si="9"/>
        <v>-89.999965320293768</v>
      </c>
      <c r="M42" s="5">
        <f t="shared" si="10"/>
        <v>60.855375785275044</v>
      </c>
      <c r="N42" s="5">
        <f t="shared" si="11"/>
        <v>89.948077702337983</v>
      </c>
      <c r="O42" s="5">
        <f t="shared" si="12"/>
        <v>-11.068365832423678</v>
      </c>
      <c r="P42" s="17">
        <f t="shared" si="13"/>
        <v>-73.761955734255707</v>
      </c>
      <c r="Q42" s="5">
        <f t="shared" si="22"/>
        <v>-20.847925351687017</v>
      </c>
      <c r="R42" s="5">
        <f t="shared" si="23"/>
        <v>-84.796163864600402</v>
      </c>
      <c r="S42" s="14">
        <f t="shared" si="14"/>
        <v>29.89953089228554</v>
      </c>
      <c r="T42" s="5">
        <f t="shared" si="15"/>
        <v>88.166756338743042</v>
      </c>
      <c r="U42" s="5">
        <f t="shared" si="16"/>
        <v>-51.191328308177759</v>
      </c>
      <c r="V42" s="17">
        <f t="shared" si="17"/>
        <v>-175.05861232042744</v>
      </c>
      <c r="W42" s="14">
        <v>0</v>
      </c>
      <c r="X42" s="17">
        <f t="shared" si="18"/>
        <v>-59.574617604321176</v>
      </c>
      <c r="Y42" s="14">
        <f t="shared" si="24"/>
        <v>-1.9325179030433333</v>
      </c>
      <c r="Z42" s="17">
        <f t="shared" si="25"/>
        <v>-36.819874550601085</v>
      </c>
      <c r="AA42" s="5">
        <f t="shared" si="19"/>
        <v>-65.738222211865548</v>
      </c>
      <c r="AB42" s="5">
        <f t="shared" si="20"/>
        <v>-258.87842287651625</v>
      </c>
      <c r="AC42" s="5">
        <f t="shared" si="26"/>
        <v>-76.806588044289228</v>
      </c>
      <c r="AD42" s="6">
        <f t="shared" si="27"/>
        <v>-332.64037861077196</v>
      </c>
    </row>
    <row r="43" spans="1:30" ht="13" thickBot="1" x14ac:dyDescent="0.3">
      <c r="A43" s="9">
        <v>5</v>
      </c>
      <c r="B43" s="23">
        <f t="shared" si="21"/>
        <v>1000000</v>
      </c>
      <c r="C43" s="15">
        <f t="shared" si="0"/>
        <v>17.970691084831415</v>
      </c>
      <c r="D43" s="10">
        <f t="shared" si="1"/>
        <v>-82.743121573506215</v>
      </c>
      <c r="E43" s="10">
        <f t="shared" si="2"/>
        <v>-53.738434943739854</v>
      </c>
      <c r="F43" s="10">
        <f t="shared" si="3"/>
        <v>-89.882184836232923</v>
      </c>
      <c r="G43" s="10">
        <f t="shared" si="4"/>
        <v>1.7145255529286899E-6</v>
      </c>
      <c r="H43" s="10">
        <f t="shared" si="5"/>
        <v>3.5999995262591004E-2</v>
      </c>
      <c r="I43" s="10">
        <f t="shared" si="6"/>
        <v>-1.7012604169019735E-6</v>
      </c>
      <c r="J43" s="18">
        <f t="shared" si="7"/>
        <v>-3.5860460433742983E-2</v>
      </c>
      <c r="K43" s="15">
        <f t="shared" si="8"/>
        <v>-126.36094444775696</v>
      </c>
      <c r="L43" s="10">
        <f t="shared" si="9"/>
        <v>-89.999972452930166</v>
      </c>
      <c r="M43" s="10">
        <f t="shared" si="10"/>
        <v>62.855374469070554</v>
      </c>
      <c r="N43" s="10">
        <f t="shared" si="11"/>
        <v>89.958756648788793</v>
      </c>
      <c r="O43" s="10">
        <f t="shared" si="12"/>
        <v>-12.941201000405474</v>
      </c>
      <c r="P43" s="18">
        <f t="shared" si="13"/>
        <v>-76.97402542529781</v>
      </c>
      <c r="Q43" s="10">
        <f t="shared" si="22"/>
        <v>-22.834720655594815</v>
      </c>
      <c r="R43" s="10">
        <f t="shared" si="23"/>
        <v>-85.862250788822308</v>
      </c>
      <c r="S43" s="15">
        <f t="shared" si="14"/>
        <v>31.897890340991559</v>
      </c>
      <c r="T43" s="10">
        <f t="shared" si="15"/>
        <v>88.543619406840008</v>
      </c>
      <c r="U43" s="10">
        <f t="shared" si="16"/>
        <v>-55.188244767983477</v>
      </c>
      <c r="V43" s="18">
        <f t="shared" si="17"/>
        <v>-176.07531982891808</v>
      </c>
      <c r="W43" s="15">
        <v>0</v>
      </c>
      <c r="X43" s="18">
        <f t="shared" si="18"/>
        <v>-75</v>
      </c>
      <c r="Y43" s="15">
        <f t="shared" si="24"/>
        <v>-2.7606280443612299</v>
      </c>
      <c r="Z43" s="18">
        <f t="shared" si="25"/>
        <v>-43.303807307170665</v>
      </c>
      <c r="AA43" s="5">
        <f t="shared" si="19"/>
        <v>-70.592018689278646</v>
      </c>
      <c r="AB43" s="10">
        <f t="shared" si="20"/>
        <v>-284.36414119712271</v>
      </c>
      <c r="AC43" s="10">
        <f t="shared" si="26"/>
        <v>-83.533219689684117</v>
      </c>
      <c r="AD43" s="19">
        <f t="shared" si="27"/>
        <v>-361.33816662242054</v>
      </c>
    </row>
    <row r="44" spans="1:30" ht="13" thickTop="1" x14ac:dyDescent="0.25"/>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5" x14ac:dyDescent="0.25"/>
  <cols>
    <col min="1" max="1" width="128" customWidth="1"/>
    <col min="2" max="2" width="13.7265625" customWidth="1"/>
    <col min="257" max="257" width="128" customWidth="1"/>
    <col min="258" max="258" width="13.7265625" customWidth="1"/>
    <col min="513" max="513" width="128" customWidth="1"/>
    <col min="514" max="514" width="13.7265625" customWidth="1"/>
    <col min="769" max="769" width="128" customWidth="1"/>
    <col min="770" max="770" width="13.7265625" customWidth="1"/>
    <col min="1025" max="1025" width="128" customWidth="1"/>
    <col min="1026" max="1026" width="13.7265625" customWidth="1"/>
    <col min="1281" max="1281" width="128" customWidth="1"/>
    <col min="1282" max="1282" width="13.7265625" customWidth="1"/>
    <col min="1537" max="1537" width="128" customWidth="1"/>
    <col min="1538" max="1538" width="13.7265625" customWidth="1"/>
    <col min="1793" max="1793" width="128" customWidth="1"/>
    <col min="1794" max="1794" width="13.7265625" customWidth="1"/>
    <col min="2049" max="2049" width="128" customWidth="1"/>
    <col min="2050" max="2050" width="13.7265625" customWidth="1"/>
    <col min="2305" max="2305" width="128" customWidth="1"/>
    <col min="2306" max="2306" width="13.7265625" customWidth="1"/>
    <col min="2561" max="2561" width="128" customWidth="1"/>
    <col min="2562" max="2562" width="13.7265625" customWidth="1"/>
    <col min="2817" max="2817" width="128" customWidth="1"/>
    <col min="2818" max="2818" width="13.7265625" customWidth="1"/>
    <col min="3073" max="3073" width="128" customWidth="1"/>
    <col min="3074" max="3074" width="13.7265625" customWidth="1"/>
    <col min="3329" max="3329" width="128" customWidth="1"/>
    <col min="3330" max="3330" width="13.7265625" customWidth="1"/>
    <col min="3585" max="3585" width="128" customWidth="1"/>
    <col min="3586" max="3586" width="13.7265625" customWidth="1"/>
    <col min="3841" max="3841" width="128" customWidth="1"/>
    <col min="3842" max="3842" width="13.7265625" customWidth="1"/>
    <col min="4097" max="4097" width="128" customWidth="1"/>
    <col min="4098" max="4098" width="13.7265625" customWidth="1"/>
    <col min="4353" max="4353" width="128" customWidth="1"/>
    <col min="4354" max="4354" width="13.7265625" customWidth="1"/>
    <col min="4609" max="4609" width="128" customWidth="1"/>
    <col min="4610" max="4610" width="13.7265625" customWidth="1"/>
    <col min="4865" max="4865" width="128" customWidth="1"/>
    <col min="4866" max="4866" width="13.7265625" customWidth="1"/>
    <col min="5121" max="5121" width="128" customWidth="1"/>
    <col min="5122" max="5122" width="13.7265625" customWidth="1"/>
    <col min="5377" max="5377" width="128" customWidth="1"/>
    <col min="5378" max="5378" width="13.7265625" customWidth="1"/>
    <col min="5633" max="5633" width="128" customWidth="1"/>
    <col min="5634" max="5634" width="13.7265625" customWidth="1"/>
    <col min="5889" max="5889" width="128" customWidth="1"/>
    <col min="5890" max="5890" width="13.7265625" customWidth="1"/>
    <col min="6145" max="6145" width="128" customWidth="1"/>
    <col min="6146" max="6146" width="13.7265625" customWidth="1"/>
    <col min="6401" max="6401" width="128" customWidth="1"/>
    <col min="6402" max="6402" width="13.7265625" customWidth="1"/>
    <col min="6657" max="6657" width="128" customWidth="1"/>
    <col min="6658" max="6658" width="13.7265625" customWidth="1"/>
    <col min="6913" max="6913" width="128" customWidth="1"/>
    <col min="6914" max="6914" width="13.7265625" customWidth="1"/>
    <col min="7169" max="7169" width="128" customWidth="1"/>
    <col min="7170" max="7170" width="13.7265625" customWidth="1"/>
    <col min="7425" max="7425" width="128" customWidth="1"/>
    <col min="7426" max="7426" width="13.7265625" customWidth="1"/>
    <col min="7681" max="7681" width="128" customWidth="1"/>
    <col min="7682" max="7682" width="13.7265625" customWidth="1"/>
    <col min="7937" max="7937" width="128" customWidth="1"/>
    <col min="7938" max="7938" width="13.7265625" customWidth="1"/>
    <col min="8193" max="8193" width="128" customWidth="1"/>
    <col min="8194" max="8194" width="13.7265625" customWidth="1"/>
    <col min="8449" max="8449" width="128" customWidth="1"/>
    <col min="8450" max="8450" width="13.7265625" customWidth="1"/>
    <col min="8705" max="8705" width="128" customWidth="1"/>
    <col min="8706" max="8706" width="13.7265625" customWidth="1"/>
    <col min="8961" max="8961" width="128" customWidth="1"/>
    <col min="8962" max="8962" width="13.7265625" customWidth="1"/>
    <col min="9217" max="9217" width="128" customWidth="1"/>
    <col min="9218" max="9218" width="13.7265625" customWidth="1"/>
    <col min="9473" max="9473" width="128" customWidth="1"/>
    <col min="9474" max="9474" width="13.7265625" customWidth="1"/>
    <col min="9729" max="9729" width="128" customWidth="1"/>
    <col min="9730" max="9730" width="13.7265625" customWidth="1"/>
    <col min="9985" max="9985" width="128" customWidth="1"/>
    <col min="9986" max="9986" width="13.7265625" customWidth="1"/>
    <col min="10241" max="10241" width="128" customWidth="1"/>
    <col min="10242" max="10242" width="13.7265625" customWidth="1"/>
    <col min="10497" max="10497" width="128" customWidth="1"/>
    <col min="10498" max="10498" width="13.7265625" customWidth="1"/>
    <col min="10753" max="10753" width="128" customWidth="1"/>
    <col min="10754" max="10754" width="13.7265625" customWidth="1"/>
    <col min="11009" max="11009" width="128" customWidth="1"/>
    <col min="11010" max="11010" width="13.7265625" customWidth="1"/>
    <col min="11265" max="11265" width="128" customWidth="1"/>
    <col min="11266" max="11266" width="13.7265625" customWidth="1"/>
    <col min="11521" max="11521" width="128" customWidth="1"/>
    <col min="11522" max="11522" width="13.7265625" customWidth="1"/>
    <col min="11777" max="11777" width="128" customWidth="1"/>
    <col min="11778" max="11778" width="13.7265625" customWidth="1"/>
    <col min="12033" max="12033" width="128" customWidth="1"/>
    <col min="12034" max="12034" width="13.7265625" customWidth="1"/>
    <col min="12289" max="12289" width="128" customWidth="1"/>
    <col min="12290" max="12290" width="13.7265625" customWidth="1"/>
    <col min="12545" max="12545" width="128" customWidth="1"/>
    <col min="12546" max="12546" width="13.7265625" customWidth="1"/>
    <col min="12801" max="12801" width="128" customWidth="1"/>
    <col min="12802" max="12802" width="13.7265625" customWidth="1"/>
    <col min="13057" max="13057" width="128" customWidth="1"/>
    <col min="13058" max="13058" width="13.7265625" customWidth="1"/>
    <col min="13313" max="13313" width="128" customWidth="1"/>
    <col min="13314" max="13314" width="13.7265625" customWidth="1"/>
    <col min="13569" max="13569" width="128" customWidth="1"/>
    <col min="13570" max="13570" width="13.7265625" customWidth="1"/>
    <col min="13825" max="13825" width="128" customWidth="1"/>
    <col min="13826" max="13826" width="13.7265625" customWidth="1"/>
    <col min="14081" max="14081" width="128" customWidth="1"/>
    <col min="14082" max="14082" width="13.7265625" customWidth="1"/>
    <col min="14337" max="14337" width="128" customWidth="1"/>
    <col min="14338" max="14338" width="13.7265625" customWidth="1"/>
    <col min="14593" max="14593" width="128" customWidth="1"/>
    <col min="14594" max="14594" width="13.7265625" customWidth="1"/>
    <col min="14849" max="14849" width="128" customWidth="1"/>
    <col min="14850" max="14850" width="13.7265625" customWidth="1"/>
    <col min="15105" max="15105" width="128" customWidth="1"/>
    <col min="15106" max="15106" width="13.7265625" customWidth="1"/>
    <col min="15361" max="15361" width="128" customWidth="1"/>
    <col min="15362" max="15362" width="13.7265625" customWidth="1"/>
    <col min="15617" max="15617" width="128" customWidth="1"/>
    <col min="15618" max="15618" width="13.7265625" customWidth="1"/>
    <col min="15873" max="15873" width="128" customWidth="1"/>
    <col min="15874" max="15874" width="13.7265625" customWidth="1"/>
    <col min="16129" max="16129" width="128" customWidth="1"/>
    <col min="16130" max="16130" width="13.7265625" customWidth="1"/>
  </cols>
  <sheetData>
    <row r="1" spans="1:1" ht="70" x14ac:dyDescent="0.35">
      <c r="A1" s="27" t="s">
        <v>176</v>
      </c>
    </row>
    <row r="2" spans="1:1" x14ac:dyDescent="0.25">
      <c r="A2" s="28"/>
    </row>
    <row r="3" spans="1:1" ht="84" x14ac:dyDescent="0.35">
      <c r="A3" s="27" t="s">
        <v>177</v>
      </c>
    </row>
    <row r="4" spans="1:1" x14ac:dyDescent="0.25">
      <c r="A4" s="28"/>
    </row>
    <row r="5" spans="1:1" ht="56" x14ac:dyDescent="0.35">
      <c r="A5" s="27" t="s">
        <v>178</v>
      </c>
    </row>
    <row r="6" spans="1:1" x14ac:dyDescent="0.25">
      <c r="A6" s="28"/>
    </row>
    <row r="7" spans="1:1" ht="84" x14ac:dyDescent="0.35">
      <c r="A7" s="27" t="s">
        <v>179</v>
      </c>
    </row>
    <row r="8" spans="1:1" x14ac:dyDescent="0.25">
      <c r="A8" s="28"/>
    </row>
    <row r="9" spans="1:1" ht="14" x14ac:dyDescent="0.35">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Xun, Bryce</cp:lastModifiedBy>
  <dcterms:created xsi:type="dcterms:W3CDTF">2011-04-19T20:45:42Z</dcterms:created>
  <dcterms:modified xsi:type="dcterms:W3CDTF">2025-06-27T10:48:31Z</dcterms:modified>
</cp:coreProperties>
</file>