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40028739\Downloads\"/>
    </mc:Choice>
  </mc:AlternateContent>
  <xr:revisionPtr revIDLastSave="0" documentId="13_ncr:1_{947A0C4D-7C09-4ADB-BAC6-3315B08B86FF}" xr6:coauthVersionLast="47" xr6:coauthVersionMax="47" xr10:uidLastSave="{00000000-0000-0000-0000-000000000000}"/>
  <workbookProtection workbookAlgorithmName="SHA-512" workbookHashValue="WSaJhr55ObKksakSdGGLskb+jMCKT8LlkYqsCI4Fm2X8nBMcOaDdHXv6FcJ20fT7EuEobV26LO6PC7AR3zsfXQ==" workbookSaltValue="FVRDyD+8FLoR9EeS2JVFLA==" workbookSpinCount="100000" lockStructure="1"/>
  <bookViews>
    <workbookView xWindow="-120" yWindow="-120" windowWidth="20730" windowHeight="11160" tabRatio="522"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Calculation'!$C$97</definedName>
    <definedName name="BST_HS_Rdson">'Design Calculation'!$C$96</definedName>
    <definedName name="BST_HS_Vd">'Design Calculation'!$C$98</definedName>
    <definedName name="BST_LS_fall_time">'Design Calculation'!$C$94</definedName>
    <definedName name="BST_LS_Rdson">'Design Calculation'!$C$93</definedName>
    <definedName name="BST_LS_rise_time">'Design Calculation'!$C$95</definedName>
    <definedName name="BUCK_HS_Coss">'Design Calculation'!$C$85</definedName>
    <definedName name="BUCK_HS_fall_time">'Design Calculation'!$C$87</definedName>
    <definedName name="BUCK_HS_Qg">'Design Calculation'!$C$84</definedName>
    <definedName name="BUCK_HS_Rdson">'Design Calculation'!$C$83</definedName>
    <definedName name="BUCK_HS_rise_time">'Design Calculation'!$C$86</definedName>
    <definedName name="BUCK_LS_dead_time">'Design Calculation'!$C$91</definedName>
    <definedName name="BUCK_LS_deadtime">'Design Calculation'!$C$91</definedName>
    <definedName name="BUCK_LS_Qg">'Design Calculation'!$C$89</definedName>
    <definedName name="BUCK_LS_Qrr">'Design Calculation'!$C$90</definedName>
    <definedName name="BUCK_LS_Rdson">'Design Calculation'!$C$88</definedName>
    <definedName name="BUCK_LS_Vd">'Design Calculation'!$C$92</definedName>
    <definedName name="C_bst_snubber">'Design Calculation'!$C$100</definedName>
    <definedName name="C_buck_snubber">'Design Calculation'!$C$99</definedName>
    <definedName name="C_ca">'Frequency Response Calculation'!$AG$5</definedName>
    <definedName name="Ccomp">'Design Calculation'!$C$72</definedName>
    <definedName name="Cout_c">'Design Calculation'!$C$34</definedName>
    <definedName name="Cout_e">'Design Calculation'!$C$36</definedName>
    <definedName name="Cp">'Design Calculation'!$C$75</definedName>
    <definedName name="DCR">'Design Calculation'!$C$82</definedName>
    <definedName name="dVinpkpk">'Design Calculation'!$C$40</definedName>
    <definedName name="dVoutpkpk">'Design Calculation'!$C$32</definedName>
    <definedName name="eff">'Design Calculation'!$C$46</definedName>
    <definedName name="ESR">'Design Calculation'!$C$38</definedName>
    <definedName name="fco">'Design Calculation'!$C$67</definedName>
    <definedName name="fp">'Design Calculation'!$C$64</definedName>
    <definedName name="fp_comp2">'Design Calculation'!$C$76</definedName>
    <definedName name="fsw">'Design Calculation'!$C$28</definedName>
    <definedName name="fz_comp">'Design Calculation'!$C$73</definedName>
    <definedName name="fz_ESR">'Design Calculation'!$C$66</definedName>
    <definedName name="fzRHP">'Design Calculation'!$C$65</definedName>
    <definedName name="gm_ca">'Frequency Response Calculation'!$AG$3</definedName>
    <definedName name="gm_EA">'Design Calculation'!$C$68</definedName>
    <definedName name="gm_PS">'Design Calculation'!$C$63</definedName>
    <definedName name="Iavg_limit">'Design Calculation'!$C$56</definedName>
    <definedName name="ILpeak">'Design Calculation'!$C$80</definedName>
    <definedName name="ILpeak_max">'Design Calculation'!$C$53</definedName>
    <definedName name="ILrms">'Design Calculation'!$C$79</definedName>
    <definedName name="ILrms_max">'Design Calculation'!$C$52</definedName>
    <definedName name="ILvalley">'Design Calculation'!$C$81</definedName>
    <definedName name="ILvalley_max">'Design Calculation'!$C$55</definedName>
    <definedName name="Iout_limit">'Design Calculation'!$C$24</definedName>
    <definedName name="Ioutmax">'Design Calculation'!$C$17</definedName>
    <definedName name="K">'Design Calculation'!$C$48</definedName>
    <definedName name="L">'Design Calculation'!$C$51</definedName>
    <definedName name="Op_mode">'Design Calculation'!$C$62</definedName>
    <definedName name="R_1">'Design Calculation'!$C$25</definedName>
    <definedName name="R_5">'Design Calculation'!$C$22</definedName>
    <definedName name="R_7">'Design Calculation'!$C$22</definedName>
    <definedName name="R_ca">'Frequency Response Calculation'!$AG$4</definedName>
    <definedName name="Rcomp">'Design Calculation'!$C$70</definedName>
    <definedName name="Reg_Ilimit">'Design Calculation'!#REF!</definedName>
    <definedName name="Reg_Vref">'Design Calculation'!#REF!</definedName>
    <definedName name="Rpcb">'Design Calculation'!$C$101</definedName>
    <definedName name="tou">'Design Calculation'!$F$108</definedName>
    <definedName name="V_m">'Frequency Response Calculation'!$AG$6</definedName>
    <definedName name="Vin">'Design Calculation'!$C$60</definedName>
    <definedName name="Vin_eff">'Design Calculation'!$C$78</definedName>
    <definedName name="Vin_LP">'Design Calculation'!$C$60</definedName>
    <definedName name="Vin_max">'Design Calculation'!$C$15</definedName>
    <definedName name="Vin_min">'Design Calculation'!$C$14</definedName>
    <definedName name="Vout">'Design Calculation'!$C$16</definedName>
    <definedName name="Vout_LP">'Design Calculation'!$C$61</definedName>
  </definedNames>
  <calcPr calcId="191029"/>
  <customWorkbookViews>
    <customWorkbookView name="TI User - Personal View" guid="{0F8159A6-236F-4F54-A569-A835A6AD5DA8}" mergeInterval="0" personalView="1" maximized="1" windowWidth="1920"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C25" i="1"/>
  <c r="C23" i="1" l="1"/>
  <c r="C21" i="1"/>
  <c r="C29" i="1" l="1"/>
  <c r="C19" i="1"/>
  <c r="C71" i="1" l="1"/>
  <c r="F108" i="1" l="1"/>
  <c r="C76" i="1" l="1"/>
  <c r="C81" i="1" l="1"/>
  <c r="C79" i="1"/>
  <c r="C55" i="1"/>
  <c r="C53" i="1"/>
  <c r="C54" i="1" l="1"/>
  <c r="C63" i="1"/>
  <c r="C42" i="1" l="1"/>
  <c r="C80" i="1"/>
  <c r="C105" i="1" s="1"/>
  <c r="H108" i="1" l="1"/>
  <c r="G108" i="1"/>
  <c r="C107" i="1"/>
  <c r="C106" i="1"/>
  <c r="C50" i="1"/>
  <c r="C52" i="1"/>
  <c r="C62" i="1"/>
  <c r="AG6" i="2"/>
  <c r="C66" i="1"/>
  <c r="C73" i="1"/>
  <c r="R12" i="2"/>
  <c r="Q19" i="2"/>
  <c r="Q35" i="2"/>
  <c r="X18" i="2"/>
  <c r="C27" i="1"/>
  <c r="C26" i="1"/>
  <c r="T35" i="2"/>
  <c r="T36" i="2"/>
  <c r="T37" i="2"/>
  <c r="T19" i="2"/>
  <c r="T23" i="2"/>
  <c r="T24" i="2"/>
  <c r="S24" i="2"/>
  <c r="S29" i="2"/>
  <c r="S30" i="2"/>
  <c r="S6" i="2"/>
  <c r="S7" i="2"/>
  <c r="S8" i="2"/>
  <c r="S17" i="2"/>
  <c r="B43" i="2"/>
  <c r="B42" i="2"/>
  <c r="S42" i="2" s="1"/>
  <c r="B41" i="2"/>
  <c r="H41" i="2" s="1"/>
  <c r="B40" i="2"/>
  <c r="J40" i="2" s="1"/>
  <c r="B39" i="2"/>
  <c r="J39" i="2" s="1"/>
  <c r="B38" i="2"/>
  <c r="H38" i="2" s="1"/>
  <c r="B37" i="2"/>
  <c r="O37" i="2" s="1"/>
  <c r="B36" i="2"/>
  <c r="B35" i="2"/>
  <c r="I35" i="2" s="1"/>
  <c r="B34" i="2"/>
  <c r="Q34" i="2" s="1"/>
  <c r="B33" i="2"/>
  <c r="T33" i="2" s="1"/>
  <c r="B32" i="2"/>
  <c r="B31" i="2"/>
  <c r="O31" i="2" s="1"/>
  <c r="B30" i="2"/>
  <c r="P30" i="2" s="1"/>
  <c r="B29" i="2"/>
  <c r="R29" i="2" s="1"/>
  <c r="P29" i="2"/>
  <c r="B28" i="2"/>
  <c r="Q28" i="2" s="1"/>
  <c r="P28" i="2"/>
  <c r="B27" i="2"/>
  <c r="T27" i="2" s="1"/>
  <c r="B26" i="2"/>
  <c r="S26" i="2" s="1"/>
  <c r="B25" i="2"/>
  <c r="T25" i="2" s="1"/>
  <c r="B24" i="2"/>
  <c r="Y24" i="2" s="1"/>
  <c r="B23" i="2"/>
  <c r="J23" i="2" s="1"/>
  <c r="B22" i="2"/>
  <c r="J22" i="2" s="1"/>
  <c r="O22" i="2"/>
  <c r="B21" i="2"/>
  <c r="O21" i="2" s="1"/>
  <c r="B20" i="2"/>
  <c r="T20" i="2" s="1"/>
  <c r="B19" i="2"/>
  <c r="R19" i="2" s="1"/>
  <c r="B18" i="2"/>
  <c r="Y18" i="2" s="1"/>
  <c r="B17" i="2"/>
  <c r="Z17" i="2" s="1"/>
  <c r="B16" i="2"/>
  <c r="S16" i="2" s="1"/>
  <c r="B15" i="2"/>
  <c r="B14" i="2"/>
  <c r="P14" i="2" s="1"/>
  <c r="B13" i="2"/>
  <c r="P13" i="2" s="1"/>
  <c r="B12" i="2"/>
  <c r="J12" i="2" s="1"/>
  <c r="P12" i="2"/>
  <c r="B11" i="2"/>
  <c r="R11" i="2" s="1"/>
  <c r="B10" i="2"/>
  <c r="B9" i="2"/>
  <c r="P9" i="2" s="1"/>
  <c r="B8" i="2"/>
  <c r="P8" i="2" s="1"/>
  <c r="B7" i="2"/>
  <c r="B6" i="2"/>
  <c r="J6" i="2" s="1"/>
  <c r="O6" i="2"/>
  <c r="B5" i="2"/>
  <c r="R5" i="2" s="1"/>
  <c r="O5" i="2"/>
  <c r="B4" i="2"/>
  <c r="B3" i="2"/>
  <c r="T3" i="2" s="1"/>
  <c r="P3" i="2"/>
  <c r="O19" i="2"/>
  <c r="O41" i="2"/>
  <c r="O25" i="2"/>
  <c r="P34" i="2"/>
  <c r="P24" i="2"/>
  <c r="O18" i="2"/>
  <c r="P11" i="2"/>
  <c r="O3" i="2"/>
  <c r="O28" i="2"/>
  <c r="O12" i="2"/>
  <c r="P36" i="2"/>
  <c r="P20" i="2"/>
  <c r="P39" i="2"/>
  <c r="P23" i="2"/>
  <c r="P7" i="2"/>
  <c r="O24" i="2"/>
  <c r="O8" i="2"/>
  <c r="P17" i="2"/>
  <c r="O39" i="2"/>
  <c r="O42" i="2"/>
  <c r="P19" i="2"/>
  <c r="O29" i="2"/>
  <c r="O13" i="2"/>
  <c r="P38" i="2"/>
  <c r="P6" i="2"/>
  <c r="H19" i="2"/>
  <c r="H18" i="2"/>
  <c r="H8" i="2"/>
  <c r="H22" i="2"/>
  <c r="H6" i="2"/>
  <c r="H30" i="2"/>
  <c r="C58" i="1"/>
  <c r="C31" i="1"/>
  <c r="O9" i="2" l="1"/>
  <c r="S23" i="2"/>
  <c r="T18" i="2"/>
  <c r="P35" i="2"/>
  <c r="O11" i="2"/>
  <c r="S40" i="2"/>
  <c r="T17" i="2"/>
  <c r="J29" i="2"/>
  <c r="H28" i="2"/>
  <c r="T34" i="2"/>
  <c r="H33" i="2"/>
  <c r="H39" i="2"/>
  <c r="O40" i="2"/>
  <c r="O17" i="2"/>
  <c r="O27" i="2"/>
  <c r="O35" i="2"/>
  <c r="O20" i="2"/>
  <c r="P25" i="2"/>
  <c r="S39" i="2"/>
  <c r="T6" i="2"/>
  <c r="T12" i="2"/>
  <c r="I18" i="2"/>
  <c r="N6" i="2"/>
  <c r="P16" i="2"/>
  <c r="O33" i="2"/>
  <c r="P5" i="2"/>
  <c r="P40" i="2"/>
  <c r="S22" i="2"/>
  <c r="S34" i="2"/>
  <c r="T5" i="2"/>
  <c r="T11" i="2"/>
  <c r="Z40" i="2"/>
  <c r="H17" i="2"/>
  <c r="P22" i="2"/>
  <c r="O23" i="2"/>
  <c r="P18" i="2"/>
  <c r="O38" i="2"/>
  <c r="S18" i="2"/>
  <c r="S33" i="2"/>
  <c r="T28" i="2"/>
  <c r="T38" i="2"/>
  <c r="Z24" i="2"/>
  <c r="C69" i="1"/>
  <c r="N3"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08" i="1"/>
  <c r="C65" i="1"/>
  <c r="C74"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3" i="1"/>
  <c r="C64" i="1"/>
  <c r="F34" i="2" s="1"/>
  <c r="V19" i="2"/>
  <c r="V6" i="2"/>
  <c r="V35" i="2"/>
  <c r="C111" i="1"/>
  <c r="C103" i="1"/>
  <c r="C102"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09" i="1" l="1"/>
  <c r="D22" i="2"/>
  <c r="D30" i="2"/>
  <c r="D36" i="2"/>
  <c r="D11" i="2"/>
  <c r="C39" i="2"/>
  <c r="C21" i="2"/>
  <c r="D38" i="2"/>
  <c r="C4" i="2"/>
  <c r="C38" i="2"/>
  <c r="D15" i="2"/>
  <c r="C37" i="2"/>
  <c r="C14" i="2"/>
  <c r="D35" i="2"/>
  <c r="D5" i="2"/>
  <c r="C31" i="2"/>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D9" i="2"/>
  <c r="C34" i="2"/>
  <c r="D12" i="2"/>
  <c r="D42" i="2"/>
  <c r="D7" i="2"/>
  <c r="D31" i="2"/>
  <c r="C41" i="2"/>
  <c r="C33" i="2"/>
  <c r="C25" i="2"/>
  <c r="C17" i="2"/>
  <c r="C9" i="2"/>
  <c r="D6" i="2"/>
  <c r="D4" i="2"/>
  <c r="D21" i="2"/>
  <c r="C42" i="2"/>
  <c r="C18" i="2"/>
  <c r="D16" i="2"/>
  <c r="D25" i="2"/>
  <c r="D17" i="2"/>
  <c r="D39" i="2"/>
  <c r="C40" i="2"/>
  <c r="C32" i="2"/>
  <c r="C24" i="2"/>
  <c r="C16" i="2"/>
  <c r="AA16" i="2" s="1"/>
  <c r="C8" i="2"/>
  <c r="D19" i="2"/>
  <c r="D33" i="2"/>
  <c r="F27" i="2"/>
  <c r="F17" i="2"/>
  <c r="E36" i="2"/>
  <c r="E3" i="2"/>
  <c r="F38" i="2"/>
  <c r="AB38" i="2" s="1"/>
  <c r="AD38" i="2" s="1"/>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AB10" i="2" s="1"/>
  <c r="AD10" i="2" s="1"/>
  <c r="F21" i="2"/>
  <c r="E43" i="2"/>
  <c r="E37" i="2"/>
  <c r="E32" i="2"/>
  <c r="E25" i="2"/>
  <c r="E9" i="2"/>
  <c r="F22" i="2"/>
  <c r="F8" i="2"/>
  <c r="E42" i="2"/>
  <c r="E38" i="2"/>
  <c r="E34" i="2"/>
  <c r="E29" i="2"/>
  <c r="E24" i="2"/>
  <c r="E16" i="2"/>
  <c r="E14" i="2"/>
  <c r="E20" i="2"/>
  <c r="E13" i="2"/>
  <c r="E30" i="2"/>
  <c r="E26" i="2"/>
  <c r="E22" i="2"/>
  <c r="E17" i="2"/>
  <c r="E11" i="2"/>
  <c r="E19" i="2"/>
  <c r="E15" i="2"/>
  <c r="E10" i="2"/>
  <c r="F31" i="2"/>
  <c r="AB31" i="2" s="1"/>
  <c r="AD31" i="2" s="1"/>
  <c r="F30" i="2"/>
  <c r="F41" i="2"/>
  <c r="AB41" i="2" s="1"/>
  <c r="AD41" i="2" s="1"/>
  <c r="E12" i="2"/>
  <c r="E8" i="2"/>
  <c r="F9" i="2"/>
  <c r="F36" i="2"/>
  <c r="AB36" i="2" s="1"/>
  <c r="AD36" i="2" s="1"/>
  <c r="F5" i="2"/>
  <c r="F18" i="2"/>
  <c r="AB18" i="2" s="1"/>
  <c r="AD18" i="2" s="1"/>
  <c r="F16" i="2"/>
  <c r="F29" i="2"/>
  <c r="F28" i="2"/>
  <c r="F43" i="2"/>
  <c r="F25" i="2"/>
  <c r="F3" i="2"/>
  <c r="AA6" i="2" l="1"/>
  <c r="AC6" i="2" s="1"/>
  <c r="AA18" i="2"/>
  <c r="AA33" i="2"/>
  <c r="AA31" i="2"/>
  <c r="AC31" i="2" s="1"/>
  <c r="AA19" i="2"/>
  <c r="AC19" i="2" s="1"/>
  <c r="AA24" i="2"/>
  <c r="AC24" i="2" s="1"/>
  <c r="AA42" i="2"/>
  <c r="AC42" i="2" s="1"/>
  <c r="AA41" i="2"/>
  <c r="AC41" i="2" s="1"/>
  <c r="AA10" i="2"/>
  <c r="AC10" i="2" s="1"/>
  <c r="AA27" i="2"/>
  <c r="AA21" i="2"/>
  <c r="AA32" i="2"/>
  <c r="AC32" i="2" s="1"/>
  <c r="AA26" i="2"/>
  <c r="AC26" i="2" s="1"/>
  <c r="AA35" i="2"/>
  <c r="AC35" i="2" s="1"/>
  <c r="AA12" i="2"/>
  <c r="AC12" i="2" s="1"/>
  <c r="AA23" i="2"/>
  <c r="AC23" i="2" s="1"/>
  <c r="AA39" i="2"/>
  <c r="AC39" i="2" s="1"/>
  <c r="AA40" i="2"/>
  <c r="AC40" i="2" s="1"/>
  <c r="AA43" i="2"/>
  <c r="AC43" i="2" s="1"/>
  <c r="AA20" i="2"/>
  <c r="AC20" i="2" s="1"/>
  <c r="AA3" i="2"/>
  <c r="AC3" i="2" s="1"/>
  <c r="AA7" i="2"/>
  <c r="AC7" i="2" s="1"/>
  <c r="AA14" i="2"/>
  <c r="AC14" i="2" s="1"/>
  <c r="AA28" i="2"/>
  <c r="AC28" i="2" s="1"/>
  <c r="AA29" i="2"/>
  <c r="AC29" i="2" s="1"/>
  <c r="AA30" i="2"/>
  <c r="AC30" i="2" s="1"/>
  <c r="AA37" i="2"/>
  <c r="AC37" i="2" s="1"/>
  <c r="AA9" i="2"/>
  <c r="AC9" i="2" s="1"/>
  <c r="AA36" i="2"/>
  <c r="AC36" i="2" s="1"/>
  <c r="AA17" i="2"/>
  <c r="AC17" i="2" s="1"/>
  <c r="AA34" i="2"/>
  <c r="AC34" i="2" s="1"/>
  <c r="AA5" i="2"/>
  <c r="AC5" i="2" s="1"/>
  <c r="AA15" i="2"/>
  <c r="AC15" i="2" s="1"/>
  <c r="AA38" i="2"/>
  <c r="AC38" i="2" s="1"/>
  <c r="AA8" i="2"/>
  <c r="AC8" i="2" s="1"/>
  <c r="AA25" i="2"/>
  <c r="AC25" i="2" s="1"/>
  <c r="AA11" i="2"/>
  <c r="AC11" i="2" s="1"/>
  <c r="AA22" i="2"/>
  <c r="AC22" i="2" s="1"/>
  <c r="AA13" i="2"/>
  <c r="AC13" i="2" s="1"/>
  <c r="AA4" i="2"/>
  <c r="AC4" i="2" s="1"/>
  <c r="AB6" i="2"/>
  <c r="AD6" i="2" s="1"/>
  <c r="AB30" i="2"/>
  <c r="AD30" i="2" s="1"/>
  <c r="AB33" i="2"/>
  <c r="AD33" i="2" s="1"/>
  <c r="AB32" i="2"/>
  <c r="AD32" i="2" s="1"/>
  <c r="AB26" i="2"/>
  <c r="AD26" i="2" s="1"/>
  <c r="AB22" i="2"/>
  <c r="AD22" i="2" s="1"/>
  <c r="AC33" i="2"/>
  <c r="AB40" i="2"/>
  <c r="AD40" i="2" s="1"/>
  <c r="AB20" i="2"/>
  <c r="AD20" i="2" s="1"/>
  <c r="AC16" i="2"/>
  <c r="AC18" i="2"/>
  <c r="AB11" i="2"/>
  <c r="AD11" i="2" s="1"/>
  <c r="AB7" i="2"/>
  <c r="AD7" i="2" s="1"/>
  <c r="AB16" i="2"/>
  <c r="AD16" i="2" s="1"/>
  <c r="AB3" i="2"/>
  <c r="AD3" i="2" s="1"/>
  <c r="AB35" i="2"/>
  <c r="AD35" i="2" s="1"/>
  <c r="AC21" i="2"/>
  <c r="AB28" i="2"/>
  <c r="AD28" i="2" s="1"/>
  <c r="AB5" i="2"/>
  <c r="AD5" i="2" s="1"/>
  <c r="AB8" i="2"/>
  <c r="AD8" i="2" s="1"/>
  <c r="AB13" i="2"/>
  <c r="AD13" i="2" s="1"/>
  <c r="AB25" i="2"/>
  <c r="AD25" i="2" s="1"/>
  <c r="AB43" i="2"/>
  <c r="AD43" i="2" s="1"/>
  <c r="AB19" i="2"/>
  <c r="AD19" i="2" s="1"/>
  <c r="AC27" i="2"/>
  <c r="AB15" i="2"/>
  <c r="AD15" i="2" s="1"/>
  <c r="AB24" i="2"/>
  <c r="AD24" i="2" s="1"/>
  <c r="AB17" i="2"/>
  <c r="AD17" i="2" s="1"/>
  <c r="AB12" i="2"/>
  <c r="AD12" i="2" s="1"/>
  <c r="AB27" i="2"/>
  <c r="AD27" i="2" s="1"/>
  <c r="AB9" i="2"/>
  <c r="AD9" i="2" s="1"/>
  <c r="AB37" i="2"/>
  <c r="AD37" i="2" s="1"/>
  <c r="AB21" i="2"/>
  <c r="AD21" i="2" s="1"/>
  <c r="AB42" i="2"/>
  <c r="AD42" i="2" s="1"/>
  <c r="AB4" i="2"/>
  <c r="AD4" i="2" s="1"/>
  <c r="AB39" i="2"/>
  <c r="AD39" i="2" s="1"/>
  <c r="AB29" i="2"/>
  <c r="AD29" i="2" s="1"/>
  <c r="AB23" i="2"/>
  <c r="AD23" i="2" s="1"/>
</calcChain>
</file>

<file path=xl/sharedStrings.xml><?xml version="1.0" encoding="utf-8"?>
<sst xmlns="http://schemas.openxmlformats.org/spreadsheetml/2006/main" count="319" uniqueCount="246">
  <si>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</si>
  <si>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</si>
  <si>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</si>
  <si>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</si>
  <si>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</si>
  <si>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</si>
  <si>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</si>
  <si>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</si>
  <si>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</si>
  <si>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</si>
  <si>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</si>
  <si>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</si>
  <si>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</si>
  <si>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</si>
  <si>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</si>
  <si>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</si>
  <si>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</si>
  <si>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</si>
  <si>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</si>
  <si>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</si>
  <si>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</si>
  <si>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</si>
  <si>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</si>
  <si>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</si>
  <si>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</si>
  <si>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</si>
  <si>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</si>
  <si>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</si>
  <si>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</si>
  <si>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</si>
  <si>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</si>
  <si>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</si>
  <si>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</si>
  <si>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</si>
  <si>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</si>
  <si>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</si>
  <si>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</si>
  <si>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</si>
  <si>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</si>
  <si>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</si>
  <si>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</si>
  <si>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</si>
  <si>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</si>
  <si>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</si>
  <si>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Register Setting</t>
  </si>
  <si>
    <t>Output current limit setting</t>
  </si>
  <si>
    <t>R1</t>
  </si>
  <si>
    <t>Output current sensing resistor</t>
  </si>
  <si>
    <t>VCC</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</si>
  <si>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</si>
  <si>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</si>
  <si>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</si>
  <si>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</si>
  <si>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</si>
  <si>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</si>
  <si>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</si>
  <si>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</si>
  <si>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</si>
  <si>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</si>
  <si>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</si>
  <si>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</si>
  <si>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</si>
  <si>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</si>
  <si>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</si>
  <si>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</si>
  <si>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</si>
  <si>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</si>
  <si>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</si>
  <si>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</si>
  <si>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</si>
  <si>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</si>
  <si>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</si>
  <si>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</si>
  <si>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</si>
  <si>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</si>
  <si>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</si>
  <si>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</si>
  <si>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</si>
  <si>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</si>
  <si>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</si>
  <si>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</si>
  <si>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</si>
  <si>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</si>
  <si>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</si>
  <si>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</si>
  <si>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</si>
  <si>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</si>
  <si>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</si>
  <si>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</si>
  <si>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</si>
  <si>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</si>
  <si>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</si>
  <si>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</si>
  <si>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</si>
  <si>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</si>
  <si>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</si>
  <si>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</si>
  <si>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</si>
  <si>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</si>
  <si>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</si>
  <si>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</si>
  <si>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</si>
  <si>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</si>
  <si>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</si>
  <si>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</si>
  <si>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</si>
  <si>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</si>
  <si>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</si>
  <si>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</si>
  <si>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</si>
  <si>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</si>
  <si>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</si>
  <si>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</si>
  <si>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</si>
  <si>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</si>
  <si>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</si>
  <si>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</si>
  <si>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</si>
  <si>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</si>
  <si>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</si>
  <si>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</si>
  <si>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</si>
  <si>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</si>
  <si>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</si>
  <si>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</si>
  <si>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</si>
  <si>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</si>
  <si>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</si>
  <si>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</si>
  <si>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</si>
  <si>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</si>
  <si>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</si>
  <si>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</si>
  <si>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</si>
  <si>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</si>
  <si>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</si>
  <si>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</si>
  <si>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</si>
  <si>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</si>
  <si>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</si>
  <si>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</si>
  <si>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</si>
  <si>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</si>
  <si>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</si>
  <si>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</si>
  <si>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</si>
  <si>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</si>
  <si>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</si>
  <si>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</si>
  <si>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</si>
  <si>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</si>
  <si>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</si>
  <si>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</si>
  <si>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</si>
  <si>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</si>
  <si>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</si>
  <si>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</si>
  <si>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</si>
  <si>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Calculate open loop compensate at buck mode or boost mode</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</si>
  <si>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</si>
  <si>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</si>
  <si>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</si>
  <si>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</si>
  <si>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</si>
  <si>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</si>
  <si>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</si>
  <si>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</si>
  <si>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</si>
  <si>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</si>
  <si>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</si>
  <si>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</si>
  <si>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</si>
  <si>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</si>
  <si>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</si>
  <si>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</si>
  <si>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</si>
  <si>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</si>
  <si>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</si>
  <si>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</si>
  <si>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</si>
  <si>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</si>
  <si>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</si>
  <si>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</si>
  <si>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</si>
  <si>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</si>
  <si>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</si>
  <si>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</si>
  <si>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</si>
  <si>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</si>
  <si>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</si>
  <si>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</si>
  <si>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</si>
  <si>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</si>
  <si>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</si>
  <si>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</si>
  <si>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</si>
  <si>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</si>
  <si>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</si>
  <si>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</si>
  <si>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</si>
  <si>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</si>
  <si>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</si>
  <si>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</si>
  <si>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</si>
  <si>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</si>
  <si>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</si>
  <si>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</si>
  <si>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</si>
  <si>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</si>
  <si>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</si>
  <si>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</si>
  <si>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</si>
  <si>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</si>
  <si>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</si>
  <si>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</si>
  <si>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</si>
  <si>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</si>
  <si>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</si>
  <si>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</si>
  <si>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</si>
  <si>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</si>
  <si>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</si>
  <si>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</si>
  <si>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&gt;=3.0V</t>
  </si>
  <si>
    <t xml:space="preserve">MODE </t>
  </si>
  <si>
    <t>EXTVCC</t>
  </si>
  <si>
    <t>EXTVCC pin input logic status</t>
  </si>
  <si>
    <t>MODE pin input logic status</t>
  </si>
  <si>
    <t>R6 recommended</t>
  </si>
  <si>
    <t>Core and AC loss of inductor. Use inductor vendor's formula to estimate. 521mW is the power loss of XAL7070-472 running at 400kHz with Ilrms=5.32A and Ilripple=2.63A at 400kHz.</t>
  </si>
  <si>
    <t>FPWM</t>
  </si>
  <si>
    <t>Design Tool for TPS552892</t>
  </si>
  <si>
    <t>Must be lower than or equal to 22V</t>
  </si>
  <si>
    <t>Buck HSFET on-resistance in TPS552892 is 14mΩ at 25°C. Temperature coefficient is 0.4%/°C. Correct it when at high Tj</t>
  </si>
  <si>
    <t>Boost LSFET on-resistance in TPS552892 is 11mΩ at 25°C. Temperature coefficient is 0.4%/°C. Correct it when at high Tj</t>
  </si>
  <si>
    <t>TPS552892 Pd</t>
  </si>
  <si>
    <t xml:space="preserve">TPS552892 junction to ambient thermal resistance on EVM. The actual ΘJA depends on the PCB design. </t>
  </si>
  <si>
    <t>This tool is designed to aid the user in designing the TPS552892 buck-boost converter. Refer to TPS552892 datasheet for detail design precedure and all equations.</t>
  </si>
  <si>
    <t>Buck LSFET on-resistance in TPS552892 is 22mΩ at 25°C. Temperature coefficient is 0.4%/°C. Correct it when at high Tj</t>
  </si>
  <si>
    <t>Boost HSFET on-resistance in TPS552892 is 10mΩ at 25°C. Temperature coefficient is 0.4%/°C. Correct it when at high Tj</t>
  </si>
  <si>
    <t>Power loss on TPS552892</t>
  </si>
  <si>
    <t>TPS552892 temperature rise</t>
  </si>
  <si>
    <t>V1.0 (04/26/2023)</t>
  </si>
  <si>
    <r>
      <t xml:space="preserve">Desired typical average inductor current limit. </t>
    </r>
    <r>
      <rPr>
        <sz val="10"/>
        <rFont val="Calibri"/>
        <family val="2"/>
      </rPr>
      <t>±1A tolerance</t>
    </r>
  </si>
  <si>
    <t>I(Laverage) max</t>
  </si>
  <si>
    <t>The inductor average current at minmum 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</si>
</sst>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5">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b/>
      <sz val="10"/>
      <color theme="0"/>
      <name val="Arial"/>
      <family val="2"/>
    </font>
    <font>
      <sz val="10"/>
      <color theme="0"/>
      <name val="Symbol"/>
      <family val="1"/>
      <charset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0"/>
      </left>
      <right/>
      <top style="thin">
        <color theme="0"/>
      </top>
      <bottom style="thin">
        <color theme="0"/>
      </bottom>
      <diagonal/>
    </border>
    <border>
      <left style="thick">
        <color theme="1"/>
      </left>
      <right/>
      <top/>
      <bottom/>
      <diagonal/>
    </border>
  </borders>
  <cellStyleXfs count="2">
    <xf numFmtId="0" fontId="0" fillId="0" borderId="0"/>
    <xf numFmtId="9" fontId="1" fillId="0" borderId="0" applyFont="0" applyFill="0" applyBorder="0" applyAlignment="0" applyProtection="0"/>
  </cellStyleXfs>
  <cellXfs count="168">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xf numFmtId="167" fontId="0" fillId="0" borderId="8" xfId="0" applyNumberFormat="1" applyBorder="1"/>
    <xf numFmtId="0" fontId="0" fillId="0" borderId="20" xfId="0" applyBorder="1"/>
    <xf numFmtId="167" fontId="0" fillId="0" borderId="11" xfId="0" applyNumberFormat="1" applyBorder="1"/>
    <xf numFmtId="0" fontId="0" fillId="0" borderId="0" xfId="0"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xf numFmtId="3" fontId="0" fillId="0" borderId="0" xfId="0" applyNumberFormat="1"/>
    <xf numFmtId="3" fontId="0" fillId="9" borderId="11" xfId="0" applyNumberFormat="1" applyFill="1" applyBorder="1"/>
    <xf numFmtId="0" fontId="0" fillId="0" borderId="0" xfId="0" applyAlignment="1">
      <alignment horizontal="center" wrapText="1"/>
    </xf>
    <xf numFmtId="1" fontId="0" fillId="4" borderId="1" xfId="0" applyNumberFormat="1" applyFill="1" applyBorder="1" applyProtection="1">
      <protection locked="0"/>
    </xf>
    <xf numFmtId="164" fontId="0" fillId="4" borderId="1" xfId="0" applyNumberFormat="1" applyFill="1" applyBorder="1" applyProtection="1">
      <protection locked="0"/>
    </xf>
    <xf numFmtId="0" fontId="11" fillId="0" borderId="0" xfId="0" applyFont="1" applyAlignment="1">
      <alignment wrapText="1"/>
    </xf>
    <xf numFmtId="1" fontId="0" fillId="10" borderId="1" xfId="0" applyNumberFormat="1" applyFill="1" applyBorder="1" applyProtection="1">
      <protection hidden="1"/>
    </xf>
    <xf numFmtId="1" fontId="0" fillId="10" borderId="15" xfId="0" applyNumberFormat="1" applyFill="1" applyBorder="1" applyProtection="1">
      <protection hidden="1"/>
    </xf>
    <xf numFmtId="165" fontId="0" fillId="10" borderId="15" xfId="0" applyNumberFormat="1" applyFill="1" applyBorder="1" applyProtection="1">
      <protection hidden="1"/>
    </xf>
    <xf numFmtId="164" fontId="0" fillId="10" borderId="19" xfId="0" applyNumberFormat="1" applyFill="1" applyBorder="1" applyProtection="1">
      <protection hidden="1"/>
    </xf>
    <xf numFmtId="0" fontId="0" fillId="4" borderId="1" xfId="0" applyFill="1" applyBorder="1" applyProtection="1">
      <protection locked="0"/>
    </xf>
    <xf numFmtId="164" fontId="0" fillId="4" borderId="1" xfId="0" applyNumberFormat="1" applyFill="1" applyBorder="1" applyAlignment="1" applyProtection="1">
      <alignment horizontal="right"/>
      <protection locked="0"/>
    </xf>
    <xf numFmtId="1" fontId="0" fillId="10" borderId="1" xfId="0" applyNumberFormat="1" applyFill="1" applyBorder="1" applyAlignment="1" applyProtection="1">
      <alignment horizontal="right"/>
      <protection hidden="1"/>
    </xf>
    <xf numFmtId="164" fontId="0" fillId="6" borderId="1" xfId="0" applyNumberFormat="1" applyFill="1" applyBorder="1" applyProtection="1">
      <protection locked="0"/>
    </xf>
    <xf numFmtId="164" fontId="0" fillId="6" borderId="1" xfId="0" applyNumberFormat="1" applyFill="1" applyBorder="1" applyProtection="1">
      <protection hidden="1"/>
    </xf>
    <xf numFmtId="2" fontId="0" fillId="10" borderId="1" xfId="0" applyNumberFormat="1" applyFill="1" applyBorder="1" applyProtection="1">
      <protection hidden="1"/>
    </xf>
    <xf numFmtId="3" fontId="0" fillId="4" borderId="1" xfId="0" applyNumberFormat="1" applyFill="1" applyBorder="1" applyProtection="1">
      <protection locked="0"/>
    </xf>
    <xf numFmtId="3" fontId="0" fillId="10" borderId="1" xfId="0" applyNumberFormat="1" applyFill="1" applyBorder="1" applyProtection="1">
      <protection hidden="1"/>
    </xf>
    <xf numFmtId="166" fontId="0" fillId="10" borderId="1" xfId="0" applyNumberFormat="1" applyFill="1" applyBorder="1" applyProtection="1">
      <protection hidden="1"/>
    </xf>
    <xf numFmtId="4" fontId="0" fillId="4" borderId="1" xfId="0" applyNumberFormat="1" applyFill="1" applyBorder="1" applyProtection="1">
      <protection locked="0"/>
    </xf>
    <xf numFmtId="11" fontId="0" fillId="10" borderId="1" xfId="0" applyNumberFormat="1" applyFill="1" applyBorder="1" applyProtection="1">
      <protection hidden="1"/>
    </xf>
    <xf numFmtId="11" fontId="0" fillId="4" borderId="1" xfId="0" applyNumberFormat="1" applyFill="1" applyBorder="1" applyProtection="1">
      <protection locked="0"/>
    </xf>
    <xf numFmtId="1" fontId="0" fillId="4" borderId="1" xfId="0" applyNumberFormat="1" applyFill="1" applyBorder="1" applyAlignment="1" applyProtection="1">
      <alignment horizontal="right"/>
      <protection locked="0"/>
    </xf>
    <xf numFmtId="1" fontId="0" fillId="4" borderId="1" xfId="0" applyNumberFormat="1" applyFill="1" applyBorder="1" applyAlignment="1" applyProtection="1">
      <alignment horizontal="right"/>
      <protection hidden="1"/>
    </xf>
    <xf numFmtId="1" fontId="0" fillId="6" borderId="1" xfId="0" applyNumberFormat="1" applyFill="1" applyBorder="1" applyAlignment="1" applyProtection="1">
      <alignment horizontal="right"/>
      <protection hidden="1"/>
    </xf>
    <xf numFmtId="11" fontId="0" fillId="10" borderId="1" xfId="0" applyNumberFormat="1" applyFill="1" applyBorder="1" applyAlignment="1" applyProtection="1">
      <alignment horizontal="right"/>
      <protection hidden="1"/>
    </xf>
    <xf numFmtId="11" fontId="0" fillId="4" borderId="15" xfId="0" applyNumberFormat="1" applyFill="1" applyBorder="1" applyProtection="1">
      <protection locked="0"/>
    </xf>
    <xf numFmtId="2" fontId="0" fillId="10" borderId="15" xfId="0" applyNumberFormat="1" applyFill="1" applyBorder="1" applyProtection="1">
      <protection hidden="1"/>
    </xf>
    <xf numFmtId="166" fontId="0" fillId="4" borderId="1" xfId="0" applyNumberFormat="1" applyFill="1" applyBorder="1" applyProtection="1">
      <protection locked="0"/>
    </xf>
    <xf numFmtId="0" fontId="6"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Protection="1">
      <protection hidden="1"/>
    </xf>
    <xf numFmtId="0" fontId="0" fillId="3" borderId="7" xfId="0" applyFill="1" applyBorder="1" applyAlignment="1" applyProtection="1">
      <alignment horizontal="center"/>
      <protection hidden="1"/>
    </xf>
    <xf numFmtId="0" fontId="0" fillId="3" borderId="0" xfId="0" applyFill="1" applyAlignment="1" applyProtection="1">
      <alignment horizontal="center"/>
      <protection hidden="1"/>
    </xf>
    <xf numFmtId="0" fontId="0" fillId="3" borderId="0" xfId="0" applyFill="1" applyProtection="1">
      <protection hidden="1"/>
    </xf>
    <xf numFmtId="0" fontId="0" fillId="3" borderId="8" xfId="0" applyFill="1" applyBorder="1" applyProtection="1">
      <protection hidden="1"/>
    </xf>
    <xf numFmtId="0" fontId="0" fillId="3" borderId="7" xfId="0" applyFill="1" applyBorder="1" applyProtection="1">
      <protection hidden="1"/>
    </xf>
    <xf numFmtId="0" fontId="0" fillId="4" borderId="0" xfId="0" applyFill="1" applyProtection="1">
      <protection hidden="1"/>
    </xf>
    <xf numFmtId="0" fontId="8" fillId="3" borderId="0" xfId="0" applyFont="1" applyFill="1" applyProtection="1">
      <protection hidden="1"/>
    </xf>
    <xf numFmtId="0" fontId="7" fillId="3" borderId="0" xfId="0" applyFont="1" applyFill="1" applyProtection="1">
      <protection hidden="1"/>
    </xf>
    <xf numFmtId="0" fontId="0" fillId="10" borderId="0" xfId="0" applyFill="1" applyProtection="1">
      <protection hidden="1"/>
    </xf>
    <xf numFmtId="0" fontId="0" fillId="6" borderId="0" xfId="0" applyFill="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ill="1" applyBorder="1" applyProtection="1">
      <protection hidden="1"/>
    </xf>
    <xf numFmtId="0" fontId="0" fillId="3" borderId="1" xfId="0" applyFill="1" applyBorder="1" applyProtection="1">
      <protection hidden="1"/>
    </xf>
    <xf numFmtId="0" fontId="0" fillId="3" borderId="1" xfId="0"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Alignment="1" applyProtection="1">
      <alignment wrapText="1"/>
      <protection hidden="1"/>
    </xf>
    <xf numFmtId="0" fontId="4" fillId="3" borderId="0" xfId="0" applyFont="1" applyFill="1" applyProtection="1">
      <protection hidden="1"/>
    </xf>
    <xf numFmtId="1" fontId="4" fillId="3" borderId="0" xfId="0" applyNumberFormat="1" applyFont="1" applyFill="1" applyProtection="1">
      <protection hidden="1"/>
    </xf>
    <xf numFmtId="0" fontId="0" fillId="3" borderId="9" xfId="0" applyFill="1" applyBorder="1" applyAlignment="1" applyProtection="1">
      <alignment wrapText="1"/>
      <protection hidden="1"/>
    </xf>
    <xf numFmtId="0" fontId="6" fillId="5" borderId="0" xfId="0" applyFont="1" applyFill="1" applyProtection="1">
      <protection hidden="1"/>
    </xf>
    <xf numFmtId="11" fontId="0" fillId="6" borderId="1" xfId="0" applyNumberFormat="1" applyFill="1" applyBorder="1" applyProtection="1">
      <protection hidden="1"/>
    </xf>
    <xf numFmtId="0" fontId="0" fillId="3" borderId="14" xfId="0" applyFill="1" applyBorder="1" applyProtection="1">
      <protection hidden="1"/>
    </xf>
    <xf numFmtId="0" fontId="0" fillId="3" borderId="15" xfId="0" applyFill="1" applyBorder="1" applyProtection="1">
      <protection hidden="1"/>
    </xf>
    <xf numFmtId="0" fontId="0" fillId="0" borderId="1" xfId="0" applyBorder="1" applyAlignment="1" applyProtection="1">
      <alignment horizontal="left" vertical="center"/>
      <protection hidden="1"/>
    </xf>
    <xf numFmtId="0" fontId="3" fillId="3" borderId="0" xfId="0" applyFont="1" applyFill="1" applyProtection="1">
      <protection hidden="1"/>
    </xf>
    <xf numFmtId="0" fontId="0" fillId="3" borderId="14" xfId="0" applyFill="1" applyBorder="1" applyAlignment="1" applyProtection="1">
      <alignment wrapText="1"/>
      <protection hidden="1"/>
    </xf>
    <xf numFmtId="0" fontId="0" fillId="3" borderId="15" xfId="0" applyFill="1" applyBorder="1" applyAlignment="1" applyProtection="1">
      <alignment wrapText="1"/>
      <protection hidden="1"/>
    </xf>
    <xf numFmtId="0" fontId="0" fillId="3" borderId="18" xfId="0" applyFill="1" applyBorder="1" applyProtection="1">
      <protection hidden="1"/>
    </xf>
    <xf numFmtId="0" fontId="0" fillId="3" borderId="19" xfId="0" applyFill="1" applyBorder="1" applyProtection="1">
      <protection hidden="1"/>
    </xf>
    <xf numFmtId="0" fontId="0" fillId="3" borderId="19" xfId="0"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165" fontId="0" fillId="5" borderId="0" xfId="0" applyNumberFormat="1" applyFill="1" applyProtection="1">
      <protection hidden="1"/>
    </xf>
    <xf numFmtId="0" fontId="0" fillId="5" borderId="0" xfId="0" applyFill="1" applyAlignment="1" applyProtection="1">
      <alignment wrapText="1"/>
      <protection hidden="1"/>
    </xf>
    <xf numFmtId="0" fontId="6" fillId="0" borderId="0" xfId="0" applyFont="1" applyProtection="1">
      <protection hidden="1"/>
    </xf>
    <xf numFmtId="167" fontId="0" fillId="0" borderId="0" xfId="0" applyNumberFormat="1" applyProtection="1">
      <protection hidden="1"/>
    </xf>
    <xf numFmtId="2" fontId="0" fillId="0" borderId="0" xfId="0" applyNumberFormat="1" applyProtection="1">
      <protection hidden="1"/>
    </xf>
    <xf numFmtId="2" fontId="0" fillId="4" borderId="1" xfId="0" applyNumberFormat="1" applyFill="1" applyBorder="1" applyProtection="1">
      <protection locked="0"/>
    </xf>
    <xf numFmtId="164" fontId="0" fillId="6" borderId="1" xfId="0" applyNumberFormat="1" applyFill="1" applyBorder="1"/>
    <xf numFmtId="11" fontId="0" fillId="6" borderId="1" xfId="0" applyNumberFormat="1" applyFill="1" applyBorder="1" applyProtection="1">
      <protection locked="0"/>
    </xf>
    <xf numFmtId="0" fontId="12" fillId="3" borderId="0" xfId="0" applyFont="1" applyFill="1" applyProtection="1">
      <protection hidden="1"/>
    </xf>
    <xf numFmtId="0" fontId="12" fillId="0" borderId="0" xfId="0" applyFont="1" applyAlignment="1" applyProtection="1">
      <alignment wrapText="1"/>
      <protection hidden="1"/>
    </xf>
    <xf numFmtId="0" fontId="12" fillId="0" borderId="0" xfId="0" applyFont="1" applyProtection="1">
      <protection hidden="1"/>
    </xf>
    <xf numFmtId="0" fontId="12" fillId="0" borderId="8" xfId="0" applyFont="1" applyBorder="1" applyProtection="1">
      <protection hidden="1"/>
    </xf>
    <xf numFmtId="0" fontId="13" fillId="0" borderId="31" xfId="0" applyFont="1" applyBorder="1" applyAlignment="1" applyProtection="1">
      <alignment horizontal="center" vertical="center" wrapText="1"/>
      <protection hidden="1"/>
    </xf>
    <xf numFmtId="0" fontId="13" fillId="0" borderId="31" xfId="0" applyFont="1" applyBorder="1" applyAlignment="1" applyProtection="1">
      <alignment horizontal="center" vertical="center"/>
      <protection hidden="1"/>
    </xf>
    <xf numFmtId="1" fontId="13" fillId="0" borderId="31" xfId="0" applyNumberFormat="1" applyFont="1" applyBorder="1" applyAlignment="1" applyProtection="1">
      <alignment horizontal="center" vertical="center"/>
      <protection hidden="1"/>
    </xf>
    <xf numFmtId="0" fontId="12" fillId="0" borderId="31" xfId="0" applyFont="1" applyBorder="1" applyAlignment="1" applyProtection="1">
      <alignment horizontal="center" vertical="center" wrapText="1"/>
      <protection hidden="1"/>
    </xf>
    <xf numFmtId="1" fontId="12" fillId="0" borderId="31" xfId="0" applyNumberFormat="1"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14" fillId="0" borderId="31" xfId="0" applyFont="1" applyBorder="1" applyAlignment="1" applyProtection="1">
      <alignment horizontal="center" vertical="center"/>
      <protection hidden="1"/>
    </xf>
    <xf numFmtId="165" fontId="12" fillId="0" borderId="31" xfId="0" applyNumberFormat="1" applyFont="1" applyBorder="1" applyAlignment="1" applyProtection="1">
      <alignment horizontal="center" vertical="center"/>
      <protection hidden="1"/>
    </xf>
    <xf numFmtId="0" fontId="12" fillId="0" borderId="31" xfId="0" applyFont="1" applyBorder="1" applyAlignment="1" applyProtection="1">
      <alignment horizontal="center" vertical="center" wrapText="1"/>
      <protection locked="0"/>
    </xf>
    <xf numFmtId="0" fontId="12" fillId="0" borderId="31" xfId="0" applyFont="1" applyBorder="1" applyAlignment="1">
      <alignment horizontal="center" vertical="center" wrapText="1"/>
    </xf>
    <xf numFmtId="1" fontId="12" fillId="0" borderId="31" xfId="0" applyNumberFormat="1"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hidden="1"/>
    </xf>
    <xf numFmtId="0" fontId="0" fillId="3" borderId="32" xfId="0" applyFill="1" applyBorder="1" applyAlignment="1" applyProtection="1">
      <alignment wrapText="1"/>
      <protection hidden="1"/>
    </xf>
    <xf numFmtId="0" fontId="13" fillId="0" borderId="36" xfId="0" applyFont="1" applyBorder="1" applyAlignment="1" applyProtection="1">
      <alignment horizontal="center" vertical="center" wrapText="1"/>
      <protection hidden="1"/>
    </xf>
    <xf numFmtId="0" fontId="0" fillId="5" borderId="37" xfId="0" applyFill="1" applyBorder="1" applyProtection="1">
      <protection hidden="1"/>
    </xf>
    <xf numFmtId="164" fontId="0" fillId="10" borderId="1" xfId="0" applyNumberFormat="1" applyFill="1" applyBorder="1" applyProtection="1">
      <protection hidden="1"/>
    </xf>
    <xf numFmtId="164" fontId="0" fillId="10" borderId="1" xfId="0" applyNumberFormat="1" applyFill="1" applyBorder="1" applyAlignment="1" applyProtection="1">
      <alignment horizontal="right"/>
      <protection hidden="1"/>
    </xf>
    <xf numFmtId="0" fontId="0" fillId="3" borderId="15" xfId="0" applyFill="1" applyBorder="1" applyAlignment="1" applyProtection="1">
      <alignment horizontal="left" wrapText="1"/>
      <protection hidden="1"/>
    </xf>
    <xf numFmtId="0" fontId="0" fillId="3" borderId="30" xfId="0"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0" fillId="3" borderId="14" xfId="0" applyFill="1" applyBorder="1" applyAlignment="1" applyProtection="1">
      <alignment horizontal="left"/>
      <protection hidden="1"/>
    </xf>
    <xf numFmtId="0" fontId="0" fillId="3" borderId="29" xfId="0" applyFill="1" applyBorder="1" applyAlignment="1" applyProtection="1">
      <alignment horizontal="left"/>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0" fillId="3" borderId="15" xfId="0" applyFill="1" applyBorder="1" applyAlignment="1" applyProtection="1">
      <alignment horizontal="center"/>
      <protection hidden="1"/>
    </xf>
    <xf numFmtId="0" fontId="0" fillId="3" borderId="30" xfId="0" applyFill="1" applyBorder="1" applyAlignment="1" applyProtection="1">
      <alignment horizontal="center"/>
      <protection hidden="1"/>
    </xf>
    <xf numFmtId="0" fontId="0" fillId="3" borderId="34" xfId="0" applyFill="1" applyBorder="1" applyAlignment="1" applyProtection="1">
      <alignment horizontal="left" wrapText="1"/>
      <protection hidden="1"/>
    </xf>
    <xf numFmtId="0" fontId="0" fillId="3" borderId="35" xfId="0" applyFill="1" applyBorder="1" applyAlignment="1" applyProtection="1">
      <alignment horizontal="left" wrapText="1"/>
      <protection hidden="1"/>
    </xf>
    <xf numFmtId="0" fontId="12" fillId="0" borderId="33"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11" fontId="0" fillId="4" borderId="15" xfId="0" applyNumberFormat="1" applyFill="1" applyBorder="1" applyAlignment="1" applyProtection="1">
      <alignment horizontal="right"/>
      <protection locked="0"/>
    </xf>
    <xf numFmtId="11" fontId="0" fillId="4" borderId="30" xfId="0" applyNumberFormat="1" applyFill="1" applyBorder="1" applyAlignment="1" applyProtection="1">
      <alignment horizontal="right"/>
      <protection locked="0"/>
    </xf>
    <xf numFmtId="0" fontId="0" fillId="3" borderId="15" xfId="0" applyFill="1" applyBorder="1" applyAlignment="1" applyProtection="1">
      <alignment horizontal="left"/>
      <protection hidden="1"/>
    </xf>
    <xf numFmtId="0" fontId="0" fillId="3" borderId="30" xfId="0" applyFill="1" applyBorder="1" applyAlignment="1" applyProtection="1">
      <alignment horizontal="left"/>
      <protection hidden="1"/>
    </xf>
    <xf numFmtId="0" fontId="0" fillId="3" borderId="7" xfId="0" applyFill="1" applyBorder="1" applyProtection="1">
      <protection hidden="1"/>
    </xf>
    <xf numFmtId="0" fontId="0" fillId="3" borderId="0" xfId="0" applyFill="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ill="1" applyBorder="1" applyAlignment="1" applyProtection="1">
      <alignment horizontal="center"/>
      <protection hidden="1"/>
    </xf>
    <xf numFmtId="0" fontId="0" fillId="3" borderId="0" xfId="0" applyFill="1" applyAlignment="1" applyProtection="1">
      <alignment horizontal="center"/>
      <protection hidden="1"/>
    </xf>
    <xf numFmtId="0" fontId="0" fillId="3" borderId="8" xfId="0"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Alignment="1" applyProtection="1">
      <alignment horizontal="left" wrapText="1"/>
      <protection hidden="1"/>
    </xf>
    <xf numFmtId="0" fontId="0" fillId="3" borderId="8" xfId="0" applyFill="1" applyBorder="1" applyAlignment="1" applyProtection="1">
      <alignment horizontal="left" wrapText="1"/>
      <protection hidden="1"/>
    </xf>
    <xf numFmtId="0" fontId="12" fillId="0" borderId="33" xfId="0" applyFont="1" applyBorder="1" applyAlignment="1" applyProtection="1">
      <alignment horizontal="center" vertical="center" wrapText="1"/>
      <protection hidden="1"/>
    </xf>
    <xf numFmtId="4" fontId="0" fillId="4" borderId="15" xfId="0" applyNumberFormat="1" applyFill="1" applyBorder="1" applyAlignment="1" applyProtection="1">
      <alignment horizontal="right"/>
      <protection locked="0"/>
    </xf>
    <xf numFmtId="4" fontId="0" fillId="4" borderId="30" xfId="0" applyNumberFormat="1" applyFill="1" applyBorder="1" applyAlignment="1" applyProtection="1">
      <alignment horizontal="right"/>
      <protection locked="0"/>
    </xf>
    <xf numFmtId="168" fontId="0" fillId="4" borderId="15" xfId="0" applyNumberFormat="1" applyFill="1" applyBorder="1" applyAlignment="1" applyProtection="1">
      <alignment horizontal="right"/>
      <protection locked="0"/>
    </xf>
    <xf numFmtId="168" fontId="0" fillId="4" borderId="30" xfId="0" applyNumberForma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ill="1" applyBorder="1" applyAlignment="1" applyProtection="1">
      <alignment horizontal="right"/>
      <protection hidden="1"/>
    </xf>
    <xf numFmtId="11" fontId="0" fillId="10" borderId="30" xfId="0" applyNumberFormat="1" applyFill="1" applyBorder="1" applyAlignment="1" applyProtection="1">
      <alignment horizontal="right"/>
      <protection hidden="1"/>
    </xf>
    <xf numFmtId="0" fontId="0" fillId="4" borderId="15" xfId="0" applyFill="1" applyBorder="1" applyAlignment="1" applyProtection="1">
      <alignment horizontal="right"/>
      <protection locked="0"/>
    </xf>
    <xf numFmtId="0" fontId="0" fillId="4" borderId="30" xfId="0"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3">
    <dxf>
      <fill>
        <patternFill>
          <bgColor theme="0" tint="-0.24994659260841701"/>
        </patternFill>
      </fill>
    </dxf>
    <dxf>
      <fill>
        <patternFill>
          <bgColor theme="9" tint="0.39994506668294322"/>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rgb="FF00FF00"/>
        </patternFill>
      </fill>
    </dxf>
    <dxf>
      <font>
        <b/>
        <i val="0"/>
        <color rgb="FFFF0000"/>
      </font>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35.257301797878405</c:v>
                </c:pt>
                <c:pt idx="1">
                  <c:v>33.278118447368861</c:v>
                </c:pt>
                <c:pt idx="2">
                  <c:v>31.308929250635003</c:v>
                </c:pt>
                <c:pt idx="3">
                  <c:v>29.355477968493339</c:v>
                </c:pt>
                <c:pt idx="4">
                  <c:v>27.425667604445376</c:v>
                </c:pt>
                <c:pt idx="5">
                  <c:v>25.52973725611653</c:v>
                </c:pt>
                <c:pt idx="6">
                  <c:v>23.679432146129194</c:v>
                </c:pt>
                <c:pt idx="7">
                  <c:v>21.885242582591072</c:v>
                </c:pt>
                <c:pt idx="8">
                  <c:v>20.151225775221164</c:v>
                </c:pt>
                <c:pt idx="9">
                  <c:v>18.468915077584988</c:v>
                </c:pt>
                <c:pt idx="10">
                  <c:v>16.814702809755499</c:v>
                </c:pt>
                <c:pt idx="11">
                  <c:v>15.15508653871918</c:v>
                </c:pt>
                <c:pt idx="12">
                  <c:v>13.458384707850108</c:v>
                </c:pt>
                <c:pt idx="13">
                  <c:v>11.705139101734581</c:v>
                </c:pt>
                <c:pt idx="14">
                  <c:v>9.8907761982697178</c:v>
                </c:pt>
                <c:pt idx="15">
                  <c:v>8.0213136687189763</c:v>
                </c:pt>
                <c:pt idx="16">
                  <c:v>6.1070590362989714</c:v>
                </c:pt>
                <c:pt idx="17">
                  <c:v>4.1578704638746977</c:v>
                </c:pt>
                <c:pt idx="18">
                  <c:v>2.1806427497972503</c:v>
                </c:pt>
                <c:pt idx="19">
                  <c:v>0.17814691466088589</c:v>
                </c:pt>
                <c:pt idx="20">
                  <c:v>-1.8518437639955811</c:v>
                </c:pt>
                <c:pt idx="21">
                  <c:v>-3.9178870686382217</c:v>
                </c:pt>
                <c:pt idx="22">
                  <c:v>-6.0368741584157224</c:v>
                </c:pt>
                <c:pt idx="23">
                  <c:v>-8.2359524870953997</c:v>
                </c:pt>
                <c:pt idx="24">
                  <c:v>-10.552272689583791</c:v>
                </c:pt>
                <c:pt idx="25">
                  <c:v>-13.028161263053507</c:v>
                </c:pt>
                <c:pt idx="26">
                  <c:v>-15.702336627603755</c:v>
                </c:pt>
                <c:pt idx="27">
                  <c:v>-18.602637209008627</c:v>
                </c:pt>
                <c:pt idx="28">
                  <c:v>-21.745600192992498</c:v>
                </c:pt>
                <c:pt idx="29">
                  <c:v>-25.141348377995161</c:v>
                </c:pt>
                <c:pt idx="30">
                  <c:v>-28.79794912975386</c:v>
                </c:pt>
                <c:pt idx="31">
                  <c:v>-32.722863526448535</c:v>
                </c:pt>
                <c:pt idx="32">
                  <c:v>-36.922425517165777</c:v>
                </c:pt>
                <c:pt idx="33">
                  <c:v>-41.398804634821445</c:v>
                </c:pt>
                <c:pt idx="34">
                  <c:v>-46.143586586980604</c:v>
                </c:pt>
                <c:pt idx="35">
                  <c:v>-51.131176274644531</c:v>
                </c:pt>
                <c:pt idx="36">
                  <c:v>-56.318181631067205</c:v>
                </c:pt>
                <c:pt idx="37">
                  <c:v>-61.651759439739351</c:v>
                </c:pt>
                <c:pt idx="38">
                  <c:v>-67.083580274324532</c:v>
                </c:pt>
                <c:pt idx="39">
                  <c:v>-72.582367133837323</c:v>
                </c:pt>
                <c:pt idx="40">
                  <c:v>-78.138320051009117</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93.625426589303657</c:v>
                </c:pt>
                <c:pt idx="1">
                  <c:v>93.6657917794833</c:v>
                </c:pt>
                <c:pt idx="2">
                  <c:v>93.881615895892452</c:v>
                </c:pt>
                <c:pt idx="3">
                  <c:v>94.266247080669245</c:v>
                </c:pt>
                <c:pt idx="4">
                  <c:v>94.8063948756852</c:v>
                </c:pt>
                <c:pt idx="5">
                  <c:v>95.470584206718513</c:v>
                </c:pt>
                <c:pt idx="6">
                  <c:v>96.193182183113862</c:v>
                </c:pt>
                <c:pt idx="7">
                  <c:v>96.858164056908436</c:v>
                </c:pt>
                <c:pt idx="8">
                  <c:v>97.294536652056451</c:v>
                </c:pt>
                <c:pt idx="9">
                  <c:v>97.300416750141494</c:v>
                </c:pt>
                <c:pt idx="10">
                  <c:v>96.700783229045456</c:v>
                </c:pt>
                <c:pt idx="11">
                  <c:v>95.410996124990561</c:v>
                </c:pt>
                <c:pt idx="12">
                  <c:v>93.457192736100708</c:v>
                </c:pt>
                <c:pt idx="13">
                  <c:v>90.93398310512589</c:v>
                </c:pt>
                <c:pt idx="14">
                  <c:v>87.932705842408652</c:v>
                </c:pt>
                <c:pt idx="15">
                  <c:v>84.486978554241261</c:v>
                </c:pt>
                <c:pt idx="16">
                  <c:v>80.552523090951084</c:v>
                </c:pt>
                <c:pt idx="17">
                  <c:v>76.01001310983078</c:v>
                </c:pt>
                <c:pt idx="18">
                  <c:v>70.674502292829644</c:v>
                </c:pt>
                <c:pt idx="19">
                  <c:v>64.302654296000455</c:v>
                </c:pt>
                <c:pt idx="20">
                  <c:v>56.597208500037368</c:v>
                </c:pt>
                <c:pt idx="21">
                  <c:v>47.213894605452772</c:v>
                </c:pt>
                <c:pt idx="22">
                  <c:v>35.780771109940737</c:v>
                </c:pt>
                <c:pt idx="23">
                  <c:v>21.943123734390898</c:v>
                </c:pt>
                <c:pt idx="24">
                  <c:v>5.4421775914370443</c:v>
                </c:pt>
                <c:pt idx="25">
                  <c:v>-13.785531274041741</c:v>
                </c:pt>
                <c:pt idx="26">
                  <c:v>-35.532181781733641</c:v>
                </c:pt>
                <c:pt idx="27">
                  <c:v>-59.319050246974079</c:v>
                </c:pt>
                <c:pt idx="28">
                  <c:v>-84.492794482206747</c:v>
                </c:pt>
                <c:pt idx="29">
                  <c:v>-110.38679542934796</c:v>
                </c:pt>
                <c:pt idx="30">
                  <c:v>-136.48528327135369</c:v>
                </c:pt>
                <c:pt idx="31">
                  <c:v>-162.52691863137557</c:v>
                </c:pt>
                <c:pt idx="32">
                  <c:v>-188.5170919648871</c:v>
                </c:pt>
                <c:pt idx="33">
                  <c:v>-214.67460513205475</c:v>
                </c:pt>
                <c:pt idx="34">
                  <c:v>-241.37968205111298</c:v>
                </c:pt>
                <c:pt idx="35">
                  <c:v>-269.18050161591248</c:v>
                </c:pt>
                <c:pt idx="36">
                  <c:v>-298.86238414047318</c:v>
                </c:pt>
                <c:pt idx="37">
                  <c:v>-308.7686350633137</c:v>
                </c:pt>
                <c:pt idx="38">
                  <c:v>-316.73001645515501</c:v>
                </c:pt>
                <c:pt idx="39">
                  <c:v>-323.51105006840976</c:v>
                </c:pt>
                <c:pt idx="40">
                  <c:v>-329.43875278071283</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59</xdr:row>
      <xdr:rowOff>35924</xdr:rowOff>
    </xdr:from>
    <xdr:to>
      <xdr:col>15</xdr:col>
      <xdr:colOff>524691</xdr:colOff>
      <xdr:row>90</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35952" y="10815983"/>
          <a:ext cx="6742739" cy="4876286"/>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57150</xdr:colOff>
          <xdr:row>12</xdr:row>
          <xdr:rowOff>38100</xdr:rowOff>
        </xdr:from>
        <xdr:to>
          <xdr:col>15</xdr:col>
          <xdr:colOff>200025</xdr:colOff>
          <xdr:row>32</xdr:row>
          <xdr:rowOff>161925</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6"/>
  <sheetViews>
    <sheetView tabSelected="1" topLeftCell="A6" zoomScale="85" zoomScaleNormal="85" workbookViewId="0">
      <selection activeCell="C14" sqref="C14"/>
    </sheetView>
  </sheetViews>
  <sheetFormatPr defaultColWidth="8.85546875" defaultRowHeight="12.75"/>
  <cols>
    <col min="1" max="1" width="2.7109375" style="90" customWidth="1"/>
    <col min="2" max="2" width="24" style="51" customWidth="1"/>
    <col min="3" max="3" width="13.28515625" style="51" customWidth="1"/>
    <col min="4" max="4" width="6.7109375" style="51" customWidth="1"/>
    <col min="5" max="5" width="53.7109375" style="51" customWidth="1"/>
    <col min="6" max="6" width="9.28515625" style="51" customWidth="1"/>
    <col min="7" max="11" width="8.85546875" style="51" customWidth="1"/>
    <col min="12" max="12" width="8.85546875" style="51"/>
    <col min="13" max="13" width="9.140625" style="51" bestFit="1" customWidth="1"/>
    <col min="14" max="14" width="13.140625" style="51" bestFit="1" customWidth="1"/>
    <col min="15" max="16" width="8.85546875" style="51"/>
    <col min="17" max="17" width="2.7109375" style="51" customWidth="1"/>
    <col min="18" max="18" width="8.85546875" style="51"/>
    <col min="19" max="19" width="11" style="51" bestFit="1" customWidth="1"/>
    <col min="20" max="20" width="8.85546875" style="51" customWidth="1"/>
    <col min="21" max="16384" width="8.85546875" style="51"/>
  </cols>
  <sheetData>
    <row r="1" spans="1:17" ht="13.5" thickBot="1">
      <c r="A1" s="48"/>
      <c r="B1" s="49"/>
      <c r="C1" s="49"/>
      <c r="D1" s="49"/>
      <c r="E1" s="49"/>
      <c r="F1" s="49"/>
      <c r="G1" s="49"/>
      <c r="H1" s="49"/>
      <c r="I1" s="49"/>
      <c r="J1" s="50"/>
      <c r="K1" s="50"/>
      <c r="L1" s="50"/>
      <c r="M1" s="50"/>
      <c r="N1" s="50"/>
      <c r="O1" s="50"/>
      <c r="P1" s="50"/>
      <c r="Q1" s="50"/>
    </row>
    <row r="2" spans="1:17" ht="16.5" thickTop="1">
      <c r="A2" s="48"/>
      <c r="B2" s="145" t="s">
        <v>231</v>
      </c>
      <c r="C2" s="146"/>
      <c r="D2" s="146"/>
      <c r="E2" s="146"/>
      <c r="F2" s="146"/>
      <c r="G2" s="146"/>
      <c r="H2" s="146"/>
      <c r="I2" s="146"/>
      <c r="J2" s="146"/>
      <c r="K2" s="146"/>
      <c r="L2" s="146"/>
      <c r="M2" s="146"/>
      <c r="N2" s="146"/>
      <c r="O2" s="146"/>
      <c r="P2" s="147"/>
      <c r="Q2" s="50"/>
    </row>
    <row r="3" spans="1:17">
      <c r="A3" s="48"/>
      <c r="B3" s="148" t="s">
        <v>242</v>
      </c>
      <c r="C3" s="149"/>
      <c r="D3" s="149"/>
      <c r="E3" s="149"/>
      <c r="F3" s="149"/>
      <c r="G3" s="149"/>
      <c r="H3" s="149"/>
      <c r="I3" s="149"/>
      <c r="J3" s="149"/>
      <c r="K3" s="149"/>
      <c r="L3" s="149"/>
      <c r="M3" s="149"/>
      <c r="N3" s="149"/>
      <c r="O3" s="149"/>
      <c r="P3" s="150"/>
      <c r="Q3" s="50"/>
    </row>
    <row r="4" spans="1:17">
      <c r="A4" s="48"/>
      <c r="B4" s="148"/>
      <c r="C4" s="149"/>
      <c r="D4" s="149"/>
      <c r="E4" s="149"/>
      <c r="F4" s="149"/>
      <c r="G4" s="149"/>
      <c r="H4" s="149"/>
      <c r="I4" s="149"/>
      <c r="J4" s="149"/>
      <c r="K4" s="149"/>
      <c r="L4" s="149"/>
      <c r="M4" s="149"/>
      <c r="N4" s="149"/>
      <c r="O4" s="149"/>
      <c r="P4" s="150"/>
      <c r="Q4" s="50"/>
    </row>
    <row r="5" spans="1:17">
      <c r="A5" s="48"/>
      <c r="B5" s="52"/>
      <c r="C5" s="53"/>
      <c r="D5" s="53"/>
      <c r="E5" s="53"/>
      <c r="F5" s="53"/>
      <c r="G5" s="53"/>
      <c r="H5" s="53"/>
      <c r="I5" s="53"/>
      <c r="J5" s="53"/>
      <c r="K5" s="54"/>
      <c r="L5" s="54"/>
      <c r="M5" s="54"/>
      <c r="N5" s="54"/>
      <c r="O5" s="54"/>
      <c r="P5" s="55"/>
      <c r="Q5" s="50"/>
    </row>
    <row r="6" spans="1:17" ht="13.15" customHeight="1">
      <c r="A6" s="48"/>
      <c r="B6" s="151" t="s">
        <v>237</v>
      </c>
      <c r="C6" s="152"/>
      <c r="D6" s="152"/>
      <c r="E6" s="152"/>
      <c r="F6" s="152"/>
      <c r="G6" s="152"/>
      <c r="H6" s="152"/>
      <c r="I6" s="152"/>
      <c r="J6" s="152"/>
      <c r="K6" s="152"/>
      <c r="L6" s="152"/>
      <c r="M6" s="152"/>
      <c r="N6" s="152"/>
      <c r="O6" s="152"/>
      <c r="P6" s="153"/>
      <c r="Q6" s="50"/>
    </row>
    <row r="7" spans="1:17">
      <c r="A7" s="48"/>
      <c r="B7" s="143"/>
      <c r="C7" s="144"/>
      <c r="D7" s="144"/>
      <c r="E7" s="144"/>
      <c r="F7" s="144"/>
      <c r="G7" s="144"/>
      <c r="H7" s="144"/>
      <c r="I7" s="144"/>
      <c r="J7" s="144"/>
      <c r="K7" s="54"/>
      <c r="L7" s="54"/>
      <c r="M7" s="54"/>
      <c r="N7" s="54"/>
      <c r="O7" s="54"/>
      <c r="P7" s="55"/>
      <c r="Q7" s="50"/>
    </row>
    <row r="8" spans="1:17" ht="15.75">
      <c r="A8" s="48"/>
      <c r="B8" s="56"/>
      <c r="C8" s="57"/>
      <c r="D8" s="58" t="s">
        <v>81</v>
      </c>
      <c r="E8" s="59"/>
      <c r="F8" s="54"/>
      <c r="G8" s="54"/>
      <c r="H8" s="54"/>
      <c r="I8" s="54"/>
      <c r="J8" s="54"/>
      <c r="K8" s="54"/>
      <c r="L8" s="54"/>
      <c r="M8" s="54"/>
      <c r="N8" s="54"/>
      <c r="O8" s="54"/>
      <c r="P8" s="55"/>
      <c r="Q8" s="50"/>
    </row>
    <row r="9" spans="1:17" ht="15.75">
      <c r="A9" s="48"/>
      <c r="B9" s="56"/>
      <c r="C9" s="60"/>
      <c r="D9" s="58" t="s">
        <v>43</v>
      </c>
      <c r="E9" s="59"/>
      <c r="F9" s="54"/>
      <c r="G9" s="54"/>
      <c r="H9" s="54"/>
      <c r="I9" s="54"/>
      <c r="J9" s="54"/>
      <c r="K9" s="54"/>
      <c r="L9" s="54"/>
      <c r="M9" s="54"/>
      <c r="N9" s="54"/>
      <c r="O9" s="54"/>
      <c r="P9" s="55"/>
      <c r="Q9" s="50"/>
    </row>
    <row r="10" spans="1:17" ht="15">
      <c r="A10" s="48"/>
      <c r="B10" s="56"/>
      <c r="C10" s="61"/>
      <c r="D10" s="58" t="s">
        <v>42</v>
      </c>
      <c r="E10" s="54"/>
      <c r="F10" s="54"/>
      <c r="G10" s="54"/>
      <c r="H10" s="54"/>
      <c r="I10" s="54"/>
      <c r="J10" s="54"/>
      <c r="K10" s="54"/>
      <c r="L10" s="54"/>
      <c r="M10" s="54"/>
      <c r="N10" s="54"/>
      <c r="O10" s="54"/>
      <c r="P10" s="55"/>
      <c r="Q10" s="50"/>
    </row>
    <row r="11" spans="1:17" ht="15">
      <c r="A11" s="48"/>
      <c r="B11" s="56"/>
      <c r="C11" s="54"/>
      <c r="D11" s="58"/>
      <c r="E11" s="54"/>
      <c r="F11" s="54"/>
      <c r="G11" s="54"/>
      <c r="H11" s="54"/>
      <c r="I11" s="54"/>
      <c r="J11" s="54"/>
      <c r="K11" s="54"/>
      <c r="L11" s="54"/>
      <c r="M11" s="54"/>
      <c r="N11" s="54"/>
      <c r="O11" s="54"/>
      <c r="P11" s="55"/>
      <c r="Q11" s="50"/>
    </row>
    <row r="12" spans="1:17">
      <c r="A12" s="48"/>
      <c r="B12" s="62" t="s">
        <v>25</v>
      </c>
      <c r="C12" s="63" t="s">
        <v>24</v>
      </c>
      <c r="D12" s="63" t="s">
        <v>23</v>
      </c>
      <c r="E12" s="63" t="s">
        <v>26</v>
      </c>
      <c r="F12" s="119" t="s">
        <v>40</v>
      </c>
      <c r="G12" s="119"/>
      <c r="H12" s="119"/>
      <c r="I12" s="119"/>
      <c r="J12" s="119"/>
      <c r="K12" s="119"/>
      <c r="L12" s="119"/>
      <c r="M12" s="119"/>
      <c r="N12" s="119"/>
      <c r="O12" s="119"/>
      <c r="P12" s="120"/>
      <c r="Q12" s="50"/>
    </row>
    <row r="13" spans="1:17">
      <c r="A13" s="48"/>
      <c r="B13" s="121" t="s">
        <v>41</v>
      </c>
      <c r="C13" s="119"/>
      <c r="D13" s="119"/>
      <c r="E13" s="119"/>
      <c r="F13" s="64"/>
      <c r="G13" s="65"/>
      <c r="H13" s="65"/>
      <c r="I13" s="65"/>
      <c r="J13" s="65"/>
      <c r="K13" s="65"/>
      <c r="L13" s="65"/>
      <c r="M13" s="65"/>
      <c r="N13" s="65"/>
      <c r="O13" s="65"/>
      <c r="P13" s="66"/>
      <c r="Q13" s="50"/>
    </row>
    <row r="14" spans="1:17">
      <c r="A14" s="48"/>
      <c r="B14" s="67" t="s">
        <v>12</v>
      </c>
      <c r="C14" s="29">
        <v>9</v>
      </c>
      <c r="D14" s="68" t="s">
        <v>3</v>
      </c>
      <c r="E14" s="69" t="s">
        <v>223</v>
      </c>
      <c r="F14" s="54"/>
      <c r="G14" s="54"/>
      <c r="H14" s="54"/>
      <c r="I14" s="54"/>
      <c r="J14" s="54"/>
      <c r="K14" s="54"/>
      <c r="L14" s="54"/>
      <c r="M14" s="54"/>
      <c r="N14" s="54"/>
      <c r="O14" s="54"/>
      <c r="P14" s="55"/>
      <c r="Q14" s="50"/>
    </row>
    <row r="15" spans="1:17">
      <c r="A15" s="48"/>
      <c r="B15" s="67" t="s">
        <v>13</v>
      </c>
      <c r="C15" s="29">
        <v>32</v>
      </c>
      <c r="D15" s="68" t="s">
        <v>3</v>
      </c>
      <c r="E15" s="69" t="s">
        <v>33</v>
      </c>
      <c r="F15" s="54"/>
      <c r="G15" s="54"/>
      <c r="H15" s="54"/>
      <c r="I15" s="54"/>
      <c r="J15" s="54"/>
      <c r="K15" s="54"/>
      <c r="L15" s="54"/>
      <c r="M15" s="54"/>
      <c r="N15" s="54"/>
      <c r="O15" s="54"/>
      <c r="P15" s="55"/>
      <c r="Q15" s="50"/>
    </row>
    <row r="16" spans="1:17">
      <c r="A16" s="48"/>
      <c r="B16" s="67" t="s">
        <v>30</v>
      </c>
      <c r="C16" s="93">
        <v>20</v>
      </c>
      <c r="D16" s="68" t="s">
        <v>3</v>
      </c>
      <c r="E16" s="69" t="s">
        <v>232</v>
      </c>
      <c r="F16" s="54"/>
      <c r="G16" s="54"/>
      <c r="H16" s="54"/>
      <c r="I16" s="54"/>
      <c r="J16" s="54"/>
      <c r="K16" s="54"/>
      <c r="L16" s="54"/>
      <c r="M16" s="54"/>
      <c r="N16" s="54"/>
      <c r="O16" s="54"/>
      <c r="P16" s="55"/>
      <c r="Q16" s="50"/>
    </row>
    <row r="17" spans="1:17">
      <c r="A17" s="48"/>
      <c r="B17" s="67" t="s">
        <v>54</v>
      </c>
      <c r="C17" s="29">
        <v>5</v>
      </c>
      <c r="D17" s="68" t="s">
        <v>4</v>
      </c>
      <c r="E17" s="69" t="s">
        <v>76</v>
      </c>
      <c r="F17" s="54"/>
      <c r="G17" s="54"/>
      <c r="H17" s="54"/>
      <c r="I17" s="54"/>
      <c r="J17" s="54"/>
      <c r="K17" s="54"/>
      <c r="L17" s="54"/>
      <c r="M17" s="54"/>
      <c r="N17" s="54"/>
      <c r="O17" s="54"/>
      <c r="P17" s="55"/>
      <c r="Q17" s="50"/>
    </row>
    <row r="18" spans="1:17">
      <c r="A18" s="48"/>
      <c r="B18" s="67" t="s">
        <v>48</v>
      </c>
      <c r="C18" s="30" t="s">
        <v>38</v>
      </c>
      <c r="D18" s="68"/>
      <c r="E18" s="69" t="s">
        <v>82</v>
      </c>
      <c r="F18" s="54"/>
      <c r="G18" s="54"/>
      <c r="H18" s="54"/>
      <c r="I18" s="54"/>
      <c r="J18" s="54"/>
      <c r="K18" s="54"/>
      <c r="L18" s="54"/>
      <c r="M18" s="54"/>
      <c r="N18" s="54"/>
      <c r="O18" s="54"/>
      <c r="P18" s="55"/>
      <c r="Q18" s="50"/>
    </row>
    <row r="19" spans="1:17">
      <c r="A19" s="48"/>
      <c r="B19" s="67" t="s">
        <v>225</v>
      </c>
      <c r="C19" s="116" t="str">
        <f>IF(C18="Internal", "High","Low")</f>
        <v>High</v>
      </c>
      <c r="D19" s="68"/>
      <c r="E19" s="69" t="s">
        <v>226</v>
      </c>
      <c r="F19" s="54"/>
      <c r="G19" s="54"/>
      <c r="H19" s="54"/>
      <c r="I19" s="54"/>
      <c r="J19" s="54"/>
      <c r="K19" s="54"/>
      <c r="L19" s="54"/>
      <c r="M19" s="54"/>
      <c r="N19" s="54"/>
      <c r="O19" s="54"/>
      <c r="P19" s="55"/>
      <c r="Q19" s="50"/>
    </row>
    <row r="20" spans="1:17">
      <c r="A20" s="48"/>
      <c r="B20" s="67" t="s">
        <v>80</v>
      </c>
      <c r="C20" s="30" t="s">
        <v>230</v>
      </c>
      <c r="D20" s="68"/>
      <c r="E20" s="69" t="s">
        <v>83</v>
      </c>
      <c r="F20" s="54"/>
      <c r="G20" s="54"/>
      <c r="H20" s="54"/>
      <c r="I20" s="54"/>
      <c r="J20" s="54"/>
      <c r="K20" s="54"/>
      <c r="L20" s="54"/>
      <c r="M20" s="54"/>
      <c r="N20" s="54"/>
      <c r="O20" s="54"/>
      <c r="P20" s="55"/>
      <c r="Q20" s="50"/>
    </row>
    <row r="21" spans="1:17">
      <c r="A21" s="48"/>
      <c r="B21" s="67" t="s">
        <v>224</v>
      </c>
      <c r="C21" s="31" t="str">
        <f>IF(C20="FPWM", "High","Low")</f>
        <v>High</v>
      </c>
      <c r="D21" s="68"/>
      <c r="E21" s="69" t="s">
        <v>227</v>
      </c>
      <c r="F21" s="54"/>
      <c r="G21" s="54"/>
      <c r="H21" s="54"/>
      <c r="I21" s="54"/>
      <c r="J21" s="54"/>
      <c r="K21" s="54"/>
      <c r="L21" s="54"/>
      <c r="M21" s="54"/>
      <c r="N21" s="54"/>
      <c r="O21" s="54"/>
      <c r="P21" s="55"/>
      <c r="Q21" s="50"/>
    </row>
    <row r="22" spans="1:17" ht="25.5">
      <c r="A22" s="48"/>
      <c r="B22" s="67" t="s">
        <v>73</v>
      </c>
      <c r="C22" s="32">
        <v>100000</v>
      </c>
      <c r="D22" s="68" t="s">
        <v>28</v>
      </c>
      <c r="E22" s="69" t="s">
        <v>195</v>
      </c>
      <c r="F22" s="54"/>
      <c r="G22" s="54"/>
      <c r="H22" s="54"/>
      <c r="I22" s="54"/>
      <c r="J22" s="54"/>
      <c r="K22" s="54"/>
      <c r="L22" s="54"/>
      <c r="M22" s="54"/>
      <c r="N22" s="54"/>
      <c r="O22" s="54"/>
      <c r="P22" s="55"/>
      <c r="Q22" s="50"/>
    </row>
    <row r="23" spans="1:17">
      <c r="A23" s="48"/>
      <c r="B23" s="70" t="s">
        <v>228</v>
      </c>
      <c r="C23" s="33">
        <f>R_5/(Vout/1.2-1)</f>
        <v>6382.9787234042551</v>
      </c>
      <c r="D23" s="68" t="s">
        <v>28</v>
      </c>
      <c r="E23" s="69" t="s">
        <v>170</v>
      </c>
      <c r="F23" s="54"/>
      <c r="G23" s="54"/>
      <c r="H23" s="54"/>
      <c r="I23" s="54"/>
      <c r="J23" s="54"/>
      <c r="K23" s="54"/>
      <c r="L23" s="54"/>
      <c r="M23" s="54"/>
      <c r="N23" s="54"/>
      <c r="O23" s="54"/>
      <c r="P23" s="55"/>
      <c r="Q23" s="50"/>
    </row>
    <row r="24" spans="1:17">
      <c r="A24" s="48"/>
      <c r="B24" s="67" t="s">
        <v>75</v>
      </c>
      <c r="C24" s="29">
        <v>6</v>
      </c>
      <c r="D24" s="68" t="s">
        <v>4</v>
      </c>
      <c r="E24" s="69" t="s">
        <v>45</v>
      </c>
      <c r="F24" s="54"/>
      <c r="G24" s="54"/>
      <c r="H24" s="54"/>
      <c r="I24" s="54"/>
      <c r="J24" s="54"/>
      <c r="K24" s="54"/>
      <c r="L24" s="54"/>
      <c r="M24" s="54"/>
      <c r="N24" s="54"/>
      <c r="O24" s="54"/>
      <c r="P24" s="55"/>
      <c r="Q24" s="50"/>
    </row>
    <row r="25" spans="1:17">
      <c r="A25" s="48"/>
      <c r="B25" s="67" t="s">
        <v>46</v>
      </c>
      <c r="C25" s="23">
        <f>50/Iout_limit</f>
        <v>8.3333333333333339</v>
      </c>
      <c r="D25" s="68" t="s">
        <v>196</v>
      </c>
      <c r="E25" s="69" t="s">
        <v>47</v>
      </c>
      <c r="F25" s="54"/>
      <c r="G25" s="54"/>
      <c r="H25" s="54"/>
      <c r="I25" s="54"/>
      <c r="J25" s="54"/>
      <c r="K25" s="54"/>
      <c r="L25" s="54"/>
      <c r="M25" s="54"/>
      <c r="N25" s="54"/>
      <c r="O25" s="54"/>
      <c r="P25" s="55"/>
      <c r="Q25" s="50"/>
    </row>
    <row r="26" spans="1:17" ht="25.5">
      <c r="A26" s="48"/>
      <c r="B26" s="67" t="s">
        <v>201</v>
      </c>
      <c r="C26" s="34">
        <f>IF((Vout&gt;Vin_min), SQRT((Vout-Vin_min)/Vin_min)*Ioutmax, 1/SQRT(12)*Vout*(1-Vout/Vin_max)/L/fsw)</f>
        <v>5.5277079839256675</v>
      </c>
      <c r="D26" s="68" t="s">
        <v>19</v>
      </c>
      <c r="E26" s="69" t="s">
        <v>22</v>
      </c>
      <c r="F26" s="54"/>
      <c r="G26" s="54"/>
      <c r="H26" s="54"/>
      <c r="I26" s="54"/>
      <c r="J26" s="54"/>
      <c r="K26" s="54"/>
      <c r="L26" s="54"/>
      <c r="M26" s="54"/>
      <c r="N26" s="54"/>
      <c r="O26" s="54"/>
      <c r="P26" s="55"/>
      <c r="Q26" s="50"/>
    </row>
    <row r="27" spans="1:17" ht="25.5">
      <c r="A27" s="48"/>
      <c r="B27" s="67" t="s">
        <v>197</v>
      </c>
      <c r="C27" s="34">
        <f>IF((Vin_max&gt;Vout), IF(Vin_max&lt;(2*Vout), Ioutmax*SQRT(Vout*(Vin_max-Vout)/Vin_max/Vin_max), Ioutmax/2), IF(Vin_min&gt;Vout/2, 1/SQRT(12)*Vin_min*(1-Vin_min/Vout)/L/fsw, 1/SQRT(12)*Vout/4/L/fsw))</f>
        <v>2.4206145913796355</v>
      </c>
      <c r="D27" s="68" t="s">
        <v>19</v>
      </c>
      <c r="E27" s="69" t="s">
        <v>36</v>
      </c>
      <c r="F27" s="54"/>
      <c r="G27" s="54"/>
      <c r="H27" s="54"/>
      <c r="I27" s="54"/>
      <c r="J27" s="54"/>
      <c r="K27" s="54"/>
      <c r="L27" s="54"/>
      <c r="M27" s="54"/>
      <c r="N27" s="54"/>
      <c r="O27" s="54"/>
      <c r="P27" s="55"/>
      <c r="Q27" s="50"/>
    </row>
    <row r="28" spans="1:17">
      <c r="A28" s="48"/>
      <c r="B28" s="67" t="s">
        <v>2</v>
      </c>
      <c r="C28" s="35">
        <v>400000</v>
      </c>
      <c r="D28" s="68" t="s">
        <v>6</v>
      </c>
      <c r="E28" s="69" t="s">
        <v>16</v>
      </c>
      <c r="F28" s="54"/>
      <c r="G28" s="54"/>
      <c r="H28" s="54"/>
      <c r="I28" s="54"/>
      <c r="J28" s="54"/>
      <c r="K28" s="54"/>
      <c r="L28" s="54"/>
      <c r="M28" s="54"/>
      <c r="N28" s="54"/>
      <c r="O28" s="54"/>
      <c r="P28" s="55"/>
      <c r="Q28" s="50"/>
    </row>
    <row r="29" spans="1:17">
      <c r="A29" s="48"/>
      <c r="B29" s="70" t="s">
        <v>35</v>
      </c>
      <c r="C29" s="36">
        <f>(10^9/fsw-35)/0.05-250</f>
        <v>49050</v>
      </c>
      <c r="D29" s="68" t="s">
        <v>28</v>
      </c>
      <c r="E29" s="69" t="s">
        <v>34</v>
      </c>
      <c r="F29" s="54"/>
      <c r="G29" s="54"/>
      <c r="H29" s="54"/>
      <c r="I29" s="54"/>
      <c r="J29" s="54"/>
      <c r="K29" s="54"/>
      <c r="L29" s="54"/>
      <c r="M29" s="54"/>
      <c r="N29" s="54"/>
      <c r="O29" s="54"/>
      <c r="P29" s="55"/>
      <c r="Q29" s="50"/>
    </row>
    <row r="30" spans="1:17">
      <c r="A30" s="48"/>
      <c r="B30" s="67" t="s">
        <v>77</v>
      </c>
      <c r="C30" s="35">
        <v>1000</v>
      </c>
      <c r="D30" s="68" t="s">
        <v>6</v>
      </c>
      <c r="E30" s="69" t="s">
        <v>78</v>
      </c>
      <c r="F30" s="54"/>
      <c r="G30" s="54"/>
      <c r="H30" s="54"/>
      <c r="I30" s="54"/>
      <c r="J30" s="54"/>
      <c r="K30" s="54"/>
      <c r="L30" s="54"/>
      <c r="M30" s="54"/>
      <c r="N30" s="54"/>
      <c r="O30" s="54"/>
      <c r="P30" s="55"/>
      <c r="Q30" s="50"/>
    </row>
    <row r="31" spans="1:17">
      <c r="A31" s="48"/>
      <c r="B31" s="70" t="s">
        <v>79</v>
      </c>
      <c r="C31" s="37">
        <f>1/2.8/C29/C30</f>
        <v>7.2811999417504004E-9</v>
      </c>
      <c r="D31" s="68" t="s">
        <v>9</v>
      </c>
      <c r="E31" s="69"/>
      <c r="F31" s="126" t="s">
        <v>44</v>
      </c>
      <c r="G31" s="126"/>
      <c r="H31" s="126"/>
      <c r="I31" s="126"/>
      <c r="J31" s="126"/>
      <c r="K31" s="126"/>
      <c r="L31" s="126"/>
      <c r="M31" s="126"/>
      <c r="N31" s="126"/>
      <c r="O31" s="126"/>
      <c r="P31" s="127"/>
      <c r="Q31" s="50"/>
    </row>
    <row r="32" spans="1:17" ht="25.5">
      <c r="A32" s="48"/>
      <c r="B32" s="67" t="s">
        <v>202</v>
      </c>
      <c r="C32" s="38">
        <v>0.05</v>
      </c>
      <c r="D32" s="68" t="s">
        <v>20</v>
      </c>
      <c r="E32" s="69" t="s">
        <v>185</v>
      </c>
      <c r="F32" s="97"/>
      <c r="G32" s="98"/>
      <c r="H32" s="98"/>
      <c r="I32" s="98"/>
      <c r="J32" s="98"/>
      <c r="K32" s="98"/>
      <c r="L32" s="98"/>
      <c r="M32" s="98"/>
      <c r="N32" s="98"/>
      <c r="O32" s="98"/>
      <c r="P32" s="99"/>
      <c r="Q32" s="50"/>
    </row>
    <row r="33" spans="1:17" ht="27" customHeight="1">
      <c r="A33" s="48"/>
      <c r="B33" s="70" t="s">
        <v>52</v>
      </c>
      <c r="C33" s="39">
        <f>MAX((Vout-Vin_min)/Vout/fsw*Ioutmax/dVoutpkpk, 1/8/fsw*(ILpeak_max-ILvalley_max)/dVoutpkpk)</f>
        <v>1.3750000000000001E-4</v>
      </c>
      <c r="D33" s="68" t="s">
        <v>9</v>
      </c>
      <c r="E33" s="112" t="s">
        <v>37</v>
      </c>
      <c r="F33" s="111"/>
      <c r="G33" s="101"/>
      <c r="H33" s="101"/>
      <c r="I33" s="102"/>
      <c r="J33" s="101"/>
      <c r="K33" s="100"/>
      <c r="L33" s="101"/>
      <c r="M33" s="101"/>
      <c r="N33" s="101"/>
      <c r="O33" s="101"/>
      <c r="P33" s="113"/>
      <c r="Q33" s="114"/>
    </row>
    <row r="34" spans="1:17">
      <c r="A34" s="48"/>
      <c r="B34" s="128" t="s">
        <v>120</v>
      </c>
      <c r="C34" s="139">
        <v>9.9999999999999995E-7</v>
      </c>
      <c r="D34" s="141" t="s">
        <v>9</v>
      </c>
      <c r="E34" s="134" t="s">
        <v>174</v>
      </c>
      <c r="F34" s="154"/>
      <c r="G34" s="137"/>
      <c r="H34" s="103"/>
      <c r="I34" s="103"/>
      <c r="J34" s="103"/>
      <c r="K34" s="103"/>
      <c r="L34" s="103"/>
      <c r="M34" s="103"/>
      <c r="N34" s="103"/>
      <c r="O34" s="103"/>
      <c r="P34" s="138"/>
      <c r="Q34" s="114"/>
    </row>
    <row r="35" spans="1:17">
      <c r="A35" s="48"/>
      <c r="B35" s="129"/>
      <c r="C35" s="140"/>
      <c r="D35" s="142"/>
      <c r="E35" s="135"/>
      <c r="F35" s="154"/>
      <c r="G35" s="137"/>
      <c r="H35" s="103"/>
      <c r="I35" s="104"/>
      <c r="J35" s="105"/>
      <c r="K35" s="103"/>
      <c r="L35" s="105"/>
      <c r="M35" s="105"/>
      <c r="N35" s="105"/>
      <c r="O35" s="105"/>
      <c r="P35" s="138"/>
      <c r="Q35" s="114"/>
    </row>
    <row r="36" spans="1:17" ht="15.75" customHeight="1">
      <c r="A36" s="48"/>
      <c r="B36" s="128" t="s">
        <v>121</v>
      </c>
      <c r="C36" s="139">
        <v>6.7999999999999999E-5</v>
      </c>
      <c r="D36" s="141" t="s">
        <v>9</v>
      </c>
      <c r="E36" s="134" t="s">
        <v>127</v>
      </c>
      <c r="F36" s="154"/>
      <c r="G36" s="137"/>
      <c r="H36" s="103"/>
      <c r="I36" s="103"/>
      <c r="J36" s="103"/>
      <c r="K36" s="103"/>
      <c r="L36" s="103"/>
      <c r="M36" s="103"/>
      <c r="N36" s="103"/>
      <c r="O36" s="103"/>
      <c r="P36" s="138"/>
      <c r="Q36" s="114"/>
    </row>
    <row r="37" spans="1:17">
      <c r="A37" s="48"/>
      <c r="B37" s="129"/>
      <c r="C37" s="140"/>
      <c r="D37" s="142"/>
      <c r="E37" s="135"/>
      <c r="F37" s="154"/>
      <c r="G37" s="137"/>
      <c r="H37" s="103"/>
      <c r="I37" s="103"/>
      <c r="J37" s="103"/>
      <c r="K37" s="103"/>
      <c r="L37" s="103"/>
      <c r="M37" s="103"/>
      <c r="N37" s="105"/>
      <c r="O37" s="105"/>
      <c r="P37" s="138"/>
      <c r="Q37" s="114"/>
    </row>
    <row r="38" spans="1:17">
      <c r="A38" s="48"/>
      <c r="B38" s="128" t="s">
        <v>171</v>
      </c>
      <c r="C38" s="157">
        <v>3.0000000000000001E-3</v>
      </c>
      <c r="D38" s="141" t="s">
        <v>28</v>
      </c>
      <c r="E38" s="134" t="s">
        <v>111</v>
      </c>
      <c r="F38" s="154"/>
      <c r="G38" s="137"/>
      <c r="H38" s="103"/>
      <c r="I38" s="103"/>
      <c r="J38" s="103"/>
      <c r="K38" s="103"/>
      <c r="L38" s="103"/>
      <c r="M38" s="105"/>
      <c r="N38" s="105"/>
      <c r="O38" s="105"/>
      <c r="P38" s="138"/>
      <c r="Q38" s="114"/>
    </row>
    <row r="39" spans="1:17">
      <c r="A39" s="48"/>
      <c r="B39" s="129"/>
      <c r="C39" s="158"/>
      <c r="D39" s="142"/>
      <c r="E39" s="135"/>
      <c r="F39" s="154"/>
      <c r="G39" s="137"/>
      <c r="H39" s="106"/>
      <c r="I39" s="107"/>
      <c r="J39" s="105"/>
      <c r="K39" s="103"/>
      <c r="L39" s="105"/>
      <c r="M39" s="105"/>
      <c r="N39" s="105"/>
      <c r="O39" s="105"/>
      <c r="P39" s="138"/>
      <c r="Q39" s="114"/>
    </row>
    <row r="40" spans="1:17">
      <c r="A40" s="48"/>
      <c r="B40" s="128" t="s">
        <v>198</v>
      </c>
      <c r="C40" s="155">
        <v>0.05</v>
      </c>
      <c r="D40" s="141" t="s">
        <v>20</v>
      </c>
      <c r="E40" s="134" t="s">
        <v>50</v>
      </c>
      <c r="F40" s="154"/>
      <c r="G40" s="137"/>
      <c r="H40" s="103"/>
      <c r="I40" s="103"/>
      <c r="J40" s="105"/>
      <c r="K40" s="103"/>
      <c r="L40" s="103"/>
      <c r="M40" s="103"/>
      <c r="N40" s="105"/>
      <c r="O40" s="105"/>
      <c r="P40" s="138"/>
      <c r="Q40" s="114"/>
    </row>
    <row r="41" spans="1:17">
      <c r="A41" s="48"/>
      <c r="B41" s="129"/>
      <c r="C41" s="156"/>
      <c r="D41" s="142"/>
      <c r="E41" s="135"/>
      <c r="F41" s="154"/>
      <c r="G41" s="137"/>
      <c r="H41" s="103"/>
      <c r="I41" s="103"/>
      <c r="J41" s="105"/>
      <c r="K41" s="105"/>
      <c r="L41" s="103"/>
      <c r="M41" s="103"/>
      <c r="N41" s="105"/>
      <c r="O41" s="105"/>
      <c r="P41" s="138"/>
      <c r="Q41" s="114"/>
    </row>
    <row r="42" spans="1:17">
      <c r="A42" s="48"/>
      <c r="B42" s="159" t="s">
        <v>51</v>
      </c>
      <c r="C42" s="161">
        <f>Ioutmax*0.25/dVinpkpk/fsw</f>
        <v>6.2500000000000001E-5</v>
      </c>
      <c r="D42" s="141" t="s">
        <v>9</v>
      </c>
      <c r="E42" s="134" t="s">
        <v>84</v>
      </c>
      <c r="F42" s="154"/>
      <c r="G42" s="137"/>
      <c r="H42" s="103"/>
      <c r="I42" s="103"/>
      <c r="J42" s="103"/>
      <c r="K42" s="103"/>
      <c r="L42" s="103"/>
      <c r="M42" s="103"/>
      <c r="N42" s="105"/>
      <c r="O42" s="105"/>
      <c r="P42" s="138"/>
      <c r="Q42" s="114"/>
    </row>
    <row r="43" spans="1:17">
      <c r="A43" s="48"/>
      <c r="B43" s="160"/>
      <c r="C43" s="162"/>
      <c r="D43" s="142"/>
      <c r="E43" s="135"/>
      <c r="F43" s="154"/>
      <c r="G43" s="137"/>
      <c r="H43" s="103"/>
      <c r="I43" s="103"/>
      <c r="J43" s="103"/>
      <c r="K43" s="103"/>
      <c r="L43" s="103"/>
      <c r="M43" s="103"/>
      <c r="N43" s="105"/>
      <c r="O43" s="105"/>
      <c r="P43" s="138"/>
      <c r="Q43" s="114"/>
    </row>
    <row r="44" spans="1:17">
      <c r="A44" s="48"/>
      <c r="B44" s="128" t="s">
        <v>53</v>
      </c>
      <c r="C44" s="139">
        <v>6.2500000000000001E-5</v>
      </c>
      <c r="D44" s="141" t="s">
        <v>9</v>
      </c>
      <c r="E44" s="134" t="s">
        <v>31</v>
      </c>
      <c r="F44" s="136"/>
      <c r="G44" s="137"/>
      <c r="H44" s="103"/>
      <c r="I44" s="103"/>
      <c r="J44" s="103"/>
      <c r="K44" s="103"/>
      <c r="L44" s="103"/>
      <c r="M44" s="103"/>
      <c r="N44" s="105"/>
      <c r="O44" s="105"/>
      <c r="P44" s="138"/>
      <c r="Q44" s="114"/>
    </row>
    <row r="45" spans="1:17">
      <c r="A45" s="48"/>
      <c r="B45" s="129"/>
      <c r="C45" s="140"/>
      <c r="D45" s="142"/>
      <c r="E45" s="135"/>
      <c r="F45" s="136"/>
      <c r="G45" s="137"/>
      <c r="H45" s="103"/>
      <c r="I45" s="103"/>
      <c r="J45" s="103"/>
      <c r="K45" s="103"/>
      <c r="L45" s="103"/>
      <c r="M45" s="105"/>
      <c r="N45" s="105"/>
      <c r="O45" s="105"/>
      <c r="P45" s="138"/>
      <c r="Q45" s="114"/>
    </row>
    <row r="46" spans="1:17">
      <c r="A46" s="48"/>
      <c r="B46" s="128" t="s">
        <v>205</v>
      </c>
      <c r="C46" s="130">
        <v>0.95</v>
      </c>
      <c r="D46" s="132"/>
      <c r="E46" s="134" t="s">
        <v>39</v>
      </c>
      <c r="F46" s="136"/>
      <c r="G46" s="137"/>
      <c r="H46" s="103"/>
      <c r="I46" s="103"/>
      <c r="J46" s="103"/>
      <c r="K46" s="103"/>
      <c r="L46" s="103"/>
      <c r="M46" s="103"/>
      <c r="N46" s="103"/>
      <c r="O46" s="103"/>
      <c r="P46" s="138"/>
      <c r="Q46" s="114"/>
    </row>
    <row r="47" spans="1:17">
      <c r="A47" s="48"/>
      <c r="B47" s="129"/>
      <c r="C47" s="131"/>
      <c r="D47" s="133"/>
      <c r="E47" s="135"/>
      <c r="F47" s="136"/>
      <c r="G47" s="137"/>
      <c r="H47" s="108"/>
      <c r="I47" s="108"/>
      <c r="J47" s="108"/>
      <c r="K47" s="108"/>
      <c r="L47" s="109"/>
      <c r="M47" s="109"/>
      <c r="N47" s="110"/>
      <c r="O47" s="109"/>
      <c r="P47" s="138"/>
      <c r="Q47" s="114"/>
    </row>
    <row r="48" spans="1:17">
      <c r="A48" s="48"/>
      <c r="B48" s="128" t="s">
        <v>11</v>
      </c>
      <c r="C48" s="163">
        <v>0.5</v>
      </c>
      <c r="D48" s="132"/>
      <c r="E48" s="134" t="s">
        <v>86</v>
      </c>
      <c r="F48" s="136"/>
      <c r="G48" s="137"/>
      <c r="H48" s="105"/>
      <c r="I48" s="105"/>
      <c r="J48" s="105"/>
      <c r="K48" s="105"/>
      <c r="L48" s="105"/>
      <c r="M48" s="103"/>
      <c r="N48" s="105"/>
      <c r="O48" s="105"/>
      <c r="P48" s="138"/>
      <c r="Q48" s="114"/>
    </row>
    <row r="49" spans="1:17">
      <c r="A49" s="48"/>
      <c r="B49" s="129"/>
      <c r="C49" s="164"/>
      <c r="D49" s="133"/>
      <c r="E49" s="135"/>
      <c r="F49" s="136"/>
      <c r="G49" s="137"/>
      <c r="H49" s="105"/>
      <c r="I49" s="105"/>
      <c r="J49" s="105"/>
      <c r="K49" s="105"/>
      <c r="L49" s="105"/>
      <c r="M49" s="103"/>
      <c r="N49" s="105"/>
      <c r="O49" s="105"/>
      <c r="P49" s="138"/>
      <c r="Q49" s="114"/>
    </row>
    <row r="50" spans="1:17" ht="25.5">
      <c r="A50" s="48"/>
      <c r="B50" s="67" t="s">
        <v>97</v>
      </c>
      <c r="C50" s="39">
        <f>IF(Vout&gt;Vin_min, Vin_min^2*eff*(Vout-Vin_min)/(K*Ioutmax*fsw*Vout^2), (1-Vout/Vin_max)*Vout/(K*Ioutmax*fsw))</f>
        <v>2.116125E-6</v>
      </c>
      <c r="D50" s="68" t="s">
        <v>5</v>
      </c>
      <c r="E50" s="69" t="s">
        <v>85</v>
      </c>
      <c r="F50" s="54"/>
      <c r="G50" s="54"/>
      <c r="H50" s="54"/>
      <c r="I50" s="54"/>
      <c r="J50" s="54"/>
      <c r="K50" s="54"/>
      <c r="L50" s="54"/>
      <c r="M50" s="54"/>
      <c r="N50" s="54"/>
      <c r="O50" s="54"/>
      <c r="P50" s="55"/>
      <c r="Q50" s="50"/>
    </row>
    <row r="51" spans="1:17" ht="15.6" customHeight="1">
      <c r="A51" s="48"/>
      <c r="B51" s="67" t="s">
        <v>17</v>
      </c>
      <c r="C51" s="40">
        <v>2.116125E-6</v>
      </c>
      <c r="D51" s="68" t="s">
        <v>5</v>
      </c>
      <c r="E51" s="69"/>
      <c r="F51" s="54"/>
      <c r="G51" s="54"/>
      <c r="H51" s="54"/>
      <c r="I51" s="54"/>
      <c r="J51" s="54"/>
      <c r="K51" s="54"/>
      <c r="L51" s="54"/>
      <c r="M51" s="54"/>
      <c r="N51" s="54"/>
      <c r="O51" s="54"/>
      <c r="P51" s="55"/>
      <c r="Q51" s="50"/>
    </row>
    <row r="52" spans="1:17">
      <c r="A52" s="48"/>
      <c r="B52" s="67" t="s">
        <v>162</v>
      </c>
      <c r="C52" s="34">
        <f>IF(Vout&gt;Vin_min, ((Ioutmax/(Vin_min/Vout)/eff)^2+1/12*(Vin_min/L*(1-Vin_min/Vout)/fsw)^2)^0.5, ((Ioutmax^2+1/12*(Vout/L*(1-Vout/Vin_max)/fsw)^2)^0.5))</f>
        <v>11.817110772887078</v>
      </c>
      <c r="D52" s="68" t="s">
        <v>19</v>
      </c>
      <c r="E52" s="69" t="s">
        <v>14</v>
      </c>
      <c r="F52" s="54"/>
      <c r="G52" s="54"/>
      <c r="H52" s="54"/>
      <c r="I52" s="54"/>
      <c r="J52" s="54"/>
      <c r="K52" s="54"/>
      <c r="L52" s="54"/>
      <c r="M52" s="54"/>
      <c r="N52" s="54"/>
      <c r="O52" s="54"/>
      <c r="P52" s="55"/>
      <c r="Q52" s="50"/>
    </row>
    <row r="53" spans="1:17" ht="25.5" customHeight="1">
      <c r="A53" s="48"/>
      <c r="B53" s="67" t="s">
        <v>164</v>
      </c>
      <c r="C53" s="34">
        <f>IF(Vout&gt;Vin_min, (Ioutmax/(Vin_min/Vout)/eff+(1/2*Vin_min/L*(1-Vin_min/Vout)/fsw)), Ioutmax+1/2*(Vout*(1-Vout/Vin_max)/L/fsw))</f>
        <v>14.619883040935672</v>
      </c>
      <c r="D53" s="68" t="s">
        <v>4</v>
      </c>
      <c r="E53" s="69" t="s">
        <v>208</v>
      </c>
      <c r="F53" s="54"/>
      <c r="G53" s="72"/>
      <c r="H53" s="73"/>
      <c r="I53" s="72"/>
      <c r="J53" s="71"/>
      <c r="K53" s="54"/>
      <c r="L53" s="54"/>
      <c r="M53" s="54"/>
      <c r="N53" s="54"/>
      <c r="O53" s="54"/>
      <c r="P53" s="55"/>
      <c r="Q53" s="50"/>
    </row>
    <row r="54" spans="1:17" ht="14.45" customHeight="1">
      <c r="A54" s="48"/>
      <c r="B54" s="67" t="s">
        <v>244</v>
      </c>
      <c r="C54" s="34">
        <f>(ILpeak_max+ILvalley_max)/2</f>
        <v>11.695906432748538</v>
      </c>
      <c r="D54" s="68" t="s">
        <v>4</v>
      </c>
      <c r="E54" s="69" t="s">
        <v>245</v>
      </c>
      <c r="F54" s="54"/>
      <c r="G54" s="72"/>
      <c r="H54" s="73"/>
      <c r="I54" s="72"/>
      <c r="J54" s="71"/>
      <c r="K54" s="54"/>
      <c r="L54" s="54"/>
      <c r="M54" s="54"/>
      <c r="N54" s="54"/>
      <c r="O54" s="54"/>
      <c r="P54" s="55"/>
      <c r="Q54" s="50"/>
    </row>
    <row r="55" spans="1:17">
      <c r="A55" s="48"/>
      <c r="B55" s="67" t="s">
        <v>165</v>
      </c>
      <c r="C55" s="34">
        <f>IF(Vout&gt;Vin_min, (Ioutmax/(Vin_min/Vout)/eff-(1/2*Vin_min/L*(1-Vin_min/Vout)/fsw)), Ioutmax-1/2*(Vout*(1-Vout/Vin_max)/L/fsw))</f>
        <v>8.7719298245614041</v>
      </c>
      <c r="D55" s="68" t="s">
        <v>4</v>
      </c>
      <c r="E55" s="69"/>
      <c r="F55" s="54"/>
      <c r="G55" s="72"/>
      <c r="H55" s="73"/>
      <c r="I55" s="72"/>
      <c r="J55" s="71"/>
      <c r="K55" s="54"/>
      <c r="L55" s="54"/>
      <c r="M55" s="54"/>
      <c r="N55" s="54"/>
      <c r="O55" s="54"/>
      <c r="P55" s="55"/>
      <c r="Q55" s="50"/>
    </row>
    <row r="56" spans="1:17">
      <c r="A56" s="48"/>
      <c r="B56" s="67" t="s">
        <v>186</v>
      </c>
      <c r="C56" s="94">
        <v>8</v>
      </c>
      <c r="D56" s="68" t="s">
        <v>4</v>
      </c>
      <c r="E56" s="69" t="s">
        <v>243</v>
      </c>
      <c r="F56" s="54"/>
      <c r="G56" s="72"/>
      <c r="H56" s="73"/>
      <c r="I56" s="72"/>
      <c r="J56" s="71"/>
      <c r="K56" s="54"/>
      <c r="L56" s="54"/>
      <c r="M56" s="54"/>
      <c r="N56" s="54"/>
      <c r="O56" s="54"/>
      <c r="P56" s="55"/>
      <c r="Q56" s="50"/>
    </row>
    <row r="57" spans="1:17">
      <c r="A57" s="48"/>
      <c r="B57" s="74" t="s">
        <v>87</v>
      </c>
      <c r="C57" s="41">
        <v>0</v>
      </c>
      <c r="D57" s="68" t="s">
        <v>89</v>
      </c>
      <c r="E57" s="69" t="s">
        <v>88</v>
      </c>
      <c r="F57" s="54"/>
      <c r="G57" s="72"/>
      <c r="H57" s="73"/>
      <c r="I57" s="72"/>
      <c r="J57" s="71"/>
      <c r="K57" s="54"/>
      <c r="L57" s="54"/>
      <c r="M57" s="54"/>
      <c r="N57" s="54"/>
      <c r="O57" s="54"/>
      <c r="P57" s="55"/>
      <c r="Q57" s="50"/>
    </row>
    <row r="58" spans="1:17">
      <c r="A58" s="48"/>
      <c r="B58" s="70" t="s">
        <v>95</v>
      </c>
      <c r="C58" s="42" t="str">
        <f>IF((C57=0), "floating", 3*R_7/C57)</f>
        <v>floating</v>
      </c>
      <c r="D58" s="68" t="s">
        <v>49</v>
      </c>
      <c r="E58" s="69" t="s">
        <v>96</v>
      </c>
      <c r="F58" s="54"/>
      <c r="G58" s="54"/>
      <c r="H58" s="54"/>
      <c r="I58" s="54"/>
      <c r="J58" s="54"/>
      <c r="K58" s="54"/>
      <c r="L58" s="54"/>
      <c r="M58" s="54"/>
      <c r="N58" s="54"/>
      <c r="O58" s="54"/>
      <c r="P58" s="55"/>
      <c r="Q58" s="50"/>
    </row>
    <row r="59" spans="1:17">
      <c r="A59" s="48"/>
      <c r="B59" s="125" t="s">
        <v>182</v>
      </c>
      <c r="C59" s="123"/>
      <c r="D59" s="123"/>
      <c r="E59" s="123"/>
      <c r="F59" s="122" t="s">
        <v>150</v>
      </c>
      <c r="G59" s="123"/>
      <c r="H59" s="123"/>
      <c r="I59" s="123"/>
      <c r="J59" s="123"/>
      <c r="K59" s="123"/>
      <c r="L59" s="123"/>
      <c r="M59" s="123"/>
      <c r="N59" s="123"/>
      <c r="O59" s="123"/>
      <c r="P59" s="124"/>
      <c r="Q59" s="50"/>
    </row>
    <row r="60" spans="1:17">
      <c r="A60" s="48"/>
      <c r="B60" s="67" t="s">
        <v>0</v>
      </c>
      <c r="C60" s="23">
        <v>9</v>
      </c>
      <c r="D60" s="68" t="s">
        <v>3</v>
      </c>
      <c r="E60" s="117" t="s">
        <v>184</v>
      </c>
      <c r="F60" s="54"/>
      <c r="G60" s="54"/>
      <c r="H60" s="54"/>
      <c r="I60" s="54"/>
      <c r="J60" s="54"/>
      <c r="K60" s="54"/>
      <c r="L60" s="54"/>
      <c r="M60" s="54"/>
      <c r="N60" s="54"/>
      <c r="O60" s="54"/>
      <c r="P60" s="55"/>
      <c r="Q60" s="50"/>
    </row>
    <row r="61" spans="1:17">
      <c r="A61" s="48"/>
      <c r="B61" s="67" t="s">
        <v>30</v>
      </c>
      <c r="C61" s="115">
        <f>Vout</f>
        <v>20</v>
      </c>
      <c r="D61" s="68" t="s">
        <v>3</v>
      </c>
      <c r="E61" s="118"/>
      <c r="F61" s="54"/>
      <c r="G61" s="54"/>
      <c r="H61" s="54"/>
      <c r="I61" s="54"/>
      <c r="J61" s="54"/>
      <c r="K61" s="54"/>
      <c r="L61" s="54"/>
      <c r="M61" s="54"/>
      <c r="N61" s="54"/>
      <c r="O61" s="54"/>
      <c r="P61" s="55"/>
      <c r="Q61" s="50"/>
    </row>
    <row r="62" spans="1:17" ht="12.75" customHeight="1">
      <c r="A62" s="75"/>
      <c r="B62" s="67" t="s">
        <v>146</v>
      </c>
      <c r="C62" s="31" t="str">
        <f>IF((Vin_LP &gt; Vout_LP),"Buck","Boost")</f>
        <v>Boost</v>
      </c>
      <c r="D62" s="68"/>
      <c r="E62" s="69" t="s">
        <v>158</v>
      </c>
      <c r="F62" s="54"/>
      <c r="G62" s="54"/>
      <c r="H62" s="54"/>
      <c r="I62" s="54"/>
      <c r="J62" s="54"/>
      <c r="K62" s="54"/>
      <c r="L62" s="54"/>
      <c r="M62" s="54"/>
      <c r="N62" s="54"/>
      <c r="O62" s="54"/>
      <c r="P62" s="55"/>
      <c r="Q62" s="50"/>
    </row>
    <row r="63" spans="1:17" ht="12.75" customHeight="1">
      <c r="A63" s="75"/>
      <c r="B63" s="67" t="s">
        <v>211</v>
      </c>
      <c r="C63" s="43">
        <f>17+Ioutmax/2.5</f>
        <v>19</v>
      </c>
      <c r="D63" s="68" t="s">
        <v>124</v>
      </c>
      <c r="E63" s="69" t="s">
        <v>126</v>
      </c>
      <c r="F63" s="54"/>
      <c r="G63" s="54"/>
      <c r="H63" s="54"/>
      <c r="I63" s="54"/>
      <c r="J63" s="54"/>
      <c r="K63" s="54"/>
      <c r="L63" s="54"/>
      <c r="M63" s="54"/>
      <c r="N63" s="54"/>
      <c r="O63" s="54"/>
      <c r="P63" s="55"/>
      <c r="Q63" s="50"/>
    </row>
    <row r="64" spans="1:17" ht="12.75" customHeight="1">
      <c r="A64" s="75"/>
      <c r="B64" s="67" t="s">
        <v>210</v>
      </c>
      <c r="C64" s="31">
        <f>IF((Op_mode="Buck"), Ioutmax/2/PI()/Vout_LP/(Cout_c+Cout_e), Ioutmax/PI()/Vout_LP/(Cout_c+Cout_e))</f>
        <v>1153.2966890717055</v>
      </c>
      <c r="D64" s="68" t="s">
        <v>6</v>
      </c>
      <c r="E64" s="69" t="s">
        <v>149</v>
      </c>
      <c r="F64" s="54"/>
      <c r="G64" s="54"/>
      <c r="H64" s="54"/>
      <c r="I64" s="54"/>
      <c r="J64" s="54"/>
      <c r="K64" s="54"/>
      <c r="L64" s="54"/>
      <c r="M64" s="54"/>
      <c r="N64" s="54"/>
      <c r="O64" s="54"/>
      <c r="P64" s="55"/>
      <c r="Q64" s="50"/>
    </row>
    <row r="65" spans="1:17" ht="12.75" customHeight="1">
      <c r="A65" s="75"/>
      <c r="B65" s="67" t="s">
        <v>214</v>
      </c>
      <c r="C65" s="31">
        <f>IF(Op_mode="Boost", Vout_LP*(eff*Vin_LP/Vout_LP)^2/2/PI()/L/Ioutmax, "No RPHZ")</f>
        <v>54980.798522654746</v>
      </c>
      <c r="D65" s="68" t="s">
        <v>6</v>
      </c>
      <c r="E65" s="69" t="s">
        <v>147</v>
      </c>
      <c r="F65" s="54"/>
      <c r="G65" s="54"/>
      <c r="H65" s="54"/>
      <c r="I65" s="54"/>
      <c r="J65" s="54"/>
      <c r="K65" s="54"/>
      <c r="L65" s="54"/>
      <c r="M65" s="54"/>
      <c r="N65" s="54"/>
      <c r="O65" s="54"/>
      <c r="P65" s="55"/>
      <c r="Q65" s="50"/>
    </row>
    <row r="66" spans="1:17" ht="12.75" customHeight="1">
      <c r="A66" s="75"/>
      <c r="B66" s="67" t="s">
        <v>215</v>
      </c>
      <c r="C66" s="31">
        <f>1/2/PI()/Cout_e/ESR</f>
        <v>780171.28966615361</v>
      </c>
      <c r="D66" s="68" t="s">
        <v>6</v>
      </c>
      <c r="E66" s="69" t="s">
        <v>148</v>
      </c>
      <c r="F66" s="54"/>
      <c r="G66" s="54"/>
      <c r="H66" s="54"/>
      <c r="I66" s="54"/>
      <c r="J66" s="54"/>
      <c r="K66" s="54"/>
      <c r="L66" s="54"/>
      <c r="M66" s="54"/>
      <c r="N66" s="54"/>
      <c r="O66" s="54"/>
      <c r="P66" s="55"/>
      <c r="Q66" s="50"/>
    </row>
    <row r="67" spans="1:17" ht="12.75" customHeight="1">
      <c r="A67" s="75"/>
      <c r="B67" s="67" t="s">
        <v>27</v>
      </c>
      <c r="C67" s="22">
        <v>8000</v>
      </c>
      <c r="D67" s="68" t="s">
        <v>6</v>
      </c>
      <c r="E67" s="69" t="s">
        <v>32</v>
      </c>
      <c r="F67" s="54"/>
      <c r="G67" s="54"/>
      <c r="H67" s="54"/>
      <c r="I67" s="54"/>
      <c r="J67" s="54"/>
      <c r="K67" s="54"/>
      <c r="L67" s="54"/>
      <c r="M67" s="54"/>
      <c r="N67" s="54"/>
      <c r="O67" s="54"/>
      <c r="P67" s="55"/>
      <c r="Q67" s="50"/>
    </row>
    <row r="68" spans="1:17" ht="12.75" customHeight="1">
      <c r="A68" s="75"/>
      <c r="B68" s="67" t="s">
        <v>212</v>
      </c>
      <c r="C68" s="76">
        <v>1.9000000000000001E-4</v>
      </c>
      <c r="D68" s="68" t="s">
        <v>124</v>
      </c>
      <c r="E68" s="69" t="s">
        <v>125</v>
      </c>
      <c r="F68" s="54"/>
      <c r="G68" s="54"/>
      <c r="H68" s="54"/>
      <c r="I68" s="54"/>
      <c r="J68" s="54"/>
      <c r="K68" s="54"/>
      <c r="L68" s="54"/>
      <c r="M68" s="54"/>
      <c r="N68" s="54"/>
      <c r="O68" s="54"/>
      <c r="P68" s="55"/>
      <c r="Q68" s="50"/>
    </row>
    <row r="69" spans="1:17">
      <c r="A69" s="75"/>
      <c r="B69" s="70" t="s">
        <v>90</v>
      </c>
      <c r="C69" s="25">
        <f>IF(Op_mode="Boost", 2*PI()*fco*(Cout_c+Cout_e)*Vout/1.129/gm_PS/(eff*Vin_LP/Vout_LP)/gm_EA, 2*PI()*fco*(Cout_c+Cout_e)*Vout/1.129/gm_PS/gm_EA)</f>
        <v>39811.787642063886</v>
      </c>
      <c r="D69" s="68" t="s">
        <v>28</v>
      </c>
      <c r="E69" s="68"/>
      <c r="F69" s="54"/>
      <c r="G69" s="54"/>
      <c r="H69" s="54"/>
      <c r="I69" s="54"/>
      <c r="J69" s="54"/>
      <c r="K69" s="54"/>
      <c r="L69" s="54"/>
      <c r="M69" s="54"/>
      <c r="N69" s="54"/>
      <c r="O69" s="54"/>
      <c r="P69" s="55"/>
      <c r="Q69" s="50"/>
    </row>
    <row r="70" spans="1:17">
      <c r="A70" s="75"/>
      <c r="B70" s="67" t="s">
        <v>110</v>
      </c>
      <c r="C70" s="22">
        <v>39811.787642063886</v>
      </c>
      <c r="D70" s="68" t="s">
        <v>28</v>
      </c>
      <c r="E70" s="68" t="s">
        <v>169</v>
      </c>
      <c r="F70" s="54"/>
      <c r="G70" s="54"/>
      <c r="H70" s="54"/>
      <c r="I70" s="54"/>
      <c r="J70" s="54"/>
      <c r="K70" s="54"/>
      <c r="L70" s="54"/>
      <c r="M70" s="54"/>
      <c r="N70" s="54"/>
      <c r="O70" s="54"/>
      <c r="P70" s="55"/>
      <c r="Q70" s="50"/>
    </row>
    <row r="71" spans="1:17">
      <c r="A71" s="75"/>
      <c r="B71" s="70" t="s">
        <v>91</v>
      </c>
      <c r="C71" s="39">
        <f>1/(2*PI()*(fco/10)*(Rcomp+2000))</f>
        <v>4.7580763723368286E-9</v>
      </c>
      <c r="D71" s="68" t="s">
        <v>9</v>
      </c>
      <c r="E71" s="68" t="s">
        <v>218</v>
      </c>
      <c r="F71" s="54"/>
      <c r="G71" s="54"/>
      <c r="H71" s="54"/>
      <c r="I71" s="54"/>
      <c r="J71" s="54"/>
      <c r="K71" s="54"/>
      <c r="L71" s="54"/>
      <c r="M71" s="54"/>
      <c r="N71" s="54"/>
      <c r="O71" s="54"/>
      <c r="P71" s="55"/>
      <c r="Q71" s="50"/>
    </row>
    <row r="72" spans="1:17">
      <c r="A72" s="75"/>
      <c r="B72" s="67" t="s">
        <v>92</v>
      </c>
      <c r="C72" s="40">
        <v>4.6999999999999999E-9</v>
      </c>
      <c r="D72" s="68" t="s">
        <v>9</v>
      </c>
      <c r="E72" s="68"/>
      <c r="F72" s="54"/>
      <c r="G72" s="54"/>
      <c r="H72" s="54"/>
      <c r="I72" s="54"/>
      <c r="J72" s="54"/>
      <c r="K72" s="54"/>
      <c r="L72" s="54"/>
      <c r="M72" s="54"/>
      <c r="N72" s="54"/>
      <c r="O72" s="54"/>
      <c r="P72" s="55"/>
      <c r="Q72" s="50"/>
    </row>
    <row r="73" spans="1:17">
      <c r="A73" s="75"/>
      <c r="B73" s="67" t="s">
        <v>213</v>
      </c>
      <c r="C73" s="25">
        <f>1/2/PI()/(Rcomp+2000)/Ccomp</f>
        <v>809.88533997222612</v>
      </c>
      <c r="D73" s="68" t="s">
        <v>6</v>
      </c>
      <c r="E73" s="68" t="s">
        <v>217</v>
      </c>
      <c r="F73" s="54"/>
      <c r="G73" s="54"/>
      <c r="H73" s="54"/>
      <c r="I73" s="54"/>
      <c r="J73" s="54"/>
      <c r="K73" s="54"/>
      <c r="L73" s="54"/>
      <c r="M73" s="54"/>
      <c r="N73" s="54"/>
      <c r="O73" s="54"/>
      <c r="P73" s="55"/>
      <c r="Q73" s="50"/>
    </row>
    <row r="74" spans="1:17" ht="38.25">
      <c r="A74" s="75"/>
      <c r="B74" s="70" t="s">
        <v>93</v>
      </c>
      <c r="C74" s="44">
        <f>Ccomp*(IF(fzRHP&gt;fz_ESR, (Cout_e*ESR/Rcomp)/(Ccomp-Cout_e*ESR/Rcomp), (1/2/PI()/fzRHP/Rcomp)/(Ccomp-1/2/PI()/fzRHP/Rcomp)))</f>
        <v>7.3853078058923618E-11</v>
      </c>
      <c r="D74" s="68" t="s">
        <v>9</v>
      </c>
      <c r="E74" s="69" t="s">
        <v>221</v>
      </c>
      <c r="F74" s="71"/>
      <c r="G74" s="54"/>
      <c r="H74" s="54"/>
      <c r="I74" s="54"/>
      <c r="J74" s="54"/>
      <c r="K74" s="54"/>
      <c r="L74" s="54"/>
      <c r="M74" s="54"/>
      <c r="N74" s="54"/>
      <c r="O74" s="54"/>
      <c r="P74" s="55"/>
      <c r="Q74" s="50"/>
    </row>
    <row r="75" spans="1:17">
      <c r="A75" s="75"/>
      <c r="B75" s="77" t="s">
        <v>94</v>
      </c>
      <c r="C75" s="45">
        <v>1E-10</v>
      </c>
      <c r="D75" s="78" t="s">
        <v>9</v>
      </c>
      <c r="E75" s="78"/>
      <c r="F75" s="54"/>
      <c r="G75" s="54"/>
      <c r="H75" s="54"/>
      <c r="I75" s="54"/>
      <c r="J75" s="54"/>
      <c r="K75" s="54"/>
      <c r="L75" s="54"/>
      <c r="M75" s="54"/>
      <c r="N75" s="54"/>
      <c r="O75" s="54"/>
      <c r="P75" s="55"/>
      <c r="Q75" s="50"/>
    </row>
    <row r="76" spans="1:17">
      <c r="A76" s="75"/>
      <c r="B76" s="77" t="s">
        <v>216</v>
      </c>
      <c r="C76" s="26">
        <f>1/2/PI()/(Rcomp+2000)/(Ccomp*(Cp+0.000000000003)/(Ccomp+Cp+0.000000000003))</f>
        <v>37765.818328996138</v>
      </c>
      <c r="D76" s="78" t="s">
        <v>6</v>
      </c>
      <c r="E76" s="78" t="s">
        <v>183</v>
      </c>
      <c r="F76" s="54"/>
      <c r="G76" s="54"/>
      <c r="H76" s="54"/>
      <c r="I76" s="54"/>
      <c r="J76" s="54"/>
      <c r="K76" s="54"/>
      <c r="L76" s="54"/>
      <c r="M76" s="54"/>
      <c r="N76" s="54"/>
      <c r="O76" s="54"/>
      <c r="P76" s="55"/>
      <c r="Q76" s="50"/>
    </row>
    <row r="77" spans="1:17">
      <c r="A77" s="75"/>
      <c r="B77" s="121" t="s">
        <v>209</v>
      </c>
      <c r="C77" s="119"/>
      <c r="D77" s="119"/>
      <c r="E77" s="119"/>
      <c r="F77" s="54"/>
      <c r="G77" s="54"/>
      <c r="H77" s="54"/>
      <c r="I77" s="54"/>
      <c r="J77" s="54"/>
      <c r="K77" s="54"/>
      <c r="L77" s="54"/>
      <c r="M77" s="54"/>
      <c r="N77" s="54"/>
      <c r="O77" s="54"/>
      <c r="P77" s="55"/>
      <c r="Q77" s="50"/>
    </row>
    <row r="78" spans="1:17">
      <c r="A78" s="75"/>
      <c r="B78" s="67" t="s">
        <v>0</v>
      </c>
      <c r="C78" s="23">
        <v>12</v>
      </c>
      <c r="D78" s="79" t="s">
        <v>3</v>
      </c>
      <c r="E78" s="79" t="s">
        <v>192</v>
      </c>
      <c r="F78" s="54"/>
      <c r="G78" s="54"/>
      <c r="H78" s="54"/>
      <c r="I78" s="54"/>
      <c r="J78" s="54"/>
      <c r="K78" s="54"/>
      <c r="L78" s="54"/>
      <c r="M78" s="54"/>
      <c r="N78" s="54"/>
      <c r="O78" s="54"/>
      <c r="P78" s="55"/>
      <c r="Q78" s="50"/>
    </row>
    <row r="79" spans="1:17">
      <c r="A79" s="75"/>
      <c r="B79" s="67" t="s">
        <v>1</v>
      </c>
      <c r="C79" s="46">
        <f>IF(Vin_eff&lt;Vout, ((Ioutmax/(Vin_eff/Vout)/eff)^2+1/12*(Vin_eff/L*(1-Vin_eff/Vout)/fsw)^2)^0.5, ((Ioutmax^2+1/12*(Vout/L*(1-Vout/Vin_eff)/fsw)^2)^0.5))</f>
        <v>8.9233698549155065</v>
      </c>
      <c r="D79" s="68" t="s">
        <v>4</v>
      </c>
      <c r="E79" s="69" t="s">
        <v>163</v>
      </c>
      <c r="F79" s="54"/>
      <c r="G79" s="54"/>
      <c r="H79" s="54"/>
      <c r="I79" s="54"/>
      <c r="J79" s="54"/>
      <c r="K79" s="54"/>
      <c r="L79" s="54"/>
      <c r="M79" s="54"/>
      <c r="N79" s="54"/>
      <c r="O79" s="54"/>
      <c r="P79" s="55"/>
      <c r="Q79" s="50"/>
    </row>
    <row r="80" spans="1:17">
      <c r="A80" s="75"/>
      <c r="B80" s="67" t="s">
        <v>7</v>
      </c>
      <c r="C80" s="46">
        <f>IF(Vin_eff&lt;Vout, (Ioutmax/(Vin_eff/Vout)/eff+(1/2*Vin_eff/L*(1-Vin_eff/Vout)/fsw)), Ioutmax+1/2*(Vout*(1-Vout/Vin_eff)/L/fsw))</f>
        <v>11.607301080985291</v>
      </c>
      <c r="D80" s="68" t="s">
        <v>4</v>
      </c>
      <c r="E80" s="69" t="s">
        <v>166</v>
      </c>
      <c r="F80" s="54"/>
      <c r="G80" s="54"/>
      <c r="H80" s="54"/>
      <c r="I80" s="54"/>
      <c r="J80" s="54"/>
      <c r="K80" s="54"/>
      <c r="L80" s="54"/>
      <c r="M80" s="54"/>
      <c r="N80" s="54"/>
      <c r="O80" s="54"/>
      <c r="P80" s="55"/>
      <c r="Q80" s="50"/>
    </row>
    <row r="81" spans="1:17">
      <c r="A81" s="75"/>
      <c r="B81" s="67" t="s">
        <v>207</v>
      </c>
      <c r="C81" s="46">
        <f>IF(Vin_eff&lt;Vout, (Ioutmax/(Vin_eff/Vout)/eff-(1/2*Vin_eff/L*(1-Vin_eff/Vout)/fsw)),Ioutmax-1/2*(Vout*(1-Vout/Vin_eff)/L/fsw))</f>
        <v>5.9365585681375164</v>
      </c>
      <c r="D81" s="68" t="s">
        <v>4</v>
      </c>
      <c r="E81" s="69" t="s">
        <v>167</v>
      </c>
      <c r="F81" s="54"/>
      <c r="G81" s="54"/>
      <c r="H81" s="54"/>
      <c r="I81" s="54"/>
      <c r="J81" s="54"/>
      <c r="K81" s="54"/>
      <c r="L81" s="54"/>
      <c r="M81" s="54"/>
      <c r="N81" s="54"/>
      <c r="O81" s="54"/>
      <c r="P81" s="55"/>
      <c r="Q81" s="50"/>
    </row>
    <row r="82" spans="1:17">
      <c r="A82" s="48"/>
      <c r="B82" s="67" t="s">
        <v>21</v>
      </c>
      <c r="C82" s="29">
        <v>1.2999999999999999E-2</v>
      </c>
      <c r="D82" s="68" t="s">
        <v>28</v>
      </c>
      <c r="E82" s="69" t="s">
        <v>15</v>
      </c>
      <c r="F82" s="54"/>
      <c r="G82" s="54"/>
      <c r="H82" s="54"/>
      <c r="I82" s="54"/>
      <c r="J82" s="54"/>
      <c r="K82" s="54"/>
      <c r="L82" s="54"/>
      <c r="M82" s="54"/>
      <c r="N82" s="54"/>
      <c r="O82" s="54"/>
      <c r="P82" s="55"/>
      <c r="Q82" s="50"/>
    </row>
    <row r="83" spans="1:17" ht="25.5">
      <c r="A83" s="48"/>
      <c r="B83" s="67" t="s">
        <v>61</v>
      </c>
      <c r="C83" s="29">
        <v>1.4E-2</v>
      </c>
      <c r="D83" s="68" t="s">
        <v>28</v>
      </c>
      <c r="E83" s="69" t="s">
        <v>233</v>
      </c>
      <c r="F83" s="54"/>
      <c r="G83" s="72"/>
      <c r="H83" s="73"/>
      <c r="I83" s="72"/>
      <c r="J83" s="71"/>
      <c r="K83" s="54"/>
      <c r="L83" s="54"/>
      <c r="M83" s="54"/>
      <c r="N83" s="54"/>
      <c r="O83" s="54"/>
      <c r="P83" s="55"/>
      <c r="Q83" s="50"/>
    </row>
    <row r="84" spans="1:17" hidden="1">
      <c r="A84" s="48"/>
      <c r="B84" s="67" t="s">
        <v>67</v>
      </c>
      <c r="C84" s="40">
        <v>5.0000000000000001E-9</v>
      </c>
      <c r="D84" s="68" t="s">
        <v>68</v>
      </c>
      <c r="E84" s="69" t="s">
        <v>70</v>
      </c>
      <c r="F84" s="54"/>
      <c r="G84" s="72"/>
      <c r="H84" s="73"/>
      <c r="I84" s="72"/>
      <c r="J84" s="71"/>
      <c r="K84" s="54"/>
      <c r="L84" s="54"/>
      <c r="M84" s="54"/>
      <c r="N84" s="54"/>
      <c r="O84" s="54"/>
      <c r="P84" s="55"/>
      <c r="Q84" s="50"/>
    </row>
    <row r="85" spans="1:17" hidden="1">
      <c r="A85" s="48"/>
      <c r="B85" s="67" t="s">
        <v>219</v>
      </c>
      <c r="C85" s="40">
        <v>2.0000000000000001E-10</v>
      </c>
      <c r="D85" s="68" t="s">
        <v>9</v>
      </c>
      <c r="E85" s="69" t="s">
        <v>220</v>
      </c>
      <c r="F85" s="54"/>
      <c r="G85" s="72"/>
      <c r="H85" s="73"/>
      <c r="I85" s="72"/>
      <c r="J85" s="71"/>
      <c r="K85" s="54"/>
      <c r="L85" s="54"/>
      <c r="M85" s="54"/>
      <c r="N85" s="54"/>
      <c r="O85" s="54"/>
      <c r="P85" s="55"/>
      <c r="Q85" s="50"/>
    </row>
    <row r="86" spans="1:17">
      <c r="A86" s="48"/>
      <c r="B86" s="67" t="s">
        <v>62</v>
      </c>
      <c r="C86" s="95">
        <v>1.3000000000000001E-8</v>
      </c>
      <c r="D86" s="68" t="s">
        <v>8</v>
      </c>
      <c r="E86" s="69" t="s">
        <v>193</v>
      </c>
      <c r="F86" s="54"/>
      <c r="G86" s="80"/>
      <c r="H86" s="54"/>
      <c r="I86" s="54"/>
      <c r="J86" s="54"/>
      <c r="K86" s="54"/>
      <c r="L86" s="54"/>
      <c r="M86" s="54"/>
      <c r="N86" s="54"/>
      <c r="O86" s="54"/>
      <c r="P86" s="55"/>
      <c r="Q86" s="50"/>
    </row>
    <row r="87" spans="1:17">
      <c r="A87" s="48"/>
      <c r="B87" s="67" t="s">
        <v>63</v>
      </c>
      <c r="C87" s="95">
        <v>1.3000000000000001E-8</v>
      </c>
      <c r="D87" s="68" t="s">
        <v>8</v>
      </c>
      <c r="E87" s="69" t="s">
        <v>194</v>
      </c>
      <c r="F87" s="54"/>
      <c r="G87" s="54"/>
      <c r="H87" s="54"/>
      <c r="I87" s="54"/>
      <c r="J87" s="54"/>
      <c r="K87" s="54"/>
      <c r="L87" s="54"/>
      <c r="M87" s="54"/>
      <c r="N87" s="54"/>
      <c r="O87" s="54"/>
      <c r="P87" s="55"/>
      <c r="Q87" s="50"/>
    </row>
    <row r="88" spans="1:17" ht="25.5">
      <c r="A88" s="48"/>
      <c r="B88" s="67" t="s">
        <v>64</v>
      </c>
      <c r="C88" s="29">
        <v>2.1999999999999999E-2</v>
      </c>
      <c r="D88" s="68" t="s">
        <v>28</v>
      </c>
      <c r="E88" s="69" t="s">
        <v>238</v>
      </c>
      <c r="F88" s="54"/>
      <c r="G88" s="54"/>
      <c r="H88" s="54"/>
      <c r="I88" s="54"/>
      <c r="J88" s="54"/>
      <c r="K88" s="54"/>
      <c r="L88" s="54"/>
      <c r="M88" s="54"/>
      <c r="N88" s="54"/>
      <c r="O88" s="54"/>
      <c r="P88" s="55"/>
      <c r="Q88" s="50"/>
    </row>
    <row r="89" spans="1:17" hidden="1">
      <c r="A89" s="48"/>
      <c r="B89" s="67" t="s">
        <v>69</v>
      </c>
      <c r="C89" s="40">
        <v>5.0000000000000001E-9</v>
      </c>
      <c r="D89" s="68" t="s">
        <v>68</v>
      </c>
      <c r="E89" s="69" t="s">
        <v>70</v>
      </c>
      <c r="F89" s="54"/>
      <c r="G89" s="54"/>
      <c r="H89" s="54"/>
      <c r="I89" s="54"/>
      <c r="J89" s="54"/>
      <c r="K89" s="54"/>
      <c r="L89" s="54"/>
      <c r="M89" s="54"/>
      <c r="N89" s="54"/>
      <c r="O89" s="54"/>
      <c r="P89" s="55"/>
      <c r="Q89" s="50"/>
    </row>
    <row r="90" spans="1:17" hidden="1">
      <c r="A90" s="48"/>
      <c r="B90" s="67" t="s">
        <v>180</v>
      </c>
      <c r="C90" s="40">
        <v>5.0000000000000001E-9</v>
      </c>
      <c r="D90" s="68" t="s">
        <v>68</v>
      </c>
      <c r="E90" s="69" t="s">
        <v>181</v>
      </c>
      <c r="F90" s="54"/>
      <c r="G90" s="54"/>
      <c r="H90" s="54"/>
      <c r="I90" s="54"/>
      <c r="J90" s="54"/>
      <c r="K90" s="54"/>
      <c r="L90" s="54"/>
      <c r="M90" s="54"/>
      <c r="N90" s="54"/>
      <c r="O90" s="54"/>
      <c r="P90" s="55"/>
      <c r="Q90" s="50"/>
    </row>
    <row r="91" spans="1:17">
      <c r="A91" s="48"/>
      <c r="B91" s="67" t="s">
        <v>65</v>
      </c>
      <c r="C91" s="76">
        <v>1E-8</v>
      </c>
      <c r="D91" s="68" t="s">
        <v>8</v>
      </c>
      <c r="E91" s="69" t="s">
        <v>72</v>
      </c>
      <c r="F91" s="54"/>
      <c r="G91" s="54"/>
      <c r="H91" s="54"/>
      <c r="I91" s="54"/>
      <c r="J91" s="54"/>
      <c r="K91" s="54"/>
      <c r="L91" s="54"/>
      <c r="M91" s="54"/>
      <c r="N91" s="54"/>
      <c r="O91" s="54"/>
      <c r="P91" s="55"/>
      <c r="Q91" s="50"/>
    </row>
    <row r="92" spans="1:17">
      <c r="A92" s="48"/>
      <c r="B92" s="67" t="s">
        <v>66</v>
      </c>
      <c r="C92" s="23">
        <v>0.8</v>
      </c>
      <c r="D92" s="68" t="s">
        <v>3</v>
      </c>
      <c r="E92" s="69" t="s">
        <v>29</v>
      </c>
      <c r="F92" s="54"/>
      <c r="G92" s="54"/>
      <c r="H92" s="54"/>
      <c r="I92" s="54"/>
      <c r="J92" s="54"/>
      <c r="K92" s="54"/>
      <c r="L92" s="54"/>
      <c r="M92" s="54"/>
      <c r="N92" s="54"/>
      <c r="O92" s="54"/>
      <c r="P92" s="55"/>
      <c r="Q92" s="50"/>
    </row>
    <row r="93" spans="1:17" ht="25.5">
      <c r="A93" s="48"/>
      <c r="B93" s="67" t="s">
        <v>55</v>
      </c>
      <c r="C93" s="29">
        <v>1.0999999999999999E-2</v>
      </c>
      <c r="D93" s="68" t="s">
        <v>28</v>
      </c>
      <c r="E93" s="69" t="s">
        <v>234</v>
      </c>
      <c r="F93" s="54"/>
      <c r="G93" s="72"/>
      <c r="H93" s="73"/>
      <c r="I93" s="72"/>
      <c r="J93" s="71"/>
      <c r="K93" s="54"/>
      <c r="L93" s="54"/>
      <c r="M93" s="54"/>
      <c r="N93" s="54"/>
      <c r="O93" s="54"/>
      <c r="P93" s="55"/>
      <c r="Q93" s="50"/>
    </row>
    <row r="94" spans="1:17">
      <c r="A94" s="48"/>
      <c r="B94" s="67" t="s">
        <v>56</v>
      </c>
      <c r="C94" s="76">
        <v>8.9999999999999995E-9</v>
      </c>
      <c r="D94" s="68" t="s">
        <v>8</v>
      </c>
      <c r="E94" s="69" t="s">
        <v>204</v>
      </c>
      <c r="F94" s="54"/>
      <c r="G94" s="80"/>
      <c r="H94" s="54"/>
      <c r="I94" s="54"/>
      <c r="J94" s="54"/>
      <c r="K94" s="54"/>
      <c r="L94" s="54"/>
      <c r="M94" s="54"/>
      <c r="N94" s="54"/>
      <c r="O94" s="54"/>
      <c r="P94" s="55"/>
      <c r="Q94" s="50"/>
    </row>
    <row r="95" spans="1:17">
      <c r="A95" s="48"/>
      <c r="B95" s="67" t="s">
        <v>57</v>
      </c>
      <c r="C95" s="76">
        <v>1.3000000000000001E-8</v>
      </c>
      <c r="D95" s="68" t="s">
        <v>8</v>
      </c>
      <c r="E95" s="69" t="s">
        <v>203</v>
      </c>
      <c r="F95" s="54"/>
      <c r="G95" s="54"/>
      <c r="H95" s="54"/>
      <c r="I95" s="54"/>
      <c r="J95" s="54"/>
      <c r="K95" s="54"/>
      <c r="L95" s="54"/>
      <c r="M95" s="54"/>
      <c r="N95" s="54"/>
      <c r="O95" s="54"/>
      <c r="P95" s="55"/>
      <c r="Q95" s="50"/>
    </row>
    <row r="96" spans="1:17" ht="25.5">
      <c r="A96" s="48"/>
      <c r="B96" s="67" t="s">
        <v>58</v>
      </c>
      <c r="C96" s="29">
        <v>0.01</v>
      </c>
      <c r="D96" s="68" t="s">
        <v>28</v>
      </c>
      <c r="E96" s="69" t="s">
        <v>239</v>
      </c>
      <c r="F96" s="54"/>
      <c r="G96" s="54"/>
      <c r="H96" s="54"/>
      <c r="I96" s="54"/>
      <c r="J96" s="54"/>
      <c r="K96" s="54"/>
      <c r="L96" s="54"/>
      <c r="M96" s="54"/>
      <c r="N96" s="54"/>
      <c r="O96" s="54"/>
      <c r="P96" s="55"/>
      <c r="Q96" s="50"/>
    </row>
    <row r="97" spans="1:17">
      <c r="A97" s="48"/>
      <c r="B97" s="67" t="s">
        <v>59</v>
      </c>
      <c r="C97" s="76">
        <v>2E-8</v>
      </c>
      <c r="D97" s="68" t="s">
        <v>8</v>
      </c>
      <c r="E97" s="69" t="s">
        <v>72</v>
      </c>
      <c r="F97" s="54"/>
      <c r="G97" s="54"/>
      <c r="H97" s="54"/>
      <c r="I97" s="54"/>
      <c r="J97" s="54"/>
      <c r="K97" s="54"/>
      <c r="L97" s="54"/>
      <c r="M97" s="54"/>
      <c r="N97" s="54"/>
      <c r="O97" s="54"/>
      <c r="P97" s="55"/>
      <c r="Q97" s="50"/>
    </row>
    <row r="98" spans="1:17">
      <c r="A98" s="48"/>
      <c r="B98" s="67" t="s">
        <v>60</v>
      </c>
      <c r="C98" s="33">
        <v>1</v>
      </c>
      <c r="D98" s="68" t="s">
        <v>3</v>
      </c>
      <c r="E98" s="69" t="s">
        <v>29</v>
      </c>
      <c r="F98" s="54"/>
      <c r="G98" s="54"/>
      <c r="H98" s="54"/>
      <c r="I98" s="54"/>
      <c r="J98" s="54"/>
      <c r="K98" s="54"/>
      <c r="L98" s="54"/>
      <c r="M98" s="54"/>
      <c r="N98" s="54"/>
      <c r="O98" s="54"/>
      <c r="P98" s="55"/>
      <c r="Q98" s="50"/>
    </row>
    <row r="99" spans="1:17">
      <c r="A99" s="48"/>
      <c r="B99" s="67" t="s">
        <v>159</v>
      </c>
      <c r="C99" s="47">
        <v>0</v>
      </c>
      <c r="D99" s="68" t="s">
        <v>9</v>
      </c>
      <c r="E99" s="69" t="s">
        <v>187</v>
      </c>
      <c r="F99" s="54"/>
      <c r="G99" s="54"/>
      <c r="H99" s="54"/>
      <c r="I99" s="54"/>
      <c r="J99" s="54"/>
      <c r="K99" s="54"/>
      <c r="L99" s="54"/>
      <c r="M99" s="54"/>
      <c r="N99" s="54"/>
      <c r="O99" s="54"/>
      <c r="P99" s="55"/>
      <c r="Q99" s="50"/>
    </row>
    <row r="100" spans="1:17">
      <c r="A100" s="48"/>
      <c r="B100" s="67" t="s">
        <v>117</v>
      </c>
      <c r="C100" s="47">
        <v>0</v>
      </c>
      <c r="D100" s="68" t="s">
        <v>9</v>
      </c>
      <c r="E100" s="69" t="s">
        <v>116</v>
      </c>
      <c r="F100" s="54"/>
      <c r="G100" s="54"/>
      <c r="H100" s="54"/>
      <c r="I100" s="54"/>
      <c r="J100" s="54"/>
      <c r="K100" s="54"/>
      <c r="L100" s="54"/>
      <c r="M100" s="54"/>
      <c r="N100" s="54"/>
      <c r="O100" s="54"/>
      <c r="P100" s="55"/>
      <c r="Q100" s="50"/>
    </row>
    <row r="101" spans="1:17">
      <c r="A101" s="48"/>
      <c r="B101" s="74" t="s">
        <v>118</v>
      </c>
      <c r="C101" s="23">
        <v>2</v>
      </c>
      <c r="D101" s="68" t="s">
        <v>196</v>
      </c>
      <c r="E101" s="69" t="s">
        <v>145</v>
      </c>
      <c r="F101" s="54"/>
      <c r="G101" s="54"/>
      <c r="H101" s="54"/>
      <c r="I101" s="54"/>
      <c r="J101" s="54"/>
      <c r="K101" s="54"/>
      <c r="L101" s="54"/>
      <c r="M101" s="54"/>
      <c r="N101" s="54"/>
      <c r="O101" s="54"/>
      <c r="P101" s="55"/>
      <c r="Q101" s="50"/>
    </row>
    <row r="102" spans="1:17">
      <c r="A102" s="48"/>
      <c r="B102" s="74" t="s">
        <v>119</v>
      </c>
      <c r="C102" s="25">
        <f>Rpcb*(ILrms^2)</f>
        <v>159.25305913522956</v>
      </c>
      <c r="D102" s="68" t="s">
        <v>10</v>
      </c>
      <c r="E102" s="69" t="s">
        <v>128</v>
      </c>
      <c r="F102" s="54"/>
      <c r="G102" s="54"/>
      <c r="H102" s="54"/>
      <c r="I102" s="54"/>
      <c r="J102" s="54"/>
      <c r="K102" s="54"/>
      <c r="L102" s="54"/>
      <c r="M102" s="54"/>
      <c r="N102" s="54"/>
      <c r="O102" s="54"/>
      <c r="P102" s="55"/>
      <c r="Q102" s="50"/>
    </row>
    <row r="103" spans="1:17">
      <c r="A103" s="75"/>
      <c r="B103" s="67" t="s">
        <v>74</v>
      </c>
      <c r="C103" s="25">
        <f>(ILrms)^2*DCR*1000</f>
        <v>1035.1448843789922</v>
      </c>
      <c r="D103" s="68" t="s">
        <v>10</v>
      </c>
      <c r="E103" s="69" t="s">
        <v>18</v>
      </c>
      <c r="F103" s="54"/>
      <c r="G103" s="54"/>
      <c r="H103" s="54"/>
      <c r="I103" s="54"/>
      <c r="J103" s="54"/>
      <c r="K103" s="54"/>
      <c r="L103" s="54"/>
      <c r="M103" s="54"/>
      <c r="N103" s="54"/>
      <c r="O103" s="54"/>
      <c r="P103" s="55"/>
      <c r="Q103" s="50"/>
    </row>
    <row r="104" spans="1:17" ht="37.9" customHeight="1">
      <c r="A104" s="75"/>
      <c r="B104" s="67" t="s">
        <v>161</v>
      </c>
      <c r="C104" s="22">
        <v>521</v>
      </c>
      <c r="D104" s="68" t="s">
        <v>10</v>
      </c>
      <c r="E104" s="69" t="s">
        <v>229</v>
      </c>
      <c r="F104" s="54"/>
      <c r="G104" s="54"/>
      <c r="H104" s="54"/>
      <c r="I104" s="54"/>
      <c r="J104" s="54"/>
      <c r="K104" s="54"/>
      <c r="L104" s="54"/>
      <c r="M104" s="54"/>
      <c r="N104" s="54"/>
      <c r="O104" s="54"/>
      <c r="P104" s="55"/>
      <c r="Q104" s="50"/>
    </row>
    <row r="105" spans="1:17">
      <c r="A105" s="75"/>
      <c r="B105" s="74" t="s">
        <v>235</v>
      </c>
      <c r="C105" s="25">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3085.4987515401781</v>
      </c>
      <c r="D105" s="68" t="s">
        <v>10</v>
      </c>
      <c r="E105" s="69" t="s">
        <v>240</v>
      </c>
      <c r="F105" s="54"/>
      <c r="G105" s="54"/>
      <c r="H105" s="54"/>
      <c r="I105" s="54"/>
      <c r="J105" s="54"/>
      <c r="K105" s="54"/>
      <c r="L105" s="54"/>
      <c r="M105" s="54"/>
      <c r="N105" s="54"/>
      <c r="O105" s="54"/>
      <c r="P105" s="55"/>
      <c r="Q105" s="50"/>
    </row>
    <row r="106" spans="1:17">
      <c r="A106" s="75"/>
      <c r="B106" s="81" t="s">
        <v>115</v>
      </c>
      <c r="C106" s="26">
        <f>Ioutmax*Ioutmax*R_1</f>
        <v>208.33333333333334</v>
      </c>
      <c r="D106" s="68" t="s">
        <v>10</v>
      </c>
      <c r="E106" s="82" t="s">
        <v>189</v>
      </c>
      <c r="F106" s="54"/>
      <c r="G106" s="54"/>
      <c r="H106" s="54"/>
      <c r="I106" s="54"/>
      <c r="J106" s="54"/>
      <c r="K106" s="54"/>
      <c r="L106" s="54"/>
      <c r="M106" s="54"/>
      <c r="N106" s="54"/>
      <c r="O106" s="54"/>
      <c r="P106" s="55"/>
      <c r="Q106" s="50"/>
    </row>
    <row r="107" spans="1:17">
      <c r="A107" s="75"/>
      <c r="B107" s="81" t="s">
        <v>160</v>
      </c>
      <c r="C107" s="26">
        <f>IF(Vin_eff&lt;Vout, 2/3*C_bst_snubber*(Vout+BST_HS_Vd)*(Vout+BST_HS_Vd)*fsw*1000, 2/3*C_buck_snubber*(Vin_eff+BUCK_LS_Vd)*(Vin_eff+BUCK_LS_Vd)*fsw*1000)</f>
        <v>0</v>
      </c>
      <c r="D107" s="68" t="s">
        <v>10</v>
      </c>
      <c r="E107" s="82" t="s">
        <v>190</v>
      </c>
      <c r="F107" s="54"/>
      <c r="G107" s="54"/>
      <c r="H107" s="54"/>
      <c r="I107" s="54"/>
      <c r="J107" s="54"/>
      <c r="K107" s="54"/>
      <c r="L107" s="54"/>
      <c r="M107" s="54"/>
      <c r="N107" s="54"/>
      <c r="O107" s="54"/>
      <c r="P107" s="55"/>
      <c r="Q107" s="50"/>
    </row>
    <row r="108" spans="1:17">
      <c r="A108" s="75"/>
      <c r="B108" s="81" t="s">
        <v>188</v>
      </c>
      <c r="C108" s="26">
        <f>IF(Vin_eff&lt;Vout, 1000*ESR*(G108+H108), 0)</f>
        <v>53.744093107185755</v>
      </c>
      <c r="D108" s="78" t="s">
        <v>10</v>
      </c>
      <c r="E108" s="82" t="s">
        <v>191</v>
      </c>
      <c r="F108" s="96">
        <f>ESR*Cout_c*Cout_e/(Cout_c+Cout_e)</f>
        <v>2.9565217391304346E-9</v>
      </c>
      <c r="G108" s="96">
        <f>(fsw*(Cout_e/(Cout_c+Cout_e))^2*(Ioutmax^2*(Vout-Vin_eff)/Vout/fsw+2*Ioutmax*((1-EXP((-Vin_eff/Vout)/tou/fsw))/(1-EXP(-1/tou/fsw))*(ILpeak+ILvalley)/2*tou*(EXP(-1/tou*(1-Vin_eff/Vout)/fsw)-1))-((1-EXP((-Vin_eff/Vout)/tou/fsw))/(1-EXP(-1/tou/fsw))*(ILpeak+ILvalley)/2)^2*tou/2*(EXP(-2/tou*(1-Vin_eff/Vout)/fsw)-1)))</f>
        <v>9.6556825157653563</v>
      </c>
      <c r="H108" s="96">
        <f>(fsw*(Cout_e/(Cout_c+Cout_e))^2*((((ILpeak+ILvalley)/2-Ioutmax)^2*Vin_eff/Vout/fsw+2*((ILpeak+ILvalley)/2-Ioutmax)*((1-EXP(-(1-Vin_eff/Vout)/tou/fsw))/(1-EXP(-1/tou/fsw))*(ILpeak+ILvalley)/2*tou*(EXP(-1/tou*(Vin_eff/Vout)/fsw)-1))-((1-EXP(-(1-Vin_eff/Vout)/tou/fsw))/(1-EXP(-1/tou/fsw))*(ILpeak+ILvalley)/2)^2*tou/2*(EXP(-2/tou*(1-Vin_eff/Vout/fsw))-1))))</f>
        <v>8.2590151866298953</v>
      </c>
      <c r="I108" s="54"/>
      <c r="J108" s="54"/>
      <c r="K108" s="54"/>
      <c r="L108" s="54"/>
      <c r="M108" s="54"/>
      <c r="N108" s="54"/>
      <c r="O108" s="54"/>
      <c r="P108" s="55"/>
      <c r="Q108" s="50"/>
    </row>
    <row r="109" spans="1:17">
      <c r="A109" s="75"/>
      <c r="B109" s="77" t="s">
        <v>206</v>
      </c>
      <c r="C109" s="27">
        <f>IF(Vin_eff&lt;Vout, Vout*Ioutmax/(Vout*Ioutmax+(C102+C103+C104+C105+C106+C107+C108)/1000), Vout*Ioutmax/(Vout*Ioutmax+(C102+C103+C104+C105+C106+C107)/1000))</f>
        <v>0.95181010090538565</v>
      </c>
      <c r="D109" s="78"/>
      <c r="E109" s="82" t="s">
        <v>168</v>
      </c>
      <c r="F109" s="54"/>
      <c r="G109" s="54"/>
      <c r="H109" s="54"/>
      <c r="I109" s="54"/>
      <c r="J109" s="54"/>
      <c r="K109" s="54"/>
      <c r="L109" s="54"/>
      <c r="M109" s="54"/>
      <c r="N109" s="54"/>
      <c r="O109" s="54"/>
      <c r="P109" s="55"/>
      <c r="Q109" s="50"/>
    </row>
    <row r="110" spans="1:17" ht="25.5">
      <c r="A110" s="75"/>
      <c r="B110" s="67" t="s">
        <v>199</v>
      </c>
      <c r="C110" s="22">
        <v>30</v>
      </c>
      <c r="D110" s="68" t="s">
        <v>114</v>
      </c>
      <c r="E110" s="69" t="s">
        <v>236</v>
      </c>
      <c r="F110" s="54"/>
      <c r="G110" s="54"/>
      <c r="H110" s="54"/>
      <c r="I110" s="54"/>
      <c r="J110" s="54"/>
      <c r="K110" s="54"/>
      <c r="L110" s="54"/>
      <c r="M110" s="54"/>
      <c r="N110" s="54"/>
      <c r="O110" s="54"/>
      <c r="P110" s="55"/>
      <c r="Q110" s="50"/>
    </row>
    <row r="111" spans="1:17" ht="26.25" thickBot="1">
      <c r="A111" s="75"/>
      <c r="B111" s="83" t="s">
        <v>241</v>
      </c>
      <c r="C111" s="28">
        <f>C110*(C105)/1000</f>
        <v>92.564962546205336</v>
      </c>
      <c r="D111" s="84" t="s">
        <v>71</v>
      </c>
      <c r="E111" s="85" t="s">
        <v>200</v>
      </c>
      <c r="F111" s="86"/>
      <c r="G111" s="86"/>
      <c r="H111" s="86"/>
      <c r="I111" s="86"/>
      <c r="J111" s="86"/>
      <c r="K111" s="86"/>
      <c r="L111" s="86"/>
      <c r="M111" s="86"/>
      <c r="N111" s="86"/>
      <c r="O111" s="86"/>
      <c r="P111" s="87"/>
      <c r="Q111" s="50"/>
    </row>
    <row r="112" spans="1:17" ht="13.5" thickTop="1">
      <c r="A112" s="75"/>
      <c r="B112" s="50"/>
      <c r="C112" s="88"/>
      <c r="D112" s="50"/>
      <c r="E112" s="89"/>
      <c r="F112" s="50"/>
      <c r="G112" s="50"/>
      <c r="H112" s="50"/>
      <c r="I112" s="50"/>
      <c r="J112" s="50"/>
      <c r="K112" s="50"/>
      <c r="L112" s="50"/>
      <c r="M112" s="50"/>
      <c r="N112" s="50"/>
      <c r="O112" s="50"/>
      <c r="P112" s="50"/>
      <c r="Q112" s="50"/>
    </row>
    <row r="115" spans="3:8">
      <c r="D115" s="91"/>
      <c r="H115" s="91"/>
    </row>
    <row r="116" spans="3:8">
      <c r="C116" s="92"/>
    </row>
  </sheetData>
  <sheetProtection algorithmName="SHA-512" hashValue="738VTgK+wX31fcCWyhCx0oVcWAndsYFJCnYM8itqvt4U7ktw9iZZJ/voWu+kfQiePFb1EGFa4yTl7Ia1SEkxqQ==" saltValue="bPskTuYdEhT8XSMh51Pu6Q=="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G48:G49"/>
    <mergeCell ref="P48:P49"/>
    <mergeCell ref="B48:B49"/>
    <mergeCell ref="C48:C49"/>
    <mergeCell ref="D48:D49"/>
    <mergeCell ref="E48:E49"/>
    <mergeCell ref="F48:F49"/>
    <mergeCell ref="G42:G43"/>
    <mergeCell ref="P42:P43"/>
    <mergeCell ref="P44:P45"/>
    <mergeCell ref="B44:B45"/>
    <mergeCell ref="C44:C45"/>
    <mergeCell ref="D44:D45"/>
    <mergeCell ref="E44:E45"/>
    <mergeCell ref="F44:F45"/>
    <mergeCell ref="G44:G45"/>
    <mergeCell ref="B42:B43"/>
    <mergeCell ref="C42:C43"/>
    <mergeCell ref="D42:D43"/>
    <mergeCell ref="E42:E43"/>
    <mergeCell ref="F42:F43"/>
    <mergeCell ref="G36:G37"/>
    <mergeCell ref="P36:P37"/>
    <mergeCell ref="G38:G39"/>
    <mergeCell ref="P38:P39"/>
    <mergeCell ref="B40:B41"/>
    <mergeCell ref="C40:C41"/>
    <mergeCell ref="D40:D41"/>
    <mergeCell ref="E40:E41"/>
    <mergeCell ref="F40:F41"/>
    <mergeCell ref="G40:G41"/>
    <mergeCell ref="P40:P41"/>
    <mergeCell ref="B38:B39"/>
    <mergeCell ref="C38:C39"/>
    <mergeCell ref="D38:D39"/>
    <mergeCell ref="E38:E39"/>
    <mergeCell ref="F38:F39"/>
    <mergeCell ref="B36:B37"/>
    <mergeCell ref="C36:C37"/>
    <mergeCell ref="D36:D37"/>
    <mergeCell ref="E36:E37"/>
    <mergeCell ref="F36:F37"/>
    <mergeCell ref="D34:D35"/>
    <mergeCell ref="B7:J7"/>
    <mergeCell ref="B2:P2"/>
    <mergeCell ref="B3:P3"/>
    <mergeCell ref="B4:P4"/>
    <mergeCell ref="B6:P6"/>
    <mergeCell ref="E34:E35"/>
    <mergeCell ref="F34:F35"/>
    <mergeCell ref="G34:G35"/>
    <mergeCell ref="P34:P35"/>
    <mergeCell ref="E60:E61"/>
    <mergeCell ref="F12:P12"/>
    <mergeCell ref="B77:E77"/>
    <mergeCell ref="F59:P59"/>
    <mergeCell ref="B13:E13"/>
    <mergeCell ref="B59:E59"/>
    <mergeCell ref="F31:P31"/>
    <mergeCell ref="B46:B47"/>
    <mergeCell ref="C46:C47"/>
    <mergeCell ref="D46:D47"/>
    <mergeCell ref="E46:E47"/>
    <mergeCell ref="F46:F47"/>
    <mergeCell ref="G46:G47"/>
    <mergeCell ref="P46:P47"/>
    <mergeCell ref="B34:B35"/>
    <mergeCell ref="C34:C35"/>
  </mergeCells>
  <phoneticPr fontId="2" type="noConversion"/>
  <conditionalFormatting sqref="C22">
    <cfRule type="expression" dxfId="12" priority="27" stopIfTrue="1">
      <formula>#REF!="External"</formula>
    </cfRule>
    <cfRule type="expression" dxfId="11" priority="28" stopIfTrue="1">
      <formula>#REF!="Internal"</formula>
    </cfRule>
  </conditionalFormatting>
  <conditionalFormatting sqref="C23">
    <cfRule type="expression" dxfId="10" priority="29">
      <formula>#REF!="External"</formula>
    </cfRule>
    <cfRule type="expression" dxfId="9" priority="30">
      <formula>#REF!="Internal"</formula>
    </cfRule>
  </conditionalFormatting>
  <conditionalFormatting sqref="C24">
    <cfRule type="expression" dxfId="8" priority="8">
      <formula>#REF!="Disable"</formula>
    </cfRule>
    <cfRule type="expression" dxfId="7" priority="9">
      <formula>#REF!="Enable"</formula>
    </cfRule>
  </conditionalFormatting>
  <conditionalFormatting sqref="C54">
    <cfRule type="cellIs" dxfId="6" priority="1" operator="greaterThan">
      <formula>7</formula>
    </cfRule>
  </conditionalFormatting>
  <conditionalFormatting sqref="C57">
    <cfRule type="expression" dxfId="5" priority="4">
      <formula>#REF!="External"</formula>
    </cfRule>
    <cfRule type="expression" dxfId="4" priority="5">
      <formula>#REF!="Internal"</formula>
    </cfRule>
  </conditionalFormatting>
  <conditionalFormatting sqref="C58">
    <cfRule type="expression" dxfId="3" priority="6">
      <formula>#REF!="External"</formula>
    </cfRule>
    <cfRule type="expression" dxfId="2" priority="7">
      <formula>#REF!="Internal"</formula>
    </cfRule>
  </conditionalFormatting>
  <conditionalFormatting sqref="C65">
    <cfRule type="expression" dxfId="1" priority="10">
      <formula>$C$62="Boost"</formula>
    </cfRule>
    <cfRule type="expression" dxfId="0" priority="11">
      <formula>$C$62="Buck"</formula>
    </cfRule>
  </conditionalFormatting>
  <dataValidations count="5">
    <dataValidation type="list" allowBlank="1" showInputMessage="1" showErrorMessage="1" sqref="C18" xr:uid="{00000000-0002-0000-0000-000000000000}">
      <formula1>"Internal, External"</formula1>
    </dataValidation>
    <dataValidation type="list" allowBlank="1" showInputMessage="1" showErrorMessage="1" sqref="C20" xr:uid="{00000000-0002-0000-0000-000002000000}">
      <formula1>"FPWM, APFM"</formula1>
    </dataValidation>
    <dataValidation type="list" allowBlank="1" showInputMessage="1" showErrorMessage="1" sqref="H47" xr:uid="{00000000-0002-0000-0000-00000A000000}">
      <formula1>"OFF -0,ON -1"</formula1>
    </dataValidation>
    <dataValidation type="list" allowBlank="1" showInputMessage="1" showErrorMessage="1" sqref="I47:K47" xr:uid="{00000000-0002-0000-0000-00000B000000}">
      <formula1>"DIS -0,ENA -1"</formula1>
    </dataValidation>
    <dataValidation type="custom" allowBlank="1" showInputMessage="1" showErrorMessage="1" sqref="S16" xr:uid="{00000000-0002-0000-0000-00000E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57150</xdr:colOff>
                <xdr:row>12</xdr:row>
                <xdr:rowOff>38100</xdr:rowOff>
              </from>
              <to>
                <xdr:col>15</xdr:col>
                <xdr:colOff>200025</xdr:colOff>
                <xdr:row>32</xdr:row>
                <xdr:rowOff>161925</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C1" zoomScale="85" zoomScaleNormal="85" workbookViewId="0">
      <selection activeCell="AA3" sqref="AA3:AA43"/>
    </sheetView>
  </sheetViews>
  <sheetFormatPr defaultRowHeight="12.75"/>
  <cols>
    <col min="1" max="1" width="4" bestFit="1" customWidth="1"/>
    <col min="2" max="2" width="9.7109375" customWidth="1"/>
    <col min="3" max="3" width="10.5703125" bestFit="1" customWidth="1"/>
    <col min="5" max="5" width="8" customWidth="1"/>
    <col min="7" max="7" width="7.85546875" customWidth="1"/>
    <col min="8" max="9" width="8.28515625" customWidth="1"/>
    <col min="10" max="10" width="9.42578125" customWidth="1"/>
    <col min="11" max="11" width="9.5703125" customWidth="1"/>
    <col min="13" max="14" width="8.42578125" customWidth="1"/>
    <col min="15" max="16" width="9.5703125" customWidth="1"/>
    <col min="17" max="17" width="10" customWidth="1"/>
    <col min="18" max="18" width="10.7109375" customWidth="1"/>
    <col min="19" max="20" width="9.42578125" customWidth="1"/>
    <col min="21" max="23" width="10" customWidth="1"/>
    <col min="24" max="24" width="10.140625" customWidth="1"/>
    <col min="25" max="26" width="10" customWidth="1"/>
    <col min="27" max="30" width="10.28515625" customWidth="1"/>
    <col min="32" max="32" width="15.7109375" customWidth="1"/>
    <col min="33" max="33" width="12.28515625" bestFit="1" customWidth="1"/>
    <col min="34" max="34" width="5.5703125" customWidth="1"/>
  </cols>
  <sheetData>
    <row r="1" spans="1:34" ht="14.25" thickTop="1" thickBot="1">
      <c r="A1" s="165" t="s">
        <v>139</v>
      </c>
      <c r="B1" s="167"/>
      <c r="C1" s="165" t="s">
        <v>129</v>
      </c>
      <c r="D1" s="166"/>
      <c r="E1" s="166"/>
      <c r="F1" s="166"/>
      <c r="G1" s="166"/>
      <c r="H1" s="166"/>
      <c r="I1" s="166"/>
      <c r="J1" s="167"/>
      <c r="K1" s="165" t="s">
        <v>157</v>
      </c>
      <c r="L1" s="166"/>
      <c r="M1" s="166"/>
      <c r="N1" s="166"/>
      <c r="O1" s="166"/>
      <c r="P1" s="166"/>
      <c r="Q1" s="165" t="s">
        <v>156</v>
      </c>
      <c r="R1" s="167"/>
      <c r="S1" s="165" t="s">
        <v>130</v>
      </c>
      <c r="T1" s="166"/>
      <c r="U1" s="166"/>
      <c r="V1" s="166"/>
      <c r="W1" s="166"/>
      <c r="X1" s="167"/>
      <c r="Y1" s="165" t="s">
        <v>155</v>
      </c>
      <c r="Z1" s="167"/>
      <c r="AA1" s="166" t="s">
        <v>133</v>
      </c>
      <c r="AB1" s="166"/>
      <c r="AC1" s="166"/>
      <c r="AD1" s="167"/>
    </row>
    <row r="2" spans="1:34" ht="26.25" thickTop="1">
      <c r="A2" s="1"/>
      <c r="B2" s="2" t="s">
        <v>134</v>
      </c>
      <c r="C2" s="11" t="s">
        <v>100</v>
      </c>
      <c r="D2" s="2" t="s">
        <v>101</v>
      </c>
      <c r="E2" s="2" t="s">
        <v>102</v>
      </c>
      <c r="F2" s="2" t="s">
        <v>103</v>
      </c>
      <c r="G2" s="2" t="s">
        <v>104</v>
      </c>
      <c r="H2" s="2" t="s">
        <v>105</v>
      </c>
      <c r="I2" s="2" t="s">
        <v>112</v>
      </c>
      <c r="J2" s="14" t="s">
        <v>113</v>
      </c>
      <c r="K2" s="11" t="s">
        <v>106</v>
      </c>
      <c r="L2" s="2" t="s">
        <v>107</v>
      </c>
      <c r="M2" s="2" t="s">
        <v>98</v>
      </c>
      <c r="N2" s="2" t="s">
        <v>99</v>
      </c>
      <c r="O2" s="2" t="s">
        <v>108</v>
      </c>
      <c r="P2" s="14" t="s">
        <v>109</v>
      </c>
      <c r="Q2" s="2" t="s">
        <v>153</v>
      </c>
      <c r="R2" s="2" t="s">
        <v>154</v>
      </c>
      <c r="S2" s="11" t="s">
        <v>131</v>
      </c>
      <c r="T2" s="2" t="s">
        <v>132</v>
      </c>
      <c r="U2" s="2" t="s">
        <v>123</v>
      </c>
      <c r="V2" s="14" t="s">
        <v>122</v>
      </c>
      <c r="W2" s="11" t="s">
        <v>173</v>
      </c>
      <c r="X2" s="14" t="s">
        <v>172</v>
      </c>
      <c r="Y2" s="11" t="s">
        <v>151</v>
      </c>
      <c r="Z2" s="14" t="s">
        <v>152</v>
      </c>
      <c r="AA2" s="2" t="s">
        <v>136</v>
      </c>
      <c r="AB2" s="2" t="s">
        <v>137</v>
      </c>
      <c r="AC2" s="2" t="s">
        <v>135</v>
      </c>
      <c r="AD2" s="3" t="s">
        <v>138</v>
      </c>
      <c r="AF2" s="9" t="s">
        <v>144</v>
      </c>
      <c r="AG2" s="21" t="s">
        <v>24</v>
      </c>
      <c r="AH2" s="21" t="s">
        <v>175</v>
      </c>
    </row>
    <row r="3" spans="1:34">
      <c r="A3" s="4">
        <v>1</v>
      </c>
      <c r="B3" s="18">
        <f>10*10^A3</f>
        <v>100</v>
      </c>
      <c r="C3" s="12">
        <f t="shared" ref="C3:C43" si="0">20*LOG(SQRT((B3/fzRHP)^2+1))</f>
        <v>1.4366848321977228E-5</v>
      </c>
      <c r="D3" s="5">
        <f t="shared" ref="D3:D43" si="1">-180/PI()*ATAN(B3/fzRHP)</f>
        <v>-0.10421041140325951</v>
      </c>
      <c r="E3" s="5">
        <f t="shared" ref="E3:E43" si="2">20*LOG(1/SQRT((B3/fp)^2+1))</f>
        <v>-3.2529301704476161E-2</v>
      </c>
      <c r="F3" s="5">
        <f t="shared" ref="F3:F43" si="3">-180/PI()*ATAN(B3/fp)</f>
        <v>-4.9556056079049746</v>
      </c>
      <c r="G3" s="5">
        <f t="shared" ref="G3:G43" si="4">20*LOG(SQRT((B3/fz_ESR)^2+1))</f>
        <v>7.1351709505728505E-8</v>
      </c>
      <c r="H3" s="5">
        <f t="shared" ref="H3:H43" si="5">180/PI()*ATAN(B3/fz_ESR)</f>
        <v>7.3439999597809816E-3</v>
      </c>
      <c r="I3" s="5">
        <f t="shared" ref="I3:I43" si="6">20*LOG(1/SQRT((B3/(1/2/PI()/ESR/(Cout_c*Cout_e/(Cout_c+Cout_e))))^2+1))</f>
        <v>-1.498564883025101E-11</v>
      </c>
      <c r="J3" s="15">
        <f t="shared" ref="J3:J43" si="7">-180/PI()*ATAN(B3/(1/2/PI()/(ESR)/(Cout_c*Cout_e/(Cout_c+Cout_e))))</f>
        <v>-1.0643478260857322E-4</v>
      </c>
      <c r="K3" s="12">
        <f t="shared" ref="K3:K43" si="8">20*LOG(1/SQRT((B3/(1/2/PI()/10000000/(Ccomp+Cp+0.000000000003)))^2+1))</f>
        <v>-29.598615177174089</v>
      </c>
      <c r="L3" s="5">
        <f t="shared" ref="L3:L43" si="9">-180/PI()*ATAN(B3/(1/2/PI()/10000000/(Ccomp+Cp+0.000000000003)))</f>
        <v>-88.102108867957142</v>
      </c>
      <c r="M3" s="5">
        <f t="shared" ref="M3:M43" si="10">20*LOG(SQRT((B3/fz_comp)^2+1))</f>
        <v>6.571242160988526E-2</v>
      </c>
      <c r="N3" s="5">
        <f t="shared" ref="N3:N43" si="11">180/PI()*ATAN(B3/fz_comp)</f>
        <v>7.0389271693985549</v>
      </c>
      <c r="O3" s="5">
        <f t="shared" ref="O3:O43" si="12">20*LOG(1/SQRT((B3/fp_comp2)^2+1))</f>
        <v>-3.0449838214721068E-5</v>
      </c>
      <c r="P3" s="15">
        <f t="shared" ref="P3:P43" si="13">-180/PI()*ATAN(B3/fp_comp2)</f>
        <v>-0.15171297258124777</v>
      </c>
      <c r="Q3" s="5">
        <f>20*LOG(1/SQRT((B3/(1/2/PI()/400000/0.0000000000055))^2+1))</f>
        <v>-8.2982973903629366E-6</v>
      </c>
      <c r="R3" s="5">
        <f>-180/PI()*ATAN(B3/(1/2/PI()/400000/0.0000000000055))</f>
        <v>-7.9199949556114951E-2</v>
      </c>
      <c r="S3" s="12">
        <f t="shared" ref="S3:S43" si="14">20*LOG(SQRT((2*PI()*R_ca*C_ca*B3)^2+1))</f>
        <v>6.7187635127814618E-5</v>
      </c>
      <c r="T3" s="5">
        <f t="shared" ref="T3:T43" si="15">180/PI()*ATAN(2*PI()*R_ca*C_ca*B3)</f>
        <v>0.22535883785598179</v>
      </c>
      <c r="U3" s="5">
        <f t="shared" ref="U3:U43" si="16">20*LOG(1/SQRT((2*PI()*B3*R_ca*C_ca)^2+(1-(2*PI()*B3)^2*C_ca/gm_ca/(IF(Op_mode="Boost", Vout_LP, Vin_LP)/V_m/L)*gm_PS)^2))</f>
        <v>-5.4241856995526096E-5</v>
      </c>
      <c r="V3" s="15">
        <f t="shared" ref="V3:V43" si="17">IF(-180/PI()*ATAN((2*PI()*B3*R_ca*C_ca)/(1-(2*PI()*B3)^2*C_ca/gm_ca/(IF(Op_mode="Boost", Vout_LP, Vin_LP)/V_m/L)*gm_PS))&gt;0, -180/PI()*ATAN((2*PI()*B3*R_ca*C_ca)/(1-(2*PI()*B3)^2*C_ca/gm_ca/(IF(Op_mode="Boost", Vout_LP, Vin_LP)/V_m/L)*gm_PS))-180, -180/PI()*ATAN((2*PI()*B3*R_ca*C_ca)/(1-(2*PI()*B3)^2*C_ca/gm_ca/(IF(Op_mode="Boost", Vout_LP, Vin_LP)/V_m/L)*gm_PS)))</f>
        <v>-0.22535917374129191</v>
      </c>
      <c r="W3" s="12">
        <v>0</v>
      </c>
      <c r="X3" s="15">
        <f t="shared" ref="X3:X43" si="18">IF(B3&lt;fsw, -180*B3*1/2/fsw, -90)</f>
        <v>-2.2499999999999999E-2</v>
      </c>
      <c r="Y3" s="12">
        <f>20*LOG(1/SQRT((B3/(1/2/PI()/30000/0.000000000005))^2+1))</f>
        <v>-3.8576832623748043E-8</v>
      </c>
      <c r="Z3" s="15">
        <f>-180/PI()*ATAN(B3/(1/2/PI()/30000/0.000000000005))</f>
        <v>-5.3999999840112396E-3</v>
      </c>
      <c r="AA3" s="5">
        <f t="shared" ref="AA3:AA43" si="19">IF(Op_mode="Boost", C3+E3+G3+I3+K3+M3+20*LOG(Vout_LP/Ioutmax/2*gm_PS*eff*Vin_LP/Vout_LP*gm_EA*10000000*1.129/Vout)+Q3+S3+U3+Y3, E3+G3+I3+K3+M3+20*LOG(Vout_LP/Ioutmax*gm_PS*gm_EA*10000000*1.129/Vout)+Q3+S3+U3+Y3)</f>
        <v>35.257332247716619</v>
      </c>
      <c r="AB3" s="5">
        <f t="shared" ref="AB3:AB43" si="20">IF(Op_mode="Boost", D3+F3+H3+J3+180+L3+N3+R3+T3+V3+X3+Z3, F3+H3+J3+180+L3+N3+R3+T3+V3+Z3)</f>
        <v>93.777139561884908</v>
      </c>
      <c r="AC3" s="5">
        <f>AA3+O3</f>
        <v>35.257301797878405</v>
      </c>
      <c r="AD3" s="6">
        <f>AB3+P3</f>
        <v>93.625426589303657</v>
      </c>
      <c r="AF3" t="s">
        <v>142</v>
      </c>
      <c r="AG3">
        <v>3.0000000000000001E-5</v>
      </c>
      <c r="AH3" t="s">
        <v>124</v>
      </c>
    </row>
    <row r="4" spans="1:34">
      <c r="A4" s="4">
        <v>1.1000000000000001</v>
      </c>
      <c r="B4" s="19">
        <f t="shared" ref="B4:B43" si="21">10*10^A4</f>
        <v>125.8925411794168</v>
      </c>
      <c r="C4" s="12">
        <f t="shared" si="0"/>
        <v>2.2769898076660278E-5</v>
      </c>
      <c r="D4" s="5">
        <f t="shared" si="1"/>
        <v>-0.13119305047501789</v>
      </c>
      <c r="E4" s="5">
        <f t="shared" si="2"/>
        <v>-5.1443146539412662E-2</v>
      </c>
      <c r="F4" s="5">
        <f t="shared" si="3"/>
        <v>-6.2296760255294856</v>
      </c>
      <c r="G4" s="5">
        <f t="shared" si="4"/>
        <v>1.1308483747244107E-7</v>
      </c>
      <c r="H4" s="5">
        <f t="shared" si="5"/>
        <v>9.245548143968876E-3</v>
      </c>
      <c r="I4" s="5">
        <f t="shared" si="6"/>
        <v>-2.3753314156173046E-11</v>
      </c>
      <c r="J4" s="15">
        <f t="shared" si="7"/>
        <v>-1.3399345252463064E-4</v>
      </c>
      <c r="K4" s="12">
        <f t="shared" si="8"/>
        <v>-31.596856900271305</v>
      </c>
      <c r="L4" s="5">
        <f t="shared" si="9"/>
        <v>-88.492248001574382</v>
      </c>
      <c r="M4" s="5">
        <f t="shared" si="10"/>
        <v>0.10369130851534694</v>
      </c>
      <c r="N4" s="5">
        <f t="shared" si="11"/>
        <v>8.8356238388667041</v>
      </c>
      <c r="O4" s="5">
        <f t="shared" si="12"/>
        <v>-4.8259642346996089E-5</v>
      </c>
      <c r="P4" s="15">
        <f t="shared" si="13"/>
        <v>-0.19099505539960998</v>
      </c>
      <c r="Q4" s="5">
        <f t="shared" ref="Q4:Q43" si="22">20*LOG(1/SQRT((B4/(1/2/PI()/400000/0.0000000000055))^2+1))</f>
        <v>-1.3151907691514025E-5</v>
      </c>
      <c r="R4" s="5">
        <f t="shared" ref="R4:R43" si="23">-180/PI()*ATAN(B4/(1/2/PI()/400000/0.0000000000055))</f>
        <v>-9.9706791965382735E-2</v>
      </c>
      <c r="S4" s="12">
        <f t="shared" si="14"/>
        <v>1.0648474376647131E-4</v>
      </c>
      <c r="T4" s="5">
        <f t="shared" si="15"/>
        <v>0.2837091120323586</v>
      </c>
      <c r="U4" s="5">
        <f t="shared" si="16"/>
        <v>-8.5967244840494788E-5</v>
      </c>
      <c r="V4" s="15">
        <f t="shared" si="17"/>
        <v>-0.28370978220618009</v>
      </c>
      <c r="W4" s="12">
        <v>0</v>
      </c>
      <c r="X4" s="15">
        <f t="shared" si="18"/>
        <v>-2.8325821765368776E-2</v>
      </c>
      <c r="Y4" s="12">
        <f t="shared" ref="Y4:Y43" si="24">20*LOG(1/SQRT((B4/(1/2/PI()/30000/0.000000000005))^2+1))</f>
        <v>-6.1140159101059486E-8</v>
      </c>
      <c r="Z4" s="15">
        <f t="shared" ref="Z4:Z43" si="25">-180/PI()*ATAN(B4/(1/2/PI()/30000/0.000000000005))</f>
        <v>-6.7981971917867381E-3</v>
      </c>
      <c r="AA4" s="5">
        <f t="shared" si="19"/>
        <v>33.278166707011209</v>
      </c>
      <c r="AB4" s="5">
        <f t="shared" si="20"/>
        <v>93.856786834882911</v>
      </c>
      <c r="AC4" s="5">
        <f t="shared" ref="AC4:AC43" si="26">AA4+O4</f>
        <v>33.278118447368861</v>
      </c>
      <c r="AD4" s="6">
        <f t="shared" ref="AD4:AD43" si="27">AB4+P4</f>
        <v>93.6657917794833</v>
      </c>
      <c r="AF4" t="s">
        <v>140</v>
      </c>
      <c r="AG4">
        <v>100000</v>
      </c>
      <c r="AH4" s="10" t="s">
        <v>49</v>
      </c>
    </row>
    <row r="5" spans="1:34">
      <c r="A5" s="4">
        <v>1.2</v>
      </c>
      <c r="B5" s="19">
        <f t="shared" si="21"/>
        <v>158.48931924611136</v>
      </c>
      <c r="C5" s="12">
        <f t="shared" si="0"/>
        <v>3.6087801121017975E-5</v>
      </c>
      <c r="D5" s="5">
        <f t="shared" si="1"/>
        <v>-0.16516209626703565</v>
      </c>
      <c r="E5" s="5">
        <f t="shared" si="2"/>
        <v>-8.1251856737769149E-2</v>
      </c>
      <c r="F5" s="5">
        <f t="shared" si="3"/>
        <v>-7.8247381826478488</v>
      </c>
      <c r="G5" s="5">
        <f t="shared" si="4"/>
        <v>1.7922738804709884E-7</v>
      </c>
      <c r="H5" s="5">
        <f t="shared" si="5"/>
        <v>1.163945544531962E-2</v>
      </c>
      <c r="I5" s="5">
        <f t="shared" si="6"/>
        <v>-3.7643486984455682E-11</v>
      </c>
      <c r="J5" s="15">
        <f t="shared" si="7"/>
        <v>-1.6868776239711288E-4</v>
      </c>
      <c r="K5" s="12">
        <f t="shared" si="8"/>
        <v>-33.595747136162764</v>
      </c>
      <c r="L5" s="5">
        <f t="shared" si="9"/>
        <v>-88.80224799177789</v>
      </c>
      <c r="M5" s="5">
        <f t="shared" si="10"/>
        <v>0.16321162842901984</v>
      </c>
      <c r="N5" s="5">
        <f t="shared" si="11"/>
        <v>11.072484603932406</v>
      </c>
      <c r="O5" s="5">
        <f t="shared" si="12"/>
        <v>-7.6486130067355052E-5</v>
      </c>
      <c r="P5" s="15">
        <f t="shared" si="13"/>
        <v>-0.24044800784633061</v>
      </c>
      <c r="Q5" s="5">
        <f t="shared" si="22"/>
        <v>-2.0844350508270566E-5</v>
      </c>
      <c r="R5" s="5">
        <f t="shared" si="23"/>
        <v>-0.12552334002254481</v>
      </c>
      <c r="S5" s="12">
        <f t="shared" si="14"/>
        <v>1.6876573537434375E-4</v>
      </c>
      <c r="T5" s="5">
        <f t="shared" si="15"/>
        <v>0.35716690333929518</v>
      </c>
      <c r="U5" s="5">
        <f t="shared" si="16"/>
        <v>-1.3624813486881734E-4</v>
      </c>
      <c r="V5" s="15">
        <f t="shared" si="17"/>
        <v>-0.35716824049453727</v>
      </c>
      <c r="W5" s="12">
        <v>0</v>
      </c>
      <c r="X5" s="15">
        <f t="shared" si="18"/>
        <v>-3.5660096830375056E-2</v>
      </c>
      <c r="Y5" s="12">
        <f t="shared" si="24"/>
        <v>-9.6900620560394827E-8</v>
      </c>
      <c r="Z5" s="15">
        <f t="shared" si="25"/>
        <v>-8.5584231756376181E-3</v>
      </c>
      <c r="AA5" s="5">
        <f t="shared" si="19"/>
        <v>31.309005736765069</v>
      </c>
      <c r="AB5" s="5">
        <f t="shared" si="20"/>
        <v>94.122063903738777</v>
      </c>
      <c r="AC5" s="5">
        <f t="shared" si="26"/>
        <v>31.308929250635003</v>
      </c>
      <c r="AD5" s="6">
        <f t="shared" si="27"/>
        <v>93.881615895892452</v>
      </c>
      <c r="AF5" t="s">
        <v>141</v>
      </c>
      <c r="AG5">
        <v>6.2599999999999996E-11</v>
      </c>
      <c r="AH5" t="s">
        <v>9</v>
      </c>
    </row>
    <row r="6" spans="1:34">
      <c r="A6" s="4">
        <v>1.3</v>
      </c>
      <c r="B6" s="19">
        <f t="shared" si="21"/>
        <v>199.52623149688804</v>
      </c>
      <c r="C6" s="12">
        <f t="shared" si="0"/>
        <v>5.7195171339503509E-5</v>
      </c>
      <c r="D6" s="5">
        <f t="shared" si="1"/>
        <v>-0.20792642320369772</v>
      </c>
      <c r="E6" s="5">
        <f t="shared" si="2"/>
        <v>-0.1280803380907245</v>
      </c>
      <c r="F6" s="5">
        <f t="shared" si="3"/>
        <v>-9.8153062022967745</v>
      </c>
      <c r="G6" s="5">
        <f t="shared" si="4"/>
        <v>2.8405626307501616E-7</v>
      </c>
      <c r="H6" s="5">
        <f t="shared" si="5"/>
        <v>1.4653206121660437E-2</v>
      </c>
      <c r="I6" s="5">
        <f t="shared" si="6"/>
        <v>-5.9662940355856791E-11</v>
      </c>
      <c r="J6" s="15">
        <f t="shared" si="7"/>
        <v>-2.1236531074006313E-4</v>
      </c>
      <c r="K6" s="12">
        <f t="shared" si="8"/>
        <v>-35.595046776408182</v>
      </c>
      <c r="L6" s="5">
        <f t="shared" si="9"/>
        <v>-89.048540615299331</v>
      </c>
      <c r="M6" s="5">
        <f t="shared" si="10"/>
        <v>0.25590522144169947</v>
      </c>
      <c r="N6" s="5">
        <f t="shared" si="11"/>
        <v>13.83997940962125</v>
      </c>
      <c r="O6" s="5">
        <f t="shared" si="12"/>
        <v>-1.2122172252160224E-4</v>
      </c>
      <c r="P6" s="15">
        <f t="shared" si="13"/>
        <v>-0.30270506792493029</v>
      </c>
      <c r="Q6" s="5">
        <f t="shared" si="22"/>
        <v>-3.30360228520592E-5</v>
      </c>
      <c r="R6" s="5">
        <f t="shared" si="23"/>
        <v>-0.15802437465688313</v>
      </c>
      <c r="S6" s="12">
        <f t="shared" si="14"/>
        <v>2.6747262549834858E-4</v>
      </c>
      <c r="T6" s="5">
        <f t="shared" si="15"/>
        <v>0.44964308431875261</v>
      </c>
      <c r="U6" s="5">
        <f t="shared" si="16"/>
        <v>-2.1593681673144494E-4</v>
      </c>
      <c r="V6" s="15">
        <f t="shared" si="17"/>
        <v>-0.44964575223942049</v>
      </c>
      <c r="W6" s="12">
        <v>0</v>
      </c>
      <c r="X6" s="15">
        <f t="shared" si="18"/>
        <v>-4.4893402086799809E-2</v>
      </c>
      <c r="Y6" s="12">
        <f t="shared" si="24"/>
        <v>-1.535771340734222E-7</v>
      </c>
      <c r="Z6" s="15">
        <f t="shared" si="25"/>
        <v>-1.0774416373828727E-2</v>
      </c>
      <c r="AA6" s="5">
        <f t="shared" si="19"/>
        <v>29.355599190215862</v>
      </c>
      <c r="AB6" s="5">
        <f t="shared" si="20"/>
        <v>94.568952148594178</v>
      </c>
      <c r="AC6" s="5">
        <f t="shared" si="26"/>
        <v>29.355477968493339</v>
      </c>
      <c r="AD6" s="6">
        <f t="shared" si="27"/>
        <v>94.266247080669245</v>
      </c>
      <c r="AF6" t="s">
        <v>143</v>
      </c>
      <c r="AG6">
        <f>0.1*MIN(Vin, Vout)</f>
        <v>0.9</v>
      </c>
      <c r="AH6" t="s">
        <v>3</v>
      </c>
    </row>
    <row r="7" spans="1:34">
      <c r="A7" s="4">
        <v>1.4</v>
      </c>
      <c r="B7" s="19">
        <f t="shared" si="21"/>
        <v>251.188643150958</v>
      </c>
      <c r="C7" s="12">
        <f t="shared" si="0"/>
        <v>9.064788857393252E-5</v>
      </c>
      <c r="D7" s="5">
        <f t="shared" si="1"/>
        <v>-0.26176318585143221</v>
      </c>
      <c r="E7" s="5">
        <f t="shared" si="2"/>
        <v>-0.20127942417203418</v>
      </c>
      <c r="F7" s="5">
        <f t="shared" si="3"/>
        <v>-12.287161272272096</v>
      </c>
      <c r="G7" s="5">
        <f t="shared" si="4"/>
        <v>4.5019882734701291E-7</v>
      </c>
      <c r="H7" s="5">
        <f t="shared" si="5"/>
        <v>1.8447293315577887E-2</v>
      </c>
      <c r="I7" s="5">
        <f t="shared" si="6"/>
        <v>-9.456002271579695E-11</v>
      </c>
      <c r="J7" s="15">
        <f t="shared" si="7"/>
        <v>-2.6735208627351405E-4</v>
      </c>
      <c r="K7" s="12">
        <f t="shared" si="8"/>
        <v>-37.594604821157532</v>
      </c>
      <c r="L7" s="5">
        <f t="shared" si="9"/>
        <v>-89.244203308584247</v>
      </c>
      <c r="M7" s="5">
        <f t="shared" si="10"/>
        <v>0.39887854170280357</v>
      </c>
      <c r="N7" s="5">
        <f t="shared" si="11"/>
        <v>17.23145128978711</v>
      </c>
      <c r="O7" s="5">
        <f t="shared" si="12"/>
        <v>-1.9212191455586283E-4</v>
      </c>
      <c r="P7" s="15">
        <f t="shared" si="13"/>
        <v>-0.38108102851070547</v>
      </c>
      <c r="Q7" s="5">
        <f t="shared" si="22"/>
        <v>-5.2358451248504887E-5</v>
      </c>
      <c r="R7" s="5">
        <f t="shared" si="23"/>
        <v>-0.19894060589872517</v>
      </c>
      <c r="S7" s="12">
        <f t="shared" si="14"/>
        <v>4.2390790845322254E-4</v>
      </c>
      <c r="T7" s="5">
        <f t="shared" si="15"/>
        <v>0.56606030837128074</v>
      </c>
      <c r="U7" s="5">
        <f t="shared" si="16"/>
        <v>-3.4223195634576215E-4</v>
      </c>
      <c r="V7" s="15">
        <f t="shared" si="17"/>
        <v>-0.56606563139957833</v>
      </c>
      <c r="W7" s="12">
        <v>0</v>
      </c>
      <c r="X7" s="15">
        <f t="shared" si="18"/>
        <v>-5.6517444708965553E-2</v>
      </c>
      <c r="Y7" s="12">
        <f t="shared" si="24"/>
        <v>-2.4340335245430343E-7</v>
      </c>
      <c r="Z7" s="15">
        <f t="shared" si="25"/>
        <v>-1.3564186476746985E-2</v>
      </c>
      <c r="AA7" s="5">
        <f t="shared" si="19"/>
        <v>27.425859726359931</v>
      </c>
      <c r="AB7" s="5">
        <f t="shared" si="20"/>
        <v>95.187475904195907</v>
      </c>
      <c r="AC7" s="5">
        <f t="shared" si="26"/>
        <v>27.425667604445376</v>
      </c>
      <c r="AD7" s="6">
        <f t="shared" si="27"/>
        <v>94.8063948756852</v>
      </c>
    </row>
    <row r="8" spans="1:34">
      <c r="A8" s="4">
        <v>1.5</v>
      </c>
      <c r="B8" s="19">
        <f t="shared" si="21"/>
        <v>316.22776601683802</v>
      </c>
      <c r="C8" s="12">
        <f t="shared" si="0"/>
        <v>1.4366634456997588E-4</v>
      </c>
      <c r="D8" s="5">
        <f t="shared" si="1"/>
        <v>-0.32953898553445887</v>
      </c>
      <c r="E8" s="5">
        <f t="shared" si="2"/>
        <v>-0.31482267230743127</v>
      </c>
      <c r="F8" s="5">
        <f t="shared" si="3"/>
        <v>-15.333342758492469</v>
      </c>
      <c r="G8" s="5">
        <f t="shared" si="4"/>
        <v>7.135170358942744E-7</v>
      </c>
      <c r="H8" s="5">
        <f t="shared" si="5"/>
        <v>2.3223765864439621E-2</v>
      </c>
      <c r="I8" s="5">
        <f t="shared" si="6"/>
        <v>-1.4986806023327239E-10</v>
      </c>
      <c r="J8" s="15">
        <f t="shared" si="7"/>
        <v>-3.3657633530448475E-4</v>
      </c>
      <c r="K8" s="12">
        <f t="shared" si="8"/>
        <v>-39.594325943103279</v>
      </c>
      <c r="L8" s="5">
        <f t="shared" si="9"/>
        <v>-89.399636497602003</v>
      </c>
      <c r="M8" s="5">
        <f t="shared" si="10"/>
        <v>0.61625465009635616</v>
      </c>
      <c r="N8" s="5">
        <f t="shared" si="11"/>
        <v>21.328652673964093</v>
      </c>
      <c r="O8" s="5">
        <f t="shared" si="12"/>
        <v>-3.0448877535560806E-4</v>
      </c>
      <c r="P8" s="15">
        <f t="shared" si="13"/>
        <v>-0.47974845311672248</v>
      </c>
      <c r="Q8" s="5">
        <f t="shared" si="22"/>
        <v>-8.298226038036435E-5</v>
      </c>
      <c r="R8" s="5">
        <f t="shared" si="23"/>
        <v>-0.2504507955260869</v>
      </c>
      <c r="S8" s="12">
        <f t="shared" si="14"/>
        <v>6.7182958160482906E-4</v>
      </c>
      <c r="T8" s="5">
        <f t="shared" si="15"/>
        <v>0.7126141463447041</v>
      </c>
      <c r="U8" s="5">
        <f t="shared" si="16"/>
        <v>-5.4238895475775103E-4</v>
      </c>
      <c r="V8" s="15">
        <f t="shared" si="17"/>
        <v>-0.71262476663458496</v>
      </c>
      <c r="W8" s="12">
        <v>0</v>
      </c>
      <c r="X8" s="15">
        <f t="shared" si="18"/>
        <v>-7.1151247353788555E-2</v>
      </c>
      <c r="Y8" s="12">
        <f t="shared" si="24"/>
        <v>-3.8576830887491155E-7</v>
      </c>
      <c r="Z8" s="15">
        <f t="shared" si="25"/>
        <v>-1.7076298859300319E-2</v>
      </c>
      <c r="AA8" s="5">
        <f t="shared" si="19"/>
        <v>25.530041744891886</v>
      </c>
      <c r="AB8" s="5">
        <f t="shared" si="20"/>
        <v>95.95033265983524</v>
      </c>
      <c r="AC8" s="5">
        <f t="shared" si="26"/>
        <v>25.52973725611653</v>
      </c>
      <c r="AD8" s="6">
        <f t="shared" si="27"/>
        <v>95.470584206718513</v>
      </c>
    </row>
    <row r="9" spans="1:34">
      <c r="A9" s="4">
        <v>1.6</v>
      </c>
      <c r="B9" s="19">
        <f t="shared" si="21"/>
        <v>398.10717055349755</v>
      </c>
      <c r="C9" s="12">
        <f t="shared" si="0"/>
        <v>2.2769360876078381E-4</v>
      </c>
      <c r="D9" s="5">
        <f t="shared" si="1"/>
        <v>-0.41486232745790769</v>
      </c>
      <c r="E9" s="5">
        <f t="shared" si="2"/>
        <v>-0.48890839658007601</v>
      </c>
      <c r="F9" s="5">
        <f t="shared" si="3"/>
        <v>-19.044192545515074</v>
      </c>
      <c r="G9" s="5">
        <f t="shared" si="4"/>
        <v>1.1308482390396318E-6</v>
      </c>
      <c r="H9" s="5">
        <f t="shared" si="5"/>
        <v>2.9236988067800649E-2</v>
      </c>
      <c r="I9" s="5">
        <f t="shared" si="6"/>
        <v>-2.3752349828998777E-10</v>
      </c>
      <c r="J9" s="15">
        <f t="shared" si="7"/>
        <v>-4.2372450152051961E-4</v>
      </c>
      <c r="K9" s="12">
        <f t="shared" si="8"/>
        <v>-41.594149973732115</v>
      </c>
      <c r="L9" s="5">
        <f t="shared" si="9"/>
        <v>-89.523107877938159</v>
      </c>
      <c r="M9" s="5">
        <f t="shared" si="10"/>
        <v>0.93992600340180688</v>
      </c>
      <c r="N9" s="5">
        <f t="shared" si="11"/>
        <v>26.176881718480246</v>
      </c>
      <c r="O9" s="5">
        <f t="shared" si="12"/>
        <v>-4.8257229299366895E-4</v>
      </c>
      <c r="P9" s="15">
        <f t="shared" si="13"/>
        <v>-0.60395926357550989</v>
      </c>
      <c r="Q9" s="5">
        <f t="shared" si="22"/>
        <v>-1.3151728467446024E-4</v>
      </c>
      <c r="R9" s="5">
        <f t="shared" si="23"/>
        <v>-0.31529769633857607</v>
      </c>
      <c r="S9" s="12">
        <f t="shared" si="14"/>
        <v>1.0647299653402055E-3</v>
      </c>
      <c r="T9" s="5">
        <f t="shared" si="15"/>
        <v>0.89710100333404108</v>
      </c>
      <c r="U9" s="5">
        <f t="shared" si="16"/>
        <v>-8.5959806235987577E-4</v>
      </c>
      <c r="V9" s="15">
        <f t="shared" si="17"/>
        <v>-0.8971221918658886</v>
      </c>
      <c r="W9" s="12">
        <v>0</v>
      </c>
      <c r="X9" s="15">
        <f t="shared" si="18"/>
        <v>-8.9574113374536954E-2</v>
      </c>
      <c r="Y9" s="12">
        <f t="shared" si="24"/>
        <v>-6.1140154962446974E-7</v>
      </c>
      <c r="Z9" s="15">
        <f t="shared" si="25"/>
        <v>-2.149778620106645E-2</v>
      </c>
      <c r="AA9" s="5">
        <f t="shared" si="19"/>
        <v>23.679914718422189</v>
      </c>
      <c r="AB9" s="5">
        <f t="shared" si="20"/>
        <v>96.797141446689366</v>
      </c>
      <c r="AC9" s="5">
        <f t="shared" si="26"/>
        <v>23.679432146129194</v>
      </c>
      <c r="AD9" s="6">
        <f t="shared" si="27"/>
        <v>96.193182183113862</v>
      </c>
    </row>
    <row r="10" spans="1:34">
      <c r="A10" s="4">
        <v>1.7</v>
      </c>
      <c r="B10" s="19">
        <f t="shared" si="21"/>
        <v>501.18723362727235</v>
      </c>
      <c r="C10" s="12">
        <f t="shared" si="0"/>
        <v>3.6086451765993371E-4</v>
      </c>
      <c r="D10" s="5">
        <f t="shared" si="1"/>
        <v>-0.52227538805262752</v>
      </c>
      <c r="E10" s="5">
        <f t="shared" si="2"/>
        <v>-0.75127208318731431</v>
      </c>
      <c r="F10" s="5">
        <f t="shared" si="3"/>
        <v>-23.488281990511616</v>
      </c>
      <c r="G10" s="5">
        <f t="shared" si="4"/>
        <v>1.7922735404715499E-6</v>
      </c>
      <c r="H10" s="5">
        <f t="shared" si="5"/>
        <v>3.6807185374313489E-2</v>
      </c>
      <c r="I10" s="5">
        <f t="shared" si="6"/>
        <v>-3.7645029909136378E-10</v>
      </c>
      <c r="J10" s="15">
        <f t="shared" si="7"/>
        <v>-5.3343754255831012E-4</v>
      </c>
      <c r="K10" s="12">
        <f t="shared" si="8"/>
        <v>-43.594038940896233</v>
      </c>
      <c r="L10" s="5">
        <f t="shared" si="9"/>
        <v>-89.621187894249147</v>
      </c>
      <c r="M10" s="5">
        <f t="shared" si="10"/>
        <v>1.4080948332708165</v>
      </c>
      <c r="N10" s="5">
        <f t="shared" si="11"/>
        <v>31.75076622207904</v>
      </c>
      <c r="O10" s="5">
        <f t="shared" si="12"/>
        <v>-7.6480069056199913E-4</v>
      </c>
      <c r="P10" s="15">
        <f t="shared" si="13"/>
        <v>-0.76032319411813976</v>
      </c>
      <c r="Q10" s="5">
        <f t="shared" si="22"/>
        <v>-2.0843900322962698E-4</v>
      </c>
      <c r="R10" s="5">
        <f t="shared" si="23"/>
        <v>-0.39693393869951704</v>
      </c>
      <c r="S10" s="12">
        <f t="shared" si="14"/>
        <v>1.687362307627383E-3</v>
      </c>
      <c r="T10" s="5">
        <f t="shared" si="15"/>
        <v>1.1293292771845249</v>
      </c>
      <c r="U10" s="5">
        <f t="shared" si="16"/>
        <v>-1.3622945150083509E-3</v>
      </c>
      <c r="V10" s="15">
        <f t="shared" si="17"/>
        <v>-1.1293715483866915</v>
      </c>
      <c r="W10" s="12">
        <v>0</v>
      </c>
      <c r="X10" s="15">
        <f t="shared" si="18"/>
        <v>-0.11276712756613627</v>
      </c>
      <c r="Y10" s="12">
        <f t="shared" si="24"/>
        <v>-9.6900611538725013E-7</v>
      </c>
      <c r="Z10" s="15">
        <f t="shared" si="25"/>
        <v>-2.7064108603007456E-2</v>
      </c>
      <c r="AA10" s="5">
        <f t="shared" si="19"/>
        <v>21.886007383281633</v>
      </c>
      <c r="AB10" s="5">
        <f t="shared" si="20"/>
        <v>97.618487251026579</v>
      </c>
      <c r="AC10" s="5">
        <f t="shared" si="26"/>
        <v>21.885242582591072</v>
      </c>
      <c r="AD10" s="6">
        <f t="shared" si="27"/>
        <v>96.858164056908436</v>
      </c>
    </row>
    <row r="11" spans="1:34">
      <c r="A11" s="4">
        <v>1.8</v>
      </c>
      <c r="B11" s="19">
        <f t="shared" si="21"/>
        <v>630.95734448019368</v>
      </c>
      <c r="C11" s="12">
        <f t="shared" si="0"/>
        <v>5.7191782032869605E-4</v>
      </c>
      <c r="D11" s="5">
        <f t="shared" si="1"/>
        <v>-0.65749510701180236</v>
      </c>
      <c r="E11" s="5">
        <f t="shared" si="2"/>
        <v>-1.1371201676236762</v>
      </c>
      <c r="F11" s="5">
        <f t="shared" si="3"/>
        <v>-28.682638136356786</v>
      </c>
      <c r="G11" s="5">
        <f t="shared" si="4"/>
        <v>2.8405617903454413E-6</v>
      </c>
      <c r="H11" s="5">
        <f t="shared" si="5"/>
        <v>4.6337497276068305E-2</v>
      </c>
      <c r="I11" s="5">
        <f t="shared" si="6"/>
        <v>-5.9663133223194305E-10</v>
      </c>
      <c r="J11" s="15">
        <f t="shared" si="7"/>
        <v>-6.7155807792034037E-4</v>
      </c>
      <c r="K11" s="12">
        <f t="shared" si="8"/>
        <v>-45.59396888245233</v>
      </c>
      <c r="L11" s="5">
        <f t="shared" si="9"/>
        <v>-89.699097230733756</v>
      </c>
      <c r="M11" s="5">
        <f t="shared" si="10"/>
        <v>2.0600236729664174</v>
      </c>
      <c r="N11" s="5">
        <f t="shared" si="11"/>
        <v>37.921085483962955</v>
      </c>
      <c r="O11" s="5">
        <f t="shared" si="12"/>
        <v>-1.2120649909753991E-3</v>
      </c>
      <c r="P11" s="15">
        <f t="shared" si="13"/>
        <v>-0.95715733062459518</v>
      </c>
      <c r="Q11" s="5">
        <f t="shared" si="22"/>
        <v>-3.3034892060042185E-4</v>
      </c>
      <c r="R11" s="5">
        <f t="shared" si="23"/>
        <v>-0.49970554646103144</v>
      </c>
      <c r="S11" s="12">
        <f t="shared" si="14"/>
        <v>2.6739852561500342E-3</v>
      </c>
      <c r="T11" s="5">
        <f t="shared" si="15"/>
        <v>1.4216336592600793</v>
      </c>
      <c r="U11" s="5">
        <f t="shared" si="16"/>
        <v>-2.1588989245522618E-3</v>
      </c>
      <c r="V11" s="15">
        <f t="shared" si="17"/>
        <v>-1.4217179840829699</v>
      </c>
      <c r="W11" s="12">
        <v>0</v>
      </c>
      <c r="X11" s="15">
        <f t="shared" si="18"/>
        <v>-0.14196540250804357</v>
      </c>
      <c r="Y11" s="12">
        <f t="shared" si="24"/>
        <v>-1.5357710945554844E-6</v>
      </c>
      <c r="Z11" s="15">
        <f t="shared" si="25"/>
        <v>-3.4071692585736599E-2</v>
      </c>
      <c r="AA11" s="5">
        <f t="shared" si="19"/>
        <v>20.152437840212141</v>
      </c>
      <c r="AB11" s="5">
        <f t="shared" si="20"/>
        <v>98.251693982681047</v>
      </c>
      <c r="AC11" s="5">
        <f t="shared" si="26"/>
        <v>20.151225775221164</v>
      </c>
      <c r="AD11" s="6">
        <f t="shared" si="27"/>
        <v>97.294536652056451</v>
      </c>
    </row>
    <row r="12" spans="1:34">
      <c r="A12" s="4">
        <v>1.9</v>
      </c>
      <c r="B12" s="19">
        <f t="shared" si="21"/>
        <v>794.32823472428197</v>
      </c>
      <c r="C12" s="12">
        <f t="shared" si="0"/>
        <v>9.0639375504553642E-4</v>
      </c>
      <c r="D12" s="5">
        <f t="shared" si="1"/>
        <v>-0.82771604848539515</v>
      </c>
      <c r="E12" s="5">
        <f t="shared" si="2"/>
        <v>-1.6860670865985841</v>
      </c>
      <c r="F12" s="5">
        <f t="shared" si="3"/>
        <v>-34.556963878267901</v>
      </c>
      <c r="G12" s="5">
        <f t="shared" si="4"/>
        <v>4.5019861838833866E-6</v>
      </c>
      <c r="H12" s="5">
        <f t="shared" si="5"/>
        <v>5.83354454009044E-2</v>
      </c>
      <c r="I12" s="5">
        <f t="shared" si="6"/>
        <v>-9.4559636989442764E-10</v>
      </c>
      <c r="J12" s="15">
        <f t="shared" si="7"/>
        <v>-8.4544152976691951E-4</v>
      </c>
      <c r="K12" s="12">
        <f t="shared" si="8"/>
        <v>-47.593924677981107</v>
      </c>
      <c r="L12" s="5">
        <f t="shared" si="9"/>
        <v>-89.760983623524837</v>
      </c>
      <c r="M12" s="5">
        <f t="shared" si="10"/>
        <v>2.926881439266543</v>
      </c>
      <c r="N12" s="5">
        <f t="shared" si="11"/>
        <v>44.444382876815759</v>
      </c>
      <c r="O12" s="5">
        <f t="shared" si="12"/>
        <v>-1.9208367962058085E-3</v>
      </c>
      <c r="P12" s="15">
        <f t="shared" si="13"/>
        <v>-1.2049241335031506</v>
      </c>
      <c r="Q12" s="5">
        <f t="shared" si="22"/>
        <v>-5.2355610920028282E-4</v>
      </c>
      <c r="R12" s="5">
        <f t="shared" si="23"/>
        <v>-0.62908268187008598</v>
      </c>
      <c r="S12" s="12">
        <f t="shared" si="14"/>
        <v>4.2372182709462768E-3</v>
      </c>
      <c r="T12" s="5">
        <f t="shared" si="15"/>
        <v>1.7895159935178246</v>
      </c>
      <c r="U12" s="5">
        <f t="shared" si="16"/>
        <v>-3.4211411264759087E-3</v>
      </c>
      <c r="V12" s="15">
        <f t="shared" si="17"/>
        <v>-1.7896841889371495</v>
      </c>
      <c r="W12" s="12">
        <v>0</v>
      </c>
      <c r="X12" s="15">
        <f t="shared" si="18"/>
        <v>-0.17872385281296346</v>
      </c>
      <c r="Y12" s="12">
        <f t="shared" si="24"/>
        <v>-2.4340329028339434E-6</v>
      </c>
      <c r="Z12" s="15">
        <f t="shared" si="25"/>
        <v>-4.2893716661751957E-2</v>
      </c>
      <c r="AA12" s="5">
        <f t="shared" si="19"/>
        <v>18.470835914381194</v>
      </c>
      <c r="AB12" s="5">
        <f t="shared" si="20"/>
        <v>98.505340883644649</v>
      </c>
      <c r="AC12" s="5">
        <f t="shared" si="26"/>
        <v>18.468915077584988</v>
      </c>
      <c r="AD12" s="6">
        <f t="shared" si="27"/>
        <v>97.300416750141494</v>
      </c>
    </row>
    <row r="13" spans="1:34">
      <c r="A13" s="4">
        <v>2</v>
      </c>
      <c r="B13" s="18">
        <f t="shared" si="21"/>
        <v>1000</v>
      </c>
      <c r="C13" s="12">
        <f t="shared" si="0"/>
        <v>1.4364496261969255E-3</v>
      </c>
      <c r="D13" s="5">
        <f t="shared" si="1"/>
        <v>-1.041990373202992</v>
      </c>
      <c r="E13" s="5">
        <f t="shared" si="2"/>
        <v>-2.4349121185940619</v>
      </c>
      <c r="F13" s="5">
        <f t="shared" si="3"/>
        <v>-40.927890598913173</v>
      </c>
      <c r="G13" s="5">
        <f t="shared" si="4"/>
        <v>7.1351650906732998E-6</v>
      </c>
      <c r="H13" s="5">
        <f t="shared" si="5"/>
        <v>7.3439959781019568E-2</v>
      </c>
      <c r="I13" s="5">
        <f t="shared" si="6"/>
        <v>-1.4986709591744199E-9</v>
      </c>
      <c r="J13" s="15">
        <f t="shared" si="7"/>
        <v>-1.0643478259645277E-3</v>
      </c>
      <c r="K13" s="12">
        <f t="shared" si="8"/>
        <v>-49.593896786613811</v>
      </c>
      <c r="L13" s="5">
        <f t="shared" si="9"/>
        <v>-89.810142137167347</v>
      </c>
      <c r="M13" s="5">
        <f t="shared" si="10"/>
        <v>4.0219077170494923</v>
      </c>
      <c r="N13" s="5">
        <f t="shared" si="11"/>
        <v>50.996494541715165</v>
      </c>
      <c r="O13" s="5">
        <f t="shared" si="12"/>
        <v>-3.0439275175438178E-3</v>
      </c>
      <c r="P13" s="15">
        <f t="shared" si="13"/>
        <v>-1.5167788484095321</v>
      </c>
      <c r="Q13" s="5">
        <f t="shared" si="22"/>
        <v>-8.2975126166051334E-4</v>
      </c>
      <c r="R13" s="5">
        <f t="shared" si="23"/>
        <v>-0.79194956183949483</v>
      </c>
      <c r="S13" s="12">
        <f t="shared" si="14"/>
        <v>6.71362361830117E-3</v>
      </c>
      <c r="T13" s="5">
        <f t="shared" si="15"/>
        <v>2.2524389227607688</v>
      </c>
      <c r="U13" s="5">
        <f t="shared" si="16"/>
        <v>-5.4209304326350675E-3</v>
      </c>
      <c r="V13" s="15">
        <f t="shared" si="17"/>
        <v>-2.2527743438417329</v>
      </c>
      <c r="W13" s="12">
        <v>0</v>
      </c>
      <c r="X13" s="15">
        <f t="shared" si="18"/>
        <v>-0.22500000000000001</v>
      </c>
      <c r="Y13" s="12">
        <f t="shared" si="24"/>
        <v>-3.8576815424639383E-6</v>
      </c>
      <c r="Z13" s="15">
        <f t="shared" si="25"/>
        <v>-5.3999984011249391E-2</v>
      </c>
      <c r="AA13" s="5">
        <f t="shared" si="19"/>
        <v>16.817746737273044</v>
      </c>
      <c r="AB13" s="5">
        <f t="shared" si="20"/>
        <v>98.217562077454986</v>
      </c>
      <c r="AC13" s="5">
        <f t="shared" si="26"/>
        <v>16.814702809755499</v>
      </c>
      <c r="AD13" s="6">
        <f t="shared" si="27"/>
        <v>96.700783229045456</v>
      </c>
    </row>
    <row r="14" spans="1:34">
      <c r="A14" s="4">
        <v>2.1</v>
      </c>
      <c r="B14" s="19">
        <f t="shared" si="21"/>
        <v>1258.9254117941678</v>
      </c>
      <c r="C14" s="12">
        <f t="shared" si="0"/>
        <v>2.2763990734847722E-3</v>
      </c>
      <c r="D14" s="5">
        <f t="shared" si="1"/>
        <v>-1.311703588558198</v>
      </c>
      <c r="E14" s="5">
        <f t="shared" si="2"/>
        <v>-3.4075444917469264</v>
      </c>
      <c r="F14" s="5">
        <f t="shared" si="3"/>
        <v>-47.507321450289311</v>
      </c>
      <c r="G14" s="5">
        <f t="shared" si="4"/>
        <v>1.1308469145946674E-5</v>
      </c>
      <c r="H14" s="5">
        <f t="shared" si="5"/>
        <v>9.2455401994793934E-2</v>
      </c>
      <c r="I14" s="5">
        <f t="shared" si="6"/>
        <v>-2.3752330545372325E-9</v>
      </c>
      <c r="J14" s="15">
        <f t="shared" si="7"/>
        <v>-1.339934525004471E-3</v>
      </c>
      <c r="K14" s="12">
        <f t="shared" si="8"/>
        <v>-51.593879188258612</v>
      </c>
      <c r="L14" s="5">
        <f t="shared" si="9"/>
        <v>-89.84919033526532</v>
      </c>
      <c r="M14" s="5">
        <f t="shared" si="10"/>
        <v>5.3355746551659138</v>
      </c>
      <c r="N14" s="5">
        <f t="shared" si="11"/>
        <v>57.246223827527622</v>
      </c>
      <c r="O14" s="5">
        <f t="shared" si="12"/>
        <v>-4.8233116508746522E-3</v>
      </c>
      <c r="P14" s="15">
        <f t="shared" si="13"/>
        <v>-1.9092506353686318</v>
      </c>
      <c r="Q14" s="5">
        <f t="shared" si="22"/>
        <v>-1.3149936580596211E-3</v>
      </c>
      <c r="R14" s="5">
        <f t="shared" si="23"/>
        <v>-0.99696829552674737</v>
      </c>
      <c r="S14" s="12">
        <f t="shared" si="14"/>
        <v>1.0635571396248425E-2</v>
      </c>
      <c r="T14" s="5">
        <f t="shared" si="15"/>
        <v>2.8347989096976138</v>
      </c>
      <c r="U14" s="5">
        <f t="shared" si="16"/>
        <v>-8.5885515806222584E-3</v>
      </c>
      <c r="V14" s="15">
        <f t="shared" si="17"/>
        <v>-2.8354676167074211</v>
      </c>
      <c r="W14" s="12">
        <v>0</v>
      </c>
      <c r="X14" s="15">
        <f t="shared" si="18"/>
        <v>-0.28325821765368775</v>
      </c>
      <c r="Y14" s="12">
        <f t="shared" si="24"/>
        <v>-6.1140116286050641E-6</v>
      </c>
      <c r="Z14" s="15">
        <f t="shared" si="25"/>
        <v>-6.7981940335143445E-2</v>
      </c>
      <c r="AA14" s="5">
        <f t="shared" si="19"/>
        <v>15.159909850370054</v>
      </c>
      <c r="AB14" s="5">
        <f t="shared" si="20"/>
        <v>97.320246760359197</v>
      </c>
      <c r="AC14" s="5">
        <f t="shared" si="26"/>
        <v>15.15508653871918</v>
      </c>
      <c r="AD14" s="6">
        <f t="shared" si="27"/>
        <v>95.410996124990561</v>
      </c>
    </row>
    <row r="15" spans="1:34">
      <c r="A15" s="4">
        <v>2.2000000000000002</v>
      </c>
      <c r="B15" s="19">
        <f t="shared" si="21"/>
        <v>1584.8931924611154</v>
      </c>
      <c r="C15" s="12">
        <f t="shared" si="0"/>
        <v>3.6072965612634392E-3</v>
      </c>
      <c r="D15" s="5">
        <f t="shared" si="1"/>
        <v>-1.6511682894272364</v>
      </c>
      <c r="E15" s="5">
        <f t="shared" si="2"/>
        <v>-4.6067297360544179</v>
      </c>
      <c r="F15" s="5">
        <f t="shared" si="3"/>
        <v>-53.957329142731979</v>
      </c>
      <c r="G15" s="5">
        <f t="shared" si="4"/>
        <v>1.7922702118430635E-5</v>
      </c>
      <c r="H15" s="5">
        <f t="shared" si="5"/>
        <v>0.11639439593993788</v>
      </c>
      <c r="I15" s="5">
        <f t="shared" si="6"/>
        <v>-3.7644894910632982E-9</v>
      </c>
      <c r="J15" s="15">
        <f t="shared" si="7"/>
        <v>-1.6868776234886061E-3</v>
      </c>
      <c r="K15" s="12">
        <f t="shared" si="8"/>
        <v>-53.593868084410452</v>
      </c>
      <c r="L15" s="5">
        <f t="shared" si="9"/>
        <v>-89.880207523138552</v>
      </c>
      <c r="M15" s="5">
        <f t="shared" si="10"/>
        <v>6.8391077437856502</v>
      </c>
      <c r="N15" s="5">
        <f t="shared" si="11"/>
        <v>62.932826584731067</v>
      </c>
      <c r="O15" s="5">
        <f t="shared" si="12"/>
        <v>-7.6419529294382386E-3</v>
      </c>
      <c r="P15" s="15">
        <f t="shared" si="13"/>
        <v>-2.4030841064911628</v>
      </c>
      <c r="Q15" s="5">
        <f t="shared" si="22"/>
        <v>-2.0839399890951221E-3</v>
      </c>
      <c r="R15" s="5">
        <f t="shared" si="23"/>
        <v>-1.2550346452872989</v>
      </c>
      <c r="S15" s="12">
        <f t="shared" si="14"/>
        <v>1.6844193916419007E-2</v>
      </c>
      <c r="T15" s="5">
        <f t="shared" si="15"/>
        <v>3.5670994346331484</v>
      </c>
      <c r="U15" s="5">
        <f t="shared" si="16"/>
        <v>-1.3604299812368836E-2</v>
      </c>
      <c r="V15" s="15">
        <f t="shared" si="17"/>
        <v>-3.568431957459377</v>
      </c>
      <c r="W15" s="12">
        <v>0</v>
      </c>
      <c r="X15" s="15">
        <f t="shared" si="18"/>
        <v>-0.35660096830375099</v>
      </c>
      <c r="Y15" s="12">
        <f t="shared" si="24"/>
        <v>-9.6900514205164675E-6</v>
      </c>
      <c r="Z15" s="15">
        <f t="shared" si="25"/>
        <v>-8.5584168740588856E-2</v>
      </c>
      <c r="AA15" s="5">
        <f t="shared" si="19"/>
        <v>13.466026660779546</v>
      </c>
      <c r="AB15" s="5">
        <f t="shared" si="20"/>
        <v>95.860276842591873</v>
      </c>
      <c r="AC15" s="5">
        <f t="shared" si="26"/>
        <v>13.458384707850108</v>
      </c>
      <c r="AD15" s="6">
        <f t="shared" si="27"/>
        <v>93.457192736100708</v>
      </c>
    </row>
    <row r="16" spans="1:34">
      <c r="A16" s="4">
        <v>2.2999999999999998</v>
      </c>
      <c r="B16" s="19">
        <f t="shared" si="21"/>
        <v>1995.2623149688802</v>
      </c>
      <c r="C16" s="12">
        <f t="shared" si="0"/>
        <v>5.7157918408827172E-3</v>
      </c>
      <c r="D16" s="5">
        <f t="shared" si="1"/>
        <v>-2.0783612959186177</v>
      </c>
      <c r="E16" s="5">
        <f t="shared" si="2"/>
        <v>-6.0130769982491472</v>
      </c>
      <c r="F16" s="5">
        <f t="shared" si="3"/>
        <v>-59.971332838640599</v>
      </c>
      <c r="G16" s="5">
        <f t="shared" si="4"/>
        <v>2.840553429715534E-5</v>
      </c>
      <c r="H16" s="5">
        <f t="shared" si="5"/>
        <v>0.14653174494153604</v>
      </c>
      <c r="I16" s="5">
        <f t="shared" si="6"/>
        <v>-5.9663152528185748E-9</v>
      </c>
      <c r="J16" s="15">
        <f t="shared" si="7"/>
        <v>-2.1236531064378677E-3</v>
      </c>
      <c r="K16" s="12">
        <f t="shared" si="8"/>
        <v>-55.593861078341291</v>
      </c>
      <c r="L16" s="5">
        <f t="shared" si="9"/>
        <v>-89.904845402153356</v>
      </c>
      <c r="M16" s="5">
        <f t="shared" si="10"/>
        <v>8.493887063812819</v>
      </c>
      <c r="N16" s="5">
        <f t="shared" si="11"/>
        <v>67.907560240439622</v>
      </c>
      <c r="O16" s="5">
        <f t="shared" si="12"/>
        <v>-1.2105454471812854E-2</v>
      </c>
      <c r="P16" s="15">
        <f t="shared" si="13"/>
        <v>-3.0242670839044075</v>
      </c>
      <c r="Q16" s="5">
        <f t="shared" si="22"/>
        <v>-3.302358981219515E-3</v>
      </c>
      <c r="R16" s="5">
        <f t="shared" si="23"/>
        <v>-1.5798472457547021</v>
      </c>
      <c r="S16" s="12">
        <f t="shared" si="14"/>
        <v>2.6666052486810102E-2</v>
      </c>
      <c r="T16" s="5">
        <f t="shared" si="15"/>
        <v>4.4873257931958337</v>
      </c>
      <c r="U16" s="5">
        <f t="shared" si="16"/>
        <v>-2.1542216140281768E-2</v>
      </c>
      <c r="V16" s="15">
        <f t="shared" si="17"/>
        <v>-4.4899790950996099</v>
      </c>
      <c r="W16" s="12">
        <v>0</v>
      </c>
      <c r="X16" s="15">
        <f t="shared" si="18"/>
        <v>-0.44893402086799805</v>
      </c>
      <c r="Y16" s="12">
        <f t="shared" si="24"/>
        <v>-1.5357686507960409E-5</v>
      </c>
      <c r="Z16" s="15">
        <f t="shared" si="25"/>
        <v>-0.10774403800536084</v>
      </c>
      <c r="AA16" s="5">
        <f t="shared" si="19"/>
        <v>11.717244556206394</v>
      </c>
      <c r="AB16" s="5">
        <f t="shared" si="20"/>
        <v>93.958250189030295</v>
      </c>
      <c r="AC16" s="5">
        <f t="shared" si="26"/>
        <v>11.705139101734581</v>
      </c>
      <c r="AD16" s="6">
        <f t="shared" si="27"/>
        <v>90.93398310512589</v>
      </c>
    </row>
    <row r="17" spans="1:30">
      <c r="A17" s="4">
        <v>2.4</v>
      </c>
      <c r="B17" s="19">
        <f t="shared" si="21"/>
        <v>2511.8864315095807</v>
      </c>
      <c r="C17" s="12">
        <f t="shared" si="0"/>
        <v>9.0554361899022849E-3</v>
      </c>
      <c r="D17" s="5">
        <f t="shared" si="1"/>
        <v>-2.6158311037100068</v>
      </c>
      <c r="E17" s="5">
        <f t="shared" si="2"/>
        <v>-7.5919232117650619</v>
      </c>
      <c r="F17" s="5">
        <f t="shared" si="3"/>
        <v>-65.338456235191572</v>
      </c>
      <c r="G17" s="5">
        <f t="shared" si="4"/>
        <v>4.5019651822226169E-5</v>
      </c>
      <c r="H17" s="5">
        <f t="shared" si="5"/>
        <v>0.18447230210551682</v>
      </c>
      <c r="I17" s="5">
        <f t="shared" si="6"/>
        <v>-9.4559714181964577E-9</v>
      </c>
      <c r="J17" s="15">
        <f t="shared" si="7"/>
        <v>-2.6735208608141769E-3</v>
      </c>
      <c r="K17" s="12">
        <f t="shared" si="8"/>
        <v>-57.593856657804693</v>
      </c>
      <c r="L17" s="5">
        <f t="shared" si="9"/>
        <v>-89.924415990621782</v>
      </c>
      <c r="M17" s="5">
        <f t="shared" si="10"/>
        <v>10.261044547738578</v>
      </c>
      <c r="N17" s="5">
        <f t="shared" si="11"/>
        <v>72.129580309130731</v>
      </c>
      <c r="O17" s="5">
        <f t="shared" si="12"/>
        <v>-1.9170244289863952E-2</v>
      </c>
      <c r="P17" s="15">
        <f t="shared" si="13"/>
        <v>-3.8052617581294803</v>
      </c>
      <c r="Q17" s="5">
        <f t="shared" si="22"/>
        <v>-5.2327230211146047E-3</v>
      </c>
      <c r="R17" s="5">
        <f t="shared" si="23"/>
        <v>-1.9886151489575756</v>
      </c>
      <c r="S17" s="12">
        <f t="shared" si="14"/>
        <v>4.2187291359481863E-2</v>
      </c>
      <c r="T17" s="5">
        <f t="shared" si="15"/>
        <v>5.6424754788682518</v>
      </c>
      <c r="U17" s="5">
        <f t="shared" si="16"/>
        <v>-3.4094167962081909E-2</v>
      </c>
      <c r="V17" s="15">
        <f t="shared" si="17"/>
        <v>-5.6477524292373413</v>
      </c>
      <c r="W17" s="12">
        <v>0</v>
      </c>
      <c r="X17" s="15">
        <f t="shared" si="18"/>
        <v>-0.5651744470896557</v>
      </c>
      <c r="Y17" s="12">
        <f t="shared" si="24"/>
        <v>-2.4340267629658012E-5</v>
      </c>
      <c r="Z17" s="15">
        <f t="shared" si="25"/>
        <v>-0.13564161389761448</v>
      </c>
      <c r="AA17" s="5">
        <f t="shared" si="19"/>
        <v>9.9099464425595816</v>
      </c>
      <c r="AB17" s="5">
        <f t="shared" si="20"/>
        <v>91.737967600538127</v>
      </c>
      <c r="AC17" s="5">
        <f t="shared" si="26"/>
        <v>9.8907761982697178</v>
      </c>
      <c r="AD17" s="6">
        <f t="shared" si="27"/>
        <v>87.932705842408652</v>
      </c>
    </row>
    <row r="18" spans="1:30">
      <c r="A18" s="4">
        <v>2.5</v>
      </c>
      <c r="B18" s="19">
        <f t="shared" si="21"/>
        <v>3162.2776601683827</v>
      </c>
      <c r="C18" s="12">
        <f t="shared" si="0"/>
        <v>1.4343160879169944E-2</v>
      </c>
      <c r="D18" s="5">
        <f t="shared" si="1"/>
        <v>-3.291799528444685</v>
      </c>
      <c r="E18" s="5">
        <f t="shared" si="2"/>
        <v>-9.3035139388404033</v>
      </c>
      <c r="F18" s="5">
        <f t="shared" si="3"/>
        <v>-69.962862995474353</v>
      </c>
      <c r="G18" s="5">
        <f t="shared" si="4"/>
        <v>7.1351123396762509E-5</v>
      </c>
      <c r="H18" s="5">
        <f t="shared" si="5"/>
        <v>0.23223639953821582</v>
      </c>
      <c r="I18" s="5">
        <f t="shared" si="6"/>
        <v>-1.4986705746070517E-8</v>
      </c>
      <c r="J18" s="15">
        <f t="shared" si="7"/>
        <v>-3.3657633492120216E-3</v>
      </c>
      <c r="K18" s="12">
        <f t="shared" si="8"/>
        <v>-59.593853868632337</v>
      </c>
      <c r="L18" s="5">
        <f t="shared" si="9"/>
        <v>-89.939961474404356</v>
      </c>
      <c r="M18" s="5">
        <f t="shared" si="10"/>
        <v>12.10743642132468</v>
      </c>
      <c r="N18" s="5">
        <f t="shared" si="11"/>
        <v>75.634843789914171</v>
      </c>
      <c r="O18" s="5">
        <f t="shared" si="12"/>
        <v>-3.0343693571582224E-2</v>
      </c>
      <c r="P18" s="15">
        <f t="shared" si="13"/>
        <v>-4.7864310288504601</v>
      </c>
      <c r="Q18" s="5">
        <f t="shared" si="22"/>
        <v>-8.2903873858568566E-3</v>
      </c>
      <c r="R18" s="5">
        <f t="shared" si="23"/>
        <v>-2.5029305556209982</v>
      </c>
      <c r="S18" s="12">
        <f t="shared" si="14"/>
        <v>6.6673731674115236E-2</v>
      </c>
      <c r="T18" s="5">
        <f t="shared" si="15"/>
        <v>7.0900957812013239</v>
      </c>
      <c r="U18" s="5">
        <f t="shared" si="16"/>
        <v>-5.3915774100596614E-2</v>
      </c>
      <c r="V18" s="15">
        <f t="shared" si="17"/>
        <v>-7.1005711086876877</v>
      </c>
      <c r="W18" s="12">
        <v>0</v>
      </c>
      <c r="X18" s="15">
        <f t="shared" si="18"/>
        <v>-0.71151247353788616</v>
      </c>
      <c r="Y18" s="12">
        <f t="shared" si="24"/>
        <v>-3.8576661238921431E-5</v>
      </c>
      <c r="Z18" s="15">
        <f t="shared" si="25"/>
        <v>-0.1707624880428292</v>
      </c>
      <c r="AA18" s="5">
        <f t="shared" si="19"/>
        <v>8.051657362290559</v>
      </c>
      <c r="AB18" s="5">
        <f t="shared" si="20"/>
        <v>89.27340958309172</v>
      </c>
      <c r="AC18" s="5">
        <f t="shared" si="26"/>
        <v>8.0213136687189763</v>
      </c>
      <c r="AD18" s="6">
        <f t="shared" si="27"/>
        <v>84.486978554241261</v>
      </c>
    </row>
    <row r="19" spans="1:30">
      <c r="A19" s="4">
        <v>2.6</v>
      </c>
      <c r="B19" s="19">
        <f t="shared" si="21"/>
        <v>3981.071705534976</v>
      </c>
      <c r="C19" s="12">
        <f t="shared" si="0"/>
        <v>2.2710474412496951E-2</v>
      </c>
      <c r="D19" s="5">
        <f t="shared" si="1"/>
        <v>-4.1414679959456748</v>
      </c>
      <c r="E19" s="5">
        <f t="shared" si="2"/>
        <v>-11.11116425708599</v>
      </c>
      <c r="F19" s="5">
        <f t="shared" si="3"/>
        <v>-73.843960245920456</v>
      </c>
      <c r="G19" s="5">
        <f t="shared" si="4"/>
        <v>1.1308336642120825E-4</v>
      </c>
      <c r="H19" s="5">
        <f t="shared" si="5"/>
        <v>0.29236736844552313</v>
      </c>
      <c r="I19" s="5">
        <f t="shared" si="6"/>
        <v>-2.3752328645946166E-8</v>
      </c>
      <c r="J19" s="15">
        <f t="shared" si="7"/>
        <v>-4.237245007557699E-3</v>
      </c>
      <c r="K19" s="12">
        <f t="shared" si="8"/>
        <v>-61.593852108782635</v>
      </c>
      <c r="L19" s="5">
        <f t="shared" si="9"/>
        <v>-89.952309697506465</v>
      </c>
      <c r="M19" s="5">
        <f t="shared" si="10"/>
        <v>14.007644059895821</v>
      </c>
      <c r="N19" s="5">
        <f t="shared" si="11"/>
        <v>78.501006827774617</v>
      </c>
      <c r="O19" s="5">
        <f t="shared" si="12"/>
        <v>-4.7993742270101683E-2</v>
      </c>
      <c r="P19" s="15">
        <f t="shared" si="13"/>
        <v>-6.0175923357375751</v>
      </c>
      <c r="Q19" s="5">
        <f t="shared" si="22"/>
        <v>-1.3132053444384607E-2</v>
      </c>
      <c r="R19" s="5">
        <f t="shared" si="23"/>
        <v>-3.1498317638413829</v>
      </c>
      <c r="S19" s="12">
        <f t="shared" si="14"/>
        <v>0.10520152134001419</v>
      </c>
      <c r="T19" s="5">
        <f t="shared" si="15"/>
        <v>8.8994764017017314</v>
      </c>
      <c r="U19" s="5">
        <f t="shared" si="16"/>
        <v>-8.5152035547729918E-2</v>
      </c>
      <c r="V19" s="15">
        <f t="shared" si="17"/>
        <v>-8.9202102259814069</v>
      </c>
      <c r="W19" s="12">
        <v>0</v>
      </c>
      <c r="X19" s="15">
        <f t="shared" si="18"/>
        <v>-0.89574113374536957</v>
      </c>
      <c r="Y19" s="12">
        <f t="shared" si="24"/>
        <v>-6.1139728964450081E-5</v>
      </c>
      <c r="Z19" s="15">
        <f t="shared" si="25"/>
        <v>-0.21497686328490972</v>
      </c>
      <c r="AA19" s="5">
        <f t="shared" si="19"/>
        <v>6.1550527785690727</v>
      </c>
      <c r="AB19" s="5">
        <f t="shared" si="20"/>
        <v>86.570115426688659</v>
      </c>
      <c r="AC19" s="5">
        <f t="shared" si="26"/>
        <v>6.1070590362989714</v>
      </c>
      <c r="AD19" s="6">
        <f t="shared" si="27"/>
        <v>80.552523090951084</v>
      </c>
    </row>
    <row r="20" spans="1:30">
      <c r="A20" s="4">
        <v>2.7</v>
      </c>
      <c r="B20" s="19">
        <f t="shared" si="21"/>
        <v>5011.8723362727269</v>
      </c>
      <c r="C20" s="12">
        <f t="shared" si="0"/>
        <v>3.5938839066638015E-2</v>
      </c>
      <c r="D20" s="5">
        <f t="shared" si="1"/>
        <v>-5.2085035823506347</v>
      </c>
      <c r="E20" s="5">
        <f t="shared" si="2"/>
        <v>-12.985264693933154</v>
      </c>
      <c r="F20" s="5">
        <f t="shared" si="3"/>
        <v>-77.041089651407276</v>
      </c>
      <c r="G20" s="5">
        <f t="shared" si="4"/>
        <v>1.7922369287670382E-4</v>
      </c>
      <c r="H20" s="5">
        <f t="shared" si="5"/>
        <v>0.36806684122659572</v>
      </c>
      <c r="I20" s="5">
        <f t="shared" si="6"/>
        <v>-3.7644904627327013E-8</v>
      </c>
      <c r="J20" s="15">
        <f t="shared" si="7"/>
        <v>-5.3343754103243384E-3</v>
      </c>
      <c r="K20" s="12">
        <f t="shared" si="8"/>
        <v>-63.59385099839217</v>
      </c>
      <c r="L20" s="5">
        <f t="shared" si="9"/>
        <v>-89.962118242978349</v>
      </c>
      <c r="M20" s="5">
        <f t="shared" si="10"/>
        <v>15.943478676872243</v>
      </c>
      <c r="N20" s="5">
        <f t="shared" si="11"/>
        <v>80.820730679259754</v>
      </c>
      <c r="O20" s="5">
        <f t="shared" si="12"/>
        <v>-7.5821075893304155E-2</v>
      </c>
      <c r="P20" s="15">
        <f t="shared" si="13"/>
        <v>-7.559506116937694</v>
      </c>
      <c r="Q20" s="5">
        <f t="shared" si="22"/>
        <v>-2.0794537616627883E-2</v>
      </c>
      <c r="R20" s="5">
        <f t="shared" si="23"/>
        <v>-3.9630705996733835</v>
      </c>
      <c r="S20" s="12">
        <f t="shared" si="14"/>
        <v>0.1655723436146086</v>
      </c>
      <c r="T20" s="5">
        <f t="shared" si="15"/>
        <v>11.151768288446663</v>
      </c>
      <c r="U20" s="5">
        <f t="shared" si="16"/>
        <v>-0.1342156342465696</v>
      </c>
      <c r="V20" s="15">
        <f t="shared" si="17"/>
        <v>-11.19261976136303</v>
      </c>
      <c r="W20" s="12">
        <v>0</v>
      </c>
      <c r="X20" s="15">
        <f t="shared" si="18"/>
        <v>-1.1276712756613636</v>
      </c>
      <c r="Y20" s="12">
        <f t="shared" si="24"/>
        <v>-9.6899541286150974E-5</v>
      </c>
      <c r="Z20" s="15">
        <f t="shared" si="25"/>
        <v>-0.27063909332015651</v>
      </c>
      <c r="AA20" s="5">
        <f t="shared" si="19"/>
        <v>4.2336915397680022</v>
      </c>
      <c r="AB20" s="5">
        <f t="shared" si="20"/>
        <v>83.569519226768477</v>
      </c>
      <c r="AC20" s="5">
        <f t="shared" si="26"/>
        <v>4.1578704638746977</v>
      </c>
      <c r="AD20" s="6">
        <f t="shared" si="27"/>
        <v>76.01001310983078</v>
      </c>
    </row>
    <row r="21" spans="1:30">
      <c r="A21" s="4">
        <v>2.8</v>
      </c>
      <c r="B21" s="19">
        <f t="shared" si="21"/>
        <v>6309.5734448019321</v>
      </c>
      <c r="C21" s="12">
        <f t="shared" si="0"/>
        <v>5.6822196489080684E-2</v>
      </c>
      <c r="D21" s="5">
        <f t="shared" si="1"/>
        <v>-6.5466008768457042</v>
      </c>
      <c r="E21" s="5">
        <f t="shared" si="2"/>
        <v>-14.903907508149288</v>
      </c>
      <c r="F21" s="5">
        <f t="shared" si="3"/>
        <v>-79.641529210981588</v>
      </c>
      <c r="G21" s="5">
        <f t="shared" si="4"/>
        <v>2.8404698277356835E-4</v>
      </c>
      <c r="H21" s="5">
        <f t="shared" si="5"/>
        <v>0.46336497162161433</v>
      </c>
      <c r="I21" s="5">
        <f t="shared" si="6"/>
        <v>-5.9663152712606852E-8</v>
      </c>
      <c r="J21" s="15">
        <f t="shared" si="7"/>
        <v>-6.7155807487581584E-3</v>
      </c>
      <c r="K21" s="12">
        <f t="shared" si="8"/>
        <v>-65.593850297783007</v>
      </c>
      <c r="L21" s="5">
        <f t="shared" si="9"/>
        <v>-89.969909449198653</v>
      </c>
      <c r="M21" s="5">
        <f t="shared" si="10"/>
        <v>17.902499772345358</v>
      </c>
      <c r="N21" s="5">
        <f t="shared" si="11"/>
        <v>82.685613430636465</v>
      </c>
      <c r="O21" s="5">
        <f t="shared" si="12"/>
        <v>-0.11956241439761062</v>
      </c>
      <c r="P21" s="15">
        <f t="shared" si="13"/>
        <v>-9.4848618046563082</v>
      </c>
      <c r="Q21" s="5">
        <f t="shared" si="22"/>
        <v>-3.2911131508391096E-2</v>
      </c>
      <c r="R21" s="5">
        <f t="shared" si="23"/>
        <v>-4.9845687419598743</v>
      </c>
      <c r="S21" s="12">
        <f t="shared" si="14"/>
        <v>0.25956714409122583</v>
      </c>
      <c r="T21" s="5">
        <f t="shared" si="15"/>
        <v>13.937669267292851</v>
      </c>
      <c r="U21" s="5">
        <f t="shared" si="16"/>
        <v>-0.21089068208481401</v>
      </c>
      <c r="V21" s="15">
        <f t="shared" si="17"/>
        <v>-14.017592737340172</v>
      </c>
      <c r="W21" s="12">
        <v>0</v>
      </c>
      <c r="X21" s="15">
        <f t="shared" si="18"/>
        <v>-1.4196540250804348</v>
      </c>
      <c r="Y21" s="12">
        <f t="shared" si="24"/>
        <v>-1.5357442126543266E-4</v>
      </c>
      <c r="Z21" s="15">
        <f t="shared" si="25"/>
        <v>-0.34071294990980416</v>
      </c>
      <c r="AA21" s="5">
        <f t="shared" si="19"/>
        <v>2.3002051641948609</v>
      </c>
      <c r="AB21" s="5">
        <f t="shared" si="20"/>
        <v>80.159364097485948</v>
      </c>
      <c r="AC21" s="5">
        <f t="shared" si="26"/>
        <v>2.1806427497972503</v>
      </c>
      <c r="AD21" s="6">
        <f t="shared" si="27"/>
        <v>70.674502292829644</v>
      </c>
    </row>
    <row r="22" spans="1:30">
      <c r="A22" s="4">
        <v>2.9</v>
      </c>
      <c r="B22" s="19">
        <f t="shared" si="21"/>
        <v>7943.2823472428208</v>
      </c>
      <c r="C22" s="12">
        <f t="shared" si="0"/>
        <v>8.9715754772654324E-2</v>
      </c>
      <c r="D22" s="5">
        <f t="shared" si="1"/>
        <v>-8.2208542209451814</v>
      </c>
      <c r="E22" s="5">
        <f t="shared" si="2"/>
        <v>-16.85177916309928</v>
      </c>
      <c r="F22" s="5">
        <f t="shared" si="3"/>
        <v>-81.738869614563512</v>
      </c>
      <c r="G22" s="5">
        <f t="shared" si="4"/>
        <v>4.5017551896376669E-4</v>
      </c>
      <c r="H22" s="5">
        <f t="shared" si="5"/>
        <v>0.58333449957573069</v>
      </c>
      <c r="I22" s="5">
        <f t="shared" si="6"/>
        <v>-9.4559723324156619E-8</v>
      </c>
      <c r="J22" s="15">
        <f t="shared" si="7"/>
        <v>-8.4544152369229568E-3</v>
      </c>
      <c r="K22" s="12">
        <f t="shared" si="8"/>
        <v>-67.59384985572845</v>
      </c>
      <c r="L22" s="5">
        <f t="shared" si="9"/>
        <v>-89.976098225089132</v>
      </c>
      <c r="M22" s="5">
        <f t="shared" si="10"/>
        <v>19.876443453178418</v>
      </c>
      <c r="N22" s="5">
        <f t="shared" si="11"/>
        <v>84.178324451582327</v>
      </c>
      <c r="O22" s="5">
        <f t="shared" si="12"/>
        <v>-0.18799777748641078</v>
      </c>
      <c r="P22" s="15">
        <f t="shared" si="13"/>
        <v>-11.877883690698395</v>
      </c>
      <c r="Q22" s="5">
        <f t="shared" si="22"/>
        <v>-5.2045660904162988E-2</v>
      </c>
      <c r="R22" s="5">
        <f t="shared" si="23"/>
        <v>-6.2659790782400488</v>
      </c>
      <c r="S22" s="12">
        <f t="shared" si="14"/>
        <v>0.40449308178000021</v>
      </c>
      <c r="T22" s="5">
        <f t="shared" si="15"/>
        <v>17.350425989038623</v>
      </c>
      <c r="U22" s="5">
        <f t="shared" si="16"/>
        <v>-0.32978486016970726</v>
      </c>
      <c r="V22" s="15">
        <f t="shared" si="17"/>
        <v>-17.505123637634778</v>
      </c>
      <c r="W22" s="12">
        <v>0</v>
      </c>
      <c r="X22" s="15">
        <f t="shared" si="18"/>
        <v>-1.7872385281296348</v>
      </c>
      <c r="Y22" s="12">
        <f t="shared" si="24"/>
        <v>-2.4339653776593397E-4</v>
      </c>
      <c r="Z22" s="15">
        <f t="shared" si="25"/>
        <v>-0.4289292336586128</v>
      </c>
      <c r="AA22" s="5">
        <f t="shared" si="19"/>
        <v>0.36614469214729667</v>
      </c>
      <c r="AB22" s="5">
        <f t="shared" si="20"/>
        <v>76.180537986698852</v>
      </c>
      <c r="AC22" s="5">
        <f t="shared" si="26"/>
        <v>0.17814691466088589</v>
      </c>
      <c r="AD22" s="6">
        <f t="shared" si="27"/>
        <v>64.302654296000455</v>
      </c>
    </row>
    <row r="23" spans="1:30">
      <c r="A23" s="4">
        <v>3</v>
      </c>
      <c r="B23" s="18">
        <f t="shared" si="21"/>
        <v>10000</v>
      </c>
      <c r="C23" s="12">
        <f t="shared" si="0"/>
        <v>0.14134351341986126</v>
      </c>
      <c r="D23" s="5">
        <f t="shared" si="1"/>
        <v>-10.308368182470019</v>
      </c>
      <c r="E23" s="5">
        <f t="shared" si="2"/>
        <v>-18.818563518469759</v>
      </c>
      <c r="F23" s="5">
        <f t="shared" si="3"/>
        <v>-83.421162202286069</v>
      </c>
      <c r="G23" s="5">
        <f t="shared" si="4"/>
        <v>7.1345848855859466E-4</v>
      </c>
      <c r="H23" s="5">
        <f t="shared" si="5"/>
        <v>0.73435978494408061</v>
      </c>
      <c r="I23" s="5">
        <f t="shared" si="6"/>
        <v>-1.4986706151730598E-7</v>
      </c>
      <c r="J23" s="15">
        <f t="shared" si="7"/>
        <v>-1.0643478138440594E-2</v>
      </c>
      <c r="K23" s="12">
        <f t="shared" si="8"/>
        <v>-69.593849576810854</v>
      </c>
      <c r="L23" s="5">
        <f t="shared" si="9"/>
        <v>-89.981014144921829</v>
      </c>
      <c r="M23" s="5">
        <f t="shared" si="10"/>
        <v>21.859922224893211</v>
      </c>
      <c r="N23" s="5">
        <f t="shared" si="11"/>
        <v>85.369804537578588</v>
      </c>
      <c r="O23" s="5">
        <f t="shared" si="12"/>
        <v>-0.29429879191377967</v>
      </c>
      <c r="P23" s="15">
        <f t="shared" si="13"/>
        <v>-14.830968226317577</v>
      </c>
      <c r="Q23" s="5">
        <f t="shared" si="22"/>
        <v>-8.2200208034019451E-2</v>
      </c>
      <c r="R23" s="5">
        <f t="shared" si="23"/>
        <v>-7.8701265958336517</v>
      </c>
      <c r="S23" s="12">
        <f t="shared" si="14"/>
        <v>0.62471589375774927</v>
      </c>
      <c r="T23" s="5">
        <f t="shared" si="15"/>
        <v>21.471073927769854</v>
      </c>
      <c r="U23" s="5">
        <f t="shared" si="16"/>
        <v>-0.51198611616233058</v>
      </c>
      <c r="V23" s="15">
        <f t="shared" si="17"/>
        <v>-21.76576290819462</v>
      </c>
      <c r="W23" s="12">
        <v>0</v>
      </c>
      <c r="X23" s="15">
        <f t="shared" si="18"/>
        <v>-2.25</v>
      </c>
      <c r="Y23" s="12">
        <f t="shared" si="24"/>
        <v>-3.8575119349709068E-4</v>
      </c>
      <c r="Z23" s="15">
        <f t="shared" si="25"/>
        <v>-0.53998401209295088</v>
      </c>
      <c r="AA23" s="5">
        <f t="shared" si="19"/>
        <v>-1.5575449720818015</v>
      </c>
      <c r="AB23" s="5">
        <f t="shared" si="20"/>
        <v>71.428176726354948</v>
      </c>
      <c r="AC23" s="5">
        <f t="shared" si="26"/>
        <v>-1.8518437639955811</v>
      </c>
      <c r="AD23" s="6">
        <f t="shared" si="27"/>
        <v>56.597208500037368</v>
      </c>
    </row>
    <row r="24" spans="1:30">
      <c r="A24" s="4">
        <v>3.1</v>
      </c>
      <c r="B24" s="19">
        <f t="shared" si="21"/>
        <v>12589.25411794168</v>
      </c>
      <c r="C24" s="12">
        <f t="shared" si="0"/>
        <v>0.22193122511760283</v>
      </c>
      <c r="D24" s="5">
        <f t="shared" si="1"/>
        <v>-12.897000020640546</v>
      </c>
      <c r="E24" s="5">
        <f t="shared" si="2"/>
        <v>-20.797474393728507</v>
      </c>
      <c r="F24" s="5">
        <f t="shared" si="3"/>
        <v>-84.765765684016003</v>
      </c>
      <c r="G24" s="5">
        <f t="shared" si="4"/>
        <v>1.1307011830801992E-3</v>
      </c>
      <c r="H24" s="5">
        <f t="shared" si="5"/>
        <v>0.92447458746144917</v>
      </c>
      <c r="I24" s="5">
        <f t="shared" si="6"/>
        <v>-2.3752328456070161E-7</v>
      </c>
      <c r="J24" s="15">
        <f t="shared" si="7"/>
        <v>-1.3399345008209581E-2</v>
      </c>
      <c r="K24" s="12">
        <f t="shared" si="8"/>
        <v>-71.593849400825761</v>
      </c>
      <c r="L24" s="5">
        <f t="shared" si="9"/>
        <v>-89.984918999047323</v>
      </c>
      <c r="M24" s="5">
        <f t="shared" si="10"/>
        <v>23.849465603548204</v>
      </c>
      <c r="N24" s="5">
        <f t="shared" si="11"/>
        <v>86.319149938553508</v>
      </c>
      <c r="O24" s="5">
        <f t="shared" si="12"/>
        <v>-0.45761961781885357</v>
      </c>
      <c r="P24" s="15">
        <f t="shared" si="13"/>
        <v>-18.43583362179195</v>
      </c>
      <c r="Q24" s="5">
        <f t="shared" si="22"/>
        <v>-0.12956716177017313</v>
      </c>
      <c r="R24" s="5">
        <f t="shared" si="23"/>
        <v>-9.8718305101423525</v>
      </c>
      <c r="S24" s="12">
        <f t="shared" si="14"/>
        <v>0.95236736694601143</v>
      </c>
      <c r="T24" s="5">
        <f t="shared" si="15"/>
        <v>26.343226364159168</v>
      </c>
      <c r="U24" s="5">
        <f t="shared" si="16"/>
        <v>-0.78640505310225506</v>
      </c>
      <c r="V24" s="15">
        <f t="shared" si="17"/>
        <v>-26.891838104243362</v>
      </c>
      <c r="W24" s="12">
        <v>0</v>
      </c>
      <c r="X24" s="15">
        <f t="shared" si="18"/>
        <v>-2.8325821765368779</v>
      </c>
      <c r="Y24" s="12">
        <f t="shared" si="24"/>
        <v>-6.1135856061658679E-4</v>
      </c>
      <c r="Z24" s="15">
        <f t="shared" si="25"/>
        <v>-0.67978782329471155</v>
      </c>
      <c r="AA24" s="5">
        <f t="shared" si="19"/>
        <v>-3.460267450819368</v>
      </c>
      <c r="AB24" s="5">
        <f t="shared" si="20"/>
        <v>65.649728227244722</v>
      </c>
      <c r="AC24" s="5">
        <f t="shared" si="26"/>
        <v>-3.9178870686382217</v>
      </c>
      <c r="AD24" s="6">
        <f t="shared" si="27"/>
        <v>47.213894605452772</v>
      </c>
    </row>
    <row r="25" spans="1:30">
      <c r="A25" s="4">
        <v>3.2</v>
      </c>
      <c r="B25" s="19">
        <f t="shared" si="21"/>
        <v>15848.931924611155</v>
      </c>
      <c r="C25" s="12">
        <f t="shared" si="0"/>
        <v>0.34666782782276168</v>
      </c>
      <c r="D25" s="5">
        <f t="shared" si="1"/>
        <v>-16.08031613917538</v>
      </c>
      <c r="E25" s="5">
        <f t="shared" si="2"/>
        <v>-22.784115169831797</v>
      </c>
      <c r="F25" s="5">
        <f t="shared" si="3"/>
        <v>-85.838030697338937</v>
      </c>
      <c r="G25" s="5">
        <f t="shared" si="4"/>
        <v>1.7919041883588435E-3</v>
      </c>
      <c r="H25" s="5">
        <f t="shared" si="5"/>
        <v>1.1637854853751868</v>
      </c>
      <c r="I25" s="5">
        <f t="shared" si="6"/>
        <v>-3.7644902950701892E-7</v>
      </c>
      <c r="J25" s="15">
        <f t="shared" si="7"/>
        <v>-1.6868775752361544E-2</v>
      </c>
      <c r="K25" s="12">
        <f t="shared" si="8"/>
        <v>-73.593849289786661</v>
      </c>
      <c r="L25" s="5">
        <f t="shared" si="9"/>
        <v>-89.988020735033288</v>
      </c>
      <c r="M25" s="5">
        <f t="shared" si="10"/>
        <v>25.84285494373686</v>
      </c>
      <c r="N25" s="5">
        <f t="shared" si="11"/>
        <v>87.074712325951666</v>
      </c>
      <c r="O25" s="5">
        <f t="shared" si="12"/>
        <v>-0.70450665476845642</v>
      </c>
      <c r="P25" s="15">
        <f t="shared" si="13"/>
        <v>-22.766010140603115</v>
      </c>
      <c r="Q25" s="5">
        <f t="shared" si="22"/>
        <v>-0.20359627491361529</v>
      </c>
      <c r="R25" s="5">
        <f t="shared" si="23"/>
        <v>-12.357125151353884</v>
      </c>
      <c r="S25" s="12">
        <f t="shared" si="14"/>
        <v>1.4257873001250014</v>
      </c>
      <c r="T25" s="5">
        <f t="shared" si="15"/>
        <v>31.938667423320322</v>
      </c>
      <c r="U25" s="5">
        <f t="shared" si="16"/>
        <v>-1.1896847282996457</v>
      </c>
      <c r="V25" s="15">
        <f t="shared" si="17"/>
        <v>-32.928234122359555</v>
      </c>
      <c r="W25" s="12">
        <v>0</v>
      </c>
      <c r="X25" s="15">
        <f t="shared" si="18"/>
        <v>-3.5660096830375099</v>
      </c>
      <c r="Y25" s="12">
        <f t="shared" si="24"/>
        <v>-9.6889813583300581E-4</v>
      </c>
      <c r="Z25" s="15">
        <f t="shared" si="25"/>
        <v>-0.85577868005241375</v>
      </c>
      <c r="AA25" s="5">
        <f t="shared" si="19"/>
        <v>-5.3323675036472657</v>
      </c>
      <c r="AB25" s="5">
        <f t="shared" si="20"/>
        <v>58.546781250543852</v>
      </c>
      <c r="AC25" s="5">
        <f t="shared" si="26"/>
        <v>-6.0368741584157224</v>
      </c>
      <c r="AD25" s="6">
        <f t="shared" si="27"/>
        <v>35.780771109940737</v>
      </c>
    </row>
    <row r="26" spans="1:30">
      <c r="A26" s="4">
        <v>3.3</v>
      </c>
      <c r="B26" s="19">
        <f t="shared" si="21"/>
        <v>19952.623149688803</v>
      </c>
      <c r="C26" s="12">
        <f t="shared" si="0"/>
        <v>0.537304010631389</v>
      </c>
      <c r="D26" s="5">
        <f t="shared" si="1"/>
        <v>-19.945918677683078</v>
      </c>
      <c r="E26" s="5">
        <f t="shared" si="2"/>
        <v>-24.775664876063153</v>
      </c>
      <c r="F26" s="5">
        <f t="shared" si="3"/>
        <v>-86.691884143823245</v>
      </c>
      <c r="G26" s="5">
        <f t="shared" si="4"/>
        <v>2.8396341694809962E-3</v>
      </c>
      <c r="H26" s="5">
        <f t="shared" si="5"/>
        <v>1.4650012983949845</v>
      </c>
      <c r="I26" s="5">
        <f t="shared" si="6"/>
        <v>-5.9663148963718225E-7</v>
      </c>
      <c r="J26" s="15">
        <f t="shared" si="7"/>
        <v>-2.1236530101615726E-2</v>
      </c>
      <c r="K26" s="12">
        <f t="shared" si="8"/>
        <v>-75.593849219725712</v>
      </c>
      <c r="L26" s="5">
        <f t="shared" si="9"/>
        <v>-89.990484531554529</v>
      </c>
      <c r="M26" s="5">
        <f t="shared" si="10"/>
        <v>27.838678715953989</v>
      </c>
      <c r="N26" s="5">
        <f t="shared" si="11"/>
        <v>87.675616262234541</v>
      </c>
      <c r="O26" s="5">
        <f t="shared" si="12"/>
        <v>-1.0691374317194908</v>
      </c>
      <c r="P26" s="15">
        <f t="shared" si="13"/>
        <v>-27.84861023300498</v>
      </c>
      <c r="Q26" s="5">
        <f t="shared" si="22"/>
        <v>-0.31839935762967708</v>
      </c>
      <c r="R26" s="5">
        <f t="shared" si="23"/>
        <v>-15.419136699584552</v>
      </c>
      <c r="S26" s="12">
        <f t="shared" si="14"/>
        <v>2.0841379451638131</v>
      </c>
      <c r="T26" s="5">
        <f t="shared" si="15"/>
        <v>38.124515819904452</v>
      </c>
      <c r="U26" s="5">
        <f t="shared" si="16"/>
        <v>-1.7630710692537019</v>
      </c>
      <c r="V26" s="15">
        <f t="shared" si="17"/>
        <v>-39.838083947915983</v>
      </c>
      <c r="W26" s="12">
        <v>0</v>
      </c>
      <c r="X26" s="15">
        <f t="shared" si="18"/>
        <v>-4.4893402086799803</v>
      </c>
      <c r="Y26" s="12">
        <f t="shared" si="24"/>
        <v>-1.5354998871882511E-3</v>
      </c>
      <c r="Z26" s="15">
        <f t="shared" si="25"/>
        <v>-1.0773146737951071</v>
      </c>
      <c r="AA26" s="5">
        <f t="shared" si="19"/>
        <v>-7.1668150553759098</v>
      </c>
      <c r="AB26" s="5">
        <f t="shared" si="20"/>
        <v>49.791733967395878</v>
      </c>
      <c r="AC26" s="5">
        <f t="shared" si="26"/>
        <v>-8.2359524870953997</v>
      </c>
      <c r="AD26" s="6">
        <f t="shared" si="27"/>
        <v>21.943123734390898</v>
      </c>
    </row>
    <row r="27" spans="1:30">
      <c r="A27" s="4">
        <v>3.4</v>
      </c>
      <c r="B27" s="19">
        <f t="shared" si="21"/>
        <v>25118.864315095812</v>
      </c>
      <c r="C27" s="12">
        <f t="shared" si="0"/>
        <v>0.82328099423717149</v>
      </c>
      <c r="D27" s="5">
        <f t="shared" si="1"/>
        <v>-24.554055052426389</v>
      </c>
      <c r="E27" s="5">
        <f t="shared" si="2"/>
        <v>-26.770324628686275</v>
      </c>
      <c r="F27" s="5">
        <f t="shared" si="3"/>
        <v>-87.371192508474877</v>
      </c>
      <c r="G27" s="5">
        <f t="shared" si="4"/>
        <v>4.4996566993841108E-3</v>
      </c>
      <c r="H27" s="5">
        <f t="shared" si="5"/>
        <v>1.8440923629590356</v>
      </c>
      <c r="I27" s="5">
        <f t="shared" si="6"/>
        <v>-9.4559714938183147E-7</v>
      </c>
      <c r="J27" s="15">
        <f t="shared" si="7"/>
        <v>-2.6735206687177222E-2</v>
      </c>
      <c r="K27" s="12">
        <f t="shared" si="8"/>
        <v>-77.593849175520248</v>
      </c>
      <c r="L27" s="5">
        <f t="shared" si="9"/>
        <v>-89.992441594721498</v>
      </c>
      <c r="M27" s="5">
        <f t="shared" si="10"/>
        <v>29.836041626547299</v>
      </c>
      <c r="N27" s="5">
        <f t="shared" si="11"/>
        <v>88.153302560568633</v>
      </c>
      <c r="O27" s="5">
        <f t="shared" si="12"/>
        <v>-1.590817517861711</v>
      </c>
      <c r="P27" s="15">
        <f t="shared" si="13"/>
        <v>-33.628739670308107</v>
      </c>
      <c r="Q27" s="5">
        <f t="shared" si="22"/>
        <v>-0.49435315656678225</v>
      </c>
      <c r="R27" s="5">
        <f t="shared" si="23"/>
        <v>-19.147934569609838</v>
      </c>
      <c r="S27" s="12">
        <f t="shared" si="14"/>
        <v>2.9581587819233728</v>
      </c>
      <c r="T27" s="5">
        <f t="shared" si="15"/>
        <v>44.653973496748613</v>
      </c>
      <c r="U27" s="5">
        <f t="shared" si="16"/>
        <v>-2.5452202309023004</v>
      </c>
      <c r="V27" s="15">
        <f t="shared" si="17"/>
        <v>-47.48018240227524</v>
      </c>
      <c r="W27" s="12">
        <v>0</v>
      </c>
      <c r="X27" s="15">
        <f t="shared" si="18"/>
        <v>-5.6517444708965581</v>
      </c>
      <c r="Y27" s="12">
        <f t="shared" si="24"/>
        <v>-2.4333517528940802E-3</v>
      </c>
      <c r="Z27" s="15">
        <f t="shared" si="25"/>
        <v>-1.3561653534395415</v>
      </c>
      <c r="AA27" s="5">
        <f t="shared" si="19"/>
        <v>-8.9614551717220809</v>
      </c>
      <c r="AB27" s="5">
        <f t="shared" si="20"/>
        <v>39.070917261745151</v>
      </c>
      <c r="AC27" s="5">
        <f t="shared" si="26"/>
        <v>-10.552272689583791</v>
      </c>
      <c r="AD27" s="6">
        <f t="shared" si="27"/>
        <v>5.4421775914370443</v>
      </c>
    </row>
    <row r="28" spans="1:30">
      <c r="A28" s="4">
        <v>3.5</v>
      </c>
      <c r="B28" s="19">
        <f t="shared" si="21"/>
        <v>31622.776601683803</v>
      </c>
      <c r="C28" s="12">
        <f t="shared" si="0"/>
        <v>1.2411587773747592</v>
      </c>
      <c r="D28" s="5">
        <f t="shared" si="1"/>
        <v>-29.905806921161876</v>
      </c>
      <c r="E28" s="5">
        <f t="shared" si="2"/>
        <v>-28.76695177853599</v>
      </c>
      <c r="F28" s="5">
        <f t="shared" si="3"/>
        <v>-87.911323224117865</v>
      </c>
      <c r="G28" s="5">
        <f t="shared" si="4"/>
        <v>7.1293160571497972E-3</v>
      </c>
      <c r="H28" s="5">
        <f t="shared" si="5"/>
        <v>2.3211061287974588</v>
      </c>
      <c r="I28" s="5">
        <f t="shared" si="6"/>
        <v>-1.4986703882342784E-6</v>
      </c>
      <c r="J28" s="15">
        <f t="shared" si="7"/>
        <v>-3.3657629659292317E-2</v>
      </c>
      <c r="K28" s="12">
        <f t="shared" si="8"/>
        <v>-79.593849147628475</v>
      </c>
      <c r="L28" s="5">
        <f t="shared" si="9"/>
        <v>-89.993996145264944</v>
      </c>
      <c r="M28" s="5">
        <f t="shared" si="10"/>
        <v>31.834376911334068</v>
      </c>
      <c r="N28" s="5">
        <f t="shared" si="11"/>
        <v>88.532928623588077</v>
      </c>
      <c r="O28" s="5">
        <f t="shared" si="12"/>
        <v>-2.3073900818016693</v>
      </c>
      <c r="P28" s="15">
        <f t="shared" si="13"/>
        <v>-39.94073753115498</v>
      </c>
      <c r="Q28" s="5">
        <f t="shared" si="22"/>
        <v>-0.75939306477023416</v>
      </c>
      <c r="R28" s="5">
        <f t="shared" si="23"/>
        <v>-23.611191258808496</v>
      </c>
      <c r="S28" s="12">
        <f t="shared" si="14"/>
        <v>4.0603993223843915</v>
      </c>
      <c r="T28" s="5">
        <f t="shared" si="15"/>
        <v>51.201378736991217</v>
      </c>
      <c r="U28" s="5">
        <f t="shared" si="16"/>
        <v>-3.5625293057439302</v>
      </c>
      <c r="V28" s="15">
        <f t="shared" si="17"/>
        <v>-55.621982721041533</v>
      </c>
      <c r="W28" s="12">
        <v>0</v>
      </c>
      <c r="X28" s="15">
        <f t="shared" si="18"/>
        <v>-7.1151247353788563</v>
      </c>
      <c r="Y28" s="12">
        <f t="shared" si="24"/>
        <v>-3.8559709495343516E-3</v>
      </c>
      <c r="Z28" s="15">
        <f t="shared" si="25"/>
        <v>-1.7071245968306352</v>
      </c>
      <c r="AA28" s="5">
        <f t="shared" si="19"/>
        <v>-10.720771181251838</v>
      </c>
      <c r="AB28" s="5">
        <f t="shared" si="20"/>
        <v>26.155206257113239</v>
      </c>
      <c r="AC28" s="5">
        <f t="shared" si="26"/>
        <v>-13.028161263053507</v>
      </c>
      <c r="AD28" s="6">
        <f t="shared" si="27"/>
        <v>-13.785531274041741</v>
      </c>
    </row>
    <row r="29" spans="1:30">
      <c r="A29" s="4">
        <v>3.6</v>
      </c>
      <c r="B29" s="19">
        <f t="shared" si="21"/>
        <v>39810.717055349771</v>
      </c>
      <c r="C29" s="12">
        <f t="shared" si="0"/>
        <v>1.8306978099979281</v>
      </c>
      <c r="D29" s="5">
        <f t="shared" si="1"/>
        <v>-35.907696322131883</v>
      </c>
      <c r="E29" s="5">
        <f t="shared" si="2"/>
        <v>-30.764822305381657</v>
      </c>
      <c r="F29" s="5">
        <f t="shared" si="3"/>
        <v>-88.340633834715348</v>
      </c>
      <c r="G29" s="5">
        <f t="shared" si="4"/>
        <v>1.1293786439812093E-2</v>
      </c>
      <c r="H29" s="5">
        <f t="shared" si="5"/>
        <v>2.9211653692061699</v>
      </c>
      <c r="I29" s="5">
        <f t="shared" si="6"/>
        <v>-2.3752322564992529E-6</v>
      </c>
      <c r="J29" s="15">
        <f t="shared" si="7"/>
        <v>-4.23724424280809E-2</v>
      </c>
      <c r="K29" s="12">
        <f t="shared" si="8"/>
        <v>-81.593849130029966</v>
      </c>
      <c r="L29" s="5">
        <f t="shared" si="9"/>
        <v>-89.995230968660309</v>
      </c>
      <c r="M29" s="5">
        <f t="shared" si="10"/>
        <v>33.833326218620698</v>
      </c>
      <c r="N29" s="5">
        <f t="shared" si="11"/>
        <v>88.834569795908678</v>
      </c>
      <c r="O29" s="5">
        <f t="shared" si="12"/>
        <v>-3.2453462374029729</v>
      </c>
      <c r="P29" s="15">
        <f t="shared" si="13"/>
        <v>-46.509953243486919</v>
      </c>
      <c r="Q29" s="5">
        <f t="shared" si="22"/>
        <v>-1.1488919197553591</v>
      </c>
      <c r="R29" s="5">
        <f t="shared" si="23"/>
        <v>-28.824157997824511</v>
      </c>
      <c r="S29" s="12">
        <f t="shared" si="14"/>
        <v>5.3806221878008467</v>
      </c>
      <c r="T29" s="5">
        <f t="shared" si="15"/>
        <v>57.436688240465173</v>
      </c>
      <c r="U29" s="5">
        <f t="shared" si="16"/>
        <v>-4.8220002042582815</v>
      </c>
      <c r="V29" s="15">
        <f t="shared" si="17"/>
        <v>-63.998378290845444</v>
      </c>
      <c r="W29" s="12">
        <v>0</v>
      </c>
      <c r="X29" s="15">
        <f t="shared" si="18"/>
        <v>-8.9574113374536992</v>
      </c>
      <c r="Y29" s="12">
        <f t="shared" si="24"/>
        <v>-6.1097162988863829E-3</v>
      </c>
      <c r="Z29" s="15">
        <f t="shared" si="25"/>
        <v>-2.1487707497674631</v>
      </c>
      <c r="AA29" s="5">
        <f t="shared" si="19"/>
        <v>-12.456990390200781</v>
      </c>
      <c r="AB29" s="5">
        <f t="shared" si="20"/>
        <v>10.97777146175328</v>
      </c>
      <c r="AC29" s="5">
        <f t="shared" si="26"/>
        <v>-15.702336627603755</v>
      </c>
      <c r="AD29" s="6">
        <f t="shared" si="27"/>
        <v>-35.532181781733641</v>
      </c>
    </row>
    <row r="30" spans="1:30">
      <c r="A30" s="4">
        <v>3.7</v>
      </c>
      <c r="B30" s="19">
        <f t="shared" si="21"/>
        <v>50118.723362727324</v>
      </c>
      <c r="C30" s="12">
        <f t="shared" si="0"/>
        <v>2.6267785597918616</v>
      </c>
      <c r="D30" s="5">
        <f t="shared" si="1"/>
        <v>-42.351292323022811</v>
      </c>
      <c r="E30" s="5">
        <f t="shared" si="2"/>
        <v>-32.763478161211054</v>
      </c>
      <c r="F30" s="5">
        <f t="shared" si="3"/>
        <v>-88.681782601406312</v>
      </c>
      <c r="G30" s="5">
        <f t="shared" si="4"/>
        <v>1.7885858188427181E-2</v>
      </c>
      <c r="H30" s="5">
        <f t="shared" si="5"/>
        <v>3.6756682695428049</v>
      </c>
      <c r="I30" s="5">
        <f t="shared" si="6"/>
        <v>-3.7644888325250294E-6</v>
      </c>
      <c r="J30" s="15">
        <f t="shared" si="7"/>
        <v>-5.334373884448565E-2</v>
      </c>
      <c r="K30" s="12">
        <f t="shared" si="8"/>
        <v>-83.593849118926073</v>
      </c>
      <c r="L30" s="5">
        <f t="shared" si="9"/>
        <v>-89.996211823751381</v>
      </c>
      <c r="M30" s="5">
        <f t="shared" si="10"/>
        <v>35.832663145520982</v>
      </c>
      <c r="N30" s="5">
        <f t="shared" si="11"/>
        <v>89.074218766824373</v>
      </c>
      <c r="O30" s="5">
        <f t="shared" si="12"/>
        <v>-4.4109373402962442</v>
      </c>
      <c r="P30" s="15">
        <f t="shared" si="13"/>
        <v>-53.000983385414997</v>
      </c>
      <c r="Q30" s="5">
        <f t="shared" si="22"/>
        <v>-1.7024999496285151</v>
      </c>
      <c r="R30" s="5">
        <f t="shared" si="23"/>
        <v>-34.713888015181389</v>
      </c>
      <c r="S30" s="12">
        <f t="shared" si="14"/>
        <v>6.8895792197809245</v>
      </c>
      <c r="T30" s="5">
        <f t="shared" si="15"/>
        <v>63.102334182848118</v>
      </c>
      <c r="U30" s="5">
        <f t="shared" si="16"/>
        <v>-6.3118416476797909</v>
      </c>
      <c r="V30" s="15">
        <f t="shared" si="17"/>
        <v>-72.392655935484783</v>
      </c>
      <c r="W30" s="12">
        <v>0</v>
      </c>
      <c r="X30" s="15">
        <f t="shared" si="18"/>
        <v>-11.276712756613646</v>
      </c>
      <c r="Y30" s="12">
        <f t="shared" si="24"/>
        <v>-9.6792679566549498E-3</v>
      </c>
      <c r="Z30" s="15">
        <f t="shared" si="25"/>
        <v>-2.7044008864695801</v>
      </c>
      <c r="AA30" s="5">
        <f t="shared" si="19"/>
        <v>-14.191699868712382</v>
      </c>
      <c r="AB30" s="5">
        <f t="shared" si="20"/>
        <v>-6.3180668615590818</v>
      </c>
      <c r="AC30" s="5">
        <f t="shared" si="26"/>
        <v>-18.602637209008627</v>
      </c>
      <c r="AD30" s="6">
        <f t="shared" si="27"/>
        <v>-59.319050246974079</v>
      </c>
    </row>
    <row r="31" spans="1:30">
      <c r="A31" s="4">
        <v>3.8</v>
      </c>
      <c r="B31" s="19">
        <f t="shared" si="21"/>
        <v>63095.734448019386</v>
      </c>
      <c r="C31" s="12">
        <f t="shared" si="0"/>
        <v>3.6492156546418135</v>
      </c>
      <c r="D31" s="5">
        <f t="shared" si="1"/>
        <v>-48.931531562040981</v>
      </c>
      <c r="E31" s="5">
        <f t="shared" si="2"/>
        <v>-34.762629849472248</v>
      </c>
      <c r="F31" s="5">
        <f t="shared" si="3"/>
        <v>-88.952834517795168</v>
      </c>
      <c r="G31" s="5">
        <f t="shared" si="4"/>
        <v>2.8313134825047735E-2</v>
      </c>
      <c r="H31" s="5">
        <f t="shared" si="5"/>
        <v>4.6236876388058281</v>
      </c>
      <c r="I31" s="5">
        <f t="shared" si="6"/>
        <v>-5.9663112130545403E-6</v>
      </c>
      <c r="J31" s="15">
        <f t="shared" si="7"/>
        <v>-6.7155777042366624E-2</v>
      </c>
      <c r="K31" s="12">
        <f t="shared" si="8"/>
        <v>-85.593849111919965</v>
      </c>
      <c r="L31" s="5">
        <f t="shared" si="9"/>
        <v>-89.996990944645987</v>
      </c>
      <c r="M31" s="5">
        <f t="shared" si="10"/>
        <v>37.83224472258317</v>
      </c>
      <c r="N31" s="5">
        <f t="shared" si="11"/>
        <v>89.264602209611155</v>
      </c>
      <c r="O31" s="5">
        <f t="shared" si="12"/>
        <v>-5.7878497409647416</v>
      </c>
      <c r="P31" s="15">
        <f t="shared" si="13"/>
        <v>-59.097459228899503</v>
      </c>
      <c r="Q31" s="5">
        <f t="shared" si="22"/>
        <v>-2.4568177055581373</v>
      </c>
      <c r="R31" s="5">
        <f t="shared" si="23"/>
        <v>-41.094052585212204</v>
      </c>
      <c r="S31" s="12">
        <f t="shared" si="14"/>
        <v>8.5485081303002488</v>
      </c>
      <c r="T31" s="5">
        <f t="shared" si="15"/>
        <v>68.053275016491853</v>
      </c>
      <c r="U31" s="5">
        <f t="shared" si="16"/>
        <v>-8.0101440958160559</v>
      </c>
      <c r="V31" s="15">
        <f t="shared" si="17"/>
        <v>-80.694632515311099</v>
      </c>
      <c r="W31" s="12">
        <v>0</v>
      </c>
      <c r="X31" s="15">
        <f t="shared" si="18"/>
        <v>-14.196540250804361</v>
      </c>
      <c r="Y31" s="12">
        <f t="shared" si="24"/>
        <v>-1.5330623196755964E-2</v>
      </c>
      <c r="Z31" s="15">
        <f t="shared" si="25"/>
        <v>-3.4031619653639114</v>
      </c>
      <c r="AA31" s="5">
        <f t="shared" si="19"/>
        <v>-15.957750452027758</v>
      </c>
      <c r="AB31" s="5">
        <f t="shared" si="20"/>
        <v>-25.395335253307241</v>
      </c>
      <c r="AC31" s="5">
        <f t="shared" si="26"/>
        <v>-21.745600192992498</v>
      </c>
      <c r="AD31" s="6">
        <f t="shared" si="27"/>
        <v>-84.492794482206747</v>
      </c>
    </row>
    <row r="32" spans="1:30">
      <c r="A32" s="4">
        <v>3.9</v>
      </c>
      <c r="B32" s="19">
        <f t="shared" si="21"/>
        <v>79432.82347242815</v>
      </c>
      <c r="C32" s="12">
        <f t="shared" si="0"/>
        <v>4.8957412779548939</v>
      </c>
      <c r="D32" s="5">
        <f t="shared" si="1"/>
        <v>-55.310286654637387</v>
      </c>
      <c r="E32" s="5">
        <f t="shared" si="2"/>
        <v>-36.762094515678868</v>
      </c>
      <c r="F32" s="5">
        <f t="shared" si="3"/>
        <v>-89.168172712075233</v>
      </c>
      <c r="G32" s="5">
        <f t="shared" si="4"/>
        <v>4.4788142487627199E-2</v>
      </c>
      <c r="H32" s="5">
        <f t="shared" si="5"/>
        <v>5.8135137481574786</v>
      </c>
      <c r="I32" s="5">
        <f t="shared" si="6"/>
        <v>-9.455962225473545E-6</v>
      </c>
      <c r="J32" s="15">
        <f t="shared" si="7"/>
        <v>-8.4544091623068834E-2</v>
      </c>
      <c r="K32" s="12">
        <f t="shared" si="8"/>
        <v>-87.593849107499423</v>
      </c>
      <c r="L32" s="5">
        <f t="shared" si="9"/>
        <v>-89.997609822371643</v>
      </c>
      <c r="M32" s="5">
        <f t="shared" si="10"/>
        <v>39.831980694813531</v>
      </c>
      <c r="N32" s="5">
        <f t="shared" si="11"/>
        <v>89.415840933334678</v>
      </c>
      <c r="O32" s="5">
        <f t="shared" si="12"/>
        <v>-7.3430914485522445</v>
      </c>
      <c r="P32" s="15">
        <f t="shared" si="13"/>
        <v>-64.571553373778286</v>
      </c>
      <c r="Q32" s="5">
        <f t="shared" si="22"/>
        <v>-3.4352776927370501</v>
      </c>
      <c r="R32" s="5">
        <f t="shared" si="23"/>
        <v>-47.674421686569886</v>
      </c>
      <c r="S32" s="12">
        <f t="shared" si="14"/>
        <v>10.318654123875486</v>
      </c>
      <c r="T32" s="5">
        <f t="shared" si="15"/>
        <v>72.251658554835927</v>
      </c>
      <c r="U32" s="5">
        <f t="shared" si="16"/>
        <v>-9.8966632735213249</v>
      </c>
      <c r="V32" s="15">
        <f t="shared" si="17"/>
        <v>-88.907449098311631</v>
      </c>
      <c r="W32" s="12">
        <v>0</v>
      </c>
      <c r="X32" s="15">
        <f t="shared" si="18"/>
        <v>-17.872385281296332</v>
      </c>
      <c r="Y32" s="12">
        <f t="shared" si="24"/>
        <v>-2.4272381071907167E-2</v>
      </c>
      <c r="Z32" s="15">
        <f t="shared" si="25"/>
        <v>-4.281385945012568</v>
      </c>
      <c r="AA32" s="5">
        <f t="shared" si="19"/>
        <v>-17.798256929442918</v>
      </c>
      <c r="AB32" s="5">
        <f t="shared" si="20"/>
        <v>-45.815242055569662</v>
      </c>
      <c r="AC32" s="5">
        <f t="shared" si="26"/>
        <v>-25.141348377995161</v>
      </c>
      <c r="AD32" s="6">
        <f t="shared" si="27"/>
        <v>-110.38679542934796</v>
      </c>
    </row>
    <row r="33" spans="1:30">
      <c r="A33" s="4">
        <v>4</v>
      </c>
      <c r="B33" s="18">
        <f t="shared" si="21"/>
        <v>100000</v>
      </c>
      <c r="C33" s="12">
        <f t="shared" si="0"/>
        <v>6.3428522621154748</v>
      </c>
      <c r="D33" s="5">
        <f t="shared" si="1"/>
        <v>-61.197653495522374</v>
      </c>
      <c r="E33" s="5">
        <f t="shared" si="2"/>
        <v>-38.76175670893408</v>
      </c>
      <c r="F33" s="5">
        <f t="shared" si="3"/>
        <v>-89.339238966651848</v>
      </c>
      <c r="G33" s="5">
        <f t="shared" si="4"/>
        <v>7.0771920581649411E-2</v>
      </c>
      <c r="H33" s="5">
        <f t="shared" si="5"/>
        <v>7.3041728491196922</v>
      </c>
      <c r="I33" s="5">
        <f t="shared" si="6"/>
        <v>-1.4986680614643392E-5</v>
      </c>
      <c r="J33" s="15">
        <f t="shared" si="7"/>
        <v>-0.10643466017997434</v>
      </c>
      <c r="K33" s="12">
        <f t="shared" si="8"/>
        <v>-89.59384910471023</v>
      </c>
      <c r="L33" s="5">
        <f t="shared" si="9"/>
        <v>-89.998101414423388</v>
      </c>
      <c r="M33" s="5">
        <f t="shared" si="10"/>
        <v>41.831814096293762</v>
      </c>
      <c r="N33" s="5">
        <f t="shared" si="11"/>
        <v>89.535980026367284</v>
      </c>
      <c r="O33" s="5">
        <f t="shared" si="12"/>
        <v>-9.0370619000567682</v>
      </c>
      <c r="P33" s="15">
        <f t="shared" si="13"/>
        <v>-69.310545970293433</v>
      </c>
      <c r="Q33" s="5">
        <f t="shared" si="22"/>
        <v>-4.6400571362863383</v>
      </c>
      <c r="R33" s="5">
        <f t="shared" si="23"/>
        <v>-54.116835785734267</v>
      </c>
      <c r="S33" s="12">
        <f t="shared" si="14"/>
        <v>12.167105903024449</v>
      </c>
      <c r="T33" s="5">
        <f t="shared" si="15"/>
        <v>75.735281312304636</v>
      </c>
      <c r="U33" s="5">
        <f t="shared" si="16"/>
        <v>-11.962092224685563</v>
      </c>
      <c r="V33" s="15">
        <f t="shared" si="17"/>
        <v>-97.107811248946447</v>
      </c>
      <c r="W33" s="12">
        <v>0</v>
      </c>
      <c r="X33" s="15">
        <f t="shared" si="18"/>
        <v>-22.5</v>
      </c>
      <c r="Y33" s="12">
        <f t="shared" si="24"/>
        <v>-3.8406508311962344E-2</v>
      </c>
      <c r="Z33" s="15">
        <f t="shared" si="25"/>
        <v>-5.3840959173935685</v>
      </c>
      <c r="AA33" s="5">
        <f t="shared" si="19"/>
        <v>-19.760887229697094</v>
      </c>
      <c r="AB33" s="5">
        <f t="shared" si="20"/>
        <v>-67.174737301060276</v>
      </c>
      <c r="AC33" s="5">
        <f t="shared" si="26"/>
        <v>-28.79794912975386</v>
      </c>
      <c r="AD33" s="6">
        <f t="shared" si="27"/>
        <v>-136.48528327135369</v>
      </c>
    </row>
    <row r="34" spans="1:30">
      <c r="A34" s="4">
        <v>4.0999999999999996</v>
      </c>
      <c r="B34" s="19">
        <f t="shared" si="21"/>
        <v>125892.54117941672</v>
      </c>
      <c r="C34" s="12">
        <f t="shared" si="0"/>
        <v>7.9539170239229744</v>
      </c>
      <c r="D34" s="5">
        <f t="shared" si="1"/>
        <v>-66.407758649072036</v>
      </c>
      <c r="E34" s="5">
        <f t="shared" si="2"/>
        <v>-40.761543553767012</v>
      </c>
      <c r="F34" s="5">
        <f t="shared" si="3"/>
        <v>-89.475130267744831</v>
      </c>
      <c r="G34" s="5">
        <f t="shared" si="4"/>
        <v>0.11163761381827944</v>
      </c>
      <c r="H34" s="5">
        <f t="shared" si="5"/>
        <v>9.1665315998124726</v>
      </c>
      <c r="I34" s="5">
        <f t="shared" si="6"/>
        <v>-2.3752264115944497E-5</v>
      </c>
      <c r="J34" s="15">
        <f t="shared" si="7"/>
        <v>-0.13399320824775673</v>
      </c>
      <c r="K34" s="12">
        <f t="shared" si="8"/>
        <v>-91.593849102950387</v>
      </c>
      <c r="L34" s="5">
        <f t="shared" si="9"/>
        <v>-89.998491899870245</v>
      </c>
      <c r="M34" s="5">
        <f t="shared" si="10"/>
        <v>43.831708976445739</v>
      </c>
      <c r="N34" s="5">
        <f t="shared" si="11"/>
        <v>89.631412859606399</v>
      </c>
      <c r="O34" s="5">
        <f t="shared" si="12"/>
        <v>-10.832250071533885</v>
      </c>
      <c r="P34" s="15">
        <f t="shared" si="13"/>
        <v>-73.301567473934085</v>
      </c>
      <c r="Q34" s="5">
        <f t="shared" si="22"/>
        <v>-6.0512646860105228</v>
      </c>
      <c r="R34" s="5">
        <f t="shared" si="23"/>
        <v>-60.116510881720551</v>
      </c>
      <c r="S34" s="12">
        <f t="shared" si="14"/>
        <v>14.068690800228401</v>
      </c>
      <c r="T34" s="5">
        <f t="shared" si="15"/>
        <v>78.582628650439531</v>
      </c>
      <c r="U34" s="5">
        <f t="shared" si="16"/>
        <v>-14.211918242795981</v>
      </c>
      <c r="V34" s="15">
        <f t="shared" si="17"/>
        <v>-105.38165535185594</v>
      </c>
      <c r="W34" s="12">
        <v>0</v>
      </c>
      <c r="X34" s="15">
        <f t="shared" si="18"/>
        <v>-28.325821765368762</v>
      </c>
      <c r="Y34" s="12">
        <f t="shared" si="24"/>
        <v>-6.071378943837262E-2</v>
      </c>
      <c r="Z34" s="15">
        <f t="shared" si="25"/>
        <v>-6.7665622434197772</v>
      </c>
      <c r="AA34" s="5">
        <f t="shared" si="19"/>
        <v>-21.89061345491465</v>
      </c>
      <c r="AB34" s="5">
        <f t="shared" si="20"/>
        <v>-89.22535115744148</v>
      </c>
      <c r="AC34" s="5">
        <f t="shared" si="26"/>
        <v>-32.722863526448535</v>
      </c>
      <c r="AD34" s="6">
        <f t="shared" si="27"/>
        <v>-162.52691863137557</v>
      </c>
    </row>
    <row r="35" spans="1:30">
      <c r="A35" s="4">
        <v>4.2</v>
      </c>
      <c r="B35" s="19">
        <f t="shared" si="21"/>
        <v>158489.31924611147</v>
      </c>
      <c r="C35" s="12">
        <f t="shared" si="0"/>
        <v>9.6892905333075898</v>
      </c>
      <c r="D35" s="5">
        <f t="shared" si="1"/>
        <v>-70.868064341327482</v>
      </c>
      <c r="E35" s="5">
        <f t="shared" si="2"/>
        <v>-42.761409056565697</v>
      </c>
      <c r="F35" s="5">
        <f t="shared" si="3"/>
        <v>-89.583076848185414</v>
      </c>
      <c r="G35" s="5">
        <f t="shared" si="4"/>
        <v>0.17562785507409145</v>
      </c>
      <c r="H35" s="5">
        <f t="shared" si="5"/>
        <v>11.483192194881831</v>
      </c>
      <c r="I35" s="5">
        <f t="shared" si="6"/>
        <v>-3.7644741491402798E-5</v>
      </c>
      <c r="J35" s="15">
        <f t="shared" si="7"/>
        <v>-0.16868727500160768</v>
      </c>
      <c r="K35" s="12">
        <f t="shared" si="8"/>
        <v>-93.593849101839993</v>
      </c>
      <c r="L35" s="5">
        <f t="shared" si="9"/>
        <v>-89.998802073486047</v>
      </c>
      <c r="M35" s="5">
        <f t="shared" si="10"/>
        <v>45.831642648996393</v>
      </c>
      <c r="N35" s="5">
        <f t="shared" si="11"/>
        <v>89.707219336932539</v>
      </c>
      <c r="O35" s="5">
        <f t="shared" si="12"/>
        <v>-12.697869157298136</v>
      </c>
      <c r="P35" s="15">
        <f t="shared" si="13"/>
        <v>-76.597148119632223</v>
      </c>
      <c r="Q35" s="5">
        <f t="shared" si="22"/>
        <v>-7.6339808562719016</v>
      </c>
      <c r="R35" s="5">
        <f t="shared" si="23"/>
        <v>-65.465461788190765</v>
      </c>
      <c r="S35" s="12">
        <f t="shared" si="14"/>
        <v>16.005427605745226</v>
      </c>
      <c r="T35" s="5">
        <f t="shared" si="15"/>
        <v>80.886523372699529</v>
      </c>
      <c r="U35" s="5">
        <f t="shared" si="16"/>
        <v>-16.664178196083554</v>
      </c>
      <c r="V35" s="15">
        <f t="shared" si="17"/>
        <v>-113.75707996501646</v>
      </c>
      <c r="W35" s="12">
        <v>0</v>
      </c>
      <c r="X35" s="15">
        <f t="shared" si="18"/>
        <v>-35.660096830375075</v>
      </c>
      <c r="Y35" s="12">
        <f t="shared" si="24"/>
        <v>-9.5835405384645175E-2</v>
      </c>
      <c r="Z35" s="15">
        <f t="shared" si="25"/>
        <v>-8.4956096281859264</v>
      </c>
      <c r="AA35" s="5">
        <f t="shared" si="19"/>
        <v>-24.224556359867641</v>
      </c>
      <c r="AB35" s="5">
        <f t="shared" si="20"/>
        <v>-111.91994384525488</v>
      </c>
      <c r="AC35" s="5">
        <f t="shared" si="26"/>
        <v>-36.922425517165777</v>
      </c>
      <c r="AD35" s="6">
        <f t="shared" si="27"/>
        <v>-188.5170919648871</v>
      </c>
    </row>
    <row r="36" spans="1:30">
      <c r="A36" s="4">
        <v>4.3</v>
      </c>
      <c r="B36" s="19">
        <f t="shared" si="21"/>
        <v>199526.23149688792</v>
      </c>
      <c r="C36" s="12">
        <f t="shared" si="0"/>
        <v>11.51362543864472</v>
      </c>
      <c r="D36" s="5">
        <f t="shared" si="1"/>
        <v>-74.594096698092272</v>
      </c>
      <c r="E36" s="5">
        <f t="shared" si="2"/>
        <v>-44.761324192425498</v>
      </c>
      <c r="F36" s="5">
        <f t="shared" si="3"/>
        <v>-89.668824011662224</v>
      </c>
      <c r="G36" s="5">
        <f t="shared" si="4"/>
        <v>0.27515290596678543</v>
      </c>
      <c r="H36" s="5">
        <f t="shared" si="5"/>
        <v>14.34571523326024</v>
      </c>
      <c r="I36" s="5">
        <f t="shared" si="6"/>
        <v>-5.9662743279975639E-5</v>
      </c>
      <c r="J36" s="15">
        <f t="shared" si="7"/>
        <v>-0.21236433826113701</v>
      </c>
      <c r="K36" s="12">
        <f t="shared" si="8"/>
        <v>-95.593849101139369</v>
      </c>
      <c r="L36" s="5">
        <f t="shared" si="9"/>
        <v>-89.999048453146798</v>
      </c>
      <c r="M36" s="5">
        <f t="shared" si="10"/>
        <v>47.831600798683851</v>
      </c>
      <c r="N36" s="5">
        <f t="shared" si="11"/>
        <v>89.767435305715239</v>
      </c>
      <c r="O36" s="5">
        <f t="shared" si="12"/>
        <v>-14.610889905697931</v>
      </c>
      <c r="P36" s="15">
        <f t="shared" si="13"/>
        <v>-79.281994270364024</v>
      </c>
      <c r="Q36" s="5">
        <f t="shared" si="22"/>
        <v>-9.3484445148987092</v>
      </c>
      <c r="R36" s="5">
        <f t="shared" si="23"/>
        <v>-70.070638456918203</v>
      </c>
      <c r="S36" s="12">
        <f t="shared" si="14"/>
        <v>17.96503179374006</v>
      </c>
      <c r="T36" s="5">
        <f t="shared" si="15"/>
        <v>82.73836633410501</v>
      </c>
      <c r="U36" s="5">
        <f t="shared" si="16"/>
        <v>-19.341469382530562</v>
      </c>
      <c r="V36" s="15">
        <f t="shared" si="17"/>
        <v>-122.15571197590933</v>
      </c>
      <c r="W36" s="12">
        <v>0</v>
      </c>
      <c r="X36" s="15">
        <f t="shared" si="18"/>
        <v>-44.893402086799775</v>
      </c>
      <c r="Y36" s="12">
        <f t="shared" si="24"/>
        <v>-0.15092407031784399</v>
      </c>
      <c r="Z36" s="15">
        <f t="shared" si="25"/>
        <v>-10.65004171398151</v>
      </c>
      <c r="AA36" s="5">
        <f t="shared" si="19"/>
        <v>-26.787914729123518</v>
      </c>
      <c r="AB36" s="5">
        <f t="shared" si="20"/>
        <v>-135.39261086169074</v>
      </c>
      <c r="AC36" s="5">
        <f t="shared" si="26"/>
        <v>-41.398804634821445</v>
      </c>
      <c r="AD36" s="6">
        <f t="shared" si="27"/>
        <v>-214.67460513205475</v>
      </c>
    </row>
    <row r="37" spans="1:30">
      <c r="A37" s="4">
        <v>4.4000000000000004</v>
      </c>
      <c r="B37" s="19">
        <f t="shared" si="21"/>
        <v>251188.64315095858</v>
      </c>
      <c r="C37" s="12">
        <f t="shared" si="0"/>
        <v>13.399017118154186</v>
      </c>
      <c r="D37" s="5">
        <f t="shared" si="1"/>
        <v>-77.65366784256949</v>
      </c>
      <c r="E37" s="5">
        <f t="shared" si="2"/>
        <v>-46.761270645919708</v>
      </c>
      <c r="F37" s="5">
        <f t="shared" si="3"/>
        <v>-89.736936480648268</v>
      </c>
      <c r="G37" s="5">
        <f t="shared" si="4"/>
        <v>0.42836135517762214</v>
      </c>
      <c r="H37" s="5">
        <f t="shared" si="5"/>
        <v>17.846794394907555</v>
      </c>
      <c r="I37" s="5">
        <f t="shared" si="6"/>
        <v>-9.4558695772160411E-5</v>
      </c>
      <c r="J37" s="15">
        <f t="shared" si="7"/>
        <v>-0.2673501459323161</v>
      </c>
      <c r="K37" s="12">
        <f t="shared" si="8"/>
        <v>-97.593849100697341</v>
      </c>
      <c r="L37" s="5">
        <f t="shared" si="9"/>
        <v>-89.999244159467807</v>
      </c>
      <c r="M37" s="5">
        <f t="shared" si="10"/>
        <v>49.831574392714309</v>
      </c>
      <c r="N37" s="5">
        <f t="shared" si="11"/>
        <v>89.815266922524657</v>
      </c>
      <c r="O37" s="5">
        <f t="shared" si="12"/>
        <v>-16.555099641971815</v>
      </c>
      <c r="P37" s="15">
        <f t="shared" si="13"/>
        <v>-81.449711072364423</v>
      </c>
      <c r="Q37" s="5">
        <f t="shared" si="22"/>
        <v>-11.158118580733529</v>
      </c>
      <c r="R37" s="5">
        <f t="shared" si="23"/>
        <v>-73.933425333650433</v>
      </c>
      <c r="S37" s="12">
        <f t="shared" si="14"/>
        <v>19.93934906278151</v>
      </c>
      <c r="T37" s="5">
        <f t="shared" si="15"/>
        <v>84.220477918408861</v>
      </c>
      <c r="U37" s="5">
        <f t="shared" si="16"/>
        <v>-22.259374143058132</v>
      </c>
      <c r="V37" s="15">
        <f t="shared" si="17"/>
        <v>-130.38546513367345</v>
      </c>
      <c r="W37" s="12">
        <v>0</v>
      </c>
      <c r="X37" s="15">
        <f t="shared" si="18"/>
        <v>-56.517444708965684</v>
      </c>
      <c r="Y37" s="12">
        <f t="shared" si="24"/>
        <v>-0.23682710262829465</v>
      </c>
      <c r="Z37" s="15">
        <f t="shared" si="25"/>
        <v>-13.318976409682179</v>
      </c>
      <c r="AA37" s="5">
        <f t="shared" si="19"/>
        <v>-29.588486945008793</v>
      </c>
      <c r="AB37" s="5">
        <f t="shared" si="20"/>
        <v>-159.92997097874854</v>
      </c>
      <c r="AC37" s="5">
        <f t="shared" si="26"/>
        <v>-46.143586586980604</v>
      </c>
      <c r="AD37" s="6">
        <f t="shared" si="27"/>
        <v>-241.37968205111298</v>
      </c>
    </row>
    <row r="38" spans="1:30">
      <c r="A38" s="4">
        <v>4.5</v>
      </c>
      <c r="B38" s="19">
        <f t="shared" si="21"/>
        <v>316227.76601683837</v>
      </c>
      <c r="C38" s="12">
        <f t="shared" si="0"/>
        <v>15.325116347894363</v>
      </c>
      <c r="D38" s="5">
        <f t="shared" si="1"/>
        <v>-80.136889930409893</v>
      </c>
      <c r="E38" s="5">
        <f t="shared" si="2"/>
        <v>-48.761236860018897</v>
      </c>
      <c r="F38" s="5">
        <f t="shared" si="3"/>
        <v>-89.791040677186714</v>
      </c>
      <c r="G38" s="5">
        <f t="shared" si="4"/>
        <v>0.66062429140476608</v>
      </c>
      <c r="H38" s="5">
        <f t="shared" si="5"/>
        <v>22.06424801248987</v>
      </c>
      <c r="I38" s="5">
        <f t="shared" si="6"/>
        <v>-1.4986447897813893E-4</v>
      </c>
      <c r="J38" s="15">
        <f t="shared" si="7"/>
        <v>-0.33657246384439471</v>
      </c>
      <c r="K38" s="12">
        <f t="shared" si="8"/>
        <v>-99.593849100418424</v>
      </c>
      <c r="L38" s="5">
        <f t="shared" si="9"/>
        <v>-89.999399614524322</v>
      </c>
      <c r="M38" s="5">
        <f t="shared" si="10"/>
        <v>51.831557731591253</v>
      </c>
      <c r="N38" s="5">
        <f t="shared" si="11"/>
        <v>89.853261113025752</v>
      </c>
      <c r="O38" s="5">
        <f t="shared" si="12"/>
        <v>-18.519525995729637</v>
      </c>
      <c r="P38" s="15">
        <f t="shared" si="13"/>
        <v>-83.189649497275298</v>
      </c>
      <c r="Q38" s="5">
        <f t="shared" si="22"/>
        <v>-13.033592463019355</v>
      </c>
      <c r="R38" s="5">
        <f t="shared" si="23"/>
        <v>-77.114232996407623</v>
      </c>
      <c r="S38" s="12">
        <f t="shared" si="14"/>
        <v>21.923065858268874</v>
      </c>
      <c r="T38" s="5">
        <f t="shared" si="15"/>
        <v>85.403414923988436</v>
      </c>
      <c r="U38" s="5">
        <f t="shared" si="16"/>
        <v>-25.416344896519014</v>
      </c>
      <c r="V38" s="15">
        <f t="shared" si="17"/>
        <v>-138.18635543530607</v>
      </c>
      <c r="W38" s="12">
        <v>0</v>
      </c>
      <c r="X38" s="15">
        <f t="shared" si="18"/>
        <v>-71.151247353788634</v>
      </c>
      <c r="Y38" s="12">
        <f t="shared" si="24"/>
        <v>-0.36958658151584989</v>
      </c>
      <c r="Z38" s="15">
        <f t="shared" si="25"/>
        <v>-16.596037696673623</v>
      </c>
      <c r="AA38" s="5">
        <f t="shared" si="19"/>
        <v>-32.611650278914894</v>
      </c>
      <c r="AB38" s="5">
        <f t="shared" si="20"/>
        <v>-185.99085211863721</v>
      </c>
      <c r="AC38" s="5">
        <f t="shared" si="26"/>
        <v>-51.131176274644531</v>
      </c>
      <c r="AD38" s="6">
        <f t="shared" si="27"/>
        <v>-269.18050161591248</v>
      </c>
    </row>
    <row r="39" spans="1:30">
      <c r="A39" s="4">
        <v>4.5999999999999996</v>
      </c>
      <c r="B39" s="19">
        <f t="shared" si="21"/>
        <v>398107.17055349739</v>
      </c>
      <c r="C39" s="12">
        <f t="shared" si="0"/>
        <v>17.277832666507795</v>
      </c>
      <c r="D39" s="5">
        <f t="shared" si="1"/>
        <v>-82.136876191813528</v>
      </c>
      <c r="E39" s="5">
        <f t="shared" si="2"/>
        <v>-50.761215542421397</v>
      </c>
      <c r="F39" s="5">
        <f t="shared" si="3"/>
        <v>-89.834017438402014</v>
      </c>
      <c r="G39" s="5">
        <f t="shared" si="4"/>
        <v>1.0050407490130877</v>
      </c>
      <c r="H39" s="5">
        <f t="shared" si="5"/>
        <v>27.034391060970574</v>
      </c>
      <c r="I39" s="5">
        <f t="shared" si="6"/>
        <v>-2.375167956273908E-4</v>
      </c>
      <c r="J39" s="15">
        <f t="shared" si="7"/>
        <v>-0.42371677703563893</v>
      </c>
      <c r="K39" s="12">
        <f t="shared" si="8"/>
        <v>-101.59384910024244</v>
      </c>
      <c r="L39" s="5">
        <f t="shared" si="9"/>
        <v>-89.999523096864948</v>
      </c>
      <c r="M39" s="5">
        <f t="shared" si="10"/>
        <v>53.831547219100401</v>
      </c>
      <c r="N39" s="5">
        <f t="shared" si="11"/>
        <v>89.883441064897156</v>
      </c>
      <c r="O39" s="5">
        <f t="shared" si="12"/>
        <v>-20.496929681566385</v>
      </c>
      <c r="P39" s="15">
        <f t="shared" si="13"/>
        <v>-84.58094155311926</v>
      </c>
      <c r="Q39" s="5">
        <f t="shared" si="22"/>
        <v>-14.953143982365336</v>
      </c>
      <c r="R39" s="5">
        <f t="shared" si="23"/>
        <v>-79.700721489836283</v>
      </c>
      <c r="S39" s="12">
        <f t="shared" si="14"/>
        <v>23.91276034882257</v>
      </c>
      <c r="T39" s="5">
        <f t="shared" si="15"/>
        <v>86.345911509455334</v>
      </c>
      <c r="U39" s="5">
        <f t="shared" si="16"/>
        <v>-28.790711466352455</v>
      </c>
      <c r="V39" s="15">
        <f t="shared" si="17"/>
        <v>-145.30976686237747</v>
      </c>
      <c r="W39" s="12">
        <v>0</v>
      </c>
      <c r="X39" s="15">
        <f t="shared" si="18"/>
        <v>-89.574113374536907</v>
      </c>
      <c r="Y39" s="12">
        <f t="shared" si="24"/>
        <v>-0.57202058266375577</v>
      </c>
      <c r="Z39" s="15">
        <f t="shared" si="25"/>
        <v>-20.566450991810179</v>
      </c>
      <c r="AA39" s="5">
        <f t="shared" si="19"/>
        <v>-35.821251949500819</v>
      </c>
      <c r="AB39" s="5">
        <f t="shared" si="20"/>
        <v>-214.28144258735389</v>
      </c>
      <c r="AC39" s="5">
        <f t="shared" si="26"/>
        <v>-56.318181631067205</v>
      </c>
      <c r="AD39" s="6">
        <f t="shared" si="27"/>
        <v>-298.86238414047318</v>
      </c>
    </row>
    <row r="40" spans="1:30">
      <c r="A40" s="4">
        <v>4.7</v>
      </c>
      <c r="B40" s="19">
        <f t="shared" si="21"/>
        <v>501187.23362727294</v>
      </c>
      <c r="C40" s="12">
        <f t="shared" si="0"/>
        <v>19.247731606118233</v>
      </c>
      <c r="D40" s="5">
        <f t="shared" si="1"/>
        <v>-83.739622156025845</v>
      </c>
      <c r="E40" s="5">
        <f t="shared" si="2"/>
        <v>-52.76120209187286</v>
      </c>
      <c r="F40" s="5">
        <f t="shared" si="3"/>
        <v>-89.868155228738516</v>
      </c>
      <c r="G40" s="5">
        <f t="shared" si="4"/>
        <v>1.5004573924473186</v>
      </c>
      <c r="H40" s="5">
        <f t="shared" si="5"/>
        <v>32.716959378423091</v>
      </c>
      <c r="I40" s="5">
        <f t="shared" si="6"/>
        <v>-3.7643273196981869E-4</v>
      </c>
      <c r="J40" s="15">
        <f t="shared" si="7"/>
        <v>-0.53342213048052067</v>
      </c>
      <c r="K40" s="12">
        <f t="shared" si="8"/>
        <v>-103.59384910013141</v>
      </c>
      <c r="L40" s="5">
        <f t="shared" si="9"/>
        <v>-89.999621182374597</v>
      </c>
      <c r="M40" s="5">
        <f t="shared" si="10"/>
        <v>55.831540586154006</v>
      </c>
      <c r="N40" s="5">
        <f t="shared" si="11"/>
        <v>89.907413899703059</v>
      </c>
      <c r="O40" s="5">
        <f t="shared" si="12"/>
        <v>-22.48261164012132</v>
      </c>
      <c r="P40" s="15">
        <f t="shared" si="13"/>
        <v>-85.69075121093249</v>
      </c>
      <c r="Q40" s="5">
        <f t="shared" si="22"/>
        <v>-16.901606785745479</v>
      </c>
      <c r="R40" s="5">
        <f t="shared" si="23"/>
        <v>-81.786452230016096</v>
      </c>
      <c r="S40" s="12">
        <f t="shared" si="14"/>
        <v>25.906245406886388</v>
      </c>
      <c r="T40" s="5">
        <f t="shared" si="15"/>
        <v>87.096001944354953</v>
      </c>
      <c r="U40" s="5">
        <f t="shared" si="16"/>
        <v>-32.346136114894939</v>
      </c>
      <c r="V40" s="15">
        <f t="shared" si="17"/>
        <v>-151.58691074522253</v>
      </c>
      <c r="W40" s="12">
        <v>0</v>
      </c>
      <c r="X40" s="15">
        <f t="shared" si="18"/>
        <v>-90</v>
      </c>
      <c r="Y40" s="12">
        <f t="shared" si="24"/>
        <v>-0.87469752374367771</v>
      </c>
      <c r="Z40" s="15">
        <f t="shared" si="25"/>
        <v>-25.284075402004209</v>
      </c>
      <c r="AA40" s="5">
        <f t="shared" si="19"/>
        <v>-39.169147799618031</v>
      </c>
      <c r="AB40" s="5">
        <f t="shared" si="20"/>
        <v>-223.07788385238118</v>
      </c>
      <c r="AC40" s="5">
        <f t="shared" si="26"/>
        <v>-61.651759439739351</v>
      </c>
      <c r="AD40" s="6">
        <f t="shared" si="27"/>
        <v>-308.7686350633137</v>
      </c>
    </row>
    <row r="41" spans="1:30">
      <c r="A41" s="4">
        <v>4.8</v>
      </c>
      <c r="B41" s="19">
        <f t="shared" si="21"/>
        <v>630957.34448019345</v>
      </c>
      <c r="C41" s="12">
        <f t="shared" si="0"/>
        <v>21.228631209423551</v>
      </c>
      <c r="D41" s="5">
        <f t="shared" si="1"/>
        <v>-85.019900105009839</v>
      </c>
      <c r="E41" s="5">
        <f t="shared" si="2"/>
        <v>-54.76119360512903</v>
      </c>
      <c r="F41" s="5">
        <f t="shared" si="3"/>
        <v>-89.895271907368269</v>
      </c>
      <c r="G41" s="5">
        <f t="shared" si="4"/>
        <v>2.185522405350607</v>
      </c>
      <c r="H41" s="5">
        <f t="shared" si="5"/>
        <v>38.963925432843808</v>
      </c>
      <c r="I41" s="5">
        <f t="shared" si="6"/>
        <v>-5.965905522982175E-4</v>
      </c>
      <c r="J41" s="15">
        <f t="shared" si="7"/>
        <v>-0.67152732771765922</v>
      </c>
      <c r="K41" s="12">
        <f t="shared" si="8"/>
        <v>-105.59384910006132</v>
      </c>
      <c r="L41" s="5">
        <f t="shared" si="9"/>
        <v>-89.999699094464319</v>
      </c>
      <c r="M41" s="5">
        <f t="shared" si="10"/>
        <v>57.831536401042541</v>
      </c>
      <c r="N41" s="5">
        <f t="shared" si="11"/>
        <v>89.926456222767442</v>
      </c>
      <c r="O41" s="5">
        <f t="shared" si="12"/>
        <v>-24.473553217969766</v>
      </c>
      <c r="P41" s="15">
        <f t="shared" si="13"/>
        <v>-86.574659877970404</v>
      </c>
      <c r="Q41" s="5">
        <f t="shared" si="22"/>
        <v>-18.868771490191396</v>
      </c>
      <c r="R41" s="5">
        <f t="shared" si="23"/>
        <v>-83.459246928609076</v>
      </c>
      <c r="S41" s="12">
        <f t="shared" si="14"/>
        <v>27.902129722101808</v>
      </c>
      <c r="T41" s="5">
        <f t="shared" si="15"/>
        <v>87.692543358697279</v>
      </c>
      <c r="U41" s="5">
        <f t="shared" si="16"/>
        <v>-36.041199442445823</v>
      </c>
      <c r="V41" s="15">
        <f t="shared" si="17"/>
        <v>-156.95424082980247</v>
      </c>
      <c r="W41" s="12">
        <v>0</v>
      </c>
      <c r="X41" s="15">
        <f t="shared" si="18"/>
        <v>-90</v>
      </c>
      <c r="Y41" s="12">
        <f t="shared" si="24"/>
        <v>-1.3149818237897504</v>
      </c>
      <c r="Z41" s="15">
        <f t="shared" si="25"/>
        <v>-30.738395398521529</v>
      </c>
      <c r="AA41" s="5">
        <f t="shared" si="19"/>
        <v>-42.610027056354767</v>
      </c>
      <c r="AB41" s="5">
        <f t="shared" si="20"/>
        <v>-230.15535657718462</v>
      </c>
      <c r="AC41" s="5">
        <f t="shared" si="26"/>
        <v>-67.083580274324532</v>
      </c>
      <c r="AD41" s="6">
        <f t="shared" si="27"/>
        <v>-316.73001645515501</v>
      </c>
    </row>
    <row r="42" spans="1:30">
      <c r="A42" s="4">
        <v>4.9000000000000004</v>
      </c>
      <c r="B42" s="19">
        <f t="shared" si="21"/>
        <v>794328.2347242824</v>
      </c>
      <c r="C42" s="12">
        <f t="shared" si="0"/>
        <v>23.216536307201295</v>
      </c>
      <c r="D42" s="5">
        <f t="shared" si="1"/>
        <v>-86.040489040157254</v>
      </c>
      <c r="E42" s="5">
        <f t="shared" si="2"/>
        <v>-56.761188250347146</v>
      </c>
      <c r="F42" s="5">
        <f t="shared" si="3"/>
        <v>-89.916811484863743</v>
      </c>
      <c r="G42" s="5">
        <f t="shared" si="4"/>
        <v>3.0891025266202461</v>
      </c>
      <c r="H42" s="5">
        <f t="shared" si="5"/>
        <v>45.515155026974305</v>
      </c>
      <c r="I42" s="5">
        <f t="shared" si="6"/>
        <v>-9.4549432354649608E-4</v>
      </c>
      <c r="J42" s="15">
        <f t="shared" si="7"/>
        <v>-0.84538017800382637</v>
      </c>
      <c r="K42" s="12">
        <f t="shared" si="8"/>
        <v>-107.59384910001714</v>
      </c>
      <c r="L42" s="5">
        <f t="shared" si="9"/>
        <v>-89.999760982237035</v>
      </c>
      <c r="M42" s="5">
        <f t="shared" si="10"/>
        <v>59.831533760413663</v>
      </c>
      <c r="N42" s="5">
        <f t="shared" si="11"/>
        <v>89.941582089416016</v>
      </c>
      <c r="O42" s="5">
        <f t="shared" si="12"/>
        <v>-26.467828003167448</v>
      </c>
      <c r="P42" s="15">
        <f t="shared" si="13"/>
        <v>-87.277959288562528</v>
      </c>
      <c r="Q42" s="5">
        <f t="shared" si="22"/>
        <v>-20.847925351687017</v>
      </c>
      <c r="R42" s="5">
        <f t="shared" si="23"/>
        <v>-84.796163864600402</v>
      </c>
      <c r="S42" s="12">
        <f t="shared" si="14"/>
        <v>29.89953089228554</v>
      </c>
      <c r="T42" s="5">
        <f t="shared" si="15"/>
        <v>88.166756338743042</v>
      </c>
      <c r="U42" s="5">
        <f t="shared" si="16"/>
        <v>-39.837561775668767</v>
      </c>
      <c r="V42" s="15">
        <f t="shared" si="17"/>
        <v>-161.4381041345172</v>
      </c>
      <c r="W42" s="12">
        <v>0</v>
      </c>
      <c r="X42" s="15">
        <f t="shared" si="18"/>
        <v>-90</v>
      </c>
      <c r="Y42" s="12">
        <f t="shared" si="24"/>
        <v>-1.9325179030433333</v>
      </c>
      <c r="Z42" s="15">
        <f t="shared" si="25"/>
        <v>-36.819874550601085</v>
      </c>
      <c r="AA42" s="5">
        <f t="shared" si="19"/>
        <v>-46.114539130669868</v>
      </c>
      <c r="AB42" s="5">
        <f t="shared" si="20"/>
        <v>-236.2330907798472</v>
      </c>
      <c r="AC42" s="5">
        <f t="shared" si="26"/>
        <v>-72.582367133837323</v>
      </c>
      <c r="AD42" s="6">
        <f t="shared" si="27"/>
        <v>-323.51105006840976</v>
      </c>
    </row>
    <row r="43" spans="1:30" ht="13.5" thickBot="1">
      <c r="A43" s="7">
        <v>5</v>
      </c>
      <c r="B43" s="20">
        <f t="shared" si="21"/>
        <v>1000000</v>
      </c>
      <c r="C43" s="13">
        <f t="shared" si="0"/>
        <v>25.208887571965803</v>
      </c>
      <c r="D43" s="8">
        <f t="shared" si="1"/>
        <v>-86.85300074724617</v>
      </c>
      <c r="E43" s="8">
        <f t="shared" si="2"/>
        <v>-58.761184871704792</v>
      </c>
      <c r="F43" s="8">
        <f t="shared" si="3"/>
        <v>-89.933920996486847</v>
      </c>
      <c r="G43" s="8">
        <f t="shared" si="4"/>
        <v>4.2208628953407148</v>
      </c>
      <c r="H43" s="8">
        <f t="shared" si="5"/>
        <v>52.039667806951918</v>
      </c>
      <c r="I43" s="8">
        <f t="shared" si="6"/>
        <v>-1.4984121249473135E-3</v>
      </c>
      <c r="J43" s="16">
        <f t="shared" si="7"/>
        <v>-1.0642254224546979</v>
      </c>
      <c r="K43" s="13">
        <f t="shared" si="8"/>
        <v>-109.59384909998923</v>
      </c>
      <c r="L43" s="8">
        <f t="shared" si="9"/>
        <v>-89.999810141442268</v>
      </c>
      <c r="M43" s="8">
        <f t="shared" si="10"/>
        <v>61.831532094288647</v>
      </c>
      <c r="N43" s="8">
        <f t="shared" si="11"/>
        <v>89.953596998275543</v>
      </c>
      <c r="O43" s="8">
        <f t="shared" si="12"/>
        <v>-28.464211749577579</v>
      </c>
      <c r="P43" s="16">
        <f t="shared" si="13"/>
        <v>-87.837205842569318</v>
      </c>
      <c r="Q43" s="8">
        <f t="shared" si="22"/>
        <v>-22.834720655594815</v>
      </c>
      <c r="R43" s="8">
        <f t="shared" si="23"/>
        <v>-85.862250788822308</v>
      </c>
      <c r="S43" s="13">
        <f t="shared" si="14"/>
        <v>31.897890340991559</v>
      </c>
      <c r="T43" s="8">
        <f t="shared" si="15"/>
        <v>88.543619406840008</v>
      </c>
      <c r="U43" s="8">
        <f t="shared" si="16"/>
        <v>-43.704145378139579</v>
      </c>
      <c r="V43" s="16">
        <f t="shared" si="17"/>
        <v>-165.12141574658801</v>
      </c>
      <c r="W43" s="13">
        <v>0</v>
      </c>
      <c r="X43" s="16">
        <f t="shared" si="18"/>
        <v>-90</v>
      </c>
      <c r="Y43" s="13">
        <f t="shared" si="24"/>
        <v>-2.7606280443612299</v>
      </c>
      <c r="Z43" s="16">
        <f t="shared" si="25"/>
        <v>-43.303807307170665</v>
      </c>
      <c r="AA43" s="5">
        <f t="shared" si="19"/>
        <v>-49.674108301431531</v>
      </c>
      <c r="AB43" s="8">
        <f t="shared" si="20"/>
        <v>-241.60154693814351</v>
      </c>
      <c r="AC43" s="8">
        <f t="shared" si="26"/>
        <v>-78.138320051009117</v>
      </c>
      <c r="AD43" s="17">
        <f t="shared" si="27"/>
        <v>-329.43875278071283</v>
      </c>
    </row>
    <row r="44" spans="1:30" ht="13.5"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31" sqref="A31"/>
    </sheetView>
  </sheetViews>
  <sheetFormatPr defaultRowHeight="12.75"/>
  <cols>
    <col min="1" max="1" width="128" customWidth="1"/>
    <col min="2" max="2" width="13.7109375" customWidth="1"/>
    <col min="257" max="257" width="128" customWidth="1"/>
    <col min="258" max="258" width="13.7109375" customWidth="1"/>
    <col min="513" max="513" width="128" customWidth="1"/>
    <col min="514" max="514" width="13.7109375" customWidth="1"/>
    <col min="769" max="769" width="128" customWidth="1"/>
    <col min="770" max="770" width="13.7109375" customWidth="1"/>
    <col min="1025" max="1025" width="128" customWidth="1"/>
    <col min="1026" max="1026" width="13.7109375" customWidth="1"/>
    <col min="1281" max="1281" width="128" customWidth="1"/>
    <col min="1282" max="1282" width="13.7109375" customWidth="1"/>
    <col min="1537" max="1537" width="128" customWidth="1"/>
    <col min="1538" max="1538" width="13.7109375" customWidth="1"/>
    <col min="1793" max="1793" width="128" customWidth="1"/>
    <col min="1794" max="1794" width="13.7109375" customWidth="1"/>
    <col min="2049" max="2049" width="128" customWidth="1"/>
    <col min="2050" max="2050" width="13.7109375" customWidth="1"/>
    <col min="2305" max="2305" width="128" customWidth="1"/>
    <col min="2306" max="2306" width="13.7109375" customWidth="1"/>
    <col min="2561" max="2561" width="128" customWidth="1"/>
    <col min="2562" max="2562" width="13.7109375" customWidth="1"/>
    <col min="2817" max="2817" width="128" customWidth="1"/>
    <col min="2818" max="2818" width="13.7109375" customWidth="1"/>
    <col min="3073" max="3073" width="128" customWidth="1"/>
    <col min="3074" max="3074" width="13.7109375" customWidth="1"/>
    <col min="3329" max="3329" width="128" customWidth="1"/>
    <col min="3330" max="3330" width="13.7109375" customWidth="1"/>
    <col min="3585" max="3585" width="128" customWidth="1"/>
    <col min="3586" max="3586" width="13.7109375" customWidth="1"/>
    <col min="3841" max="3841" width="128" customWidth="1"/>
    <col min="3842" max="3842" width="13.7109375" customWidth="1"/>
    <col min="4097" max="4097" width="128" customWidth="1"/>
    <col min="4098" max="4098" width="13.7109375" customWidth="1"/>
    <col min="4353" max="4353" width="128" customWidth="1"/>
    <col min="4354" max="4354" width="13.7109375" customWidth="1"/>
    <col min="4609" max="4609" width="128" customWidth="1"/>
    <col min="4610" max="4610" width="13.7109375" customWidth="1"/>
    <col min="4865" max="4865" width="128" customWidth="1"/>
    <col min="4866" max="4866" width="13.7109375" customWidth="1"/>
    <col min="5121" max="5121" width="128" customWidth="1"/>
    <col min="5122" max="5122" width="13.7109375" customWidth="1"/>
    <col min="5377" max="5377" width="128" customWidth="1"/>
    <col min="5378" max="5378" width="13.7109375" customWidth="1"/>
    <col min="5633" max="5633" width="128" customWidth="1"/>
    <col min="5634" max="5634" width="13.7109375" customWidth="1"/>
    <col min="5889" max="5889" width="128" customWidth="1"/>
    <col min="5890" max="5890" width="13.7109375" customWidth="1"/>
    <col min="6145" max="6145" width="128" customWidth="1"/>
    <col min="6146" max="6146" width="13.7109375" customWidth="1"/>
    <col min="6401" max="6401" width="128" customWidth="1"/>
    <col min="6402" max="6402" width="13.7109375" customWidth="1"/>
    <col min="6657" max="6657" width="128" customWidth="1"/>
    <col min="6658" max="6658" width="13.7109375" customWidth="1"/>
    <col min="6913" max="6913" width="128" customWidth="1"/>
    <col min="6914" max="6914" width="13.7109375" customWidth="1"/>
    <col min="7169" max="7169" width="128" customWidth="1"/>
    <col min="7170" max="7170" width="13.7109375" customWidth="1"/>
    <col min="7425" max="7425" width="128" customWidth="1"/>
    <col min="7426" max="7426" width="13.7109375" customWidth="1"/>
    <col min="7681" max="7681" width="128" customWidth="1"/>
    <col min="7682" max="7682" width="13.7109375" customWidth="1"/>
    <col min="7937" max="7937" width="128" customWidth="1"/>
    <col min="7938" max="7938" width="13.7109375" customWidth="1"/>
    <col min="8193" max="8193" width="128" customWidth="1"/>
    <col min="8194" max="8194" width="13.7109375" customWidth="1"/>
    <col min="8449" max="8449" width="128" customWidth="1"/>
    <col min="8450" max="8450" width="13.7109375" customWidth="1"/>
    <col min="8705" max="8705" width="128" customWidth="1"/>
    <col min="8706" max="8706" width="13.7109375" customWidth="1"/>
    <col min="8961" max="8961" width="128" customWidth="1"/>
    <col min="8962" max="8962" width="13.7109375" customWidth="1"/>
    <col min="9217" max="9217" width="128" customWidth="1"/>
    <col min="9218" max="9218" width="13.7109375" customWidth="1"/>
    <col min="9473" max="9473" width="128" customWidth="1"/>
    <col min="9474" max="9474" width="13.7109375" customWidth="1"/>
    <col min="9729" max="9729" width="128" customWidth="1"/>
    <col min="9730" max="9730" width="13.7109375" customWidth="1"/>
    <col min="9985" max="9985" width="128" customWidth="1"/>
    <col min="9986" max="9986" width="13.7109375" customWidth="1"/>
    <col min="10241" max="10241" width="128" customWidth="1"/>
    <col min="10242" max="10242" width="13.7109375" customWidth="1"/>
    <col min="10497" max="10497" width="128" customWidth="1"/>
    <col min="10498" max="10498" width="13.7109375" customWidth="1"/>
    <col min="10753" max="10753" width="128" customWidth="1"/>
    <col min="10754" max="10754" width="13.7109375" customWidth="1"/>
    <col min="11009" max="11009" width="128" customWidth="1"/>
    <col min="11010" max="11010" width="13.7109375" customWidth="1"/>
    <col min="11265" max="11265" width="128" customWidth="1"/>
    <col min="11266" max="11266" width="13.7109375" customWidth="1"/>
    <col min="11521" max="11521" width="128" customWidth="1"/>
    <col min="11522" max="11522" width="13.7109375" customWidth="1"/>
    <col min="11777" max="11777" width="128" customWidth="1"/>
    <col min="11778" max="11778" width="13.7109375" customWidth="1"/>
    <col min="12033" max="12033" width="128" customWidth="1"/>
    <col min="12034" max="12034" width="13.7109375" customWidth="1"/>
    <col min="12289" max="12289" width="128" customWidth="1"/>
    <col min="12290" max="12290" width="13.7109375" customWidth="1"/>
    <col min="12545" max="12545" width="128" customWidth="1"/>
    <col min="12546" max="12546" width="13.7109375" customWidth="1"/>
    <col min="12801" max="12801" width="128" customWidth="1"/>
    <col min="12802" max="12802" width="13.7109375" customWidth="1"/>
    <col min="13057" max="13057" width="128" customWidth="1"/>
    <col min="13058" max="13058" width="13.7109375" customWidth="1"/>
    <col min="13313" max="13313" width="128" customWidth="1"/>
    <col min="13314" max="13314" width="13.7109375" customWidth="1"/>
    <col min="13569" max="13569" width="128" customWidth="1"/>
    <col min="13570" max="13570" width="13.7109375" customWidth="1"/>
    <col min="13825" max="13825" width="128" customWidth="1"/>
    <col min="13826" max="13826" width="13.7109375" customWidth="1"/>
    <col min="14081" max="14081" width="128" customWidth="1"/>
    <col min="14082" max="14082" width="13.7109375" customWidth="1"/>
    <col min="14337" max="14337" width="128" customWidth="1"/>
    <col min="14338" max="14338" width="13.7109375" customWidth="1"/>
    <col min="14593" max="14593" width="128" customWidth="1"/>
    <col min="14594" max="14594" width="13.7109375" customWidth="1"/>
    <col min="14849" max="14849" width="128" customWidth="1"/>
    <col min="14850" max="14850" width="13.7109375" customWidth="1"/>
    <col min="15105" max="15105" width="128" customWidth="1"/>
    <col min="15106" max="15106" width="13.7109375" customWidth="1"/>
    <col min="15361" max="15361" width="128" customWidth="1"/>
    <col min="15362" max="15362" width="13.7109375" customWidth="1"/>
    <col min="15617" max="15617" width="128" customWidth="1"/>
    <col min="15618" max="15618" width="13.7109375" customWidth="1"/>
    <col min="15873" max="15873" width="128" customWidth="1"/>
    <col min="15874" max="15874" width="13.7109375" customWidth="1"/>
    <col min="16129" max="16129" width="128" customWidth="1"/>
    <col min="16130" max="16130" width="13.7109375" customWidth="1"/>
  </cols>
  <sheetData>
    <row r="1" spans="1:1" ht="63.75">
      <c r="A1" s="24" t="s">
        <v>176</v>
      </c>
    </row>
    <row r="2" spans="1:1">
      <c r="A2" s="9"/>
    </row>
    <row r="3" spans="1:1" ht="76.5">
      <c r="A3" s="24" t="s">
        <v>177</v>
      </c>
    </row>
    <row r="4" spans="1:1">
      <c r="A4" s="9"/>
    </row>
    <row r="5" spans="1:1" ht="51">
      <c r="A5" s="24" t="s">
        <v>178</v>
      </c>
    </row>
    <row r="6" spans="1:1">
      <c r="A6" s="9"/>
    </row>
    <row r="7" spans="1:1" ht="76.5">
      <c r="A7" s="24" t="s">
        <v>179</v>
      </c>
    </row>
    <row r="8" spans="1:1">
      <c r="A8" s="9"/>
    </row>
    <row r="9" spans="1:1">
      <c r="A9" s="24" t="s">
        <v>222</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66</vt:i4>
      </vt:variant>
    </vt:vector>
  </HeadingPairs>
  <TitlesOfParts>
    <vt:vector size="69"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Mohammed Ghouse Khan</cp:lastModifiedBy>
  <dcterms:created xsi:type="dcterms:W3CDTF">2011-04-19T20:45:42Z</dcterms:created>
  <dcterms:modified xsi:type="dcterms:W3CDTF">2023-12-06T14:42:54Z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bb46c77-3b58-4101-b463-cd3b3d516e4a_Enabled">
    <vt:lpwstr>true</vt:lpwstr>
  </property>
  <property fmtid="{D5CDD505-2E9C-101B-9397-08002B2CF9AE}" pid="3" name="MSIP_Label_3bb46c77-3b58-4101-b463-cd3b3d516e4a_SetDate">
    <vt:lpwstr>2023-12-06T13:33:06Z</vt:lpwstr>
  </property>
  <property fmtid="{D5CDD505-2E9C-101B-9397-08002B2CF9AE}" pid="4" name="MSIP_Label_3bb46c77-3b58-4101-b463-cd3b3d516e4a_Method">
    <vt:lpwstr>Privileged</vt:lpwstr>
  </property>
  <property fmtid="{D5CDD505-2E9C-101B-9397-08002B2CF9AE}" pid="5" name="MSIP_Label_3bb46c77-3b58-4101-b463-cd3b3d516e4a_Name">
    <vt:lpwstr>Non-Business</vt:lpwstr>
  </property>
  <property fmtid="{D5CDD505-2E9C-101B-9397-08002B2CF9AE}" pid="6" name="MSIP_Label_3bb46c77-3b58-4101-b463-cd3b3d516e4a_SiteId">
    <vt:lpwstr>311b3378-8e8a-4b5e-a33f-e80a3d8ba60a</vt:lpwstr>
  </property>
  <property fmtid="{D5CDD505-2E9C-101B-9397-08002B2CF9AE}" pid="7" name="MSIP_Label_3bb46c77-3b58-4101-b463-cd3b3d516e4a_ActionId">
    <vt:lpwstr>92ea1e5c-9eec-4103-839d-7f57f2977408</vt:lpwstr>
  </property>
  <property fmtid="{D5CDD505-2E9C-101B-9397-08002B2CF9AE}" pid="8" name="MSIP_Label_3bb46c77-3b58-4101-b463-cd3b3d516e4a_ContentBits">
    <vt:lpwstr>0</vt:lpwstr>
  </property>
</Properties>
</file>